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codeName="ThisWorkbook"/>
  <bookViews>
    <workbookView xWindow="0" yWindow="0" windowWidth="22260" windowHeight="12645" tabRatio="875"/>
  </bookViews>
  <sheets>
    <sheet name="TOC" sheetId="12" r:id="rId1"/>
    <sheet name="CAFO_list" sheetId="1" r:id="rId2"/>
    <sheet name="WWTP_list" sheetId="2" r:id="rId3"/>
    <sheet name="LF_list" sheetId="3" r:id="rId4"/>
    <sheet name="County_list" sheetId="4" r:id="rId5"/>
    <sheet name="Node locations" sheetId="13" r:id="rId6"/>
    <sheet name="CM_supply" sheetId="5" r:id="rId7"/>
    <sheet name="FW_supply" sheetId="6" r:id="rId8"/>
    <sheet name="S_supply" sheetId="7" r:id="rId9"/>
    <sheet name="Biogas_technology_regression" sheetId="8" r:id="rId10"/>
    <sheet name="Biogas_technology_data" sheetId="22" r:id="rId11"/>
    <sheet name="C6_C8_technology_data" sheetId="23" r:id="rId12"/>
    <sheet name="Biogas_yield" sheetId="14" r:id="rId13"/>
    <sheet name="Transportation" sheetId="16" r:id="rId14"/>
    <sheet name="Biogas_price" sheetId="17" r:id="rId15"/>
    <sheet name="Carbon_emission_prod" sheetId="19" r:id="rId16"/>
    <sheet name="Carbon_emission_tech" sheetId="20" r:id="rId17"/>
    <sheet name="Carbon_benefit" sheetId="21" r:id="rId18"/>
    <sheet name="Biogas_Only" sheetId="25" r:id="rId19"/>
    <sheet name="C6C8_Only" sheetId="28" r:id="rId20"/>
    <sheet name="Hybrid" sheetId="29" r:id="rId21"/>
    <sheet name="Compare" sheetId="30" r:id="rId22"/>
    <sheet name="Biogasonly_price_sensitivity" sheetId="31" r:id="rId23"/>
    <sheet name="SCC_sensitivity" sheetId="32" r:id="rId24"/>
    <sheet name="Yield_sensitivity" sheetId="33" r:id="rId25"/>
  </sheets>
  <externalReferences>
    <externalReference r:id="rId2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7" i="33" l="1"/>
  <c r="BB17" i="33"/>
  <c r="BA17" i="33"/>
  <c r="AZ17" i="33"/>
  <c r="AY17" i="33"/>
  <c r="AX17" i="33"/>
  <c r="AW17" i="33"/>
  <c r="AV17" i="33"/>
  <c r="AU17" i="33"/>
  <c r="AT17" i="33"/>
  <c r="AS17" i="33"/>
  <c r="AR17" i="33"/>
  <c r="AQ17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C4" i="33"/>
  <c r="BB4" i="33"/>
  <c r="BA4" i="33"/>
  <c r="AZ4" i="33"/>
  <c r="AY4" i="33"/>
  <c r="AX4" i="33"/>
  <c r="AW4" i="33"/>
  <c r="AV4" i="33"/>
  <c r="AU4" i="33"/>
  <c r="AT4" i="33"/>
  <c r="AS4" i="33"/>
  <c r="AO4" i="33"/>
  <c r="AN4" i="33"/>
  <c r="AM4" i="33"/>
  <c r="AL4" i="33"/>
  <c r="AK4" i="33"/>
  <c r="AH4" i="33"/>
  <c r="AG4" i="33"/>
  <c r="AF4" i="33"/>
  <c r="AE4" i="33"/>
  <c r="AD4" i="33"/>
  <c r="AC4" i="33"/>
  <c r="Z4" i="33"/>
  <c r="Y4" i="33"/>
  <c r="X4" i="33"/>
  <c r="W4" i="33"/>
  <c r="V4" i="33"/>
  <c r="U4" i="33"/>
  <c r="R4" i="33"/>
  <c r="Q4" i="33"/>
  <c r="P4" i="33"/>
  <c r="O4" i="33"/>
  <c r="N4" i="33"/>
  <c r="J4" i="33"/>
  <c r="I4" i="33"/>
  <c r="H4" i="33"/>
  <c r="G4" i="33"/>
  <c r="F4" i="33"/>
  <c r="E4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F3" i="33"/>
  <c r="AR2" i="33"/>
  <c r="AR4" i="33" s="1"/>
  <c r="AQ2" i="33"/>
  <c r="AQ4" i="33" s="1"/>
  <c r="AP2" i="33"/>
  <c r="AP4" i="33" s="1"/>
  <c r="AK2" i="33"/>
  <c r="AJ2" i="33"/>
  <c r="AJ4" i="33" s="1"/>
  <c r="AI2" i="33"/>
  <c r="AI4" i="33" s="1"/>
  <c r="AC2" i="33"/>
  <c r="AB2" i="33"/>
  <c r="AB4" i="33" s="1"/>
  <c r="AA2" i="33"/>
  <c r="AA4" i="33" s="1"/>
  <c r="U2" i="33"/>
  <c r="T2" i="33"/>
  <c r="T4" i="33" s="1"/>
  <c r="S2" i="33"/>
  <c r="S4" i="33" s="1"/>
  <c r="M2" i="33"/>
  <c r="M4" i="33" s="1"/>
  <c r="L2" i="33"/>
  <c r="L4" i="33" s="1"/>
  <c r="K2" i="33"/>
  <c r="K4" i="33" s="1"/>
  <c r="E2" i="33"/>
  <c r="D2" i="33"/>
  <c r="D4" i="33" s="1"/>
  <c r="C2" i="33"/>
  <c r="C4" i="33" s="1"/>
  <c r="J1" i="33"/>
  <c r="I1" i="33"/>
  <c r="I3" i="33" s="1"/>
  <c r="H1" i="33"/>
  <c r="H3" i="33" s="1"/>
  <c r="G1" i="33"/>
  <c r="G3" i="33" s="1"/>
  <c r="F1" i="33"/>
  <c r="E1" i="33"/>
  <c r="E3" i="33" s="1"/>
  <c r="D1" i="33"/>
  <c r="D3" i="33" s="1"/>
  <c r="C1" i="33"/>
  <c r="C3" i="33" s="1"/>
  <c r="V8" i="32"/>
  <c r="H21" i="29"/>
  <c r="G19" i="29"/>
  <c r="G18" i="29"/>
  <c r="G17" i="29"/>
  <c r="G16" i="29"/>
  <c r="G15" i="29"/>
  <c r="G14" i="29"/>
  <c r="G13" i="29"/>
  <c r="G12" i="29"/>
  <c r="G11" i="29"/>
  <c r="I10" i="29"/>
  <c r="G10" i="29"/>
  <c r="I9" i="29"/>
  <c r="G9" i="29"/>
  <c r="I8" i="29"/>
  <c r="G8" i="29"/>
  <c r="G7" i="29"/>
  <c r="G6" i="29"/>
  <c r="G5" i="29"/>
  <c r="G4" i="29"/>
  <c r="G3" i="29"/>
  <c r="G2" i="29"/>
  <c r="H21" i="28"/>
  <c r="F21" i="28"/>
  <c r="D21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H21" i="25"/>
  <c r="F21" i="25"/>
  <c r="D21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M10" i="23" l="1"/>
  <c r="M11" i="23"/>
  <c r="M12" i="23"/>
  <c r="M13" i="23"/>
  <c r="M14" i="23"/>
  <c r="M15" i="23"/>
  <c r="M16" i="23"/>
  <c r="M17" i="23"/>
  <c r="M18" i="23"/>
  <c r="M19" i="23"/>
  <c r="M20" i="23"/>
  <c r="M9" i="23"/>
  <c r="L9" i="23"/>
  <c r="J10" i="23"/>
  <c r="J11" i="23"/>
  <c r="J12" i="23"/>
  <c r="J13" i="23"/>
  <c r="J14" i="23"/>
  <c r="J15" i="23"/>
  <c r="J16" i="23"/>
  <c r="J17" i="23"/>
  <c r="J18" i="23"/>
  <c r="J19" i="23"/>
  <c r="J20" i="23"/>
  <c r="J9" i="23"/>
  <c r="I10" i="23"/>
  <c r="I11" i="23"/>
  <c r="I12" i="23"/>
  <c r="I13" i="23"/>
  <c r="I14" i="23"/>
  <c r="I15" i="23"/>
  <c r="I16" i="23"/>
  <c r="I17" i="23"/>
  <c r="I18" i="23"/>
  <c r="I19" i="23"/>
  <c r="I20" i="23"/>
  <c r="I9" i="23"/>
  <c r="H10" i="23"/>
  <c r="H11" i="23"/>
  <c r="H12" i="23"/>
  <c r="H13" i="23"/>
  <c r="H14" i="23"/>
  <c r="H15" i="23"/>
  <c r="H16" i="23"/>
  <c r="H17" i="23"/>
  <c r="H18" i="23"/>
  <c r="H19" i="23"/>
  <c r="H20" i="23"/>
  <c r="H9" i="23"/>
  <c r="G10" i="23"/>
  <c r="G11" i="23"/>
  <c r="G12" i="23"/>
  <c r="G13" i="23"/>
  <c r="G14" i="23"/>
  <c r="G15" i="23"/>
  <c r="G16" i="23"/>
  <c r="G17" i="23"/>
  <c r="G18" i="23"/>
  <c r="G19" i="23"/>
  <c r="G20" i="23"/>
  <c r="G9" i="23"/>
  <c r="F10" i="23"/>
  <c r="F11" i="23"/>
  <c r="F12" i="23"/>
  <c r="F13" i="23"/>
  <c r="F14" i="23"/>
  <c r="F15" i="23"/>
  <c r="F16" i="23"/>
  <c r="F17" i="23"/>
  <c r="F18" i="23"/>
  <c r="F19" i="23"/>
  <c r="F20" i="23"/>
  <c r="F9" i="23"/>
  <c r="E10" i="23"/>
  <c r="E11" i="23"/>
  <c r="E12" i="23"/>
  <c r="E13" i="23"/>
  <c r="E14" i="23"/>
  <c r="E15" i="23"/>
  <c r="E16" i="23"/>
  <c r="E17" i="23"/>
  <c r="E18" i="23"/>
  <c r="E19" i="23"/>
  <c r="E20" i="23"/>
  <c r="E9" i="23"/>
  <c r="D10" i="23"/>
  <c r="D11" i="23"/>
  <c r="D12" i="23"/>
  <c r="D13" i="23"/>
  <c r="D14" i="23"/>
  <c r="D15" i="23"/>
  <c r="D16" i="23"/>
  <c r="D17" i="23"/>
  <c r="D18" i="23"/>
  <c r="D19" i="23"/>
  <c r="D20" i="23"/>
  <c r="D9" i="23"/>
  <c r="L10" i="23" l="1"/>
  <c r="L11" i="23"/>
  <c r="L12" i="23"/>
  <c r="L13" i="23"/>
  <c r="L14" i="23"/>
  <c r="L15" i="23"/>
  <c r="L16" i="23"/>
  <c r="L17" i="23"/>
  <c r="L18" i="23"/>
  <c r="L19" i="23"/>
  <c r="L20" i="23"/>
  <c r="O10" i="23"/>
  <c r="K10" i="23" s="1"/>
  <c r="O11" i="23"/>
  <c r="K11" i="23" s="1"/>
  <c r="P11" i="23" s="1"/>
  <c r="O12" i="23"/>
  <c r="K12" i="23" s="1"/>
  <c r="O13" i="23"/>
  <c r="K13" i="23" s="1"/>
  <c r="P13" i="23" s="1"/>
  <c r="O14" i="23"/>
  <c r="K14" i="23" s="1"/>
  <c r="P14" i="23" s="1"/>
  <c r="O15" i="23"/>
  <c r="K15" i="23" s="1"/>
  <c r="P15" i="23" s="1"/>
  <c r="O16" i="23"/>
  <c r="K16" i="23" s="1"/>
  <c r="P16" i="23" s="1"/>
  <c r="O17" i="23"/>
  <c r="K17" i="23" s="1"/>
  <c r="P17" i="23" s="1"/>
  <c r="O18" i="23"/>
  <c r="K18" i="23" s="1"/>
  <c r="P18" i="23" s="1"/>
  <c r="O19" i="23"/>
  <c r="K19" i="23" s="1"/>
  <c r="P19" i="23" s="1"/>
  <c r="O20" i="23"/>
  <c r="K20" i="23" s="1"/>
  <c r="P20" i="23" s="1"/>
  <c r="O9" i="23"/>
  <c r="K9" i="23" s="1"/>
  <c r="C18" i="23"/>
  <c r="C19" i="23"/>
  <c r="C20" i="23"/>
  <c r="C17" i="23"/>
  <c r="C14" i="23"/>
  <c r="C15" i="23"/>
  <c r="C16" i="23"/>
  <c r="C13" i="23"/>
  <c r="C10" i="23"/>
  <c r="C11" i="23"/>
  <c r="C12" i="23"/>
  <c r="C9" i="23"/>
  <c r="P12" i="23" l="1"/>
  <c r="P10" i="23"/>
  <c r="P9" i="23"/>
  <c r="B4" i="23"/>
  <c r="C4" i="23" s="1"/>
  <c r="B3" i="23"/>
  <c r="C3" i="23" s="1"/>
  <c r="B2" i="23"/>
  <c r="C2" i="23" s="1"/>
  <c r="E4" i="22"/>
  <c r="E5" i="22"/>
  <c r="E6" i="22"/>
  <c r="E7" i="22"/>
  <c r="E8" i="22"/>
  <c r="E9" i="22"/>
  <c r="E10" i="22"/>
  <c r="E11" i="22"/>
  <c r="E12" i="22"/>
  <c r="E13" i="22"/>
  <c r="E14" i="22"/>
  <c r="E3" i="22"/>
  <c r="J3" i="22" s="1"/>
  <c r="F6" i="22"/>
  <c r="K5" i="22"/>
  <c r="K10" i="22"/>
  <c r="H12" i="22"/>
  <c r="H13" i="22"/>
  <c r="H14" i="22"/>
  <c r="H11" i="22"/>
  <c r="H8" i="22"/>
  <c r="H9" i="22"/>
  <c r="H10" i="22"/>
  <c r="H7" i="22"/>
  <c r="H4" i="22"/>
  <c r="H5" i="22"/>
  <c r="H6" i="22"/>
  <c r="H3" i="22"/>
  <c r="C33" i="14"/>
  <c r="G4" i="22"/>
  <c r="K4" i="22" s="1"/>
  <c r="G5" i="22"/>
  <c r="G6" i="22"/>
  <c r="K6" i="22" s="1"/>
  <c r="G7" i="22"/>
  <c r="G8" i="22"/>
  <c r="K8" i="22" s="1"/>
  <c r="G9" i="22"/>
  <c r="K9" i="22" s="1"/>
  <c r="G10" i="22"/>
  <c r="G11" i="22"/>
  <c r="G12" i="22"/>
  <c r="K12" i="22" s="1"/>
  <c r="G13" i="22"/>
  <c r="G14" i="22"/>
  <c r="G3" i="22"/>
  <c r="F4" i="22"/>
  <c r="J4" i="22" s="1"/>
  <c r="F5" i="22"/>
  <c r="J5" i="22" s="1"/>
  <c r="F7" i="22"/>
  <c r="F8" i="22"/>
  <c r="J8" i="22" s="1"/>
  <c r="F9" i="22"/>
  <c r="J9" i="22" s="1"/>
  <c r="F10" i="22"/>
  <c r="F11" i="22"/>
  <c r="F12" i="22"/>
  <c r="J12" i="22" s="1"/>
  <c r="F13" i="22"/>
  <c r="J13" i="22" s="1"/>
  <c r="F14" i="22"/>
  <c r="J14" i="22" s="1"/>
  <c r="F3" i="22"/>
  <c r="D4" i="22"/>
  <c r="D5" i="22"/>
  <c r="D6" i="22"/>
  <c r="D7" i="22"/>
  <c r="D8" i="22"/>
  <c r="D9" i="22"/>
  <c r="D10" i="22"/>
  <c r="D11" i="22"/>
  <c r="D12" i="22"/>
  <c r="D13" i="22"/>
  <c r="D14" i="22"/>
  <c r="D3" i="22"/>
  <c r="C4" i="22"/>
  <c r="C5" i="22"/>
  <c r="C6" i="22"/>
  <c r="C7" i="22"/>
  <c r="C8" i="22"/>
  <c r="C9" i="22"/>
  <c r="C10" i="22"/>
  <c r="C11" i="22"/>
  <c r="C12" i="22"/>
  <c r="C13" i="22"/>
  <c r="C14" i="22"/>
  <c r="C3" i="22"/>
  <c r="I21" i="14"/>
  <c r="I20" i="14"/>
  <c r="J4" i="14"/>
  <c r="E3" i="23" l="1"/>
  <c r="D3" i="23"/>
  <c r="D4" i="23"/>
  <c r="E4" i="23"/>
  <c r="D2" i="23"/>
  <c r="E2" i="23"/>
  <c r="K11" i="22"/>
  <c r="K7" i="22"/>
  <c r="K14" i="22"/>
  <c r="J10" i="22"/>
  <c r="K13" i="22"/>
  <c r="J11" i="22"/>
  <c r="J7" i="22"/>
  <c r="J6" i="22"/>
  <c r="K3" i="22"/>
  <c r="B18" i="21"/>
  <c r="B5" i="21"/>
  <c r="B6" i="21" s="1"/>
  <c r="C2" i="21" s="1"/>
  <c r="F2" i="21" s="1"/>
  <c r="I2" i="21" l="1"/>
  <c r="F3" i="2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E3" i="20" s="1"/>
  <c r="H2" i="20"/>
  <c r="C2" i="20"/>
  <c r="G12" i="20" s="1"/>
  <c r="B2" i="20"/>
  <c r="G5" i="20" l="1"/>
  <c r="G14" i="20"/>
  <c r="F3" i="20"/>
  <c r="G8" i="20"/>
  <c r="F10" i="20"/>
  <c r="G13" i="20"/>
  <c r="G6" i="20"/>
  <c r="F11" i="20"/>
  <c r="G10" i="20"/>
  <c r="H10" i="20" s="1"/>
  <c r="J10" i="20" s="1"/>
  <c r="G4" i="20"/>
  <c r="F7" i="20"/>
  <c r="G9" i="20"/>
  <c r="F6" i="20"/>
  <c r="F14" i="20"/>
  <c r="H14" i="20" s="1"/>
  <c r="J14" i="20" s="1"/>
  <c r="B17" i="21"/>
  <c r="B19" i="21" s="1"/>
  <c r="G3" i="20"/>
  <c r="F5" i="20"/>
  <c r="H5" i="20" s="1"/>
  <c r="J5" i="20" s="1"/>
  <c r="F9" i="20"/>
  <c r="F13" i="20"/>
  <c r="H13" i="20" s="1"/>
  <c r="J13" i="20" s="1"/>
  <c r="G7" i="20"/>
  <c r="G11" i="20"/>
  <c r="F4" i="20"/>
  <c r="H4" i="20" s="1"/>
  <c r="J4" i="20" s="1"/>
  <c r="F8" i="20"/>
  <c r="F12" i="20"/>
  <c r="H12" i="20" s="1"/>
  <c r="J12" i="20" s="1"/>
  <c r="H6" i="20" l="1"/>
  <c r="J6" i="20" s="1"/>
  <c r="H8" i="20"/>
  <c r="J8" i="20" s="1"/>
  <c r="H9" i="20"/>
  <c r="J9" i="20" s="1"/>
  <c r="H11" i="20"/>
  <c r="J11" i="20" s="1"/>
  <c r="H3" i="20"/>
  <c r="J3" i="20" s="1"/>
  <c r="H7" i="20"/>
  <c r="J7" i="20" s="1"/>
  <c r="N188" i="19"/>
  <c r="M188" i="19" s="1"/>
  <c r="L188" i="19"/>
  <c r="L4" i="19"/>
  <c r="N4" i="19" s="1"/>
  <c r="M4" i="19" s="1"/>
  <c r="C4" i="19"/>
  <c r="E4" i="19" s="1"/>
  <c r="H2" i="19"/>
  <c r="D2" i="19"/>
  <c r="L5" i="19" l="1"/>
  <c r="N5" i="19" s="1"/>
  <c r="M5" i="19" s="1"/>
  <c r="D4" i="19"/>
  <c r="C188" i="19"/>
  <c r="E188" i="19" s="1"/>
  <c r="D188" i="19" s="1"/>
  <c r="C189" i="19"/>
  <c r="E189" i="19" s="1"/>
  <c r="G188" i="19"/>
  <c r="I188" i="19" s="1"/>
  <c r="H188" i="19" s="1"/>
  <c r="G189" i="19" s="1"/>
  <c r="I189" i="19" s="1"/>
  <c r="G4" i="19"/>
  <c r="I4" i="19" s="1"/>
  <c r="L189" i="19"/>
  <c r="N189" i="19" s="1"/>
  <c r="M189" i="19" s="1"/>
  <c r="L190" i="19" l="1"/>
  <c r="N190" i="19" s="1"/>
  <c r="M190" i="19" s="1"/>
  <c r="L6" i="19"/>
  <c r="N6" i="19" s="1"/>
  <c r="H4" i="19"/>
  <c r="H189" i="19"/>
  <c r="D189" i="19"/>
  <c r="C5" i="19"/>
  <c r="E5" i="19" s="1"/>
  <c r="D5" i="19" s="1"/>
  <c r="B25" i="17"/>
  <c r="B26" i="17" s="1"/>
  <c r="C22" i="17" s="1"/>
  <c r="F22" i="17" s="1"/>
  <c r="B17" i="17"/>
  <c r="C13" i="17" s="1"/>
  <c r="F13" i="17" s="1"/>
  <c r="B16" i="17"/>
  <c r="B6" i="17"/>
  <c r="B7" i="17" s="1"/>
  <c r="C3" i="17" s="1"/>
  <c r="F3" i="17" s="1"/>
  <c r="C6" i="19" l="1"/>
  <c r="E6" i="19" s="1"/>
  <c r="D6" i="19" s="1"/>
  <c r="L191" i="19"/>
  <c r="N191" i="19" s="1"/>
  <c r="M191" i="19" s="1"/>
  <c r="G190" i="19"/>
  <c r="I190" i="19" s="1"/>
  <c r="H190" i="19" s="1"/>
  <c r="G5" i="19"/>
  <c r="I5" i="19" s="1"/>
  <c r="M6" i="19"/>
  <c r="D190" i="19"/>
  <c r="C190" i="19"/>
  <c r="E190" i="19" s="1"/>
  <c r="F4" i="17"/>
  <c r="I3" i="17"/>
  <c r="K3" i="17" s="1"/>
  <c r="F14" i="17"/>
  <c r="I13" i="17"/>
  <c r="K13" i="17" s="1"/>
  <c r="I22" i="17"/>
  <c r="K22" i="17" s="1"/>
  <c r="F23" i="17"/>
  <c r="A9" i="16"/>
  <c r="A6" i="16"/>
  <c r="G191" i="19" l="1"/>
  <c r="I191" i="19" s="1"/>
  <c r="H191" i="19" s="1"/>
  <c r="L192" i="19"/>
  <c r="N192" i="19" s="1"/>
  <c r="M192" i="19" s="1"/>
  <c r="C7" i="19"/>
  <c r="E7" i="19" s="1"/>
  <c r="L7" i="19"/>
  <c r="N7" i="19" s="1"/>
  <c r="C191" i="19"/>
  <c r="E191" i="19" s="1"/>
  <c r="D191" i="19" s="1"/>
  <c r="H5" i="19"/>
  <c r="A27" i="14"/>
  <c r="F25" i="14"/>
  <c r="F27" i="14" s="1"/>
  <c r="F29" i="14" s="1"/>
  <c r="B33" i="14" s="1"/>
  <c r="D21" i="14"/>
  <c r="E21" i="14" s="1"/>
  <c r="D20" i="14"/>
  <c r="E20" i="14" s="1"/>
  <c r="G13" i="14"/>
  <c r="E13" i="14"/>
  <c r="I13" i="14" s="1"/>
  <c r="B21" i="14" s="1"/>
  <c r="F21" i="14" s="1"/>
  <c r="G21" i="14" s="1"/>
  <c r="G12" i="14"/>
  <c r="C12" i="14"/>
  <c r="E12" i="14" s="1"/>
  <c r="I12" i="14" s="1"/>
  <c r="B20" i="14" s="1"/>
  <c r="F20" i="14" s="1"/>
  <c r="G20" i="14" s="1"/>
  <c r="L193" i="19" l="1"/>
  <c r="N193" i="19" s="1"/>
  <c r="M193" i="19" s="1"/>
  <c r="C192" i="19"/>
  <c r="E192" i="19" s="1"/>
  <c r="D192" i="19" s="1"/>
  <c r="G192" i="19"/>
  <c r="I192" i="19" s="1"/>
  <c r="H192" i="19" s="1"/>
  <c r="M7" i="19"/>
  <c r="G6" i="19"/>
  <c r="I6" i="19" s="1"/>
  <c r="D7" i="19"/>
  <c r="H21" i="14"/>
  <c r="H20" i="14"/>
  <c r="C193" i="19" l="1"/>
  <c r="E193" i="19" s="1"/>
  <c r="D193" i="19" s="1"/>
  <c r="G193" i="19"/>
  <c r="I193" i="19" s="1"/>
  <c r="H193" i="19" s="1"/>
  <c r="L194" i="19"/>
  <c r="N194" i="19" s="1"/>
  <c r="M194" i="19"/>
  <c r="H6" i="19"/>
  <c r="C8" i="19"/>
  <c r="E8" i="19" s="1"/>
  <c r="L8" i="19"/>
  <c r="N8" i="19" s="1"/>
  <c r="G194" i="19" l="1"/>
  <c r="I194" i="19" s="1"/>
  <c r="H194" i="19" s="1"/>
  <c r="C194" i="19"/>
  <c r="E194" i="19" s="1"/>
  <c r="D194" i="19" s="1"/>
  <c r="D8" i="19"/>
  <c r="L195" i="19"/>
  <c r="N195" i="19" s="1"/>
  <c r="M195" i="19" s="1"/>
  <c r="M8" i="19"/>
  <c r="G7" i="19"/>
  <c r="I7" i="19" s="1"/>
  <c r="C195" i="19" l="1"/>
  <c r="E195" i="19" s="1"/>
  <c r="D195" i="19" s="1"/>
  <c r="L196" i="19"/>
  <c r="N196" i="19" s="1"/>
  <c r="M196" i="19" s="1"/>
  <c r="G195" i="19"/>
  <c r="I195" i="19" s="1"/>
  <c r="H195" i="19" s="1"/>
  <c r="L9" i="19"/>
  <c r="N9" i="19" s="1"/>
  <c r="H7" i="19"/>
  <c r="D9" i="19"/>
  <c r="C9" i="19"/>
  <c r="E9" i="19" s="1"/>
  <c r="C24" i="8"/>
  <c r="D24" i="8" s="1"/>
  <c r="C23" i="8"/>
  <c r="D23" i="8" s="1"/>
  <c r="G22" i="8"/>
  <c r="C22" i="8"/>
  <c r="D22" i="8" s="1"/>
  <c r="D21" i="8"/>
  <c r="C21" i="8"/>
  <c r="C20" i="8"/>
  <c r="D20" i="8" s="1"/>
  <c r="D19" i="8"/>
  <c r="C19" i="8"/>
  <c r="I18" i="8"/>
  <c r="G18" i="8"/>
  <c r="D18" i="8"/>
  <c r="C18" i="8"/>
  <c r="I17" i="8"/>
  <c r="G17" i="8"/>
  <c r="D17" i="8"/>
  <c r="C17" i="8"/>
  <c r="C16" i="8"/>
  <c r="D16" i="8" s="1"/>
  <c r="D15" i="8"/>
  <c r="C15" i="8"/>
  <c r="G14" i="8"/>
  <c r="C14" i="8"/>
  <c r="D14" i="8" s="1"/>
  <c r="C13" i="8"/>
  <c r="D13" i="8" s="1"/>
  <c r="G12" i="8"/>
  <c r="D12" i="8"/>
  <c r="C12" i="8"/>
  <c r="I11" i="8"/>
  <c r="G11" i="8"/>
  <c r="D11" i="8"/>
  <c r="C11" i="8"/>
  <c r="C10" i="8"/>
  <c r="D10" i="8" s="1"/>
  <c r="I9" i="8"/>
  <c r="G9" i="8"/>
  <c r="C9" i="8"/>
  <c r="D9" i="8" s="1"/>
  <c r="I8" i="8"/>
  <c r="I25" i="8" s="1"/>
  <c r="G8" i="8"/>
  <c r="C8" i="8"/>
  <c r="D8" i="8" s="1"/>
  <c r="D7" i="8"/>
  <c r="C7" i="8"/>
  <c r="G6" i="8"/>
  <c r="C6" i="8"/>
  <c r="D6" i="8" s="1"/>
  <c r="I5" i="8"/>
  <c r="C5" i="8"/>
  <c r="D5" i="8" s="1"/>
  <c r="D4" i="8"/>
  <c r="C4" i="8"/>
  <c r="I3" i="8"/>
  <c r="G3" i="8"/>
  <c r="G25" i="8" s="1"/>
  <c r="D3" i="8"/>
  <c r="C3" i="8"/>
  <c r="G2" i="8"/>
  <c r="C2" i="8"/>
  <c r="D2" i="8" s="1"/>
  <c r="G196" i="19" l="1"/>
  <c r="I196" i="19" s="1"/>
  <c r="H196" i="19" s="1"/>
  <c r="L197" i="19"/>
  <c r="N197" i="19" s="1"/>
  <c r="M197" i="19" s="1"/>
  <c r="C196" i="19"/>
  <c r="E196" i="19" s="1"/>
  <c r="D196" i="19" s="1"/>
  <c r="C10" i="19"/>
  <c r="E10" i="19" s="1"/>
  <c r="D10" i="19" s="1"/>
  <c r="G8" i="19"/>
  <c r="I8" i="19" s="1"/>
  <c r="M9" i="19"/>
  <c r="E88" i="7"/>
  <c r="D88" i="7"/>
  <c r="C88" i="7"/>
  <c r="E87" i="7"/>
  <c r="C87" i="7"/>
  <c r="D87" i="7" s="1"/>
  <c r="E86" i="7"/>
  <c r="D86" i="7"/>
  <c r="C86" i="7"/>
  <c r="E85" i="7"/>
  <c r="C85" i="7"/>
  <c r="D85" i="7" s="1"/>
  <c r="E84" i="7"/>
  <c r="D84" i="7"/>
  <c r="C84" i="7"/>
  <c r="E83" i="7"/>
  <c r="C83" i="7"/>
  <c r="D83" i="7" s="1"/>
  <c r="E82" i="7"/>
  <c r="D82" i="7"/>
  <c r="C82" i="7"/>
  <c r="E81" i="7"/>
  <c r="C81" i="7"/>
  <c r="D81" i="7" s="1"/>
  <c r="E80" i="7"/>
  <c r="D80" i="7"/>
  <c r="C80" i="7"/>
  <c r="E79" i="7"/>
  <c r="C79" i="7"/>
  <c r="D79" i="7" s="1"/>
  <c r="E78" i="7"/>
  <c r="D78" i="7"/>
  <c r="C78" i="7"/>
  <c r="E77" i="7"/>
  <c r="C77" i="7"/>
  <c r="D77" i="7" s="1"/>
  <c r="E76" i="7"/>
  <c r="D76" i="7"/>
  <c r="C76" i="7"/>
  <c r="E75" i="7"/>
  <c r="C75" i="7"/>
  <c r="D75" i="7" s="1"/>
  <c r="E74" i="7"/>
  <c r="D74" i="7"/>
  <c r="C74" i="7"/>
  <c r="E73" i="7"/>
  <c r="C73" i="7"/>
  <c r="D73" i="7" s="1"/>
  <c r="E72" i="7"/>
  <c r="D72" i="7"/>
  <c r="C72" i="7"/>
  <c r="E71" i="7"/>
  <c r="C71" i="7"/>
  <c r="D71" i="7" s="1"/>
  <c r="E70" i="7"/>
  <c r="D70" i="7"/>
  <c r="C70" i="7"/>
  <c r="E69" i="7"/>
  <c r="C69" i="7"/>
  <c r="D69" i="7" s="1"/>
  <c r="E68" i="7"/>
  <c r="D68" i="7"/>
  <c r="C68" i="7"/>
  <c r="E67" i="7"/>
  <c r="C67" i="7"/>
  <c r="D67" i="7" s="1"/>
  <c r="E66" i="7"/>
  <c r="D66" i="7"/>
  <c r="C66" i="7"/>
  <c r="E65" i="7"/>
  <c r="C65" i="7"/>
  <c r="D65" i="7" s="1"/>
  <c r="E64" i="7"/>
  <c r="D64" i="7"/>
  <c r="C64" i="7"/>
  <c r="E63" i="7"/>
  <c r="C63" i="7"/>
  <c r="D63" i="7" s="1"/>
  <c r="E62" i="7"/>
  <c r="D62" i="7"/>
  <c r="C62" i="7"/>
  <c r="E61" i="7"/>
  <c r="C61" i="7"/>
  <c r="D61" i="7" s="1"/>
  <c r="E60" i="7"/>
  <c r="D60" i="7"/>
  <c r="C60" i="7"/>
  <c r="E59" i="7"/>
  <c r="C59" i="7"/>
  <c r="D59" i="7" s="1"/>
  <c r="E58" i="7"/>
  <c r="D58" i="7"/>
  <c r="C58" i="7"/>
  <c r="E57" i="7"/>
  <c r="C57" i="7"/>
  <c r="D57" i="7" s="1"/>
  <c r="E56" i="7"/>
  <c r="D56" i="7"/>
  <c r="C56" i="7"/>
  <c r="E55" i="7"/>
  <c r="C55" i="7"/>
  <c r="D55" i="7" s="1"/>
  <c r="E54" i="7"/>
  <c r="D54" i="7"/>
  <c r="C54" i="7"/>
  <c r="E53" i="7"/>
  <c r="C53" i="7"/>
  <c r="D53" i="7" s="1"/>
  <c r="E52" i="7"/>
  <c r="D52" i="7"/>
  <c r="C52" i="7"/>
  <c r="E51" i="7"/>
  <c r="C51" i="7"/>
  <c r="D51" i="7" s="1"/>
  <c r="E50" i="7"/>
  <c r="D50" i="7"/>
  <c r="C50" i="7"/>
  <c r="E49" i="7"/>
  <c r="C49" i="7"/>
  <c r="D49" i="7" s="1"/>
  <c r="E48" i="7"/>
  <c r="D48" i="7"/>
  <c r="C48" i="7"/>
  <c r="E47" i="7"/>
  <c r="C47" i="7"/>
  <c r="D47" i="7" s="1"/>
  <c r="E46" i="7"/>
  <c r="D46" i="7"/>
  <c r="C46" i="7"/>
  <c r="E45" i="7"/>
  <c r="C45" i="7"/>
  <c r="D45" i="7" s="1"/>
  <c r="E44" i="7"/>
  <c r="D44" i="7"/>
  <c r="C44" i="7"/>
  <c r="E43" i="7"/>
  <c r="C43" i="7"/>
  <c r="D43" i="7" s="1"/>
  <c r="E42" i="7"/>
  <c r="D42" i="7"/>
  <c r="C42" i="7"/>
  <c r="E41" i="7"/>
  <c r="C41" i="7"/>
  <c r="D41" i="7" s="1"/>
  <c r="E40" i="7"/>
  <c r="D40" i="7"/>
  <c r="C40" i="7"/>
  <c r="E39" i="7"/>
  <c r="C39" i="7"/>
  <c r="D39" i="7" s="1"/>
  <c r="E38" i="7"/>
  <c r="D38" i="7"/>
  <c r="C38" i="7"/>
  <c r="E37" i="7"/>
  <c r="C37" i="7"/>
  <c r="D37" i="7" s="1"/>
  <c r="E36" i="7"/>
  <c r="D36" i="7"/>
  <c r="C36" i="7"/>
  <c r="E35" i="7"/>
  <c r="C35" i="7"/>
  <c r="D35" i="7" s="1"/>
  <c r="E34" i="7"/>
  <c r="D34" i="7"/>
  <c r="C34" i="7"/>
  <c r="E33" i="7"/>
  <c r="C33" i="7"/>
  <c r="D33" i="7" s="1"/>
  <c r="E32" i="7"/>
  <c r="D32" i="7"/>
  <c r="C32" i="7"/>
  <c r="E31" i="7"/>
  <c r="C31" i="7"/>
  <c r="D31" i="7" s="1"/>
  <c r="E30" i="7"/>
  <c r="D30" i="7"/>
  <c r="C30" i="7"/>
  <c r="E29" i="7"/>
  <c r="C29" i="7"/>
  <c r="D29" i="7" s="1"/>
  <c r="E28" i="7"/>
  <c r="D28" i="7"/>
  <c r="C28" i="7"/>
  <c r="E27" i="7"/>
  <c r="C27" i="7"/>
  <c r="D27" i="7" s="1"/>
  <c r="E26" i="7"/>
  <c r="D26" i="7"/>
  <c r="C26" i="7"/>
  <c r="E25" i="7"/>
  <c r="C25" i="7"/>
  <c r="D25" i="7" s="1"/>
  <c r="E24" i="7"/>
  <c r="D24" i="7"/>
  <c r="C24" i="7"/>
  <c r="E23" i="7"/>
  <c r="C23" i="7"/>
  <c r="D23" i="7" s="1"/>
  <c r="E22" i="7"/>
  <c r="D22" i="7"/>
  <c r="C22" i="7"/>
  <c r="E21" i="7"/>
  <c r="C21" i="7"/>
  <c r="D21" i="7" s="1"/>
  <c r="E20" i="7"/>
  <c r="D20" i="7"/>
  <c r="C20" i="7"/>
  <c r="E19" i="7"/>
  <c r="C19" i="7"/>
  <c r="D19" i="7" s="1"/>
  <c r="E18" i="7"/>
  <c r="D18" i="7"/>
  <c r="C18" i="7"/>
  <c r="E17" i="7"/>
  <c r="C17" i="7"/>
  <c r="D17" i="7" s="1"/>
  <c r="E16" i="7"/>
  <c r="D16" i="7"/>
  <c r="C16" i="7"/>
  <c r="C8" i="7"/>
  <c r="E8" i="7" s="1"/>
  <c r="C7" i="7"/>
  <c r="E7" i="7" s="1"/>
  <c r="I4" i="7"/>
  <c r="I5" i="7" s="1"/>
  <c r="C11" i="7" s="1"/>
  <c r="E4" i="7"/>
  <c r="E5" i="7" s="1"/>
  <c r="C11" i="19" l="1"/>
  <c r="E11" i="19" s="1"/>
  <c r="D11" i="19" s="1"/>
  <c r="C197" i="19"/>
  <c r="E197" i="19" s="1"/>
  <c r="D197" i="19" s="1"/>
  <c r="L198" i="19"/>
  <c r="N198" i="19" s="1"/>
  <c r="M198" i="19"/>
  <c r="G197" i="19"/>
  <c r="I197" i="19" s="1"/>
  <c r="H197" i="19" s="1"/>
  <c r="H8" i="19"/>
  <c r="L10" i="19"/>
  <c r="N10" i="19" s="1"/>
  <c r="M10" i="19" s="1"/>
  <c r="C9" i="7"/>
  <c r="C10" i="7"/>
  <c r="L11" i="19" l="1"/>
  <c r="N11" i="19" s="1"/>
  <c r="M11" i="19" s="1"/>
  <c r="C198" i="19"/>
  <c r="E198" i="19" s="1"/>
  <c r="D198" i="19" s="1"/>
  <c r="G198" i="19"/>
  <c r="I198" i="19" s="1"/>
  <c r="H198" i="19" s="1"/>
  <c r="C12" i="19"/>
  <c r="E12" i="19" s="1"/>
  <c r="D12" i="19" s="1"/>
  <c r="G9" i="19"/>
  <c r="I9" i="19" s="1"/>
  <c r="H9" i="19" s="1"/>
  <c r="L199" i="19"/>
  <c r="N199" i="19" s="1"/>
  <c r="M199" i="19" s="1"/>
  <c r="C75" i="6"/>
  <c r="I74" i="6"/>
  <c r="E74" i="6"/>
  <c r="C74" i="6"/>
  <c r="D74" i="6" s="1"/>
  <c r="I73" i="6"/>
  <c r="E73" i="6"/>
  <c r="D73" i="6"/>
  <c r="C73" i="6"/>
  <c r="C72" i="6"/>
  <c r="E72" i="6" s="1"/>
  <c r="C71" i="6"/>
  <c r="I70" i="6"/>
  <c r="E70" i="6"/>
  <c r="C70" i="6"/>
  <c r="D70" i="6" s="1"/>
  <c r="I69" i="6"/>
  <c r="E69" i="6"/>
  <c r="D69" i="6"/>
  <c r="C69" i="6"/>
  <c r="C68" i="6"/>
  <c r="E68" i="6" s="1"/>
  <c r="C67" i="6"/>
  <c r="I66" i="6"/>
  <c r="E66" i="6"/>
  <c r="C66" i="6"/>
  <c r="D66" i="6" s="1"/>
  <c r="I65" i="6"/>
  <c r="E65" i="6"/>
  <c r="D65" i="6"/>
  <c r="C65" i="6"/>
  <c r="C64" i="6"/>
  <c r="E64" i="6" s="1"/>
  <c r="C63" i="6"/>
  <c r="I62" i="6"/>
  <c r="E62" i="6"/>
  <c r="C62" i="6"/>
  <c r="D62" i="6" s="1"/>
  <c r="I61" i="6"/>
  <c r="E61" i="6"/>
  <c r="D61" i="6"/>
  <c r="C61" i="6"/>
  <c r="C60" i="6"/>
  <c r="E60" i="6" s="1"/>
  <c r="C59" i="6"/>
  <c r="I58" i="6"/>
  <c r="E58" i="6"/>
  <c r="C58" i="6"/>
  <c r="D58" i="6" s="1"/>
  <c r="I57" i="6"/>
  <c r="E57" i="6"/>
  <c r="D57" i="6"/>
  <c r="C57" i="6"/>
  <c r="C56" i="6"/>
  <c r="E56" i="6" s="1"/>
  <c r="C55" i="6"/>
  <c r="I54" i="6"/>
  <c r="E54" i="6"/>
  <c r="C54" i="6"/>
  <c r="D54" i="6" s="1"/>
  <c r="I53" i="6"/>
  <c r="E53" i="6"/>
  <c r="D53" i="6"/>
  <c r="C53" i="6"/>
  <c r="C52" i="6"/>
  <c r="E52" i="6" s="1"/>
  <c r="C51" i="6"/>
  <c r="I50" i="6"/>
  <c r="E50" i="6"/>
  <c r="C50" i="6"/>
  <c r="D50" i="6" s="1"/>
  <c r="I49" i="6"/>
  <c r="E49" i="6"/>
  <c r="D49" i="6"/>
  <c r="C49" i="6"/>
  <c r="C48" i="6"/>
  <c r="E48" i="6" s="1"/>
  <c r="C47" i="6"/>
  <c r="I46" i="6"/>
  <c r="E46" i="6"/>
  <c r="C46" i="6"/>
  <c r="D46" i="6" s="1"/>
  <c r="I45" i="6"/>
  <c r="E45" i="6"/>
  <c r="D45" i="6"/>
  <c r="C45" i="6"/>
  <c r="C44" i="6"/>
  <c r="E44" i="6" s="1"/>
  <c r="C43" i="6"/>
  <c r="I42" i="6"/>
  <c r="E42" i="6"/>
  <c r="C42" i="6"/>
  <c r="D42" i="6" s="1"/>
  <c r="I41" i="6"/>
  <c r="E41" i="6"/>
  <c r="D41" i="6"/>
  <c r="C41" i="6"/>
  <c r="C40" i="6"/>
  <c r="E40" i="6" s="1"/>
  <c r="C39" i="6"/>
  <c r="I38" i="6"/>
  <c r="E38" i="6"/>
  <c r="C38" i="6"/>
  <c r="D38" i="6" s="1"/>
  <c r="I37" i="6"/>
  <c r="E37" i="6"/>
  <c r="D37" i="6"/>
  <c r="C37" i="6"/>
  <c r="C36" i="6"/>
  <c r="E36" i="6" s="1"/>
  <c r="C35" i="6"/>
  <c r="I34" i="6"/>
  <c r="E34" i="6"/>
  <c r="C34" i="6"/>
  <c r="D34" i="6" s="1"/>
  <c r="I33" i="6"/>
  <c r="E33" i="6"/>
  <c r="D33" i="6"/>
  <c r="C33" i="6"/>
  <c r="C32" i="6"/>
  <c r="E32" i="6" s="1"/>
  <c r="C31" i="6"/>
  <c r="I30" i="6"/>
  <c r="E30" i="6"/>
  <c r="C30" i="6"/>
  <c r="D30" i="6" s="1"/>
  <c r="I29" i="6"/>
  <c r="E29" i="6"/>
  <c r="D29" i="6"/>
  <c r="C29" i="6"/>
  <c r="C28" i="6"/>
  <c r="E28" i="6" s="1"/>
  <c r="C27" i="6"/>
  <c r="I26" i="6"/>
  <c r="E26" i="6"/>
  <c r="C26" i="6"/>
  <c r="D26" i="6" s="1"/>
  <c r="I25" i="6"/>
  <c r="E25" i="6"/>
  <c r="D25" i="6"/>
  <c r="C25" i="6"/>
  <c r="C24" i="6"/>
  <c r="E24" i="6" s="1"/>
  <c r="C23" i="6"/>
  <c r="I22" i="6"/>
  <c r="E22" i="6"/>
  <c r="C22" i="6"/>
  <c r="D22" i="6" s="1"/>
  <c r="I21" i="6"/>
  <c r="E21" i="6"/>
  <c r="D21" i="6"/>
  <c r="C21" i="6"/>
  <c r="C20" i="6"/>
  <c r="E20" i="6" s="1"/>
  <c r="E19" i="6"/>
  <c r="D19" i="6"/>
  <c r="C19" i="6"/>
  <c r="C18" i="6"/>
  <c r="D18" i="6" s="1"/>
  <c r="C17" i="6"/>
  <c r="E17" i="6" s="1"/>
  <c r="E16" i="6"/>
  <c r="C16" i="6"/>
  <c r="D16" i="6" s="1"/>
  <c r="E15" i="6"/>
  <c r="D15" i="6"/>
  <c r="G15" i="6" s="1"/>
  <c r="C15" i="6"/>
  <c r="C14" i="6"/>
  <c r="E14" i="6" s="1"/>
  <c r="C13" i="6"/>
  <c r="E13" i="6" s="1"/>
  <c r="E12" i="6"/>
  <c r="C12" i="6"/>
  <c r="D12" i="6" s="1"/>
  <c r="E11" i="6"/>
  <c r="D11" i="6"/>
  <c r="G11" i="6" s="1"/>
  <c r="C11" i="6"/>
  <c r="C10" i="6"/>
  <c r="D10" i="6" s="1"/>
  <c r="C9" i="6"/>
  <c r="E9" i="6" s="1"/>
  <c r="E8" i="6"/>
  <c r="C8" i="6"/>
  <c r="D8" i="6" s="1"/>
  <c r="E7" i="6"/>
  <c r="D7" i="6"/>
  <c r="G7" i="6" s="1"/>
  <c r="C7" i="6"/>
  <c r="C6" i="6"/>
  <c r="D6" i="6" s="1"/>
  <c r="C5" i="6"/>
  <c r="E5" i="6" s="1"/>
  <c r="E4" i="6"/>
  <c r="C4" i="6"/>
  <c r="D4" i="6" s="1"/>
  <c r="E3" i="6"/>
  <c r="D3" i="6"/>
  <c r="G3" i="6" s="1"/>
  <c r="C3" i="6"/>
  <c r="C13" i="19" l="1"/>
  <c r="E13" i="19" s="1"/>
  <c r="D13" i="19" s="1"/>
  <c r="G199" i="19"/>
  <c r="I199" i="19" s="1"/>
  <c r="H199" i="19" s="1"/>
  <c r="L200" i="19"/>
  <c r="N200" i="19" s="1"/>
  <c r="M200" i="19" s="1"/>
  <c r="C199" i="19"/>
  <c r="E199" i="19" s="1"/>
  <c r="D199" i="19" s="1"/>
  <c r="G10" i="19"/>
  <c r="I10" i="19" s="1"/>
  <c r="H10" i="19" s="1"/>
  <c r="L12" i="19"/>
  <c r="N12" i="19" s="1"/>
  <c r="M12" i="19" s="1"/>
  <c r="H12" i="6"/>
  <c r="F12" i="6"/>
  <c r="G12" i="6"/>
  <c r="I12" i="6"/>
  <c r="F6" i="6"/>
  <c r="G6" i="6"/>
  <c r="I6" i="6"/>
  <c r="H6" i="6"/>
  <c r="H4" i="6"/>
  <c r="F4" i="6"/>
  <c r="I4" i="6"/>
  <c r="G4" i="6"/>
  <c r="F18" i="6"/>
  <c r="H18" i="6"/>
  <c r="I18" i="6"/>
  <c r="G18" i="6"/>
  <c r="F10" i="6"/>
  <c r="H10" i="6"/>
  <c r="I10" i="6"/>
  <c r="G10" i="6"/>
  <c r="H8" i="6"/>
  <c r="I8" i="6"/>
  <c r="G8" i="6"/>
  <c r="F8" i="6"/>
  <c r="H16" i="6"/>
  <c r="I16" i="6"/>
  <c r="G16" i="6"/>
  <c r="F16" i="6"/>
  <c r="H11" i="6"/>
  <c r="I19" i="6"/>
  <c r="H19" i="6"/>
  <c r="I7" i="6"/>
  <c r="D14" i="6"/>
  <c r="I15" i="6"/>
  <c r="D20" i="6"/>
  <c r="H22" i="6"/>
  <c r="G22" i="6"/>
  <c r="G25" i="6"/>
  <c r="F25" i="6"/>
  <c r="H26" i="6"/>
  <c r="G26" i="6"/>
  <c r="D28" i="6"/>
  <c r="H30" i="6"/>
  <c r="G30" i="6"/>
  <c r="G33" i="6"/>
  <c r="F33" i="6"/>
  <c r="E35" i="6"/>
  <c r="D35" i="6"/>
  <c r="D36" i="6"/>
  <c r="E39" i="6"/>
  <c r="D39" i="6"/>
  <c r="G41" i="6"/>
  <c r="F41" i="6"/>
  <c r="H42" i="6"/>
  <c r="G42" i="6"/>
  <c r="G45" i="6"/>
  <c r="F45" i="6"/>
  <c r="H46" i="6"/>
  <c r="G46" i="6"/>
  <c r="D48" i="6"/>
  <c r="H50" i="6"/>
  <c r="G50" i="6"/>
  <c r="G53" i="6"/>
  <c r="F53" i="6"/>
  <c r="E55" i="6"/>
  <c r="D55" i="6"/>
  <c r="G57" i="6"/>
  <c r="F57" i="6"/>
  <c r="E59" i="6"/>
  <c r="D59" i="6"/>
  <c r="D60" i="6"/>
  <c r="H62" i="6"/>
  <c r="G62" i="6"/>
  <c r="D64" i="6"/>
  <c r="H66" i="6"/>
  <c r="G66" i="6"/>
  <c r="G69" i="6"/>
  <c r="F69" i="6"/>
  <c r="E71" i="6"/>
  <c r="D71" i="6"/>
  <c r="G73" i="6"/>
  <c r="F73" i="6"/>
  <c r="E75" i="6"/>
  <c r="D75" i="6"/>
  <c r="D5" i="6"/>
  <c r="E6" i="6"/>
  <c r="F7" i="6"/>
  <c r="D9" i="6"/>
  <c r="E10" i="6"/>
  <c r="F11" i="6"/>
  <c r="D13" i="6"/>
  <c r="F15" i="6"/>
  <c r="D17" i="6"/>
  <c r="E18" i="6"/>
  <c r="F19" i="6"/>
  <c r="H3" i="6"/>
  <c r="H7" i="6"/>
  <c r="H15" i="6"/>
  <c r="I3" i="6"/>
  <c r="I11" i="6"/>
  <c r="G21" i="6"/>
  <c r="F21" i="6"/>
  <c r="E23" i="6"/>
  <c r="D23" i="6"/>
  <c r="D24" i="6"/>
  <c r="E27" i="6"/>
  <c r="D27" i="6"/>
  <c r="G29" i="6"/>
  <c r="F29" i="6"/>
  <c r="E31" i="6"/>
  <c r="D31" i="6"/>
  <c r="D32" i="6"/>
  <c r="H34" i="6"/>
  <c r="G34" i="6"/>
  <c r="G37" i="6"/>
  <c r="F37" i="6"/>
  <c r="H38" i="6"/>
  <c r="G38" i="6"/>
  <c r="D40" i="6"/>
  <c r="E43" i="6"/>
  <c r="D43" i="6"/>
  <c r="D44" i="6"/>
  <c r="E47" i="6"/>
  <c r="D47" i="6"/>
  <c r="G49" i="6"/>
  <c r="F49" i="6"/>
  <c r="E51" i="6"/>
  <c r="D51" i="6"/>
  <c r="D52" i="6"/>
  <c r="H54" i="6"/>
  <c r="G54" i="6"/>
  <c r="D56" i="6"/>
  <c r="H58" i="6"/>
  <c r="G58" i="6"/>
  <c r="G61" i="6"/>
  <c r="F61" i="6"/>
  <c r="E63" i="6"/>
  <c r="D63" i="6"/>
  <c r="G65" i="6"/>
  <c r="F65" i="6"/>
  <c r="E67" i="6"/>
  <c r="D67" i="6"/>
  <c r="D68" i="6"/>
  <c r="H70" i="6"/>
  <c r="G70" i="6"/>
  <c r="D72" i="6"/>
  <c r="H74" i="6"/>
  <c r="G74" i="6"/>
  <c r="F3" i="6"/>
  <c r="G19" i="6"/>
  <c r="H21" i="6"/>
  <c r="F22" i="6"/>
  <c r="H25" i="6"/>
  <c r="F26" i="6"/>
  <c r="H29" i="6"/>
  <c r="F30" i="6"/>
  <c r="H33" i="6"/>
  <c r="F34" i="6"/>
  <c r="H37" i="6"/>
  <c r="F38" i="6"/>
  <c r="H41" i="6"/>
  <c r="F42" i="6"/>
  <c r="H45" i="6"/>
  <c r="F46" i="6"/>
  <c r="H49" i="6"/>
  <c r="F50" i="6"/>
  <c r="H53" i="6"/>
  <c r="F54" i="6"/>
  <c r="H57" i="6"/>
  <c r="F58" i="6"/>
  <c r="H61" i="6"/>
  <c r="F62" i="6"/>
  <c r="H65" i="6"/>
  <c r="F66" i="6"/>
  <c r="H69" i="6"/>
  <c r="F70" i="6"/>
  <c r="H73" i="6"/>
  <c r="F74" i="6"/>
  <c r="C200" i="19" l="1"/>
  <c r="E200" i="19" s="1"/>
  <c r="D200" i="19" s="1"/>
  <c r="L201" i="19"/>
  <c r="N201" i="19" s="1"/>
  <c r="M201" i="19" s="1"/>
  <c r="L13" i="19"/>
  <c r="N13" i="19" s="1"/>
  <c r="M13" i="19"/>
  <c r="G200" i="19"/>
  <c r="I200" i="19" s="1"/>
  <c r="H200" i="19" s="1"/>
  <c r="G11" i="19"/>
  <c r="I11" i="19" s="1"/>
  <c r="H11" i="19" s="1"/>
  <c r="C14" i="19"/>
  <c r="E14" i="19" s="1"/>
  <c r="D14" i="19" s="1"/>
  <c r="F56" i="6"/>
  <c r="I56" i="6"/>
  <c r="H56" i="6"/>
  <c r="G56" i="6"/>
  <c r="I51" i="6"/>
  <c r="H51" i="6"/>
  <c r="G51" i="6"/>
  <c r="F51" i="6"/>
  <c r="I47" i="6"/>
  <c r="H47" i="6"/>
  <c r="G47" i="6"/>
  <c r="F47" i="6"/>
  <c r="F32" i="6"/>
  <c r="I32" i="6"/>
  <c r="H32" i="6"/>
  <c r="G32" i="6"/>
  <c r="I75" i="6"/>
  <c r="H75" i="6"/>
  <c r="G75" i="6"/>
  <c r="F75" i="6"/>
  <c r="F48" i="6"/>
  <c r="I48" i="6"/>
  <c r="H48" i="6"/>
  <c r="G48" i="6"/>
  <c r="I35" i="6"/>
  <c r="H35" i="6"/>
  <c r="G35" i="6"/>
  <c r="F35" i="6"/>
  <c r="F68" i="6"/>
  <c r="I68" i="6"/>
  <c r="H68" i="6"/>
  <c r="G68" i="6"/>
  <c r="F40" i="6"/>
  <c r="I40" i="6"/>
  <c r="H40" i="6"/>
  <c r="G40" i="6"/>
  <c r="I31" i="6"/>
  <c r="H31" i="6"/>
  <c r="G31" i="6"/>
  <c r="F31" i="6"/>
  <c r="F60" i="6"/>
  <c r="I60" i="6"/>
  <c r="H60" i="6"/>
  <c r="G60" i="6"/>
  <c r="F20" i="6"/>
  <c r="I20" i="6"/>
  <c r="H20" i="6"/>
  <c r="G20" i="6"/>
  <c r="F72" i="6"/>
  <c r="I72" i="6"/>
  <c r="H72" i="6"/>
  <c r="G72" i="6"/>
  <c r="I67" i="6"/>
  <c r="H67" i="6"/>
  <c r="G67" i="6"/>
  <c r="F67" i="6"/>
  <c r="I63" i="6"/>
  <c r="H63" i="6"/>
  <c r="G63" i="6"/>
  <c r="F63" i="6"/>
  <c r="F44" i="6"/>
  <c r="I44" i="6"/>
  <c r="H44" i="6"/>
  <c r="G44" i="6"/>
  <c r="F64" i="6"/>
  <c r="I64" i="6"/>
  <c r="H64" i="6"/>
  <c r="G64" i="6"/>
  <c r="I59" i="6"/>
  <c r="H59" i="6"/>
  <c r="G59" i="6"/>
  <c r="F59" i="6"/>
  <c r="I55" i="6"/>
  <c r="H55" i="6"/>
  <c r="G55" i="6"/>
  <c r="F55" i="6"/>
  <c r="F28" i="6"/>
  <c r="I28" i="6"/>
  <c r="H28" i="6"/>
  <c r="G28" i="6"/>
  <c r="I23" i="6"/>
  <c r="H23" i="6"/>
  <c r="G23" i="6"/>
  <c r="F23" i="6"/>
  <c r="I9" i="6"/>
  <c r="F9" i="6"/>
  <c r="H9" i="6"/>
  <c r="G9" i="6"/>
  <c r="I71" i="6"/>
  <c r="H71" i="6"/>
  <c r="G71" i="6"/>
  <c r="F71" i="6"/>
  <c r="I27" i="6"/>
  <c r="H27" i="6"/>
  <c r="G27" i="6"/>
  <c r="F27" i="6"/>
  <c r="I13" i="6"/>
  <c r="G13" i="6"/>
  <c r="H13" i="6"/>
  <c r="F13" i="6"/>
  <c r="I39" i="6"/>
  <c r="H39" i="6"/>
  <c r="G39" i="6"/>
  <c r="F39" i="6"/>
  <c r="F52" i="6"/>
  <c r="I52" i="6"/>
  <c r="H52" i="6"/>
  <c r="G52" i="6"/>
  <c r="I43" i="6"/>
  <c r="H43" i="6"/>
  <c r="G43" i="6"/>
  <c r="F43" i="6"/>
  <c r="F24" i="6"/>
  <c r="I24" i="6"/>
  <c r="H24" i="6"/>
  <c r="G24" i="6"/>
  <c r="I17" i="6"/>
  <c r="F17" i="6"/>
  <c r="H17" i="6"/>
  <c r="G17" i="6"/>
  <c r="I5" i="6"/>
  <c r="F5" i="6"/>
  <c r="H5" i="6"/>
  <c r="G5" i="6"/>
  <c r="F36" i="6"/>
  <c r="I36" i="6"/>
  <c r="H36" i="6"/>
  <c r="G36" i="6"/>
  <c r="F14" i="6"/>
  <c r="G14" i="6"/>
  <c r="I14" i="6"/>
  <c r="H14" i="6"/>
  <c r="C15" i="19" l="1"/>
  <c r="E15" i="19" s="1"/>
  <c r="D15" i="19" s="1"/>
  <c r="L202" i="19"/>
  <c r="N202" i="19" s="1"/>
  <c r="M202" i="19" s="1"/>
  <c r="G12" i="19"/>
  <c r="I12" i="19" s="1"/>
  <c r="H12" i="19" s="1"/>
  <c r="H201" i="19"/>
  <c r="G201" i="19"/>
  <c r="I201" i="19" s="1"/>
  <c r="C201" i="19"/>
  <c r="E201" i="19" s="1"/>
  <c r="D201" i="19" s="1"/>
  <c r="L14" i="19"/>
  <c r="N14" i="19" s="1"/>
  <c r="M14" i="19" s="1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G221" i="5"/>
  <c r="F221" i="5"/>
  <c r="S220" i="5"/>
  <c r="R220" i="5"/>
  <c r="Q220" i="5"/>
  <c r="G220" i="5"/>
  <c r="F220" i="5"/>
  <c r="S219" i="5"/>
  <c r="R219" i="5"/>
  <c r="Q219" i="5"/>
  <c r="G219" i="5"/>
  <c r="F219" i="5"/>
  <c r="S218" i="5"/>
  <c r="R218" i="5"/>
  <c r="Q218" i="5"/>
  <c r="G218" i="5"/>
  <c r="F218" i="5"/>
  <c r="S217" i="5"/>
  <c r="R217" i="5"/>
  <c r="Q217" i="5"/>
  <c r="G217" i="5"/>
  <c r="F217" i="5"/>
  <c r="S216" i="5"/>
  <c r="R216" i="5"/>
  <c r="Q216" i="5"/>
  <c r="G216" i="5"/>
  <c r="F216" i="5"/>
  <c r="S215" i="5"/>
  <c r="R215" i="5"/>
  <c r="Q215" i="5"/>
  <c r="G215" i="5"/>
  <c r="F215" i="5"/>
  <c r="S214" i="5"/>
  <c r="R214" i="5"/>
  <c r="Q214" i="5"/>
  <c r="G214" i="5"/>
  <c r="F214" i="5"/>
  <c r="S213" i="5"/>
  <c r="R213" i="5"/>
  <c r="Q213" i="5"/>
  <c r="G213" i="5"/>
  <c r="F213" i="5"/>
  <c r="S212" i="5"/>
  <c r="R212" i="5"/>
  <c r="Q212" i="5"/>
  <c r="G212" i="5"/>
  <c r="F212" i="5"/>
  <c r="S211" i="5"/>
  <c r="R211" i="5"/>
  <c r="Q211" i="5"/>
  <c r="G211" i="5"/>
  <c r="F211" i="5"/>
  <c r="S210" i="5"/>
  <c r="R210" i="5"/>
  <c r="Q210" i="5"/>
  <c r="G210" i="5"/>
  <c r="F210" i="5"/>
  <c r="S209" i="5"/>
  <c r="Q209" i="5"/>
  <c r="K209" i="5"/>
  <c r="G209" i="5"/>
  <c r="F209" i="5"/>
  <c r="R209" i="5" s="1"/>
  <c r="S208" i="5"/>
  <c r="Q208" i="5"/>
  <c r="G208" i="5"/>
  <c r="F208" i="5"/>
  <c r="R208" i="5" s="1"/>
  <c r="S207" i="5"/>
  <c r="Q207" i="5"/>
  <c r="K207" i="5"/>
  <c r="G207" i="5"/>
  <c r="F207" i="5"/>
  <c r="R207" i="5" s="1"/>
  <c r="S206" i="5"/>
  <c r="Q206" i="5"/>
  <c r="G206" i="5"/>
  <c r="F206" i="5"/>
  <c r="R206" i="5" s="1"/>
  <c r="S205" i="5"/>
  <c r="Q205" i="5"/>
  <c r="K205" i="5"/>
  <c r="G205" i="5"/>
  <c r="F205" i="5"/>
  <c r="R205" i="5" s="1"/>
  <c r="S204" i="5"/>
  <c r="Q204" i="5"/>
  <c r="G204" i="5"/>
  <c r="F204" i="5"/>
  <c r="R204" i="5" s="1"/>
  <c r="S203" i="5"/>
  <c r="Q203" i="5"/>
  <c r="K203" i="5"/>
  <c r="G203" i="5"/>
  <c r="F203" i="5"/>
  <c r="R203" i="5" s="1"/>
  <c r="S202" i="5"/>
  <c r="Q202" i="5"/>
  <c r="G202" i="5"/>
  <c r="F202" i="5"/>
  <c r="R202" i="5" s="1"/>
  <c r="S201" i="5"/>
  <c r="Q201" i="5"/>
  <c r="K201" i="5"/>
  <c r="G201" i="5"/>
  <c r="F201" i="5"/>
  <c r="R201" i="5" s="1"/>
  <c r="S200" i="5"/>
  <c r="Q200" i="5"/>
  <c r="G200" i="5"/>
  <c r="F200" i="5"/>
  <c r="R200" i="5" s="1"/>
  <c r="S199" i="5"/>
  <c r="Q199" i="5"/>
  <c r="K199" i="5"/>
  <c r="G199" i="5"/>
  <c r="F199" i="5"/>
  <c r="R199" i="5" s="1"/>
  <c r="S198" i="5"/>
  <c r="Q198" i="5"/>
  <c r="G198" i="5"/>
  <c r="F198" i="5"/>
  <c r="R198" i="5" s="1"/>
  <c r="S197" i="5"/>
  <c r="Q197" i="5"/>
  <c r="K197" i="5"/>
  <c r="G197" i="5"/>
  <c r="F197" i="5"/>
  <c r="R197" i="5" s="1"/>
  <c r="S196" i="5"/>
  <c r="Q196" i="5"/>
  <c r="G196" i="5"/>
  <c r="F196" i="5"/>
  <c r="R196" i="5" s="1"/>
  <c r="S195" i="5"/>
  <c r="Q195" i="5"/>
  <c r="K195" i="5"/>
  <c r="G195" i="5"/>
  <c r="F195" i="5"/>
  <c r="R195" i="5" s="1"/>
  <c r="S194" i="5"/>
  <c r="Q194" i="5"/>
  <c r="G194" i="5"/>
  <c r="F194" i="5"/>
  <c r="R194" i="5" s="1"/>
  <c r="S193" i="5"/>
  <c r="Q193" i="5"/>
  <c r="K193" i="5"/>
  <c r="G193" i="5"/>
  <c r="F193" i="5"/>
  <c r="R193" i="5" s="1"/>
  <c r="S192" i="5"/>
  <c r="Q192" i="5"/>
  <c r="G192" i="5"/>
  <c r="F192" i="5"/>
  <c r="R192" i="5" s="1"/>
  <c r="S191" i="5"/>
  <c r="Q191" i="5"/>
  <c r="K191" i="5"/>
  <c r="I191" i="5"/>
  <c r="G191" i="5"/>
  <c r="F191" i="5"/>
  <c r="R191" i="5" s="1"/>
  <c r="S190" i="5"/>
  <c r="Q190" i="5"/>
  <c r="G190" i="5"/>
  <c r="F190" i="5"/>
  <c r="R190" i="5" s="1"/>
  <c r="S189" i="5"/>
  <c r="Q189" i="5"/>
  <c r="I189" i="5"/>
  <c r="G189" i="5"/>
  <c r="F189" i="5"/>
  <c r="R189" i="5" s="1"/>
  <c r="S188" i="5"/>
  <c r="Q188" i="5"/>
  <c r="K188" i="5"/>
  <c r="G188" i="5"/>
  <c r="F188" i="5"/>
  <c r="R188" i="5" s="1"/>
  <c r="S187" i="5"/>
  <c r="J187" i="5"/>
  <c r="G187" i="5"/>
  <c r="H187" i="5" s="1"/>
  <c r="F187" i="5"/>
  <c r="R187" i="5" s="1"/>
  <c r="S186" i="5"/>
  <c r="G186" i="5"/>
  <c r="F186" i="5"/>
  <c r="R186" i="5" s="1"/>
  <c r="S185" i="5"/>
  <c r="Q185" i="5"/>
  <c r="K185" i="5"/>
  <c r="G185" i="5"/>
  <c r="F185" i="5"/>
  <c r="R185" i="5" s="1"/>
  <c r="S184" i="5"/>
  <c r="Q184" i="5"/>
  <c r="G184" i="5"/>
  <c r="F184" i="5"/>
  <c r="R184" i="5" s="1"/>
  <c r="S183" i="5"/>
  <c r="Q183" i="5"/>
  <c r="K183" i="5"/>
  <c r="G183" i="5"/>
  <c r="F183" i="5"/>
  <c r="R183" i="5" s="1"/>
  <c r="S182" i="5"/>
  <c r="Q182" i="5"/>
  <c r="G182" i="5"/>
  <c r="F182" i="5"/>
  <c r="R182" i="5" s="1"/>
  <c r="S181" i="5"/>
  <c r="Q181" i="5"/>
  <c r="K181" i="5"/>
  <c r="G181" i="5"/>
  <c r="F181" i="5"/>
  <c r="R181" i="5" s="1"/>
  <c r="S180" i="5"/>
  <c r="Q180" i="5"/>
  <c r="G180" i="5"/>
  <c r="F180" i="5"/>
  <c r="R180" i="5" s="1"/>
  <c r="S179" i="5"/>
  <c r="Q179" i="5"/>
  <c r="K179" i="5"/>
  <c r="G179" i="5"/>
  <c r="F179" i="5"/>
  <c r="R179" i="5" s="1"/>
  <c r="S178" i="5"/>
  <c r="Q178" i="5"/>
  <c r="G178" i="5"/>
  <c r="F178" i="5"/>
  <c r="R178" i="5" s="1"/>
  <c r="S177" i="5"/>
  <c r="Q177" i="5"/>
  <c r="K177" i="5"/>
  <c r="G177" i="5"/>
  <c r="F177" i="5"/>
  <c r="R177" i="5" s="1"/>
  <c r="S176" i="5"/>
  <c r="Q176" i="5"/>
  <c r="G176" i="5"/>
  <c r="F176" i="5"/>
  <c r="R176" i="5" s="1"/>
  <c r="S175" i="5"/>
  <c r="Q175" i="5"/>
  <c r="K175" i="5"/>
  <c r="G175" i="5"/>
  <c r="F175" i="5"/>
  <c r="R175" i="5" s="1"/>
  <c r="S174" i="5"/>
  <c r="Q174" i="5"/>
  <c r="G174" i="5"/>
  <c r="F174" i="5"/>
  <c r="R174" i="5" s="1"/>
  <c r="S173" i="5"/>
  <c r="Q173" i="5"/>
  <c r="K173" i="5"/>
  <c r="G173" i="5"/>
  <c r="F173" i="5"/>
  <c r="R173" i="5" s="1"/>
  <c r="S172" i="5"/>
  <c r="Q172" i="5"/>
  <c r="G172" i="5"/>
  <c r="F172" i="5"/>
  <c r="R172" i="5" s="1"/>
  <c r="S171" i="5"/>
  <c r="Q171" i="5"/>
  <c r="K171" i="5"/>
  <c r="G171" i="5"/>
  <c r="F171" i="5"/>
  <c r="R171" i="5" s="1"/>
  <c r="S170" i="5"/>
  <c r="Q170" i="5"/>
  <c r="G170" i="5"/>
  <c r="F170" i="5"/>
  <c r="R170" i="5" s="1"/>
  <c r="S169" i="5"/>
  <c r="Q169" i="5"/>
  <c r="K169" i="5"/>
  <c r="G169" i="5"/>
  <c r="F169" i="5"/>
  <c r="R169" i="5" s="1"/>
  <c r="S168" i="5"/>
  <c r="Q168" i="5"/>
  <c r="G168" i="5"/>
  <c r="F168" i="5"/>
  <c r="R168" i="5" s="1"/>
  <c r="S167" i="5"/>
  <c r="Q167" i="5"/>
  <c r="K167" i="5"/>
  <c r="G167" i="5"/>
  <c r="F167" i="5"/>
  <c r="R167" i="5" s="1"/>
  <c r="S166" i="5"/>
  <c r="Q166" i="5"/>
  <c r="G166" i="5"/>
  <c r="F166" i="5"/>
  <c r="R166" i="5" s="1"/>
  <c r="S165" i="5"/>
  <c r="Q165" i="5"/>
  <c r="K165" i="5"/>
  <c r="G165" i="5"/>
  <c r="F165" i="5"/>
  <c r="R165" i="5" s="1"/>
  <c r="Q164" i="5"/>
  <c r="K164" i="5"/>
  <c r="G164" i="5"/>
  <c r="F164" i="5"/>
  <c r="S164" i="5" s="1"/>
  <c r="Q163" i="5"/>
  <c r="K163" i="5"/>
  <c r="G163" i="5"/>
  <c r="F163" i="5"/>
  <c r="S163" i="5" s="1"/>
  <c r="Q162" i="5"/>
  <c r="K162" i="5"/>
  <c r="G162" i="5"/>
  <c r="F162" i="5"/>
  <c r="S162" i="5" s="1"/>
  <c r="Q161" i="5"/>
  <c r="K161" i="5"/>
  <c r="G161" i="5"/>
  <c r="F161" i="5"/>
  <c r="S161" i="5" s="1"/>
  <c r="Q160" i="5"/>
  <c r="K160" i="5"/>
  <c r="G160" i="5"/>
  <c r="F160" i="5"/>
  <c r="S160" i="5" s="1"/>
  <c r="Q159" i="5"/>
  <c r="K159" i="5"/>
  <c r="G159" i="5"/>
  <c r="F159" i="5"/>
  <c r="S159" i="5" s="1"/>
  <c r="Q158" i="5"/>
  <c r="K158" i="5"/>
  <c r="G158" i="5"/>
  <c r="F158" i="5"/>
  <c r="S158" i="5" s="1"/>
  <c r="Q157" i="5"/>
  <c r="K157" i="5"/>
  <c r="G157" i="5"/>
  <c r="F157" i="5"/>
  <c r="S157" i="5" s="1"/>
  <c r="Q156" i="5"/>
  <c r="K156" i="5"/>
  <c r="G156" i="5"/>
  <c r="F156" i="5"/>
  <c r="S156" i="5" s="1"/>
  <c r="Q155" i="5"/>
  <c r="K155" i="5"/>
  <c r="G155" i="5"/>
  <c r="F155" i="5"/>
  <c r="S155" i="5" s="1"/>
  <c r="Q154" i="5"/>
  <c r="K154" i="5"/>
  <c r="G154" i="5"/>
  <c r="F154" i="5"/>
  <c r="S154" i="5" s="1"/>
  <c r="Q153" i="5"/>
  <c r="K153" i="5"/>
  <c r="G153" i="5"/>
  <c r="F153" i="5"/>
  <c r="S153" i="5" s="1"/>
  <c r="Q152" i="5"/>
  <c r="K152" i="5"/>
  <c r="G152" i="5"/>
  <c r="F152" i="5"/>
  <c r="S152" i="5" s="1"/>
  <c r="Q151" i="5"/>
  <c r="K151" i="5"/>
  <c r="G151" i="5"/>
  <c r="F151" i="5"/>
  <c r="S151" i="5" s="1"/>
  <c r="Q150" i="5"/>
  <c r="K150" i="5"/>
  <c r="G150" i="5"/>
  <c r="F150" i="5"/>
  <c r="S150" i="5" s="1"/>
  <c r="Q149" i="5"/>
  <c r="K149" i="5"/>
  <c r="G149" i="5"/>
  <c r="F149" i="5"/>
  <c r="S149" i="5" s="1"/>
  <c r="Q148" i="5"/>
  <c r="K148" i="5"/>
  <c r="G148" i="5"/>
  <c r="F148" i="5"/>
  <c r="S148" i="5" s="1"/>
  <c r="Q147" i="5"/>
  <c r="K147" i="5"/>
  <c r="G147" i="5"/>
  <c r="F147" i="5"/>
  <c r="S147" i="5" s="1"/>
  <c r="Q146" i="5"/>
  <c r="K146" i="5"/>
  <c r="G146" i="5"/>
  <c r="F146" i="5"/>
  <c r="S146" i="5" s="1"/>
  <c r="Q145" i="5"/>
  <c r="K145" i="5"/>
  <c r="G145" i="5"/>
  <c r="F145" i="5"/>
  <c r="S145" i="5" s="1"/>
  <c r="Q144" i="5"/>
  <c r="K144" i="5"/>
  <c r="G144" i="5"/>
  <c r="F144" i="5"/>
  <c r="S144" i="5" s="1"/>
  <c r="Q143" i="5"/>
  <c r="K143" i="5"/>
  <c r="G143" i="5"/>
  <c r="F143" i="5"/>
  <c r="S143" i="5" s="1"/>
  <c r="Q142" i="5"/>
  <c r="K142" i="5"/>
  <c r="G142" i="5"/>
  <c r="F142" i="5"/>
  <c r="S142" i="5" s="1"/>
  <c r="Q141" i="5"/>
  <c r="K141" i="5"/>
  <c r="G141" i="5"/>
  <c r="F141" i="5"/>
  <c r="S141" i="5" s="1"/>
  <c r="Q140" i="5"/>
  <c r="K140" i="5"/>
  <c r="G140" i="5"/>
  <c r="F140" i="5"/>
  <c r="S140" i="5" s="1"/>
  <c r="Q139" i="5"/>
  <c r="K139" i="5"/>
  <c r="G139" i="5"/>
  <c r="F139" i="5"/>
  <c r="S139" i="5" s="1"/>
  <c r="Q138" i="5"/>
  <c r="K138" i="5"/>
  <c r="G138" i="5"/>
  <c r="F138" i="5"/>
  <c r="S138" i="5" s="1"/>
  <c r="Q137" i="5"/>
  <c r="K137" i="5"/>
  <c r="G137" i="5"/>
  <c r="F137" i="5"/>
  <c r="S137" i="5" s="1"/>
  <c r="Q136" i="5"/>
  <c r="K136" i="5"/>
  <c r="G136" i="5"/>
  <c r="F136" i="5"/>
  <c r="S136" i="5" s="1"/>
  <c r="Q135" i="5"/>
  <c r="K135" i="5"/>
  <c r="G135" i="5"/>
  <c r="F135" i="5"/>
  <c r="S135" i="5" s="1"/>
  <c r="I134" i="5"/>
  <c r="G134" i="5"/>
  <c r="H134" i="5" s="1"/>
  <c r="F134" i="5"/>
  <c r="S133" i="5"/>
  <c r="I133" i="5"/>
  <c r="G133" i="5"/>
  <c r="H133" i="5" s="1"/>
  <c r="F133" i="5"/>
  <c r="R133" i="5" s="1"/>
  <c r="S132" i="5"/>
  <c r="I132" i="5"/>
  <c r="G132" i="5"/>
  <c r="H132" i="5" s="1"/>
  <c r="F132" i="5"/>
  <c r="R132" i="5" s="1"/>
  <c r="S131" i="5"/>
  <c r="F131" i="5"/>
  <c r="R131" i="5" s="1"/>
  <c r="S130" i="5"/>
  <c r="F130" i="5"/>
  <c r="R130" i="5" s="1"/>
  <c r="S129" i="5"/>
  <c r="F129" i="5"/>
  <c r="R129" i="5" s="1"/>
  <c r="S128" i="5"/>
  <c r="F128" i="5"/>
  <c r="R128" i="5" s="1"/>
  <c r="S127" i="5"/>
  <c r="F127" i="5"/>
  <c r="R127" i="5" s="1"/>
  <c r="S126" i="5"/>
  <c r="F126" i="5"/>
  <c r="R126" i="5" s="1"/>
  <c r="S125" i="5"/>
  <c r="F125" i="5"/>
  <c r="R125" i="5" s="1"/>
  <c r="S124" i="5"/>
  <c r="F124" i="5"/>
  <c r="R124" i="5" s="1"/>
  <c r="S123" i="5"/>
  <c r="F123" i="5"/>
  <c r="R123" i="5" s="1"/>
  <c r="S122" i="5"/>
  <c r="F122" i="5"/>
  <c r="R122" i="5" s="1"/>
  <c r="S121" i="5"/>
  <c r="F121" i="5"/>
  <c r="R121" i="5" s="1"/>
  <c r="S120" i="5"/>
  <c r="F120" i="5"/>
  <c r="R120" i="5" s="1"/>
  <c r="S119" i="5"/>
  <c r="F119" i="5"/>
  <c r="R119" i="5" s="1"/>
  <c r="S118" i="5"/>
  <c r="F118" i="5"/>
  <c r="R118" i="5" s="1"/>
  <c r="S117" i="5"/>
  <c r="F117" i="5"/>
  <c r="R117" i="5" s="1"/>
  <c r="S116" i="5"/>
  <c r="F116" i="5"/>
  <c r="R116" i="5" s="1"/>
  <c r="S115" i="5"/>
  <c r="F115" i="5"/>
  <c r="R115" i="5" s="1"/>
  <c r="S114" i="5"/>
  <c r="F114" i="5"/>
  <c r="R114" i="5" s="1"/>
  <c r="S113" i="5"/>
  <c r="F113" i="5"/>
  <c r="R113" i="5" s="1"/>
  <c r="S112" i="5"/>
  <c r="F112" i="5"/>
  <c r="R112" i="5" s="1"/>
  <c r="S111" i="5"/>
  <c r="F111" i="5"/>
  <c r="R111" i="5" s="1"/>
  <c r="S110" i="5"/>
  <c r="F110" i="5"/>
  <c r="R110" i="5" s="1"/>
  <c r="S109" i="5"/>
  <c r="F109" i="5"/>
  <c r="R109" i="5" s="1"/>
  <c r="S108" i="5"/>
  <c r="F108" i="5"/>
  <c r="R108" i="5" s="1"/>
  <c r="S107" i="5"/>
  <c r="F107" i="5"/>
  <c r="R107" i="5" s="1"/>
  <c r="S106" i="5"/>
  <c r="F106" i="5"/>
  <c r="R106" i="5" s="1"/>
  <c r="S105" i="5"/>
  <c r="F105" i="5"/>
  <c r="R105" i="5" s="1"/>
  <c r="S104" i="5"/>
  <c r="F104" i="5"/>
  <c r="R104" i="5" s="1"/>
  <c r="S103" i="5"/>
  <c r="F103" i="5"/>
  <c r="R103" i="5" s="1"/>
  <c r="S102" i="5"/>
  <c r="F102" i="5"/>
  <c r="R102" i="5" s="1"/>
  <c r="S101" i="5"/>
  <c r="F101" i="5"/>
  <c r="R101" i="5" s="1"/>
  <c r="S100" i="5"/>
  <c r="F100" i="5"/>
  <c r="R100" i="5" s="1"/>
  <c r="F99" i="5"/>
  <c r="S99" i="5" s="1"/>
  <c r="F98" i="5"/>
  <c r="F97" i="5"/>
  <c r="F96" i="5"/>
  <c r="F95" i="5"/>
  <c r="F94" i="5"/>
  <c r="F93" i="5"/>
  <c r="F92" i="5"/>
  <c r="F91" i="5"/>
  <c r="F90" i="5"/>
  <c r="S90" i="5" s="1"/>
  <c r="Q89" i="5"/>
  <c r="J89" i="5"/>
  <c r="G89" i="5"/>
  <c r="H89" i="5" s="1"/>
  <c r="F89" i="5"/>
  <c r="R89" i="5" s="1"/>
  <c r="F88" i="5"/>
  <c r="Q87" i="5"/>
  <c r="G87" i="5"/>
  <c r="F87" i="5"/>
  <c r="R87" i="5" s="1"/>
  <c r="F86" i="5"/>
  <c r="R86" i="5" s="1"/>
  <c r="Q85" i="5"/>
  <c r="J85" i="5"/>
  <c r="G85" i="5"/>
  <c r="H85" i="5" s="1"/>
  <c r="F85" i="5"/>
  <c r="R85" i="5" s="1"/>
  <c r="S84" i="5"/>
  <c r="F84" i="5"/>
  <c r="R84" i="5" s="1"/>
  <c r="R83" i="5"/>
  <c r="F83" i="5"/>
  <c r="Q83" i="5" s="1"/>
  <c r="R82" i="5"/>
  <c r="F82" i="5"/>
  <c r="Q82" i="5" s="1"/>
  <c r="R81" i="5"/>
  <c r="F81" i="5"/>
  <c r="Q81" i="5" s="1"/>
  <c r="R80" i="5"/>
  <c r="F80" i="5"/>
  <c r="Q80" i="5" s="1"/>
  <c r="R79" i="5"/>
  <c r="F79" i="5"/>
  <c r="Q79" i="5" s="1"/>
  <c r="R78" i="5"/>
  <c r="F78" i="5"/>
  <c r="Q78" i="5" s="1"/>
  <c r="R77" i="5"/>
  <c r="F77" i="5"/>
  <c r="Q77" i="5" s="1"/>
  <c r="R76" i="5"/>
  <c r="F76" i="5"/>
  <c r="Q76" i="5" s="1"/>
  <c r="R75" i="5"/>
  <c r="F75" i="5"/>
  <c r="Q75" i="5" s="1"/>
  <c r="R74" i="5"/>
  <c r="F74" i="5"/>
  <c r="Q74" i="5" s="1"/>
  <c r="R73" i="5"/>
  <c r="F73" i="5"/>
  <c r="Q73" i="5" s="1"/>
  <c r="R72" i="5"/>
  <c r="F72" i="5"/>
  <c r="Q72" i="5" s="1"/>
  <c r="R71" i="5"/>
  <c r="F71" i="5"/>
  <c r="Q71" i="5" s="1"/>
  <c r="R70" i="5"/>
  <c r="F70" i="5"/>
  <c r="Q70" i="5" s="1"/>
  <c r="R69" i="5"/>
  <c r="F69" i="5"/>
  <c r="Q69" i="5" s="1"/>
  <c r="R68" i="5"/>
  <c r="F68" i="5"/>
  <c r="Q68" i="5" s="1"/>
  <c r="R67" i="5"/>
  <c r="F67" i="5"/>
  <c r="Q67" i="5" s="1"/>
  <c r="R66" i="5"/>
  <c r="F66" i="5"/>
  <c r="Q66" i="5" s="1"/>
  <c r="R65" i="5"/>
  <c r="F65" i="5"/>
  <c r="Q65" i="5" s="1"/>
  <c r="R64" i="5"/>
  <c r="F64" i="5"/>
  <c r="Q64" i="5" s="1"/>
  <c r="R63" i="5"/>
  <c r="F63" i="5"/>
  <c r="Q63" i="5" s="1"/>
  <c r="R62" i="5"/>
  <c r="F62" i="5"/>
  <c r="Q62" i="5" s="1"/>
  <c r="R61" i="5"/>
  <c r="F61" i="5"/>
  <c r="Q61" i="5" s="1"/>
  <c r="R60" i="5"/>
  <c r="F60" i="5"/>
  <c r="Q60" i="5" s="1"/>
  <c r="R59" i="5"/>
  <c r="F59" i="5"/>
  <c r="Q59" i="5" s="1"/>
  <c r="R58" i="5"/>
  <c r="F58" i="5"/>
  <c r="Q58" i="5" s="1"/>
  <c r="R57" i="5"/>
  <c r="F57" i="5"/>
  <c r="Q57" i="5" s="1"/>
  <c r="R56" i="5"/>
  <c r="F56" i="5"/>
  <c r="Q56" i="5" s="1"/>
  <c r="R55" i="5"/>
  <c r="F55" i="5"/>
  <c r="Q55" i="5" s="1"/>
  <c r="R54" i="5"/>
  <c r="F54" i="5"/>
  <c r="Q54" i="5" s="1"/>
  <c r="R53" i="5"/>
  <c r="F53" i="5"/>
  <c r="Q53" i="5" s="1"/>
  <c r="R52" i="5"/>
  <c r="F52" i="5"/>
  <c r="Q52" i="5" s="1"/>
  <c r="R51" i="5"/>
  <c r="F51" i="5"/>
  <c r="Q51" i="5" s="1"/>
  <c r="R50" i="5"/>
  <c r="F50" i="5"/>
  <c r="Q50" i="5" s="1"/>
  <c r="R49" i="5"/>
  <c r="F49" i="5"/>
  <c r="Q49" i="5" s="1"/>
  <c r="R48" i="5"/>
  <c r="F48" i="5"/>
  <c r="Q48" i="5" s="1"/>
  <c r="R47" i="5"/>
  <c r="F47" i="5"/>
  <c r="Q47" i="5" s="1"/>
  <c r="R46" i="5"/>
  <c r="F46" i="5"/>
  <c r="Q46" i="5" s="1"/>
  <c r="R45" i="5"/>
  <c r="F45" i="5"/>
  <c r="Q45" i="5" s="1"/>
  <c r="R44" i="5"/>
  <c r="F44" i="5"/>
  <c r="Q44" i="5" s="1"/>
  <c r="R43" i="5"/>
  <c r="F43" i="5"/>
  <c r="Q43" i="5" s="1"/>
  <c r="R42" i="5"/>
  <c r="F42" i="5"/>
  <c r="Q42" i="5" s="1"/>
  <c r="R41" i="5"/>
  <c r="F41" i="5"/>
  <c r="Q41" i="5" s="1"/>
  <c r="R40" i="5"/>
  <c r="F40" i="5"/>
  <c r="Q40" i="5" s="1"/>
  <c r="R39" i="5"/>
  <c r="F39" i="5"/>
  <c r="Q39" i="5" s="1"/>
  <c r="R38" i="5"/>
  <c r="F38" i="5"/>
  <c r="Q38" i="5" s="1"/>
  <c r="R37" i="5"/>
  <c r="F37" i="5"/>
  <c r="Q37" i="5" s="1"/>
  <c r="R36" i="5"/>
  <c r="F36" i="5"/>
  <c r="Q36" i="5" s="1"/>
  <c r="R35" i="5"/>
  <c r="F35" i="5"/>
  <c r="Q35" i="5" s="1"/>
  <c r="R34" i="5"/>
  <c r="F34" i="5"/>
  <c r="Q34" i="5" s="1"/>
  <c r="R33" i="5"/>
  <c r="F33" i="5"/>
  <c r="Q33" i="5" s="1"/>
  <c r="R32" i="5"/>
  <c r="F32" i="5"/>
  <c r="Q32" i="5" s="1"/>
  <c r="R31" i="5"/>
  <c r="F31" i="5"/>
  <c r="Q31" i="5" s="1"/>
  <c r="R30" i="5"/>
  <c r="F30" i="5"/>
  <c r="Q30" i="5" s="1"/>
  <c r="R29" i="5"/>
  <c r="F29" i="5"/>
  <c r="Q29" i="5" s="1"/>
  <c r="R28" i="5"/>
  <c r="F28" i="5"/>
  <c r="Q28" i="5" s="1"/>
  <c r="R27" i="5"/>
  <c r="F27" i="5"/>
  <c r="Q27" i="5" s="1"/>
  <c r="R26" i="5"/>
  <c r="F26" i="5"/>
  <c r="Q26" i="5" s="1"/>
  <c r="R25" i="5"/>
  <c r="F25" i="5"/>
  <c r="Q25" i="5" s="1"/>
  <c r="R24" i="5"/>
  <c r="F24" i="5"/>
  <c r="Q24" i="5" s="1"/>
  <c r="R23" i="5"/>
  <c r="F23" i="5"/>
  <c r="Q23" i="5" s="1"/>
  <c r="R22" i="5"/>
  <c r="F22" i="5"/>
  <c r="Q22" i="5" s="1"/>
  <c r="R21" i="5"/>
  <c r="F21" i="5"/>
  <c r="Q21" i="5" s="1"/>
  <c r="R20" i="5"/>
  <c r="F20" i="5"/>
  <c r="Q20" i="5" s="1"/>
  <c r="R19" i="5"/>
  <c r="F19" i="5"/>
  <c r="Q19" i="5" s="1"/>
  <c r="R18" i="5"/>
  <c r="F18" i="5"/>
  <c r="Q18" i="5" s="1"/>
  <c r="R17" i="5"/>
  <c r="F17" i="5"/>
  <c r="Q17" i="5" s="1"/>
  <c r="R16" i="5"/>
  <c r="F16" i="5"/>
  <c r="Q16" i="5" s="1"/>
  <c r="R15" i="5"/>
  <c r="F15" i="5"/>
  <c r="Q15" i="5" s="1"/>
  <c r="R14" i="5"/>
  <c r="F14" i="5"/>
  <c r="Q14" i="5" s="1"/>
  <c r="R13" i="5"/>
  <c r="F13" i="5"/>
  <c r="Q13" i="5" s="1"/>
  <c r="R12" i="5"/>
  <c r="F12" i="5"/>
  <c r="Q12" i="5" s="1"/>
  <c r="F11" i="5"/>
  <c r="R10" i="5"/>
  <c r="F10" i="5"/>
  <c r="F9" i="5"/>
  <c r="R9" i="5" s="1"/>
  <c r="R8" i="5"/>
  <c r="F8" i="5"/>
  <c r="F7" i="5"/>
  <c r="R6" i="5"/>
  <c r="F6" i="5"/>
  <c r="F5" i="5"/>
  <c r="L15" i="19" l="1"/>
  <c r="N15" i="19" s="1"/>
  <c r="M15" i="19" s="1"/>
  <c r="G13" i="19"/>
  <c r="I13" i="19" s="1"/>
  <c r="H13" i="19" s="1"/>
  <c r="C202" i="19"/>
  <c r="E202" i="19" s="1"/>
  <c r="D202" i="19" s="1"/>
  <c r="L203" i="19"/>
  <c r="N203" i="19" s="1"/>
  <c r="M203" i="19" s="1"/>
  <c r="C16" i="19"/>
  <c r="E16" i="19" s="1"/>
  <c r="D16" i="19" s="1"/>
  <c r="G202" i="19"/>
  <c r="I202" i="19" s="1"/>
  <c r="H202" i="19" s="1"/>
  <c r="Q7" i="5"/>
  <c r="G7" i="5"/>
  <c r="S7" i="5"/>
  <c r="Q11" i="5"/>
  <c r="G11" i="5"/>
  <c r="S11" i="5"/>
  <c r="R11" i="5"/>
  <c r="R88" i="5"/>
  <c r="Q88" i="5"/>
  <c r="G88" i="5"/>
  <c r="R92" i="5"/>
  <c r="Q92" i="5"/>
  <c r="G92" i="5"/>
  <c r="S92" i="5"/>
  <c r="R94" i="5"/>
  <c r="Q94" i="5"/>
  <c r="G94" i="5"/>
  <c r="S94" i="5"/>
  <c r="R96" i="5"/>
  <c r="Q96" i="5"/>
  <c r="G96" i="5"/>
  <c r="S96" i="5"/>
  <c r="R98" i="5"/>
  <c r="Q98" i="5"/>
  <c r="G98" i="5"/>
  <c r="S98" i="5"/>
  <c r="Q5" i="5"/>
  <c r="G5" i="5"/>
  <c r="S5" i="5"/>
  <c r="H87" i="5"/>
  <c r="K87" i="5"/>
  <c r="J87" i="5"/>
  <c r="I87" i="5"/>
  <c r="N133" i="5"/>
  <c r="Q9" i="5"/>
  <c r="G9" i="5"/>
  <c r="S9" i="5"/>
  <c r="R5" i="5"/>
  <c r="R7" i="5"/>
  <c r="Q6" i="5"/>
  <c r="G6" i="5"/>
  <c r="S6" i="5"/>
  <c r="Q8" i="5"/>
  <c r="G8" i="5"/>
  <c r="S8" i="5"/>
  <c r="Q10" i="5"/>
  <c r="G10" i="5"/>
  <c r="S10" i="5"/>
  <c r="S88" i="5"/>
  <c r="J170" i="5"/>
  <c r="I170" i="5"/>
  <c r="H170" i="5"/>
  <c r="K170" i="5"/>
  <c r="J178" i="5"/>
  <c r="I178" i="5"/>
  <c r="H178" i="5"/>
  <c r="K178" i="5"/>
  <c r="J186" i="5"/>
  <c r="I186" i="5"/>
  <c r="H186" i="5"/>
  <c r="K186" i="5"/>
  <c r="S230" i="5"/>
  <c r="R230" i="5"/>
  <c r="Q230" i="5"/>
  <c r="G230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K85" i="5"/>
  <c r="S85" i="5"/>
  <c r="Q86" i="5"/>
  <c r="K89" i="5"/>
  <c r="S89" i="5"/>
  <c r="L134" i="5"/>
  <c r="S86" i="5"/>
  <c r="L89" i="5"/>
  <c r="R90" i="5"/>
  <c r="Q90" i="5"/>
  <c r="R91" i="5"/>
  <c r="Q91" i="5"/>
  <c r="G91" i="5"/>
  <c r="R93" i="5"/>
  <c r="Q93" i="5"/>
  <c r="G93" i="5"/>
  <c r="R95" i="5"/>
  <c r="Q95" i="5"/>
  <c r="G95" i="5"/>
  <c r="R97" i="5"/>
  <c r="Q97" i="5"/>
  <c r="G97" i="5"/>
  <c r="R99" i="5"/>
  <c r="Q99" i="5"/>
  <c r="G99" i="5"/>
  <c r="J166" i="5"/>
  <c r="I166" i="5"/>
  <c r="H166" i="5"/>
  <c r="K166" i="5"/>
  <c r="J174" i="5"/>
  <c r="I174" i="5"/>
  <c r="H174" i="5"/>
  <c r="K174" i="5"/>
  <c r="J182" i="5"/>
  <c r="I182" i="5"/>
  <c r="H182" i="5"/>
  <c r="K182" i="5"/>
  <c r="I198" i="5"/>
  <c r="H198" i="5"/>
  <c r="J198" i="5"/>
  <c r="K198" i="5"/>
  <c r="I206" i="5"/>
  <c r="H206" i="5"/>
  <c r="J206" i="5"/>
  <c r="K206" i="5"/>
  <c r="I212" i="5"/>
  <c r="H212" i="5"/>
  <c r="J212" i="5"/>
  <c r="K212" i="5"/>
  <c r="I216" i="5"/>
  <c r="H216" i="5"/>
  <c r="J216" i="5"/>
  <c r="K216" i="5"/>
  <c r="I220" i="5"/>
  <c r="H220" i="5"/>
  <c r="J220" i="5"/>
  <c r="K22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Q84" i="5"/>
  <c r="I85" i="5"/>
  <c r="L85" i="5" s="1"/>
  <c r="G86" i="5"/>
  <c r="S87" i="5"/>
  <c r="I89" i="5"/>
  <c r="M89" i="5" s="1"/>
  <c r="G90" i="5"/>
  <c r="S91" i="5"/>
  <c r="S93" i="5"/>
  <c r="S95" i="5"/>
  <c r="S97" i="5"/>
  <c r="L132" i="5"/>
  <c r="J132" i="5"/>
  <c r="N132" i="5" s="1"/>
  <c r="J133" i="5"/>
  <c r="M133" i="5" s="1"/>
  <c r="S134" i="5"/>
  <c r="R134" i="5"/>
  <c r="J134" i="5"/>
  <c r="N134" i="5" s="1"/>
  <c r="Q134" i="5"/>
  <c r="J167" i="5"/>
  <c r="I167" i="5"/>
  <c r="H167" i="5"/>
  <c r="J171" i="5"/>
  <c r="I171" i="5"/>
  <c r="H171" i="5"/>
  <c r="J175" i="5"/>
  <c r="I175" i="5"/>
  <c r="H175" i="5"/>
  <c r="J179" i="5"/>
  <c r="I179" i="5"/>
  <c r="H179" i="5"/>
  <c r="J183" i="5"/>
  <c r="I183" i="5"/>
  <c r="H183" i="5"/>
  <c r="G100" i="5"/>
  <c r="Q100" i="5"/>
  <c r="G101" i="5"/>
  <c r="Q101" i="5"/>
  <c r="G102" i="5"/>
  <c r="Q102" i="5"/>
  <c r="G103" i="5"/>
  <c r="Q103" i="5"/>
  <c r="G104" i="5"/>
  <c r="Q104" i="5"/>
  <c r="G105" i="5"/>
  <c r="Q105" i="5"/>
  <c r="G106" i="5"/>
  <c r="Q106" i="5"/>
  <c r="G107" i="5"/>
  <c r="Q107" i="5"/>
  <c r="G108" i="5"/>
  <c r="Q108" i="5"/>
  <c r="G109" i="5"/>
  <c r="Q109" i="5"/>
  <c r="G110" i="5"/>
  <c r="Q110" i="5"/>
  <c r="G111" i="5"/>
  <c r="Q111" i="5"/>
  <c r="G112" i="5"/>
  <c r="Q112" i="5"/>
  <c r="G113" i="5"/>
  <c r="Q113" i="5"/>
  <c r="G114" i="5"/>
  <c r="Q114" i="5"/>
  <c r="G115" i="5"/>
  <c r="Q115" i="5"/>
  <c r="G116" i="5"/>
  <c r="Q116" i="5"/>
  <c r="G117" i="5"/>
  <c r="Q117" i="5"/>
  <c r="G118" i="5"/>
  <c r="Q118" i="5"/>
  <c r="G119" i="5"/>
  <c r="Q119" i="5"/>
  <c r="G120" i="5"/>
  <c r="Q120" i="5"/>
  <c r="G121" i="5"/>
  <c r="Q121" i="5"/>
  <c r="G122" i="5"/>
  <c r="Q122" i="5"/>
  <c r="G123" i="5"/>
  <c r="Q123" i="5"/>
  <c r="G124" i="5"/>
  <c r="Q124" i="5"/>
  <c r="G125" i="5"/>
  <c r="Q125" i="5"/>
  <c r="G126" i="5"/>
  <c r="Q126" i="5"/>
  <c r="G127" i="5"/>
  <c r="Q127" i="5"/>
  <c r="G128" i="5"/>
  <c r="Q128" i="5"/>
  <c r="G129" i="5"/>
  <c r="Q129" i="5"/>
  <c r="G130" i="5"/>
  <c r="Q130" i="5"/>
  <c r="G131" i="5"/>
  <c r="Q131" i="5"/>
  <c r="K132" i="5"/>
  <c r="Q132" i="5"/>
  <c r="K133" i="5"/>
  <c r="Q133" i="5"/>
  <c r="K134" i="5"/>
  <c r="J168" i="5"/>
  <c r="I168" i="5"/>
  <c r="H168" i="5"/>
  <c r="J172" i="5"/>
  <c r="I172" i="5"/>
  <c r="H172" i="5"/>
  <c r="J176" i="5"/>
  <c r="I176" i="5"/>
  <c r="H176" i="5"/>
  <c r="J180" i="5"/>
  <c r="I180" i="5"/>
  <c r="H180" i="5"/>
  <c r="J184" i="5"/>
  <c r="I184" i="5"/>
  <c r="H184" i="5"/>
  <c r="I194" i="5"/>
  <c r="H194" i="5"/>
  <c r="J194" i="5"/>
  <c r="K194" i="5"/>
  <c r="I202" i="5"/>
  <c r="H202" i="5"/>
  <c r="J202" i="5"/>
  <c r="K202" i="5"/>
  <c r="I210" i="5"/>
  <c r="H210" i="5"/>
  <c r="J210" i="5"/>
  <c r="K210" i="5"/>
  <c r="I214" i="5"/>
  <c r="H214" i="5"/>
  <c r="J214" i="5"/>
  <c r="K214" i="5"/>
  <c r="I218" i="5"/>
  <c r="H218" i="5"/>
  <c r="J218" i="5"/>
  <c r="K218" i="5"/>
  <c r="S222" i="5"/>
  <c r="R222" i="5"/>
  <c r="Q222" i="5"/>
  <c r="G222" i="5"/>
  <c r="S238" i="5"/>
  <c r="R238" i="5"/>
  <c r="Q238" i="5"/>
  <c r="G238" i="5"/>
  <c r="J135" i="5"/>
  <c r="I135" i="5"/>
  <c r="H135" i="5"/>
  <c r="J136" i="5"/>
  <c r="I136" i="5"/>
  <c r="H136" i="5"/>
  <c r="J137" i="5"/>
  <c r="I137" i="5"/>
  <c r="H137" i="5"/>
  <c r="J138" i="5"/>
  <c r="I138" i="5"/>
  <c r="H138" i="5"/>
  <c r="J139" i="5"/>
  <c r="I139" i="5"/>
  <c r="H139" i="5"/>
  <c r="J140" i="5"/>
  <c r="I140" i="5"/>
  <c r="H140" i="5"/>
  <c r="J141" i="5"/>
  <c r="I141" i="5"/>
  <c r="H141" i="5"/>
  <c r="J142" i="5"/>
  <c r="I142" i="5"/>
  <c r="H142" i="5"/>
  <c r="J143" i="5"/>
  <c r="I143" i="5"/>
  <c r="H143" i="5"/>
  <c r="J144" i="5"/>
  <c r="I144" i="5"/>
  <c r="H144" i="5"/>
  <c r="J145" i="5"/>
  <c r="I145" i="5"/>
  <c r="H145" i="5"/>
  <c r="J146" i="5"/>
  <c r="I146" i="5"/>
  <c r="H146" i="5"/>
  <c r="J147" i="5"/>
  <c r="I147" i="5"/>
  <c r="H147" i="5"/>
  <c r="J148" i="5"/>
  <c r="I148" i="5"/>
  <c r="H148" i="5"/>
  <c r="J149" i="5"/>
  <c r="I149" i="5"/>
  <c r="H149" i="5"/>
  <c r="J150" i="5"/>
  <c r="I150" i="5"/>
  <c r="H150" i="5"/>
  <c r="J151" i="5"/>
  <c r="I151" i="5"/>
  <c r="H151" i="5"/>
  <c r="J152" i="5"/>
  <c r="I152" i="5"/>
  <c r="H152" i="5"/>
  <c r="J153" i="5"/>
  <c r="I153" i="5"/>
  <c r="H153" i="5"/>
  <c r="J154" i="5"/>
  <c r="I154" i="5"/>
  <c r="H154" i="5"/>
  <c r="J155" i="5"/>
  <c r="I155" i="5"/>
  <c r="H155" i="5"/>
  <c r="J156" i="5"/>
  <c r="I156" i="5"/>
  <c r="H156" i="5"/>
  <c r="J157" i="5"/>
  <c r="I157" i="5"/>
  <c r="H157" i="5"/>
  <c r="J158" i="5"/>
  <c r="I158" i="5"/>
  <c r="H158" i="5"/>
  <c r="J159" i="5"/>
  <c r="I159" i="5"/>
  <c r="H159" i="5"/>
  <c r="J160" i="5"/>
  <c r="I160" i="5"/>
  <c r="H160" i="5"/>
  <c r="J161" i="5"/>
  <c r="I161" i="5"/>
  <c r="H161" i="5"/>
  <c r="J162" i="5"/>
  <c r="I162" i="5"/>
  <c r="H162" i="5"/>
  <c r="J163" i="5"/>
  <c r="I163" i="5"/>
  <c r="H163" i="5"/>
  <c r="J164" i="5"/>
  <c r="I164" i="5"/>
  <c r="H164" i="5"/>
  <c r="J165" i="5"/>
  <c r="I165" i="5"/>
  <c r="H165" i="5"/>
  <c r="K168" i="5"/>
  <c r="J169" i="5"/>
  <c r="I169" i="5"/>
  <c r="H169" i="5"/>
  <c r="K172" i="5"/>
  <c r="J173" i="5"/>
  <c r="I173" i="5"/>
  <c r="H173" i="5"/>
  <c r="K176" i="5"/>
  <c r="J177" i="5"/>
  <c r="I177" i="5"/>
  <c r="H177" i="5"/>
  <c r="K180" i="5"/>
  <c r="J181" i="5"/>
  <c r="I181" i="5"/>
  <c r="H181" i="5"/>
  <c r="K184" i="5"/>
  <c r="J185" i="5"/>
  <c r="I185" i="5"/>
  <c r="H185" i="5"/>
  <c r="H190" i="5"/>
  <c r="J190" i="5"/>
  <c r="K190" i="5"/>
  <c r="I190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K187" i="5"/>
  <c r="H189" i="5"/>
  <c r="J189" i="5"/>
  <c r="I195" i="5"/>
  <c r="H195" i="5"/>
  <c r="J195" i="5"/>
  <c r="I199" i="5"/>
  <c r="H199" i="5"/>
  <c r="J199" i="5"/>
  <c r="I203" i="5"/>
  <c r="H203" i="5"/>
  <c r="J203" i="5"/>
  <c r="I207" i="5"/>
  <c r="H207" i="5"/>
  <c r="J207" i="5"/>
  <c r="H188" i="5"/>
  <c r="J188" i="5"/>
  <c r="I192" i="5"/>
  <c r="H192" i="5"/>
  <c r="J192" i="5"/>
  <c r="I196" i="5"/>
  <c r="H196" i="5"/>
  <c r="J196" i="5"/>
  <c r="I200" i="5"/>
  <c r="H200" i="5"/>
  <c r="J200" i="5"/>
  <c r="I204" i="5"/>
  <c r="H204" i="5"/>
  <c r="J204" i="5"/>
  <c r="I208" i="5"/>
  <c r="H208" i="5"/>
  <c r="J208" i="5"/>
  <c r="I211" i="5"/>
  <c r="H211" i="5"/>
  <c r="J211" i="5"/>
  <c r="I213" i="5"/>
  <c r="H213" i="5"/>
  <c r="J213" i="5"/>
  <c r="I215" i="5"/>
  <c r="H215" i="5"/>
  <c r="J215" i="5"/>
  <c r="I217" i="5"/>
  <c r="H217" i="5"/>
  <c r="J217" i="5"/>
  <c r="I219" i="5"/>
  <c r="H219" i="5"/>
  <c r="J219" i="5"/>
  <c r="I221" i="5"/>
  <c r="H221" i="5"/>
  <c r="J221" i="5"/>
  <c r="S226" i="5"/>
  <c r="R226" i="5"/>
  <c r="Q226" i="5"/>
  <c r="G226" i="5"/>
  <c r="S234" i="5"/>
  <c r="R234" i="5"/>
  <c r="Q234" i="5"/>
  <c r="G234" i="5"/>
  <c r="S242" i="5"/>
  <c r="R242" i="5"/>
  <c r="Q242" i="5"/>
  <c r="G242" i="5"/>
  <c r="Q186" i="5"/>
  <c r="I187" i="5"/>
  <c r="L187" i="5" s="1"/>
  <c r="Q187" i="5"/>
  <c r="I188" i="5"/>
  <c r="K189" i="5"/>
  <c r="H191" i="5"/>
  <c r="J191" i="5"/>
  <c r="K192" i="5"/>
  <c r="I193" i="5"/>
  <c r="H193" i="5"/>
  <c r="J193" i="5"/>
  <c r="K196" i="5"/>
  <c r="I197" i="5"/>
  <c r="H197" i="5"/>
  <c r="J197" i="5"/>
  <c r="K200" i="5"/>
  <c r="I201" i="5"/>
  <c r="H201" i="5"/>
  <c r="J201" i="5"/>
  <c r="K204" i="5"/>
  <c r="I205" i="5"/>
  <c r="H205" i="5"/>
  <c r="J205" i="5"/>
  <c r="K208" i="5"/>
  <c r="I209" i="5"/>
  <c r="H209" i="5"/>
  <c r="J209" i="5"/>
  <c r="K211" i="5"/>
  <c r="K213" i="5"/>
  <c r="K215" i="5"/>
  <c r="K217" i="5"/>
  <c r="K219" i="5"/>
  <c r="K221" i="5"/>
  <c r="S221" i="5"/>
  <c r="R221" i="5"/>
  <c r="Q221" i="5"/>
  <c r="S223" i="5"/>
  <c r="R223" i="5"/>
  <c r="Q223" i="5"/>
  <c r="G223" i="5"/>
  <c r="S227" i="5"/>
  <c r="R227" i="5"/>
  <c r="Q227" i="5"/>
  <c r="G227" i="5"/>
  <c r="S231" i="5"/>
  <c r="R231" i="5"/>
  <c r="Q231" i="5"/>
  <c r="G231" i="5"/>
  <c r="S235" i="5"/>
  <c r="R235" i="5"/>
  <c r="Q235" i="5"/>
  <c r="G235" i="5"/>
  <c r="S239" i="5"/>
  <c r="R239" i="5"/>
  <c r="Q239" i="5"/>
  <c r="G239" i="5"/>
  <c r="S243" i="5"/>
  <c r="R243" i="5"/>
  <c r="Q243" i="5"/>
  <c r="G243" i="5"/>
  <c r="S247" i="5"/>
  <c r="R247" i="5"/>
  <c r="Q247" i="5"/>
  <c r="G247" i="5"/>
  <c r="S246" i="5"/>
  <c r="R246" i="5"/>
  <c r="Q246" i="5"/>
  <c r="G246" i="5"/>
  <c r="S225" i="5"/>
  <c r="R225" i="5"/>
  <c r="Q225" i="5"/>
  <c r="G225" i="5"/>
  <c r="S229" i="5"/>
  <c r="R229" i="5"/>
  <c r="Q229" i="5"/>
  <c r="G229" i="5"/>
  <c r="S233" i="5"/>
  <c r="R233" i="5"/>
  <c r="Q233" i="5"/>
  <c r="G233" i="5"/>
  <c r="S237" i="5"/>
  <c r="R237" i="5"/>
  <c r="Q237" i="5"/>
  <c r="G237" i="5"/>
  <c r="S241" i="5"/>
  <c r="R241" i="5"/>
  <c r="Q241" i="5"/>
  <c r="G241" i="5"/>
  <c r="S245" i="5"/>
  <c r="R245" i="5"/>
  <c r="Q245" i="5"/>
  <c r="G245" i="5"/>
  <c r="S249" i="5"/>
  <c r="R249" i="5"/>
  <c r="Q249" i="5"/>
  <c r="G249" i="5"/>
  <c r="S224" i="5"/>
  <c r="R224" i="5"/>
  <c r="Q224" i="5"/>
  <c r="G224" i="5"/>
  <c r="S228" i="5"/>
  <c r="R228" i="5"/>
  <c r="Q228" i="5"/>
  <c r="G228" i="5"/>
  <c r="S232" i="5"/>
  <c r="R232" i="5"/>
  <c r="Q232" i="5"/>
  <c r="G232" i="5"/>
  <c r="S236" i="5"/>
  <c r="R236" i="5"/>
  <c r="Q236" i="5"/>
  <c r="G236" i="5"/>
  <c r="S240" i="5"/>
  <c r="R240" i="5"/>
  <c r="Q240" i="5"/>
  <c r="G240" i="5"/>
  <c r="S244" i="5"/>
  <c r="R244" i="5"/>
  <c r="Q244" i="5"/>
  <c r="G244" i="5"/>
  <c r="S248" i="5"/>
  <c r="R248" i="5"/>
  <c r="Q248" i="5"/>
  <c r="G248" i="5"/>
  <c r="C17" i="19" l="1"/>
  <c r="E17" i="19" s="1"/>
  <c r="D17" i="19" s="1"/>
  <c r="L204" i="19"/>
  <c r="N204" i="19" s="1"/>
  <c r="M204" i="19" s="1"/>
  <c r="C203" i="19"/>
  <c r="E203" i="19" s="1"/>
  <c r="D203" i="19" s="1"/>
  <c r="G203" i="19"/>
  <c r="I203" i="19" s="1"/>
  <c r="H203" i="19" s="1"/>
  <c r="G14" i="19"/>
  <c r="I14" i="19" s="1"/>
  <c r="H14" i="19" s="1"/>
  <c r="L16" i="19"/>
  <c r="N16" i="19" s="1"/>
  <c r="M16" i="19" s="1"/>
  <c r="M193" i="5"/>
  <c r="L193" i="5"/>
  <c r="N193" i="5"/>
  <c r="L188" i="5"/>
  <c r="N188" i="5"/>
  <c r="M188" i="5"/>
  <c r="N160" i="5"/>
  <c r="M160" i="5"/>
  <c r="L160" i="5"/>
  <c r="M218" i="5"/>
  <c r="L218" i="5"/>
  <c r="N218" i="5"/>
  <c r="M194" i="5"/>
  <c r="L194" i="5"/>
  <c r="N194" i="5"/>
  <c r="N175" i="5"/>
  <c r="M175" i="5"/>
  <c r="L175" i="5"/>
  <c r="K81" i="5"/>
  <c r="J81" i="5"/>
  <c r="I81" i="5"/>
  <c r="H81" i="5"/>
  <c r="K77" i="5"/>
  <c r="J77" i="5"/>
  <c r="I77" i="5"/>
  <c r="H77" i="5"/>
  <c r="K73" i="5"/>
  <c r="J73" i="5"/>
  <c r="I73" i="5"/>
  <c r="H73" i="5"/>
  <c r="K69" i="5"/>
  <c r="J69" i="5"/>
  <c r="I69" i="5"/>
  <c r="H69" i="5"/>
  <c r="K65" i="5"/>
  <c r="J65" i="5"/>
  <c r="I65" i="5"/>
  <c r="H65" i="5"/>
  <c r="K61" i="5"/>
  <c r="J61" i="5"/>
  <c r="I61" i="5"/>
  <c r="H61" i="5"/>
  <c r="K57" i="5"/>
  <c r="J57" i="5"/>
  <c r="I57" i="5"/>
  <c r="H57" i="5"/>
  <c r="K53" i="5"/>
  <c r="J53" i="5"/>
  <c r="I53" i="5"/>
  <c r="H53" i="5"/>
  <c r="K49" i="5"/>
  <c r="J49" i="5"/>
  <c r="I49" i="5"/>
  <c r="H49" i="5"/>
  <c r="K45" i="5"/>
  <c r="J45" i="5"/>
  <c r="I45" i="5"/>
  <c r="H45" i="5"/>
  <c r="K41" i="5"/>
  <c r="J41" i="5"/>
  <c r="I41" i="5"/>
  <c r="H41" i="5"/>
  <c r="K37" i="5"/>
  <c r="J37" i="5"/>
  <c r="I37" i="5"/>
  <c r="H37" i="5"/>
  <c r="K33" i="5"/>
  <c r="J33" i="5"/>
  <c r="I33" i="5"/>
  <c r="H33" i="5"/>
  <c r="K29" i="5"/>
  <c r="J29" i="5"/>
  <c r="I29" i="5"/>
  <c r="H29" i="5"/>
  <c r="K25" i="5"/>
  <c r="J25" i="5"/>
  <c r="I25" i="5"/>
  <c r="H25" i="5"/>
  <c r="K21" i="5"/>
  <c r="J21" i="5"/>
  <c r="I21" i="5"/>
  <c r="H21" i="5"/>
  <c r="K17" i="5"/>
  <c r="J17" i="5"/>
  <c r="I17" i="5"/>
  <c r="H17" i="5"/>
  <c r="K13" i="5"/>
  <c r="J13" i="5"/>
  <c r="I13" i="5"/>
  <c r="H13" i="5"/>
  <c r="M220" i="5"/>
  <c r="L220" i="5"/>
  <c r="N220" i="5"/>
  <c r="M216" i="5"/>
  <c r="L216" i="5"/>
  <c r="N216" i="5"/>
  <c r="M212" i="5"/>
  <c r="L212" i="5"/>
  <c r="N212" i="5"/>
  <c r="M206" i="5"/>
  <c r="L206" i="5"/>
  <c r="N206" i="5"/>
  <c r="M198" i="5"/>
  <c r="L198" i="5"/>
  <c r="N198" i="5"/>
  <c r="L186" i="5"/>
  <c r="N186" i="5"/>
  <c r="M186" i="5"/>
  <c r="N178" i="5"/>
  <c r="M178" i="5"/>
  <c r="L178" i="5"/>
  <c r="N170" i="5"/>
  <c r="M170" i="5"/>
  <c r="L170" i="5"/>
  <c r="K6" i="5"/>
  <c r="I6" i="5"/>
  <c r="H6" i="5"/>
  <c r="J6" i="5"/>
  <c r="K5" i="5"/>
  <c r="I5" i="5"/>
  <c r="J5" i="5"/>
  <c r="H5" i="5"/>
  <c r="M209" i="5"/>
  <c r="L209" i="5"/>
  <c r="N209" i="5"/>
  <c r="M197" i="5"/>
  <c r="L197" i="5"/>
  <c r="N197" i="5"/>
  <c r="N156" i="5"/>
  <c r="M156" i="5"/>
  <c r="L156" i="5"/>
  <c r="N144" i="5"/>
  <c r="M144" i="5"/>
  <c r="L144" i="5"/>
  <c r="M214" i="5"/>
  <c r="L214" i="5"/>
  <c r="N214" i="5"/>
  <c r="H95" i="5"/>
  <c r="K95" i="5"/>
  <c r="I95" i="5"/>
  <c r="J95" i="5"/>
  <c r="M217" i="5"/>
  <c r="L217" i="5"/>
  <c r="N217" i="5"/>
  <c r="M208" i="5"/>
  <c r="L208" i="5"/>
  <c r="N208" i="5"/>
  <c r="M192" i="5"/>
  <c r="L192" i="5"/>
  <c r="N192" i="5"/>
  <c r="M187" i="5"/>
  <c r="M207" i="5"/>
  <c r="L207" i="5"/>
  <c r="N207" i="5"/>
  <c r="L189" i="5"/>
  <c r="N189" i="5"/>
  <c r="M189" i="5"/>
  <c r="N185" i="5"/>
  <c r="M185" i="5"/>
  <c r="L185" i="5"/>
  <c r="N181" i="5"/>
  <c r="M181" i="5"/>
  <c r="L181" i="5"/>
  <c r="N177" i="5"/>
  <c r="M177" i="5"/>
  <c r="L177" i="5"/>
  <c r="N173" i="5"/>
  <c r="M173" i="5"/>
  <c r="L173" i="5"/>
  <c r="N169" i="5"/>
  <c r="M169" i="5"/>
  <c r="L169" i="5"/>
  <c r="N165" i="5"/>
  <c r="M165" i="5"/>
  <c r="L165" i="5"/>
  <c r="N161" i="5"/>
  <c r="M161" i="5"/>
  <c r="L161" i="5"/>
  <c r="N157" i="5"/>
  <c r="M157" i="5"/>
  <c r="L157" i="5"/>
  <c r="N153" i="5"/>
  <c r="M153" i="5"/>
  <c r="L153" i="5"/>
  <c r="N149" i="5"/>
  <c r="M149" i="5"/>
  <c r="L149" i="5"/>
  <c r="N145" i="5"/>
  <c r="M145" i="5"/>
  <c r="L145" i="5"/>
  <c r="N141" i="5"/>
  <c r="M141" i="5"/>
  <c r="L141" i="5"/>
  <c r="N137" i="5"/>
  <c r="M137" i="5"/>
  <c r="L137" i="5"/>
  <c r="N180" i="5"/>
  <c r="M180" i="5"/>
  <c r="L180" i="5"/>
  <c r="H130" i="5"/>
  <c r="K130" i="5"/>
  <c r="J130" i="5"/>
  <c r="I130" i="5"/>
  <c r="H128" i="5"/>
  <c r="K128" i="5"/>
  <c r="J128" i="5"/>
  <c r="I128" i="5"/>
  <c r="H126" i="5"/>
  <c r="K126" i="5"/>
  <c r="J126" i="5"/>
  <c r="I126" i="5"/>
  <c r="H124" i="5"/>
  <c r="K124" i="5"/>
  <c r="J124" i="5"/>
  <c r="I124" i="5"/>
  <c r="H122" i="5"/>
  <c r="K122" i="5"/>
  <c r="J122" i="5"/>
  <c r="I122" i="5"/>
  <c r="H120" i="5"/>
  <c r="K120" i="5"/>
  <c r="J120" i="5"/>
  <c r="I120" i="5"/>
  <c r="H118" i="5"/>
  <c r="K118" i="5"/>
  <c r="J118" i="5"/>
  <c r="I118" i="5"/>
  <c r="H116" i="5"/>
  <c r="K116" i="5"/>
  <c r="J116" i="5"/>
  <c r="I116" i="5"/>
  <c r="H114" i="5"/>
  <c r="K114" i="5"/>
  <c r="J114" i="5"/>
  <c r="I114" i="5"/>
  <c r="H112" i="5"/>
  <c r="K112" i="5"/>
  <c r="J112" i="5"/>
  <c r="I112" i="5"/>
  <c r="H110" i="5"/>
  <c r="K110" i="5"/>
  <c r="J110" i="5"/>
  <c r="I110" i="5"/>
  <c r="H108" i="5"/>
  <c r="K108" i="5"/>
  <c r="J108" i="5"/>
  <c r="I108" i="5"/>
  <c r="H106" i="5"/>
  <c r="K106" i="5"/>
  <c r="J106" i="5"/>
  <c r="I106" i="5"/>
  <c r="H104" i="5"/>
  <c r="K104" i="5"/>
  <c r="J104" i="5"/>
  <c r="I104" i="5"/>
  <c r="H102" i="5"/>
  <c r="K102" i="5"/>
  <c r="J102" i="5"/>
  <c r="I102" i="5"/>
  <c r="H100" i="5"/>
  <c r="K100" i="5"/>
  <c r="J100" i="5"/>
  <c r="I100" i="5"/>
  <c r="N179" i="5"/>
  <c r="M179" i="5"/>
  <c r="L179" i="5"/>
  <c r="H90" i="5"/>
  <c r="K90" i="5"/>
  <c r="J90" i="5"/>
  <c r="I90" i="5"/>
  <c r="H86" i="5"/>
  <c r="K86" i="5"/>
  <c r="J86" i="5"/>
  <c r="I86" i="5"/>
  <c r="K84" i="5"/>
  <c r="J84" i="5"/>
  <c r="I84" i="5"/>
  <c r="H84" i="5"/>
  <c r="K80" i="5"/>
  <c r="J80" i="5"/>
  <c r="I80" i="5"/>
  <c r="H80" i="5"/>
  <c r="K76" i="5"/>
  <c r="J76" i="5"/>
  <c r="I76" i="5"/>
  <c r="H76" i="5"/>
  <c r="K72" i="5"/>
  <c r="J72" i="5"/>
  <c r="I72" i="5"/>
  <c r="H72" i="5"/>
  <c r="K68" i="5"/>
  <c r="J68" i="5"/>
  <c r="I68" i="5"/>
  <c r="H68" i="5"/>
  <c r="K64" i="5"/>
  <c r="J64" i="5"/>
  <c r="I64" i="5"/>
  <c r="H64" i="5"/>
  <c r="K60" i="5"/>
  <c r="J60" i="5"/>
  <c r="I60" i="5"/>
  <c r="H60" i="5"/>
  <c r="K56" i="5"/>
  <c r="J56" i="5"/>
  <c r="I56" i="5"/>
  <c r="H56" i="5"/>
  <c r="K52" i="5"/>
  <c r="J52" i="5"/>
  <c r="I52" i="5"/>
  <c r="H52" i="5"/>
  <c r="K48" i="5"/>
  <c r="J48" i="5"/>
  <c r="I48" i="5"/>
  <c r="H48" i="5"/>
  <c r="K44" i="5"/>
  <c r="J44" i="5"/>
  <c r="I44" i="5"/>
  <c r="H44" i="5"/>
  <c r="K40" i="5"/>
  <c r="J40" i="5"/>
  <c r="I40" i="5"/>
  <c r="H40" i="5"/>
  <c r="K36" i="5"/>
  <c r="J36" i="5"/>
  <c r="I36" i="5"/>
  <c r="H36" i="5"/>
  <c r="K32" i="5"/>
  <c r="J32" i="5"/>
  <c r="I32" i="5"/>
  <c r="H32" i="5"/>
  <c r="K28" i="5"/>
  <c r="J28" i="5"/>
  <c r="I28" i="5"/>
  <c r="H28" i="5"/>
  <c r="K24" i="5"/>
  <c r="J24" i="5"/>
  <c r="I24" i="5"/>
  <c r="H24" i="5"/>
  <c r="K20" i="5"/>
  <c r="J20" i="5"/>
  <c r="I20" i="5"/>
  <c r="H20" i="5"/>
  <c r="K16" i="5"/>
  <c r="J16" i="5"/>
  <c r="I16" i="5"/>
  <c r="H16" i="5"/>
  <c r="K12" i="5"/>
  <c r="J12" i="5"/>
  <c r="I12" i="5"/>
  <c r="H12" i="5"/>
  <c r="H97" i="5"/>
  <c r="K97" i="5"/>
  <c r="I97" i="5"/>
  <c r="J97" i="5"/>
  <c r="M134" i="5"/>
  <c r="K8" i="5"/>
  <c r="I8" i="5"/>
  <c r="H8" i="5"/>
  <c r="J8" i="5"/>
  <c r="K9" i="5"/>
  <c r="I9" i="5"/>
  <c r="J9" i="5"/>
  <c r="H9" i="5"/>
  <c r="L133" i="5"/>
  <c r="Q4" i="5"/>
  <c r="M201" i="5"/>
  <c r="L201" i="5"/>
  <c r="N201" i="5"/>
  <c r="M204" i="5"/>
  <c r="L204" i="5"/>
  <c r="N204" i="5"/>
  <c r="N164" i="5"/>
  <c r="M164" i="5"/>
  <c r="L164" i="5"/>
  <c r="M202" i="5"/>
  <c r="L202" i="5"/>
  <c r="N202" i="5"/>
  <c r="I248" i="5"/>
  <c r="H248" i="5"/>
  <c r="K248" i="5"/>
  <c r="J248" i="5"/>
  <c r="I244" i="5"/>
  <c r="H244" i="5"/>
  <c r="K244" i="5"/>
  <c r="J244" i="5"/>
  <c r="I240" i="5"/>
  <c r="H240" i="5"/>
  <c r="K240" i="5"/>
  <c r="J240" i="5"/>
  <c r="I236" i="5"/>
  <c r="H236" i="5"/>
  <c r="K236" i="5"/>
  <c r="J236" i="5"/>
  <c r="I232" i="5"/>
  <c r="H232" i="5"/>
  <c r="K232" i="5"/>
  <c r="J232" i="5"/>
  <c r="I228" i="5"/>
  <c r="H228" i="5"/>
  <c r="K228" i="5"/>
  <c r="J228" i="5"/>
  <c r="I224" i="5"/>
  <c r="H224" i="5"/>
  <c r="K224" i="5"/>
  <c r="J224" i="5"/>
  <c r="I249" i="5"/>
  <c r="H249" i="5"/>
  <c r="K249" i="5"/>
  <c r="J249" i="5"/>
  <c r="I245" i="5"/>
  <c r="H245" i="5"/>
  <c r="K245" i="5"/>
  <c r="J245" i="5"/>
  <c r="I241" i="5"/>
  <c r="H241" i="5"/>
  <c r="K241" i="5"/>
  <c r="J241" i="5"/>
  <c r="I237" i="5"/>
  <c r="H237" i="5"/>
  <c r="K237" i="5"/>
  <c r="J237" i="5"/>
  <c r="I233" i="5"/>
  <c r="H233" i="5"/>
  <c r="K233" i="5"/>
  <c r="J233" i="5"/>
  <c r="I229" i="5"/>
  <c r="H229" i="5"/>
  <c r="K229" i="5"/>
  <c r="J229" i="5"/>
  <c r="I225" i="5"/>
  <c r="H225" i="5"/>
  <c r="K225" i="5"/>
  <c r="J225" i="5"/>
  <c r="I246" i="5"/>
  <c r="H246" i="5"/>
  <c r="K246" i="5"/>
  <c r="J246" i="5"/>
  <c r="I247" i="5"/>
  <c r="H247" i="5"/>
  <c r="K247" i="5"/>
  <c r="J247" i="5"/>
  <c r="I243" i="5"/>
  <c r="H243" i="5"/>
  <c r="K243" i="5"/>
  <c r="J243" i="5"/>
  <c r="I239" i="5"/>
  <c r="H239" i="5"/>
  <c r="K239" i="5"/>
  <c r="J239" i="5"/>
  <c r="I235" i="5"/>
  <c r="H235" i="5"/>
  <c r="K235" i="5"/>
  <c r="J235" i="5"/>
  <c r="I231" i="5"/>
  <c r="H231" i="5"/>
  <c r="K231" i="5"/>
  <c r="J231" i="5"/>
  <c r="I227" i="5"/>
  <c r="H227" i="5"/>
  <c r="K227" i="5"/>
  <c r="J227" i="5"/>
  <c r="I223" i="5"/>
  <c r="H223" i="5"/>
  <c r="K223" i="5"/>
  <c r="J223" i="5"/>
  <c r="I242" i="5"/>
  <c r="H242" i="5"/>
  <c r="K242" i="5"/>
  <c r="J242" i="5"/>
  <c r="I234" i="5"/>
  <c r="H234" i="5"/>
  <c r="K234" i="5"/>
  <c r="J234" i="5"/>
  <c r="I226" i="5"/>
  <c r="H226" i="5"/>
  <c r="K226" i="5"/>
  <c r="J226" i="5"/>
  <c r="M219" i="5"/>
  <c r="L219" i="5"/>
  <c r="N219" i="5"/>
  <c r="M211" i="5"/>
  <c r="L211" i="5"/>
  <c r="N211" i="5"/>
  <c r="M196" i="5"/>
  <c r="L196" i="5"/>
  <c r="N196" i="5"/>
  <c r="N187" i="5"/>
  <c r="M195" i="5"/>
  <c r="L195" i="5"/>
  <c r="N195" i="5"/>
  <c r="N162" i="5"/>
  <c r="M162" i="5"/>
  <c r="L162" i="5"/>
  <c r="N158" i="5"/>
  <c r="M158" i="5"/>
  <c r="L158" i="5"/>
  <c r="N154" i="5"/>
  <c r="M154" i="5"/>
  <c r="L154" i="5"/>
  <c r="N150" i="5"/>
  <c r="M150" i="5"/>
  <c r="L150" i="5"/>
  <c r="N146" i="5"/>
  <c r="M146" i="5"/>
  <c r="L146" i="5"/>
  <c r="N142" i="5"/>
  <c r="M142" i="5"/>
  <c r="L142" i="5"/>
  <c r="N138" i="5"/>
  <c r="M138" i="5"/>
  <c r="L138" i="5"/>
  <c r="I238" i="5"/>
  <c r="H238" i="5"/>
  <c r="K238" i="5"/>
  <c r="J238" i="5"/>
  <c r="I222" i="5"/>
  <c r="H222" i="5"/>
  <c r="K222" i="5"/>
  <c r="J222" i="5"/>
  <c r="N184" i="5"/>
  <c r="M184" i="5"/>
  <c r="L184" i="5"/>
  <c r="N168" i="5"/>
  <c r="M168" i="5"/>
  <c r="L168" i="5"/>
  <c r="N183" i="5"/>
  <c r="M183" i="5"/>
  <c r="L183" i="5"/>
  <c r="N167" i="5"/>
  <c r="M167" i="5"/>
  <c r="L167" i="5"/>
  <c r="N89" i="5"/>
  <c r="N85" i="5"/>
  <c r="K83" i="5"/>
  <c r="J83" i="5"/>
  <c r="I83" i="5"/>
  <c r="H83" i="5"/>
  <c r="K79" i="5"/>
  <c r="J79" i="5"/>
  <c r="I79" i="5"/>
  <c r="H79" i="5"/>
  <c r="K75" i="5"/>
  <c r="J75" i="5"/>
  <c r="I75" i="5"/>
  <c r="H75" i="5"/>
  <c r="K71" i="5"/>
  <c r="J71" i="5"/>
  <c r="I71" i="5"/>
  <c r="H71" i="5"/>
  <c r="K67" i="5"/>
  <c r="J67" i="5"/>
  <c r="I67" i="5"/>
  <c r="H67" i="5"/>
  <c r="K63" i="5"/>
  <c r="J63" i="5"/>
  <c r="I63" i="5"/>
  <c r="H63" i="5"/>
  <c r="K59" i="5"/>
  <c r="J59" i="5"/>
  <c r="I59" i="5"/>
  <c r="H59" i="5"/>
  <c r="K55" i="5"/>
  <c r="J55" i="5"/>
  <c r="I55" i="5"/>
  <c r="H55" i="5"/>
  <c r="K51" i="5"/>
  <c r="J51" i="5"/>
  <c r="I51" i="5"/>
  <c r="H51" i="5"/>
  <c r="K47" i="5"/>
  <c r="J47" i="5"/>
  <c r="I47" i="5"/>
  <c r="H47" i="5"/>
  <c r="K43" i="5"/>
  <c r="J43" i="5"/>
  <c r="I43" i="5"/>
  <c r="H43" i="5"/>
  <c r="K39" i="5"/>
  <c r="J39" i="5"/>
  <c r="I39" i="5"/>
  <c r="H39" i="5"/>
  <c r="K35" i="5"/>
  <c r="J35" i="5"/>
  <c r="I35" i="5"/>
  <c r="H35" i="5"/>
  <c r="K31" i="5"/>
  <c r="J31" i="5"/>
  <c r="I31" i="5"/>
  <c r="H31" i="5"/>
  <c r="K27" i="5"/>
  <c r="J27" i="5"/>
  <c r="I27" i="5"/>
  <c r="H27" i="5"/>
  <c r="K23" i="5"/>
  <c r="J23" i="5"/>
  <c r="I23" i="5"/>
  <c r="H23" i="5"/>
  <c r="K19" i="5"/>
  <c r="J19" i="5"/>
  <c r="I19" i="5"/>
  <c r="H19" i="5"/>
  <c r="K15" i="5"/>
  <c r="J15" i="5"/>
  <c r="I15" i="5"/>
  <c r="H15" i="5"/>
  <c r="H99" i="5"/>
  <c r="K99" i="5"/>
  <c r="J99" i="5"/>
  <c r="I99" i="5"/>
  <c r="H91" i="5"/>
  <c r="K91" i="5"/>
  <c r="I91" i="5"/>
  <c r="J91" i="5"/>
  <c r="M85" i="5"/>
  <c r="K10" i="5"/>
  <c r="I10" i="5"/>
  <c r="J10" i="5"/>
  <c r="H10" i="5"/>
  <c r="M132" i="5"/>
  <c r="L87" i="5"/>
  <c r="N87" i="5"/>
  <c r="M87" i="5"/>
  <c r="H88" i="5"/>
  <c r="J88" i="5"/>
  <c r="I88" i="5"/>
  <c r="K88" i="5"/>
  <c r="K7" i="5"/>
  <c r="I7" i="5"/>
  <c r="J7" i="5"/>
  <c r="H7" i="5"/>
  <c r="M205" i="5"/>
  <c r="L205" i="5"/>
  <c r="N205" i="5"/>
  <c r="L191" i="5"/>
  <c r="N191" i="5"/>
  <c r="M191" i="5"/>
  <c r="M215" i="5"/>
  <c r="L215" i="5"/>
  <c r="N215" i="5"/>
  <c r="M203" i="5"/>
  <c r="L203" i="5"/>
  <c r="N203" i="5"/>
  <c r="L190" i="5"/>
  <c r="N190" i="5"/>
  <c r="M190" i="5"/>
  <c r="N152" i="5"/>
  <c r="M152" i="5"/>
  <c r="L152" i="5"/>
  <c r="N148" i="5"/>
  <c r="M148" i="5"/>
  <c r="L148" i="5"/>
  <c r="N140" i="5"/>
  <c r="M140" i="5"/>
  <c r="L140" i="5"/>
  <c r="N136" i="5"/>
  <c r="M136" i="5"/>
  <c r="L136" i="5"/>
  <c r="M210" i="5"/>
  <c r="L210" i="5"/>
  <c r="N210" i="5"/>
  <c r="N176" i="5"/>
  <c r="M176" i="5"/>
  <c r="L176" i="5"/>
  <c r="M221" i="5"/>
  <c r="L221" i="5"/>
  <c r="N221" i="5"/>
  <c r="M213" i="5"/>
  <c r="L213" i="5"/>
  <c r="N213" i="5"/>
  <c r="M200" i="5"/>
  <c r="L200" i="5"/>
  <c r="N200" i="5"/>
  <c r="M199" i="5"/>
  <c r="L199" i="5"/>
  <c r="N199" i="5"/>
  <c r="N163" i="5"/>
  <c r="M163" i="5"/>
  <c r="L163" i="5"/>
  <c r="N159" i="5"/>
  <c r="M159" i="5"/>
  <c r="L159" i="5"/>
  <c r="N155" i="5"/>
  <c r="M155" i="5"/>
  <c r="L155" i="5"/>
  <c r="N151" i="5"/>
  <c r="M151" i="5"/>
  <c r="L151" i="5"/>
  <c r="N147" i="5"/>
  <c r="M147" i="5"/>
  <c r="L147" i="5"/>
  <c r="N143" i="5"/>
  <c r="M143" i="5"/>
  <c r="L143" i="5"/>
  <c r="N139" i="5"/>
  <c r="M139" i="5"/>
  <c r="L139" i="5"/>
  <c r="N135" i="5"/>
  <c r="M135" i="5"/>
  <c r="L135" i="5"/>
  <c r="N172" i="5"/>
  <c r="M172" i="5"/>
  <c r="L172" i="5"/>
  <c r="H131" i="5"/>
  <c r="K131" i="5"/>
  <c r="J131" i="5"/>
  <c r="I131" i="5"/>
  <c r="H129" i="5"/>
  <c r="K129" i="5"/>
  <c r="J129" i="5"/>
  <c r="I129" i="5"/>
  <c r="H127" i="5"/>
  <c r="K127" i="5"/>
  <c r="J127" i="5"/>
  <c r="I127" i="5"/>
  <c r="H125" i="5"/>
  <c r="K125" i="5"/>
  <c r="J125" i="5"/>
  <c r="I125" i="5"/>
  <c r="H123" i="5"/>
  <c r="K123" i="5"/>
  <c r="J123" i="5"/>
  <c r="I123" i="5"/>
  <c r="H121" i="5"/>
  <c r="K121" i="5"/>
  <c r="J121" i="5"/>
  <c r="I121" i="5"/>
  <c r="H119" i="5"/>
  <c r="K119" i="5"/>
  <c r="J119" i="5"/>
  <c r="I119" i="5"/>
  <c r="H117" i="5"/>
  <c r="K117" i="5"/>
  <c r="J117" i="5"/>
  <c r="I117" i="5"/>
  <c r="H115" i="5"/>
  <c r="K115" i="5"/>
  <c r="J115" i="5"/>
  <c r="I115" i="5"/>
  <c r="H113" i="5"/>
  <c r="K113" i="5"/>
  <c r="J113" i="5"/>
  <c r="I113" i="5"/>
  <c r="H111" i="5"/>
  <c r="K111" i="5"/>
  <c r="J111" i="5"/>
  <c r="I111" i="5"/>
  <c r="H109" i="5"/>
  <c r="K109" i="5"/>
  <c r="J109" i="5"/>
  <c r="I109" i="5"/>
  <c r="H107" i="5"/>
  <c r="K107" i="5"/>
  <c r="J107" i="5"/>
  <c r="I107" i="5"/>
  <c r="H105" i="5"/>
  <c r="K105" i="5"/>
  <c r="J105" i="5"/>
  <c r="I105" i="5"/>
  <c r="H103" i="5"/>
  <c r="K103" i="5"/>
  <c r="J103" i="5"/>
  <c r="I103" i="5"/>
  <c r="H101" i="5"/>
  <c r="K101" i="5"/>
  <c r="J101" i="5"/>
  <c r="I101" i="5"/>
  <c r="N171" i="5"/>
  <c r="M171" i="5"/>
  <c r="L171" i="5"/>
  <c r="K82" i="5"/>
  <c r="J82" i="5"/>
  <c r="I82" i="5"/>
  <c r="H82" i="5"/>
  <c r="K78" i="5"/>
  <c r="J78" i="5"/>
  <c r="I78" i="5"/>
  <c r="H78" i="5"/>
  <c r="K74" i="5"/>
  <c r="J74" i="5"/>
  <c r="I74" i="5"/>
  <c r="H74" i="5"/>
  <c r="K70" i="5"/>
  <c r="J70" i="5"/>
  <c r="I70" i="5"/>
  <c r="H70" i="5"/>
  <c r="K66" i="5"/>
  <c r="J66" i="5"/>
  <c r="I66" i="5"/>
  <c r="H66" i="5"/>
  <c r="K62" i="5"/>
  <c r="J62" i="5"/>
  <c r="I62" i="5"/>
  <c r="H62" i="5"/>
  <c r="K58" i="5"/>
  <c r="J58" i="5"/>
  <c r="I58" i="5"/>
  <c r="H58" i="5"/>
  <c r="K54" i="5"/>
  <c r="J54" i="5"/>
  <c r="I54" i="5"/>
  <c r="H54" i="5"/>
  <c r="K50" i="5"/>
  <c r="J50" i="5"/>
  <c r="I50" i="5"/>
  <c r="H50" i="5"/>
  <c r="K46" i="5"/>
  <c r="J46" i="5"/>
  <c r="I46" i="5"/>
  <c r="H46" i="5"/>
  <c r="K42" i="5"/>
  <c r="J42" i="5"/>
  <c r="I42" i="5"/>
  <c r="H42" i="5"/>
  <c r="K38" i="5"/>
  <c r="J38" i="5"/>
  <c r="I38" i="5"/>
  <c r="H38" i="5"/>
  <c r="K34" i="5"/>
  <c r="J34" i="5"/>
  <c r="I34" i="5"/>
  <c r="H34" i="5"/>
  <c r="K30" i="5"/>
  <c r="J30" i="5"/>
  <c r="I30" i="5"/>
  <c r="H30" i="5"/>
  <c r="K26" i="5"/>
  <c r="J26" i="5"/>
  <c r="I26" i="5"/>
  <c r="H26" i="5"/>
  <c r="K22" i="5"/>
  <c r="J22" i="5"/>
  <c r="I22" i="5"/>
  <c r="H22" i="5"/>
  <c r="K18" i="5"/>
  <c r="J18" i="5"/>
  <c r="I18" i="5"/>
  <c r="H18" i="5"/>
  <c r="K14" i="5"/>
  <c r="J14" i="5"/>
  <c r="I14" i="5"/>
  <c r="H14" i="5"/>
  <c r="N182" i="5"/>
  <c r="M182" i="5"/>
  <c r="L182" i="5"/>
  <c r="N174" i="5"/>
  <c r="M174" i="5"/>
  <c r="L174" i="5"/>
  <c r="N166" i="5"/>
  <c r="M166" i="5"/>
  <c r="L166" i="5"/>
  <c r="H93" i="5"/>
  <c r="K93" i="5"/>
  <c r="I93" i="5"/>
  <c r="J93" i="5"/>
  <c r="I230" i="5"/>
  <c r="H230" i="5"/>
  <c r="K230" i="5"/>
  <c r="J230" i="5"/>
  <c r="R4" i="5"/>
  <c r="S4" i="5"/>
  <c r="H98" i="5"/>
  <c r="K98" i="5"/>
  <c r="J98" i="5"/>
  <c r="I98" i="5"/>
  <c r="H96" i="5"/>
  <c r="K96" i="5"/>
  <c r="J96" i="5"/>
  <c r="I96" i="5"/>
  <c r="H94" i="5"/>
  <c r="K94" i="5"/>
  <c r="J94" i="5"/>
  <c r="I94" i="5"/>
  <c r="H92" i="5"/>
  <c r="K92" i="5"/>
  <c r="J92" i="5"/>
  <c r="I92" i="5"/>
  <c r="K11" i="5"/>
  <c r="I11" i="5"/>
  <c r="J11" i="5"/>
  <c r="H11" i="5"/>
  <c r="C204" i="19" l="1"/>
  <c r="E204" i="19" s="1"/>
  <c r="D204" i="19" s="1"/>
  <c r="G204" i="19"/>
  <c r="I204" i="19" s="1"/>
  <c r="H204" i="19" s="1"/>
  <c r="L17" i="19"/>
  <c r="N17" i="19" s="1"/>
  <c r="M17" i="19" s="1"/>
  <c r="L205" i="19"/>
  <c r="N205" i="19" s="1"/>
  <c r="M205" i="19" s="1"/>
  <c r="G15" i="19"/>
  <c r="I15" i="19" s="1"/>
  <c r="H15" i="19" s="1"/>
  <c r="C18" i="19"/>
  <c r="E18" i="19" s="1"/>
  <c r="D18" i="19" s="1"/>
  <c r="M230" i="5"/>
  <c r="L230" i="5"/>
  <c r="N230" i="5"/>
  <c r="L100" i="5"/>
  <c r="N100" i="5"/>
  <c r="M100" i="5"/>
  <c r="L102" i="5"/>
  <c r="N102" i="5"/>
  <c r="M102" i="5"/>
  <c r="L104" i="5"/>
  <c r="N104" i="5"/>
  <c r="M104" i="5"/>
  <c r="L106" i="5"/>
  <c r="N106" i="5"/>
  <c r="M106" i="5"/>
  <c r="L108" i="5"/>
  <c r="N108" i="5"/>
  <c r="M108" i="5"/>
  <c r="L110" i="5"/>
  <c r="N110" i="5"/>
  <c r="M110" i="5"/>
  <c r="L112" i="5"/>
  <c r="N112" i="5"/>
  <c r="M112" i="5"/>
  <c r="L114" i="5"/>
  <c r="N114" i="5"/>
  <c r="M114" i="5"/>
  <c r="L116" i="5"/>
  <c r="N116" i="5"/>
  <c r="M116" i="5"/>
  <c r="L118" i="5"/>
  <c r="N118" i="5"/>
  <c r="M118" i="5"/>
  <c r="L120" i="5"/>
  <c r="N120" i="5"/>
  <c r="M120" i="5"/>
  <c r="L122" i="5"/>
  <c r="N122" i="5"/>
  <c r="M122" i="5"/>
  <c r="L124" i="5"/>
  <c r="N124" i="5"/>
  <c r="M124" i="5"/>
  <c r="L126" i="5"/>
  <c r="N126" i="5"/>
  <c r="M126" i="5"/>
  <c r="L128" i="5"/>
  <c r="N128" i="5"/>
  <c r="M128" i="5"/>
  <c r="L130" i="5"/>
  <c r="N130" i="5"/>
  <c r="M130" i="5"/>
  <c r="L92" i="5"/>
  <c r="M92" i="5"/>
  <c r="N92" i="5"/>
  <c r="L94" i="5"/>
  <c r="M94" i="5"/>
  <c r="N94" i="5"/>
  <c r="L96" i="5"/>
  <c r="M96" i="5"/>
  <c r="N96" i="5"/>
  <c r="L98" i="5"/>
  <c r="M98" i="5"/>
  <c r="N98" i="5"/>
  <c r="L93" i="5"/>
  <c r="N93" i="5"/>
  <c r="M93" i="5"/>
  <c r="L101" i="5"/>
  <c r="N101" i="5"/>
  <c r="M101" i="5"/>
  <c r="L103" i="5"/>
  <c r="N103" i="5"/>
  <c r="M103" i="5"/>
  <c r="L105" i="5"/>
  <c r="N105" i="5"/>
  <c r="M105" i="5"/>
  <c r="L107" i="5"/>
  <c r="N107" i="5"/>
  <c r="M107" i="5"/>
  <c r="L109" i="5"/>
  <c r="N109" i="5"/>
  <c r="M109" i="5"/>
  <c r="L111" i="5"/>
  <c r="N111" i="5"/>
  <c r="M111" i="5"/>
  <c r="L113" i="5"/>
  <c r="N113" i="5"/>
  <c r="M113" i="5"/>
  <c r="L115" i="5"/>
  <c r="N115" i="5"/>
  <c r="M115" i="5"/>
  <c r="L117" i="5"/>
  <c r="N117" i="5"/>
  <c r="M117" i="5"/>
  <c r="L119" i="5"/>
  <c r="N119" i="5"/>
  <c r="M119" i="5"/>
  <c r="L121" i="5"/>
  <c r="N121" i="5"/>
  <c r="M121" i="5"/>
  <c r="L123" i="5"/>
  <c r="N123" i="5"/>
  <c r="M123" i="5"/>
  <c r="L125" i="5"/>
  <c r="N125" i="5"/>
  <c r="M125" i="5"/>
  <c r="L127" i="5"/>
  <c r="N127" i="5"/>
  <c r="M127" i="5"/>
  <c r="L129" i="5"/>
  <c r="N129" i="5"/>
  <c r="M129" i="5"/>
  <c r="L131" i="5"/>
  <c r="N131" i="5"/>
  <c r="M131" i="5"/>
  <c r="L88" i="5"/>
  <c r="N88" i="5"/>
  <c r="M88" i="5"/>
  <c r="M226" i="5"/>
  <c r="L226" i="5"/>
  <c r="N226" i="5"/>
  <c r="M234" i="5"/>
  <c r="L234" i="5"/>
  <c r="N234" i="5"/>
  <c r="M242" i="5"/>
  <c r="L242" i="5"/>
  <c r="N242" i="5"/>
  <c r="M223" i="5"/>
  <c r="L223" i="5"/>
  <c r="N223" i="5"/>
  <c r="M227" i="5"/>
  <c r="L227" i="5"/>
  <c r="N227" i="5"/>
  <c r="M231" i="5"/>
  <c r="L231" i="5"/>
  <c r="N231" i="5"/>
  <c r="M235" i="5"/>
  <c r="L235" i="5"/>
  <c r="N235" i="5"/>
  <c r="M239" i="5"/>
  <c r="L239" i="5"/>
  <c r="N239" i="5"/>
  <c r="M243" i="5"/>
  <c r="L243" i="5"/>
  <c r="N243" i="5"/>
  <c r="M247" i="5"/>
  <c r="L247" i="5"/>
  <c r="N247" i="5"/>
  <c r="M246" i="5"/>
  <c r="L246" i="5"/>
  <c r="N246" i="5"/>
  <c r="M225" i="5"/>
  <c r="L225" i="5"/>
  <c r="N225" i="5"/>
  <c r="M229" i="5"/>
  <c r="L229" i="5"/>
  <c r="N229" i="5"/>
  <c r="M233" i="5"/>
  <c r="L233" i="5"/>
  <c r="N233" i="5"/>
  <c r="M237" i="5"/>
  <c r="L237" i="5"/>
  <c r="N237" i="5"/>
  <c r="M241" i="5"/>
  <c r="L241" i="5"/>
  <c r="N241" i="5"/>
  <c r="M245" i="5"/>
  <c r="L245" i="5"/>
  <c r="N245" i="5"/>
  <c r="M249" i="5"/>
  <c r="L249" i="5"/>
  <c r="N249" i="5"/>
  <c r="M224" i="5"/>
  <c r="L224" i="5"/>
  <c r="N224" i="5"/>
  <c r="M228" i="5"/>
  <c r="L228" i="5"/>
  <c r="N228" i="5"/>
  <c r="M232" i="5"/>
  <c r="L232" i="5"/>
  <c r="N232" i="5"/>
  <c r="M236" i="5"/>
  <c r="L236" i="5"/>
  <c r="N236" i="5"/>
  <c r="M240" i="5"/>
  <c r="L240" i="5"/>
  <c r="N240" i="5"/>
  <c r="M244" i="5"/>
  <c r="L244" i="5"/>
  <c r="N244" i="5"/>
  <c r="M248" i="5"/>
  <c r="L248" i="5"/>
  <c r="N248" i="5"/>
  <c r="M9" i="5"/>
  <c r="L9" i="5"/>
  <c r="N9" i="5"/>
  <c r="L97" i="5"/>
  <c r="N97" i="5"/>
  <c r="M97" i="5"/>
  <c r="L86" i="5"/>
  <c r="M86" i="5"/>
  <c r="N86" i="5"/>
  <c r="L90" i="5"/>
  <c r="M90" i="5"/>
  <c r="N90" i="5"/>
  <c r="N11" i="5"/>
  <c r="M11" i="5"/>
  <c r="L11" i="5"/>
  <c r="M7" i="5"/>
  <c r="L7" i="5"/>
  <c r="N7" i="5"/>
  <c r="M10" i="5"/>
  <c r="N10" i="5"/>
  <c r="L10" i="5"/>
  <c r="L91" i="5"/>
  <c r="N91" i="5"/>
  <c r="M91" i="5"/>
  <c r="L99" i="5"/>
  <c r="N99" i="5"/>
  <c r="M99" i="5"/>
  <c r="M8" i="5"/>
  <c r="N8" i="5"/>
  <c r="L8" i="5"/>
  <c r="N12" i="5"/>
  <c r="M12" i="5"/>
  <c r="L12" i="5"/>
  <c r="N16" i="5"/>
  <c r="M16" i="5"/>
  <c r="L16" i="5"/>
  <c r="N20" i="5"/>
  <c r="M20" i="5"/>
  <c r="L20" i="5"/>
  <c r="N24" i="5"/>
  <c r="M24" i="5"/>
  <c r="L24" i="5"/>
  <c r="N28" i="5"/>
  <c r="M28" i="5"/>
  <c r="L28" i="5"/>
  <c r="N32" i="5"/>
  <c r="M32" i="5"/>
  <c r="L32" i="5"/>
  <c r="N36" i="5"/>
  <c r="M36" i="5"/>
  <c r="L36" i="5"/>
  <c r="N40" i="5"/>
  <c r="M40" i="5"/>
  <c r="L40" i="5"/>
  <c r="N44" i="5"/>
  <c r="M44" i="5"/>
  <c r="L44" i="5"/>
  <c r="N48" i="5"/>
  <c r="M48" i="5"/>
  <c r="L48" i="5"/>
  <c r="N52" i="5"/>
  <c r="M52" i="5"/>
  <c r="L52" i="5"/>
  <c r="N56" i="5"/>
  <c r="M56" i="5"/>
  <c r="L56" i="5"/>
  <c r="N60" i="5"/>
  <c r="M60" i="5"/>
  <c r="L60" i="5"/>
  <c r="N64" i="5"/>
  <c r="M64" i="5"/>
  <c r="L64" i="5"/>
  <c r="N68" i="5"/>
  <c r="M68" i="5"/>
  <c r="L68" i="5"/>
  <c r="N72" i="5"/>
  <c r="M72" i="5"/>
  <c r="L72" i="5"/>
  <c r="N76" i="5"/>
  <c r="M76" i="5"/>
  <c r="L76" i="5"/>
  <c r="N80" i="5"/>
  <c r="M80" i="5"/>
  <c r="L80" i="5"/>
  <c r="N84" i="5"/>
  <c r="M84" i="5"/>
  <c r="L84" i="5"/>
  <c r="L95" i="5"/>
  <c r="N95" i="5"/>
  <c r="M95" i="5"/>
  <c r="M5" i="5"/>
  <c r="N5" i="5"/>
  <c r="L5" i="5"/>
  <c r="N13" i="5"/>
  <c r="M13" i="5"/>
  <c r="L13" i="5"/>
  <c r="N17" i="5"/>
  <c r="M17" i="5"/>
  <c r="L17" i="5"/>
  <c r="N21" i="5"/>
  <c r="M21" i="5"/>
  <c r="L21" i="5"/>
  <c r="N25" i="5"/>
  <c r="M25" i="5"/>
  <c r="L25" i="5"/>
  <c r="N29" i="5"/>
  <c r="M29" i="5"/>
  <c r="L29" i="5"/>
  <c r="N33" i="5"/>
  <c r="M33" i="5"/>
  <c r="L33" i="5"/>
  <c r="N37" i="5"/>
  <c r="M37" i="5"/>
  <c r="L37" i="5"/>
  <c r="N41" i="5"/>
  <c r="M41" i="5"/>
  <c r="L41" i="5"/>
  <c r="N45" i="5"/>
  <c r="M45" i="5"/>
  <c r="L45" i="5"/>
  <c r="N49" i="5"/>
  <c r="M49" i="5"/>
  <c r="L49" i="5"/>
  <c r="N53" i="5"/>
  <c r="M53" i="5"/>
  <c r="L53" i="5"/>
  <c r="N57" i="5"/>
  <c r="M57" i="5"/>
  <c r="L57" i="5"/>
  <c r="N61" i="5"/>
  <c r="M61" i="5"/>
  <c r="L61" i="5"/>
  <c r="N65" i="5"/>
  <c r="M65" i="5"/>
  <c r="L65" i="5"/>
  <c r="N69" i="5"/>
  <c r="M69" i="5"/>
  <c r="L69" i="5"/>
  <c r="N73" i="5"/>
  <c r="M73" i="5"/>
  <c r="L73" i="5"/>
  <c r="N77" i="5"/>
  <c r="M77" i="5"/>
  <c r="L77" i="5"/>
  <c r="N81" i="5"/>
  <c r="M81" i="5"/>
  <c r="L81" i="5"/>
  <c r="N14" i="5"/>
  <c r="M14" i="5"/>
  <c r="L14" i="5"/>
  <c r="N18" i="5"/>
  <c r="M18" i="5"/>
  <c r="L18" i="5"/>
  <c r="N22" i="5"/>
  <c r="M22" i="5"/>
  <c r="L22" i="5"/>
  <c r="N26" i="5"/>
  <c r="M26" i="5"/>
  <c r="L26" i="5"/>
  <c r="N30" i="5"/>
  <c r="M30" i="5"/>
  <c r="L30" i="5"/>
  <c r="N34" i="5"/>
  <c r="M34" i="5"/>
  <c r="L34" i="5"/>
  <c r="N38" i="5"/>
  <c r="M38" i="5"/>
  <c r="L38" i="5"/>
  <c r="N42" i="5"/>
  <c r="M42" i="5"/>
  <c r="L42" i="5"/>
  <c r="N46" i="5"/>
  <c r="M46" i="5"/>
  <c r="L46" i="5"/>
  <c r="N50" i="5"/>
  <c r="M50" i="5"/>
  <c r="L50" i="5"/>
  <c r="N54" i="5"/>
  <c r="M54" i="5"/>
  <c r="L54" i="5"/>
  <c r="N58" i="5"/>
  <c r="M58" i="5"/>
  <c r="L58" i="5"/>
  <c r="N62" i="5"/>
  <c r="M62" i="5"/>
  <c r="L62" i="5"/>
  <c r="N66" i="5"/>
  <c r="M66" i="5"/>
  <c r="L66" i="5"/>
  <c r="N70" i="5"/>
  <c r="M70" i="5"/>
  <c r="L70" i="5"/>
  <c r="N74" i="5"/>
  <c r="M74" i="5"/>
  <c r="L74" i="5"/>
  <c r="N78" i="5"/>
  <c r="M78" i="5"/>
  <c r="L78" i="5"/>
  <c r="N82" i="5"/>
  <c r="M82" i="5"/>
  <c r="L82" i="5"/>
  <c r="N15" i="5"/>
  <c r="M15" i="5"/>
  <c r="L15" i="5"/>
  <c r="N19" i="5"/>
  <c r="M19" i="5"/>
  <c r="L19" i="5"/>
  <c r="N23" i="5"/>
  <c r="M23" i="5"/>
  <c r="L23" i="5"/>
  <c r="N27" i="5"/>
  <c r="M27" i="5"/>
  <c r="L27" i="5"/>
  <c r="N31" i="5"/>
  <c r="M31" i="5"/>
  <c r="L31" i="5"/>
  <c r="N35" i="5"/>
  <c r="M35" i="5"/>
  <c r="L35" i="5"/>
  <c r="N39" i="5"/>
  <c r="M39" i="5"/>
  <c r="L39" i="5"/>
  <c r="N43" i="5"/>
  <c r="M43" i="5"/>
  <c r="L43" i="5"/>
  <c r="N47" i="5"/>
  <c r="M47" i="5"/>
  <c r="L47" i="5"/>
  <c r="N51" i="5"/>
  <c r="M51" i="5"/>
  <c r="L51" i="5"/>
  <c r="N55" i="5"/>
  <c r="M55" i="5"/>
  <c r="L55" i="5"/>
  <c r="N59" i="5"/>
  <c r="M59" i="5"/>
  <c r="L59" i="5"/>
  <c r="N63" i="5"/>
  <c r="M63" i="5"/>
  <c r="L63" i="5"/>
  <c r="N67" i="5"/>
  <c r="M67" i="5"/>
  <c r="L67" i="5"/>
  <c r="N71" i="5"/>
  <c r="M71" i="5"/>
  <c r="L71" i="5"/>
  <c r="N75" i="5"/>
  <c r="M75" i="5"/>
  <c r="L75" i="5"/>
  <c r="N79" i="5"/>
  <c r="M79" i="5"/>
  <c r="L79" i="5"/>
  <c r="N83" i="5"/>
  <c r="M83" i="5"/>
  <c r="L83" i="5"/>
  <c r="M222" i="5"/>
  <c r="L222" i="5"/>
  <c r="N222" i="5"/>
  <c r="M238" i="5"/>
  <c r="L238" i="5"/>
  <c r="N238" i="5"/>
  <c r="M6" i="5"/>
  <c r="N6" i="5"/>
  <c r="L6" i="5"/>
  <c r="L206" i="19" l="1"/>
  <c r="N206" i="19" s="1"/>
  <c r="M206" i="19" s="1"/>
  <c r="L18" i="19"/>
  <c r="N18" i="19" s="1"/>
  <c r="M18" i="19" s="1"/>
  <c r="C19" i="19"/>
  <c r="E19" i="19" s="1"/>
  <c r="D19" i="19" s="1"/>
  <c r="G205" i="19"/>
  <c r="I205" i="19" s="1"/>
  <c r="H205" i="19" s="1"/>
  <c r="G16" i="19"/>
  <c r="I16" i="19" s="1"/>
  <c r="H16" i="19" s="1"/>
  <c r="C205" i="19"/>
  <c r="E205" i="19" s="1"/>
  <c r="D205" i="19" s="1"/>
  <c r="N4" i="5"/>
  <c r="M4" i="5"/>
  <c r="L4" i="5"/>
  <c r="C20" i="19" l="1"/>
  <c r="E20" i="19" s="1"/>
  <c r="D20" i="19" s="1"/>
  <c r="G206" i="19"/>
  <c r="I206" i="19" s="1"/>
  <c r="H206" i="19" s="1"/>
  <c r="L19" i="19"/>
  <c r="N19" i="19" s="1"/>
  <c r="M19" i="19" s="1"/>
  <c r="C206" i="19"/>
  <c r="E206" i="19" s="1"/>
  <c r="D206" i="19" s="1"/>
  <c r="G17" i="19"/>
  <c r="I17" i="19" s="1"/>
  <c r="H17" i="19" s="1"/>
  <c r="L207" i="19"/>
  <c r="N207" i="19" s="1"/>
  <c r="M207" i="19" s="1"/>
  <c r="O4" i="5"/>
  <c r="P4" i="5"/>
  <c r="L20" i="19" l="1"/>
  <c r="N20" i="19" s="1"/>
  <c r="M20" i="19" s="1"/>
  <c r="L208" i="19"/>
  <c r="N208" i="19" s="1"/>
  <c r="M208" i="19" s="1"/>
  <c r="G207" i="19"/>
  <c r="I207" i="19" s="1"/>
  <c r="H207" i="19" s="1"/>
  <c r="C207" i="19"/>
  <c r="E207" i="19" s="1"/>
  <c r="D207" i="19" s="1"/>
  <c r="G18" i="19"/>
  <c r="I18" i="19" s="1"/>
  <c r="H18" i="19" s="1"/>
  <c r="C21" i="19"/>
  <c r="E21" i="19" s="1"/>
  <c r="D21" i="19" s="1"/>
  <c r="G208" i="19" l="1"/>
  <c r="I208" i="19" s="1"/>
  <c r="H208" i="19" s="1"/>
  <c r="C208" i="19"/>
  <c r="E208" i="19" s="1"/>
  <c r="D208" i="19" s="1"/>
  <c r="L209" i="19"/>
  <c r="N209" i="19" s="1"/>
  <c r="M209" i="19" s="1"/>
  <c r="C22" i="19"/>
  <c r="E22" i="19" s="1"/>
  <c r="D22" i="19" s="1"/>
  <c r="G19" i="19"/>
  <c r="I19" i="19" s="1"/>
  <c r="H19" i="19" s="1"/>
  <c r="L21" i="19"/>
  <c r="N21" i="19" s="1"/>
  <c r="M21" i="19"/>
  <c r="L210" i="19" l="1"/>
  <c r="N210" i="19" s="1"/>
  <c r="M210" i="19" s="1"/>
  <c r="C209" i="19"/>
  <c r="E209" i="19" s="1"/>
  <c r="D209" i="19" s="1"/>
  <c r="C23" i="19"/>
  <c r="E23" i="19" s="1"/>
  <c r="D23" i="19" s="1"/>
  <c r="G20" i="19"/>
  <c r="I20" i="19" s="1"/>
  <c r="H20" i="19" s="1"/>
  <c r="G209" i="19"/>
  <c r="I209" i="19" s="1"/>
  <c r="H209" i="19" s="1"/>
  <c r="L22" i="19"/>
  <c r="N22" i="19" s="1"/>
  <c r="M22" i="19" s="1"/>
  <c r="C24" i="19" l="1"/>
  <c r="E24" i="19" s="1"/>
  <c r="D24" i="19" s="1"/>
  <c r="G21" i="19"/>
  <c r="I21" i="19" s="1"/>
  <c r="H21" i="19" s="1"/>
  <c r="L23" i="19"/>
  <c r="N23" i="19" s="1"/>
  <c r="M23" i="19" s="1"/>
  <c r="C210" i="19"/>
  <c r="E210" i="19" s="1"/>
  <c r="D210" i="19" s="1"/>
  <c r="G210" i="19"/>
  <c r="I210" i="19" s="1"/>
  <c r="H210" i="19" s="1"/>
  <c r="L211" i="19"/>
  <c r="N211" i="19" s="1"/>
  <c r="M211" i="19" s="1"/>
  <c r="L24" i="19" l="1"/>
  <c r="N24" i="19" s="1"/>
  <c r="M24" i="19" s="1"/>
  <c r="C211" i="19"/>
  <c r="E211" i="19" s="1"/>
  <c r="D211" i="19" s="1"/>
  <c r="L212" i="19"/>
  <c r="N212" i="19" s="1"/>
  <c r="M212" i="19" s="1"/>
  <c r="G22" i="19"/>
  <c r="I22" i="19" s="1"/>
  <c r="H22" i="19" s="1"/>
  <c r="G211" i="19"/>
  <c r="I211" i="19" s="1"/>
  <c r="H211" i="19" s="1"/>
  <c r="C25" i="19"/>
  <c r="E25" i="19" s="1"/>
  <c r="D25" i="19" s="1"/>
  <c r="G212" i="19" l="1"/>
  <c r="I212" i="19" s="1"/>
  <c r="H212" i="19" s="1"/>
  <c r="G23" i="19"/>
  <c r="I23" i="19" s="1"/>
  <c r="H23" i="19" s="1"/>
  <c r="L213" i="19"/>
  <c r="N213" i="19" s="1"/>
  <c r="M213" i="19"/>
  <c r="C26" i="19"/>
  <c r="E26" i="19" s="1"/>
  <c r="D26" i="19" s="1"/>
  <c r="C212" i="19"/>
  <c r="E212" i="19" s="1"/>
  <c r="D212" i="19" s="1"/>
  <c r="L25" i="19"/>
  <c r="N25" i="19" s="1"/>
  <c r="M25" i="19"/>
  <c r="G24" i="19" l="1"/>
  <c r="I24" i="19" s="1"/>
  <c r="H24" i="19" s="1"/>
  <c r="C213" i="19"/>
  <c r="E213" i="19" s="1"/>
  <c r="D213" i="19" s="1"/>
  <c r="C27" i="19"/>
  <c r="E27" i="19" s="1"/>
  <c r="D27" i="19" s="1"/>
  <c r="G213" i="19"/>
  <c r="I213" i="19" s="1"/>
  <c r="H213" i="19" s="1"/>
  <c r="L26" i="19"/>
  <c r="N26" i="19" s="1"/>
  <c r="M26" i="19"/>
  <c r="L214" i="19"/>
  <c r="N214" i="19" s="1"/>
  <c r="M214" i="19" s="1"/>
  <c r="H214" i="19" l="1"/>
  <c r="G214" i="19"/>
  <c r="I214" i="19" s="1"/>
  <c r="C28" i="19"/>
  <c r="E28" i="19" s="1"/>
  <c r="D28" i="19" s="1"/>
  <c r="D214" i="19"/>
  <c r="C214" i="19"/>
  <c r="E214" i="19" s="1"/>
  <c r="M215" i="19"/>
  <c r="L215" i="19"/>
  <c r="N215" i="19" s="1"/>
  <c r="H25" i="19"/>
  <c r="G25" i="19"/>
  <c r="I25" i="19" s="1"/>
  <c r="M27" i="19"/>
  <c r="L27" i="19"/>
  <c r="N27" i="19" s="1"/>
  <c r="C29" i="19" l="1"/>
  <c r="E29" i="19" s="1"/>
  <c r="D29" i="19" s="1"/>
  <c r="L28" i="19"/>
  <c r="N28" i="19" s="1"/>
  <c r="M28" i="19" s="1"/>
  <c r="L216" i="19"/>
  <c r="N216" i="19" s="1"/>
  <c r="M216" i="19" s="1"/>
  <c r="G26" i="19"/>
  <c r="I26" i="19" s="1"/>
  <c r="H26" i="19" s="1"/>
  <c r="C215" i="19"/>
  <c r="E215" i="19" s="1"/>
  <c r="D215" i="19" s="1"/>
  <c r="G215" i="19"/>
  <c r="I215" i="19" s="1"/>
  <c r="H215" i="19" s="1"/>
  <c r="G27" i="19" l="1"/>
  <c r="I27" i="19" s="1"/>
  <c r="H27" i="19" s="1"/>
  <c r="L217" i="19"/>
  <c r="N217" i="19" s="1"/>
  <c r="M217" i="19" s="1"/>
  <c r="L29" i="19"/>
  <c r="N29" i="19" s="1"/>
  <c r="M29" i="19"/>
  <c r="H216" i="19"/>
  <c r="G216" i="19"/>
  <c r="I216" i="19" s="1"/>
  <c r="C216" i="19"/>
  <c r="E216" i="19" s="1"/>
  <c r="D216" i="19" s="1"/>
  <c r="C30" i="19"/>
  <c r="E30" i="19" s="1"/>
  <c r="D30" i="19" s="1"/>
  <c r="C31" i="19" l="1"/>
  <c r="E31" i="19" s="1"/>
  <c r="D31" i="19" s="1"/>
  <c r="C217" i="19"/>
  <c r="E217" i="19" s="1"/>
  <c r="D217" i="19" s="1"/>
  <c r="L218" i="19"/>
  <c r="N218" i="19" s="1"/>
  <c r="M218" i="19" s="1"/>
  <c r="G28" i="19"/>
  <c r="I28" i="19" s="1"/>
  <c r="H28" i="19" s="1"/>
  <c r="G217" i="19"/>
  <c r="I217" i="19" s="1"/>
  <c r="H217" i="19" s="1"/>
  <c r="L30" i="19"/>
  <c r="N30" i="19" s="1"/>
  <c r="M30" i="19"/>
  <c r="G218" i="19" l="1"/>
  <c r="I218" i="19" s="1"/>
  <c r="H218" i="19" s="1"/>
  <c r="G29" i="19"/>
  <c r="I29" i="19" s="1"/>
  <c r="H29" i="19" s="1"/>
  <c r="L219" i="19"/>
  <c r="N219" i="19" s="1"/>
  <c r="M219" i="19" s="1"/>
  <c r="C218" i="19"/>
  <c r="E218" i="19" s="1"/>
  <c r="D218" i="19" s="1"/>
  <c r="C32" i="19"/>
  <c r="E32" i="19" s="1"/>
  <c r="D32" i="19"/>
  <c r="L31" i="19"/>
  <c r="N31" i="19" s="1"/>
  <c r="M31" i="19" s="1"/>
  <c r="C219" i="19" l="1"/>
  <c r="E219" i="19" s="1"/>
  <c r="D219" i="19" s="1"/>
  <c r="L32" i="19"/>
  <c r="N32" i="19" s="1"/>
  <c r="M32" i="19" s="1"/>
  <c r="L220" i="19"/>
  <c r="N220" i="19" s="1"/>
  <c r="M220" i="19" s="1"/>
  <c r="G30" i="19"/>
  <c r="I30" i="19" s="1"/>
  <c r="H30" i="19" s="1"/>
  <c r="G219" i="19"/>
  <c r="I219" i="19" s="1"/>
  <c r="H219" i="19" s="1"/>
  <c r="C33" i="19"/>
  <c r="E33" i="19" s="1"/>
  <c r="D33" i="19" s="1"/>
  <c r="G31" i="19" l="1"/>
  <c r="I31" i="19" s="1"/>
  <c r="H31" i="19" s="1"/>
  <c r="L221" i="19"/>
  <c r="N221" i="19" s="1"/>
  <c r="M221" i="19" s="1"/>
  <c r="L33" i="19"/>
  <c r="N33" i="19" s="1"/>
  <c r="M33" i="19"/>
  <c r="C34" i="19"/>
  <c r="E34" i="19" s="1"/>
  <c r="D34" i="19" s="1"/>
  <c r="G220" i="19"/>
  <c r="I220" i="19" s="1"/>
  <c r="H220" i="19" s="1"/>
  <c r="C220" i="19"/>
  <c r="E220" i="19" s="1"/>
  <c r="D220" i="19" s="1"/>
  <c r="C35" i="19" l="1"/>
  <c r="E35" i="19" s="1"/>
  <c r="D35" i="19" s="1"/>
  <c r="C221" i="19"/>
  <c r="E221" i="19" s="1"/>
  <c r="D221" i="19" s="1"/>
  <c r="L222" i="19"/>
  <c r="N222" i="19" s="1"/>
  <c r="M222" i="19" s="1"/>
  <c r="G221" i="19"/>
  <c r="I221" i="19" s="1"/>
  <c r="H221" i="19" s="1"/>
  <c r="G32" i="19"/>
  <c r="I32" i="19" s="1"/>
  <c r="H32" i="19" s="1"/>
  <c r="L34" i="19"/>
  <c r="N34" i="19" s="1"/>
  <c r="M34" i="19" s="1"/>
  <c r="G222" i="19" l="1"/>
  <c r="I222" i="19" s="1"/>
  <c r="H222" i="19" s="1"/>
  <c r="L223" i="19"/>
  <c r="N223" i="19" s="1"/>
  <c r="M223" i="19" s="1"/>
  <c r="C222" i="19"/>
  <c r="E222" i="19" s="1"/>
  <c r="D222" i="19" s="1"/>
  <c r="L35" i="19"/>
  <c r="N35" i="19" s="1"/>
  <c r="M35" i="19" s="1"/>
  <c r="G33" i="19"/>
  <c r="I33" i="19" s="1"/>
  <c r="H33" i="19"/>
  <c r="C36" i="19"/>
  <c r="E36" i="19" s="1"/>
  <c r="D36" i="19" s="1"/>
  <c r="M36" i="19" l="1"/>
  <c r="L36" i="19"/>
  <c r="N36" i="19" s="1"/>
  <c r="D223" i="19"/>
  <c r="C223" i="19"/>
  <c r="E223" i="19" s="1"/>
  <c r="D37" i="19"/>
  <c r="C37" i="19"/>
  <c r="E37" i="19" s="1"/>
  <c r="M224" i="19"/>
  <c r="L224" i="19"/>
  <c r="N224" i="19" s="1"/>
  <c r="H223" i="19"/>
  <c r="G223" i="19"/>
  <c r="I223" i="19" s="1"/>
  <c r="H34" i="19"/>
  <c r="G34" i="19"/>
  <c r="I34" i="19" s="1"/>
  <c r="G35" i="19" l="1"/>
  <c r="I35" i="19" s="1"/>
  <c r="H35" i="19" s="1"/>
  <c r="G224" i="19"/>
  <c r="I224" i="19" s="1"/>
  <c r="H224" i="19" s="1"/>
  <c r="C38" i="19"/>
  <c r="E38" i="19" s="1"/>
  <c r="D38" i="19" s="1"/>
  <c r="L37" i="19"/>
  <c r="N37" i="19" s="1"/>
  <c r="M37" i="19" s="1"/>
  <c r="L225" i="19"/>
  <c r="N225" i="19" s="1"/>
  <c r="M225" i="19"/>
  <c r="C224" i="19"/>
  <c r="E224" i="19" s="1"/>
  <c r="D224" i="19" s="1"/>
  <c r="L38" i="19" l="1"/>
  <c r="N38" i="19" s="1"/>
  <c r="M38" i="19" s="1"/>
  <c r="C225" i="19"/>
  <c r="E225" i="19" s="1"/>
  <c r="D225" i="19" s="1"/>
  <c r="C39" i="19"/>
  <c r="E39" i="19" s="1"/>
  <c r="D39" i="19" s="1"/>
  <c r="G225" i="19"/>
  <c r="I225" i="19" s="1"/>
  <c r="H225" i="19" s="1"/>
  <c r="G36" i="19"/>
  <c r="I36" i="19" s="1"/>
  <c r="H36" i="19" s="1"/>
  <c r="L226" i="19"/>
  <c r="N226" i="19" s="1"/>
  <c r="M226" i="19" s="1"/>
  <c r="G226" i="19" l="1"/>
  <c r="I226" i="19" s="1"/>
  <c r="H226" i="19" s="1"/>
  <c r="C40" i="19"/>
  <c r="E40" i="19" s="1"/>
  <c r="D40" i="19" s="1"/>
  <c r="L227" i="19"/>
  <c r="N227" i="19" s="1"/>
  <c r="M227" i="19" s="1"/>
  <c r="C226" i="19"/>
  <c r="E226" i="19" s="1"/>
  <c r="D226" i="19" s="1"/>
  <c r="G37" i="19"/>
  <c r="I37" i="19" s="1"/>
  <c r="H37" i="19" s="1"/>
  <c r="L39" i="19"/>
  <c r="N39" i="19" s="1"/>
  <c r="M39" i="19" s="1"/>
  <c r="C227" i="19" l="1"/>
  <c r="E227" i="19" s="1"/>
  <c r="D227" i="19" s="1"/>
  <c r="L228" i="19"/>
  <c r="N228" i="19" s="1"/>
  <c r="M228" i="19" s="1"/>
  <c r="C41" i="19"/>
  <c r="E41" i="19" s="1"/>
  <c r="D41" i="19" s="1"/>
  <c r="L40" i="19"/>
  <c r="N40" i="19" s="1"/>
  <c r="M40" i="19" s="1"/>
  <c r="G38" i="19"/>
  <c r="I38" i="19" s="1"/>
  <c r="H38" i="19" s="1"/>
  <c r="G227" i="19"/>
  <c r="I227" i="19" s="1"/>
  <c r="H227" i="19" s="1"/>
  <c r="L41" i="19" l="1"/>
  <c r="N41" i="19" s="1"/>
  <c r="M41" i="19"/>
  <c r="C42" i="19"/>
  <c r="E42" i="19" s="1"/>
  <c r="D42" i="19" s="1"/>
  <c r="G228" i="19"/>
  <c r="I228" i="19" s="1"/>
  <c r="H228" i="19" s="1"/>
  <c r="L229" i="19"/>
  <c r="N229" i="19" s="1"/>
  <c r="M229" i="19" s="1"/>
  <c r="G39" i="19"/>
  <c r="I39" i="19" s="1"/>
  <c r="H39" i="19" s="1"/>
  <c r="C228" i="19"/>
  <c r="E228" i="19" s="1"/>
  <c r="D228" i="19" s="1"/>
  <c r="G229" i="19" l="1"/>
  <c r="I229" i="19" s="1"/>
  <c r="H229" i="19" s="1"/>
  <c r="C43" i="19"/>
  <c r="E43" i="19" s="1"/>
  <c r="D43" i="19" s="1"/>
  <c r="C229" i="19"/>
  <c r="E229" i="19" s="1"/>
  <c r="D229" i="19" s="1"/>
  <c r="G40" i="19"/>
  <c r="I40" i="19" s="1"/>
  <c r="H40" i="19" s="1"/>
  <c r="L230" i="19"/>
  <c r="N230" i="19" s="1"/>
  <c r="M230" i="19" s="1"/>
  <c r="L42" i="19"/>
  <c r="N42" i="19" s="1"/>
  <c r="M42" i="19" s="1"/>
  <c r="C230" i="19" l="1"/>
  <c r="E230" i="19" s="1"/>
  <c r="D230" i="19" s="1"/>
  <c r="G41" i="19"/>
  <c r="I41" i="19" s="1"/>
  <c r="H41" i="19" s="1"/>
  <c r="L43" i="19"/>
  <c r="N43" i="19" s="1"/>
  <c r="M43" i="19" s="1"/>
  <c r="C44" i="19"/>
  <c r="E44" i="19" s="1"/>
  <c r="D44" i="19" s="1"/>
  <c r="L231" i="19"/>
  <c r="N231" i="19" s="1"/>
  <c r="M231" i="19" s="1"/>
  <c r="G230" i="19"/>
  <c r="I230" i="19" s="1"/>
  <c r="H230" i="19" s="1"/>
  <c r="C45" i="19" l="1"/>
  <c r="E45" i="19" s="1"/>
  <c r="D45" i="19" s="1"/>
  <c r="L44" i="19"/>
  <c r="N44" i="19" s="1"/>
  <c r="M44" i="19" s="1"/>
  <c r="G231" i="19"/>
  <c r="I231" i="19" s="1"/>
  <c r="H231" i="19" s="1"/>
  <c r="G42" i="19"/>
  <c r="I42" i="19" s="1"/>
  <c r="H42" i="19" s="1"/>
  <c r="L232" i="19"/>
  <c r="N232" i="19" s="1"/>
  <c r="M232" i="19" s="1"/>
  <c r="C231" i="19"/>
  <c r="E231" i="19" s="1"/>
  <c r="D231" i="19" s="1"/>
  <c r="G43" i="19" l="1"/>
  <c r="I43" i="19" s="1"/>
  <c r="H43" i="19" s="1"/>
  <c r="G232" i="19"/>
  <c r="I232" i="19" s="1"/>
  <c r="H232" i="19" s="1"/>
  <c r="C232" i="19"/>
  <c r="E232" i="19" s="1"/>
  <c r="D232" i="19" s="1"/>
  <c r="L45" i="19"/>
  <c r="N45" i="19" s="1"/>
  <c r="M45" i="19"/>
  <c r="L233" i="19"/>
  <c r="N233" i="19" s="1"/>
  <c r="M233" i="19"/>
  <c r="C46" i="19"/>
  <c r="E46" i="19" s="1"/>
  <c r="D46" i="19" s="1"/>
  <c r="C47" i="19" l="1"/>
  <c r="E47" i="19" s="1"/>
  <c r="D47" i="19" s="1"/>
  <c r="C233" i="19"/>
  <c r="E233" i="19" s="1"/>
  <c r="D233" i="19" s="1"/>
  <c r="G233" i="19"/>
  <c r="I233" i="19" s="1"/>
  <c r="H233" i="19" s="1"/>
  <c r="G44" i="19"/>
  <c r="I44" i="19" s="1"/>
  <c r="H44" i="19" s="1"/>
  <c r="L46" i="19"/>
  <c r="N46" i="19" s="1"/>
  <c r="M46" i="19"/>
  <c r="L234" i="19"/>
  <c r="N234" i="19" s="1"/>
  <c r="M234" i="19" s="1"/>
  <c r="G45" i="19" l="1"/>
  <c r="I45" i="19" s="1"/>
  <c r="H45" i="19" s="1"/>
  <c r="G234" i="19"/>
  <c r="I234" i="19" s="1"/>
  <c r="H234" i="19" s="1"/>
  <c r="C234" i="19"/>
  <c r="E234" i="19" s="1"/>
  <c r="D234" i="19" s="1"/>
  <c r="L235" i="19"/>
  <c r="N235" i="19" s="1"/>
  <c r="M235" i="19" s="1"/>
  <c r="C48" i="19"/>
  <c r="E48" i="19" s="1"/>
  <c r="D48" i="19" s="1"/>
  <c r="L47" i="19"/>
  <c r="N47" i="19" s="1"/>
  <c r="M47" i="19" s="1"/>
  <c r="L236" i="19" l="1"/>
  <c r="N236" i="19" s="1"/>
  <c r="M236" i="19" s="1"/>
  <c r="C235" i="19"/>
  <c r="E235" i="19" s="1"/>
  <c r="D235" i="19" s="1"/>
  <c r="L48" i="19"/>
  <c r="N48" i="19" s="1"/>
  <c r="M48" i="19" s="1"/>
  <c r="G235" i="19"/>
  <c r="I235" i="19" s="1"/>
  <c r="H235" i="19" s="1"/>
  <c r="C49" i="19"/>
  <c r="E49" i="19" s="1"/>
  <c r="D49" i="19" s="1"/>
  <c r="G46" i="19"/>
  <c r="I46" i="19" s="1"/>
  <c r="H46" i="19" s="1"/>
  <c r="G236" i="19" l="1"/>
  <c r="I236" i="19" s="1"/>
  <c r="H236" i="19" s="1"/>
  <c r="L49" i="19"/>
  <c r="N49" i="19" s="1"/>
  <c r="M49" i="19" s="1"/>
  <c r="G47" i="19"/>
  <c r="I47" i="19" s="1"/>
  <c r="H47" i="19" s="1"/>
  <c r="D236" i="19"/>
  <c r="C236" i="19"/>
  <c r="E236" i="19" s="1"/>
  <c r="C50" i="19"/>
  <c r="E50" i="19" s="1"/>
  <c r="D50" i="19" s="1"/>
  <c r="L237" i="19"/>
  <c r="N237" i="19" s="1"/>
  <c r="M237" i="19" s="1"/>
  <c r="L238" i="19" l="1"/>
  <c r="N238" i="19" s="1"/>
  <c r="M238" i="19" s="1"/>
  <c r="G48" i="19"/>
  <c r="I48" i="19" s="1"/>
  <c r="H48" i="19" s="1"/>
  <c r="C51" i="19"/>
  <c r="E51" i="19" s="1"/>
  <c r="D51" i="19" s="1"/>
  <c r="L50" i="19"/>
  <c r="N50" i="19" s="1"/>
  <c r="M50" i="19" s="1"/>
  <c r="G237" i="19"/>
  <c r="I237" i="19" s="1"/>
  <c r="H237" i="19" s="1"/>
  <c r="C237" i="19"/>
  <c r="E237" i="19" s="1"/>
  <c r="D237" i="19" s="1"/>
  <c r="L51" i="19" l="1"/>
  <c r="N51" i="19" s="1"/>
  <c r="M51" i="19" s="1"/>
  <c r="C52" i="19"/>
  <c r="E52" i="19" s="1"/>
  <c r="D52" i="19" s="1"/>
  <c r="G49" i="19"/>
  <c r="I49" i="19" s="1"/>
  <c r="H49" i="19"/>
  <c r="D238" i="19"/>
  <c r="C238" i="19"/>
  <c r="E238" i="19" s="1"/>
  <c r="G238" i="19"/>
  <c r="I238" i="19" s="1"/>
  <c r="H238" i="19" s="1"/>
  <c r="L239" i="19"/>
  <c r="N239" i="19" s="1"/>
  <c r="M239" i="19" s="1"/>
  <c r="L240" i="19" l="1"/>
  <c r="N240" i="19" s="1"/>
  <c r="M240" i="19" s="1"/>
  <c r="G239" i="19"/>
  <c r="I239" i="19" s="1"/>
  <c r="H239" i="19" s="1"/>
  <c r="C53" i="19"/>
  <c r="E53" i="19" s="1"/>
  <c r="D53" i="19" s="1"/>
  <c r="L52" i="19"/>
  <c r="N52" i="19" s="1"/>
  <c r="M52" i="19" s="1"/>
  <c r="C239" i="19"/>
  <c r="E239" i="19" s="1"/>
  <c r="D239" i="19" s="1"/>
  <c r="G50" i="19"/>
  <c r="I50" i="19" s="1"/>
  <c r="H50" i="19" s="1"/>
  <c r="L53" i="19" l="1"/>
  <c r="N53" i="19" s="1"/>
  <c r="M53" i="19" s="1"/>
  <c r="C54" i="19"/>
  <c r="E54" i="19" s="1"/>
  <c r="D54" i="19" s="1"/>
  <c r="G51" i="19"/>
  <c r="I51" i="19" s="1"/>
  <c r="H51" i="19" s="1"/>
  <c r="G240" i="19"/>
  <c r="I240" i="19" s="1"/>
  <c r="H240" i="19" s="1"/>
  <c r="C240" i="19"/>
  <c r="E240" i="19" s="1"/>
  <c r="D240" i="19" s="1"/>
  <c r="L241" i="19"/>
  <c r="N241" i="19" s="1"/>
  <c r="M241" i="19"/>
  <c r="G241" i="19" l="1"/>
  <c r="I241" i="19" s="1"/>
  <c r="H241" i="19" s="1"/>
  <c r="G52" i="19"/>
  <c r="I52" i="19" s="1"/>
  <c r="H52" i="19" s="1"/>
  <c r="C55" i="19"/>
  <c r="E55" i="19" s="1"/>
  <c r="D55" i="19" s="1"/>
  <c r="C241" i="19"/>
  <c r="E241" i="19" s="1"/>
  <c r="D241" i="19" s="1"/>
  <c r="L54" i="19"/>
  <c r="N54" i="19" s="1"/>
  <c r="M54" i="19"/>
  <c r="L242" i="19"/>
  <c r="N242" i="19" s="1"/>
  <c r="M242" i="19" s="1"/>
  <c r="C242" i="19" l="1"/>
  <c r="E242" i="19" s="1"/>
  <c r="D242" i="19" s="1"/>
  <c r="C56" i="19"/>
  <c r="E56" i="19" s="1"/>
  <c r="D56" i="19" s="1"/>
  <c r="G53" i="19"/>
  <c r="I53" i="19" s="1"/>
  <c r="H53" i="19" s="1"/>
  <c r="L243" i="19"/>
  <c r="N243" i="19" s="1"/>
  <c r="M243" i="19" s="1"/>
  <c r="G242" i="19"/>
  <c r="I242" i="19" s="1"/>
  <c r="H242" i="19" s="1"/>
  <c r="L55" i="19"/>
  <c r="N55" i="19" s="1"/>
  <c r="M55" i="19" s="1"/>
  <c r="G54" i="19" l="1"/>
  <c r="I54" i="19" s="1"/>
  <c r="H54" i="19" s="1"/>
  <c r="L56" i="19"/>
  <c r="N56" i="19" s="1"/>
  <c r="M56" i="19" s="1"/>
  <c r="L244" i="19"/>
  <c r="N244" i="19" s="1"/>
  <c r="M244" i="19" s="1"/>
  <c r="C57" i="19"/>
  <c r="E57" i="19" s="1"/>
  <c r="D57" i="19" s="1"/>
  <c r="G243" i="19"/>
  <c r="I243" i="19" s="1"/>
  <c r="H243" i="19" s="1"/>
  <c r="C243" i="19"/>
  <c r="E243" i="19" s="1"/>
  <c r="D243" i="19" s="1"/>
  <c r="C58" i="19" l="1"/>
  <c r="E58" i="19" s="1"/>
  <c r="D58" i="19" s="1"/>
  <c r="L245" i="19"/>
  <c r="N245" i="19" s="1"/>
  <c r="M245" i="19" s="1"/>
  <c r="C244" i="19"/>
  <c r="E244" i="19" s="1"/>
  <c r="D244" i="19" s="1"/>
  <c r="L57" i="19"/>
  <c r="N57" i="19" s="1"/>
  <c r="M57" i="19" s="1"/>
  <c r="G244" i="19"/>
  <c r="I244" i="19" s="1"/>
  <c r="H244" i="19" s="1"/>
  <c r="H55" i="19"/>
  <c r="G55" i="19"/>
  <c r="I55" i="19" s="1"/>
  <c r="L58" i="19" l="1"/>
  <c r="N58" i="19" s="1"/>
  <c r="M58" i="19" s="1"/>
  <c r="C245" i="19"/>
  <c r="E245" i="19" s="1"/>
  <c r="D245" i="19" s="1"/>
  <c r="L246" i="19"/>
  <c r="N246" i="19" s="1"/>
  <c r="M246" i="19" s="1"/>
  <c r="G245" i="19"/>
  <c r="I245" i="19" s="1"/>
  <c r="H245" i="19" s="1"/>
  <c r="C59" i="19"/>
  <c r="E59" i="19" s="1"/>
  <c r="D59" i="19" s="1"/>
  <c r="G56" i="19"/>
  <c r="I56" i="19" s="1"/>
  <c r="H56" i="19" s="1"/>
  <c r="G246" i="19" l="1"/>
  <c r="I246" i="19" s="1"/>
  <c r="H246" i="19" s="1"/>
  <c r="L247" i="19"/>
  <c r="N247" i="19" s="1"/>
  <c r="M247" i="19" s="1"/>
  <c r="G57" i="19"/>
  <c r="I57" i="19" s="1"/>
  <c r="H57" i="19"/>
  <c r="C246" i="19"/>
  <c r="E246" i="19" s="1"/>
  <c r="D246" i="19" s="1"/>
  <c r="C60" i="19"/>
  <c r="E60" i="19" s="1"/>
  <c r="D60" i="19"/>
  <c r="L59" i="19"/>
  <c r="N59" i="19" s="1"/>
  <c r="M59" i="19" s="1"/>
  <c r="L60" i="19" l="1"/>
  <c r="N60" i="19" s="1"/>
  <c r="M60" i="19" s="1"/>
  <c r="L248" i="19"/>
  <c r="N248" i="19" s="1"/>
  <c r="M248" i="19" s="1"/>
  <c r="C247" i="19"/>
  <c r="E247" i="19" s="1"/>
  <c r="D247" i="19" s="1"/>
  <c r="G247" i="19"/>
  <c r="I247" i="19" s="1"/>
  <c r="H247" i="19" s="1"/>
  <c r="C61" i="19"/>
  <c r="E61" i="19" s="1"/>
  <c r="D61" i="19" s="1"/>
  <c r="G58" i="19"/>
  <c r="I58" i="19" s="1"/>
  <c r="H58" i="19" s="1"/>
  <c r="G248" i="19" l="1"/>
  <c r="I248" i="19" s="1"/>
  <c r="H248" i="19" s="1"/>
  <c r="C248" i="19"/>
  <c r="E248" i="19" s="1"/>
  <c r="D248" i="19" s="1"/>
  <c r="G59" i="19"/>
  <c r="I59" i="19" s="1"/>
  <c r="H59" i="19" s="1"/>
  <c r="L249" i="19"/>
  <c r="N249" i="19" s="1"/>
  <c r="M249" i="19"/>
  <c r="C62" i="19"/>
  <c r="E62" i="19" s="1"/>
  <c r="D62" i="19" s="1"/>
  <c r="L61" i="19"/>
  <c r="N61" i="19" s="1"/>
  <c r="M61" i="19" s="1"/>
  <c r="C249" i="19" l="1"/>
  <c r="E249" i="19" s="1"/>
  <c r="D249" i="19" s="1"/>
  <c r="G249" i="19"/>
  <c r="I249" i="19" s="1"/>
  <c r="H249" i="19" s="1"/>
  <c r="C63" i="19"/>
  <c r="E63" i="19" s="1"/>
  <c r="D63" i="19" s="1"/>
  <c r="L62" i="19"/>
  <c r="N62" i="19" s="1"/>
  <c r="M62" i="19" s="1"/>
  <c r="G60" i="19"/>
  <c r="I60" i="19" s="1"/>
  <c r="H60" i="19" s="1"/>
  <c r="L250" i="19"/>
  <c r="N250" i="19" s="1"/>
  <c r="M250" i="19" s="1"/>
  <c r="L63" i="19" l="1"/>
  <c r="N63" i="19" s="1"/>
  <c r="M63" i="19" s="1"/>
  <c r="C64" i="19"/>
  <c r="E64" i="19" s="1"/>
  <c r="D64" i="19" s="1"/>
  <c r="L251" i="19"/>
  <c r="N251" i="19" s="1"/>
  <c r="M251" i="19" s="1"/>
  <c r="H250" i="19"/>
  <c r="G250" i="19"/>
  <c r="I250" i="19" s="1"/>
  <c r="G61" i="19"/>
  <c r="I61" i="19" s="1"/>
  <c r="H61" i="19"/>
  <c r="C250" i="19"/>
  <c r="E250" i="19" s="1"/>
  <c r="D250" i="19" s="1"/>
  <c r="C251" i="19" l="1"/>
  <c r="E251" i="19" s="1"/>
  <c r="D251" i="19" s="1"/>
  <c r="L252" i="19"/>
  <c r="N252" i="19" s="1"/>
  <c r="M252" i="19" s="1"/>
  <c r="C65" i="19"/>
  <c r="E65" i="19" s="1"/>
  <c r="D65" i="19" s="1"/>
  <c r="L64" i="19"/>
  <c r="N64" i="19" s="1"/>
  <c r="M64" i="19" s="1"/>
  <c r="G251" i="19"/>
  <c r="I251" i="19" s="1"/>
  <c r="H251" i="19" s="1"/>
  <c r="G62" i="19"/>
  <c r="I62" i="19" s="1"/>
  <c r="H62" i="19" s="1"/>
  <c r="L253" i="19" l="1"/>
  <c r="N253" i="19" s="1"/>
  <c r="M253" i="19" s="1"/>
  <c r="C252" i="19"/>
  <c r="E252" i="19" s="1"/>
  <c r="D252" i="19" s="1"/>
  <c r="G63" i="19"/>
  <c r="I63" i="19" s="1"/>
  <c r="H63" i="19" s="1"/>
  <c r="G252" i="19"/>
  <c r="I252" i="19" s="1"/>
  <c r="H252" i="19" s="1"/>
  <c r="L65" i="19"/>
  <c r="N65" i="19" s="1"/>
  <c r="M65" i="19" s="1"/>
  <c r="C66" i="19"/>
  <c r="E66" i="19" s="1"/>
  <c r="D66" i="19" s="1"/>
  <c r="G253" i="19" l="1"/>
  <c r="I253" i="19" s="1"/>
  <c r="H253" i="19" s="1"/>
  <c r="C67" i="19"/>
  <c r="E67" i="19" s="1"/>
  <c r="D67" i="19" s="1"/>
  <c r="G64" i="19"/>
  <c r="I64" i="19" s="1"/>
  <c r="H64" i="19" s="1"/>
  <c r="C253" i="19"/>
  <c r="E253" i="19" s="1"/>
  <c r="D253" i="19" s="1"/>
  <c r="L66" i="19"/>
  <c r="N66" i="19" s="1"/>
  <c r="M66" i="19"/>
  <c r="L254" i="19"/>
  <c r="N254" i="19" s="1"/>
  <c r="M254" i="19" s="1"/>
  <c r="C254" i="19" l="1"/>
  <c r="E254" i="19" s="1"/>
  <c r="D254" i="19" s="1"/>
  <c r="G65" i="19"/>
  <c r="I65" i="19" s="1"/>
  <c r="H65" i="19" s="1"/>
  <c r="C68" i="19"/>
  <c r="E68" i="19" s="1"/>
  <c r="D68" i="19"/>
  <c r="L255" i="19"/>
  <c r="N255" i="19" s="1"/>
  <c r="M255" i="19" s="1"/>
  <c r="G254" i="19"/>
  <c r="I254" i="19" s="1"/>
  <c r="H254" i="19" s="1"/>
  <c r="L67" i="19"/>
  <c r="N67" i="19" s="1"/>
  <c r="M67" i="19" s="1"/>
  <c r="G255" i="19" l="1"/>
  <c r="I255" i="19" s="1"/>
  <c r="H255" i="19" s="1"/>
  <c r="L68" i="19"/>
  <c r="N68" i="19" s="1"/>
  <c r="M68" i="19" s="1"/>
  <c r="G66" i="19"/>
  <c r="I66" i="19" s="1"/>
  <c r="H66" i="19" s="1"/>
  <c r="L256" i="19"/>
  <c r="N256" i="19" s="1"/>
  <c r="M256" i="19" s="1"/>
  <c r="C255" i="19"/>
  <c r="E255" i="19" s="1"/>
  <c r="D255" i="19" s="1"/>
  <c r="C69" i="19"/>
  <c r="E69" i="19" s="1"/>
  <c r="D69" i="19" s="1"/>
  <c r="C256" i="19" l="1"/>
  <c r="E256" i="19" s="1"/>
  <c r="D256" i="19" s="1"/>
  <c r="L257" i="19"/>
  <c r="N257" i="19" s="1"/>
  <c r="M257" i="19" s="1"/>
  <c r="G67" i="19"/>
  <c r="I67" i="19" s="1"/>
  <c r="H67" i="19" s="1"/>
  <c r="D70" i="19"/>
  <c r="C70" i="19"/>
  <c r="E70" i="19" s="1"/>
  <c r="L69" i="19"/>
  <c r="N69" i="19" s="1"/>
  <c r="M69" i="19"/>
  <c r="G256" i="19"/>
  <c r="I256" i="19" s="1"/>
  <c r="H256" i="19" s="1"/>
  <c r="G257" i="19" l="1"/>
  <c r="I257" i="19" s="1"/>
  <c r="H257" i="19" s="1"/>
  <c r="G68" i="19"/>
  <c r="I68" i="19" s="1"/>
  <c r="H68" i="19" s="1"/>
  <c r="L258" i="19"/>
  <c r="N258" i="19" s="1"/>
  <c r="M258" i="19" s="1"/>
  <c r="C257" i="19"/>
  <c r="E257" i="19" s="1"/>
  <c r="D257" i="19" s="1"/>
  <c r="C71" i="19"/>
  <c r="E71" i="19" s="1"/>
  <c r="D71" i="19" s="1"/>
  <c r="L70" i="19"/>
  <c r="N70" i="19" s="1"/>
  <c r="M70" i="19"/>
  <c r="C258" i="19" l="1"/>
  <c r="E258" i="19" s="1"/>
  <c r="D258" i="19" s="1"/>
  <c r="L259" i="19"/>
  <c r="N259" i="19" s="1"/>
  <c r="M259" i="19" s="1"/>
  <c r="G69" i="19"/>
  <c r="I69" i="19" s="1"/>
  <c r="H69" i="19"/>
  <c r="C72" i="19"/>
  <c r="E72" i="19" s="1"/>
  <c r="D72" i="19" s="1"/>
  <c r="G258" i="19"/>
  <c r="I258" i="19" s="1"/>
  <c r="H258" i="19" s="1"/>
  <c r="L71" i="19"/>
  <c r="N71" i="19" s="1"/>
  <c r="M71" i="19" s="1"/>
  <c r="L72" i="19" l="1"/>
  <c r="N72" i="19" s="1"/>
  <c r="M72" i="19" s="1"/>
  <c r="G259" i="19"/>
  <c r="I259" i="19" s="1"/>
  <c r="H259" i="19" s="1"/>
  <c r="L260" i="19"/>
  <c r="N260" i="19" s="1"/>
  <c r="M260" i="19" s="1"/>
  <c r="C73" i="19"/>
  <c r="E73" i="19" s="1"/>
  <c r="D73" i="19" s="1"/>
  <c r="C259" i="19"/>
  <c r="E259" i="19" s="1"/>
  <c r="D259" i="19" s="1"/>
  <c r="G70" i="19"/>
  <c r="I70" i="19" s="1"/>
  <c r="H70" i="19" s="1"/>
  <c r="C74" i="19" l="1"/>
  <c r="E74" i="19" s="1"/>
  <c r="D74" i="19" s="1"/>
  <c r="L261" i="19"/>
  <c r="N261" i="19" s="1"/>
  <c r="M261" i="19" s="1"/>
  <c r="G260" i="19"/>
  <c r="I260" i="19" s="1"/>
  <c r="H260" i="19" s="1"/>
  <c r="H71" i="19"/>
  <c r="G71" i="19"/>
  <c r="I71" i="19" s="1"/>
  <c r="C260" i="19"/>
  <c r="E260" i="19" s="1"/>
  <c r="D260" i="19" s="1"/>
  <c r="L73" i="19"/>
  <c r="N73" i="19" s="1"/>
  <c r="M73" i="19" s="1"/>
  <c r="L74" i="19" l="1"/>
  <c r="N74" i="19" s="1"/>
  <c r="M74" i="19" s="1"/>
  <c r="G261" i="19"/>
  <c r="I261" i="19" s="1"/>
  <c r="H261" i="19" s="1"/>
  <c r="C261" i="19"/>
  <c r="E261" i="19" s="1"/>
  <c r="D261" i="19" s="1"/>
  <c r="L262" i="19"/>
  <c r="N262" i="19" s="1"/>
  <c r="M262" i="19" s="1"/>
  <c r="C75" i="19"/>
  <c r="E75" i="19" s="1"/>
  <c r="D75" i="19" s="1"/>
  <c r="G72" i="19"/>
  <c r="I72" i="19" s="1"/>
  <c r="H72" i="19" s="1"/>
  <c r="L263" i="19" l="1"/>
  <c r="N263" i="19" s="1"/>
  <c r="M263" i="19" s="1"/>
  <c r="G73" i="19"/>
  <c r="I73" i="19" s="1"/>
  <c r="H73" i="19" s="1"/>
  <c r="C262" i="19"/>
  <c r="E262" i="19" s="1"/>
  <c r="D262" i="19" s="1"/>
  <c r="H262" i="19"/>
  <c r="G262" i="19"/>
  <c r="I262" i="19" s="1"/>
  <c r="C76" i="19"/>
  <c r="E76" i="19" s="1"/>
  <c r="D76" i="19"/>
  <c r="L75" i="19"/>
  <c r="N75" i="19" s="1"/>
  <c r="M75" i="19" s="1"/>
  <c r="L76" i="19" l="1"/>
  <c r="N76" i="19" s="1"/>
  <c r="M76" i="19" s="1"/>
  <c r="C263" i="19"/>
  <c r="E263" i="19" s="1"/>
  <c r="D263" i="19" s="1"/>
  <c r="G74" i="19"/>
  <c r="I74" i="19" s="1"/>
  <c r="H74" i="19" s="1"/>
  <c r="L264" i="19"/>
  <c r="N264" i="19" s="1"/>
  <c r="M264" i="19" s="1"/>
  <c r="G263" i="19"/>
  <c r="I263" i="19" s="1"/>
  <c r="H263" i="19" s="1"/>
  <c r="C77" i="19"/>
  <c r="E77" i="19" s="1"/>
  <c r="D77" i="19" s="1"/>
  <c r="L265" i="19" l="1"/>
  <c r="N265" i="19" s="1"/>
  <c r="M265" i="19" s="1"/>
  <c r="H75" i="19"/>
  <c r="G75" i="19"/>
  <c r="I75" i="19" s="1"/>
  <c r="C78" i="19"/>
  <c r="E78" i="19" s="1"/>
  <c r="D78" i="19" s="1"/>
  <c r="C264" i="19"/>
  <c r="E264" i="19" s="1"/>
  <c r="D264" i="19" s="1"/>
  <c r="G264" i="19"/>
  <c r="I264" i="19" s="1"/>
  <c r="H264" i="19" s="1"/>
  <c r="L77" i="19"/>
  <c r="N77" i="19" s="1"/>
  <c r="M77" i="19" s="1"/>
  <c r="C79" i="19" l="1"/>
  <c r="E79" i="19" s="1"/>
  <c r="D79" i="19" s="1"/>
  <c r="L78" i="19"/>
  <c r="N78" i="19" s="1"/>
  <c r="M78" i="19" s="1"/>
  <c r="G265" i="19"/>
  <c r="I265" i="19" s="1"/>
  <c r="H265" i="19" s="1"/>
  <c r="C265" i="19"/>
  <c r="E265" i="19" s="1"/>
  <c r="D265" i="19" s="1"/>
  <c r="L266" i="19"/>
  <c r="N266" i="19" s="1"/>
  <c r="M266" i="19" s="1"/>
  <c r="G76" i="19"/>
  <c r="I76" i="19" s="1"/>
  <c r="H76" i="19" s="1"/>
  <c r="C266" i="19" l="1"/>
  <c r="E266" i="19" s="1"/>
  <c r="D266" i="19" s="1"/>
  <c r="G266" i="19"/>
  <c r="I266" i="19" s="1"/>
  <c r="H266" i="19" s="1"/>
  <c r="G77" i="19"/>
  <c r="I77" i="19" s="1"/>
  <c r="H77" i="19"/>
  <c r="L79" i="19"/>
  <c r="N79" i="19" s="1"/>
  <c r="M79" i="19" s="1"/>
  <c r="L267" i="19"/>
  <c r="N267" i="19" s="1"/>
  <c r="M267" i="19" s="1"/>
  <c r="C80" i="19"/>
  <c r="E80" i="19" s="1"/>
  <c r="D80" i="19"/>
  <c r="C267" i="19" l="1"/>
  <c r="E267" i="19" s="1"/>
  <c r="D267" i="19" s="1"/>
  <c r="L268" i="19"/>
  <c r="N268" i="19" s="1"/>
  <c r="M268" i="19" s="1"/>
  <c r="G267" i="19"/>
  <c r="I267" i="19" s="1"/>
  <c r="H267" i="19" s="1"/>
  <c r="L80" i="19"/>
  <c r="N80" i="19" s="1"/>
  <c r="M80" i="19" s="1"/>
  <c r="C81" i="19"/>
  <c r="E81" i="19" s="1"/>
  <c r="D81" i="19" s="1"/>
  <c r="G78" i="19"/>
  <c r="I78" i="19" s="1"/>
  <c r="H78" i="19" s="1"/>
  <c r="C82" i="19" l="1"/>
  <c r="E82" i="19" s="1"/>
  <c r="D82" i="19" s="1"/>
  <c r="L81" i="19"/>
  <c r="N81" i="19" s="1"/>
  <c r="M81" i="19" s="1"/>
  <c r="G268" i="19"/>
  <c r="I268" i="19" s="1"/>
  <c r="H268" i="19" s="1"/>
  <c r="H79" i="19"/>
  <c r="G79" i="19"/>
  <c r="I79" i="19" s="1"/>
  <c r="L269" i="19"/>
  <c r="N269" i="19" s="1"/>
  <c r="M269" i="19"/>
  <c r="C268" i="19"/>
  <c r="E268" i="19" s="1"/>
  <c r="D268" i="19" s="1"/>
  <c r="G269" i="19" l="1"/>
  <c r="I269" i="19" s="1"/>
  <c r="H269" i="19" s="1"/>
  <c r="C269" i="19"/>
  <c r="E269" i="19" s="1"/>
  <c r="D269" i="19" s="1"/>
  <c r="L82" i="19"/>
  <c r="N82" i="19" s="1"/>
  <c r="M82" i="19" s="1"/>
  <c r="C83" i="19"/>
  <c r="E83" i="19" s="1"/>
  <c r="D83" i="19" s="1"/>
  <c r="G80" i="19"/>
  <c r="I80" i="19" s="1"/>
  <c r="H80" i="19" s="1"/>
  <c r="L270" i="19"/>
  <c r="N270" i="19" s="1"/>
  <c r="M270" i="19" s="1"/>
  <c r="L271" i="19" l="1"/>
  <c r="N271" i="19" s="1"/>
  <c r="M271" i="19" s="1"/>
  <c r="G81" i="19"/>
  <c r="I81" i="19" s="1"/>
  <c r="H81" i="19" s="1"/>
  <c r="C84" i="19"/>
  <c r="E84" i="19" s="1"/>
  <c r="D84" i="19"/>
  <c r="C270" i="19"/>
  <c r="E270" i="19" s="1"/>
  <c r="D270" i="19" s="1"/>
  <c r="G270" i="19"/>
  <c r="I270" i="19" s="1"/>
  <c r="H270" i="19" s="1"/>
  <c r="L83" i="19"/>
  <c r="N83" i="19" s="1"/>
  <c r="M83" i="19" s="1"/>
  <c r="L84" i="19" l="1"/>
  <c r="N84" i="19" s="1"/>
  <c r="M84" i="19" s="1"/>
  <c r="G271" i="19"/>
  <c r="I271" i="19" s="1"/>
  <c r="H271" i="19" s="1"/>
  <c r="G82" i="19"/>
  <c r="I82" i="19" s="1"/>
  <c r="H82" i="19" s="1"/>
  <c r="C271" i="19"/>
  <c r="E271" i="19" s="1"/>
  <c r="D271" i="19" s="1"/>
  <c r="L272" i="19"/>
  <c r="N272" i="19" s="1"/>
  <c r="M272" i="19" s="1"/>
  <c r="C85" i="19"/>
  <c r="E85" i="19" s="1"/>
  <c r="D85" i="19" s="1"/>
  <c r="L273" i="19" l="1"/>
  <c r="N273" i="19" s="1"/>
  <c r="M273" i="19" s="1"/>
  <c r="C272" i="19"/>
  <c r="E272" i="19" s="1"/>
  <c r="D272" i="19" s="1"/>
  <c r="G83" i="19"/>
  <c r="I83" i="19" s="1"/>
  <c r="H83" i="19" s="1"/>
  <c r="G272" i="19"/>
  <c r="I272" i="19" s="1"/>
  <c r="H272" i="19" s="1"/>
  <c r="C86" i="19"/>
  <c r="E86" i="19" s="1"/>
  <c r="D86" i="19" s="1"/>
  <c r="L85" i="19"/>
  <c r="N85" i="19" s="1"/>
  <c r="M85" i="19" s="1"/>
  <c r="G273" i="19" l="1"/>
  <c r="I273" i="19" s="1"/>
  <c r="H273" i="19" s="1"/>
  <c r="G84" i="19"/>
  <c r="I84" i="19" s="1"/>
  <c r="H84" i="19" s="1"/>
  <c r="L86" i="19"/>
  <c r="N86" i="19" s="1"/>
  <c r="M86" i="19" s="1"/>
  <c r="C273" i="19"/>
  <c r="E273" i="19" s="1"/>
  <c r="D273" i="19" s="1"/>
  <c r="C87" i="19"/>
  <c r="E87" i="19" s="1"/>
  <c r="D87" i="19" s="1"/>
  <c r="L274" i="19"/>
  <c r="N274" i="19" s="1"/>
  <c r="M274" i="19" s="1"/>
  <c r="C274" i="19" l="1"/>
  <c r="E274" i="19" s="1"/>
  <c r="D274" i="19" s="1"/>
  <c r="L87" i="19"/>
  <c r="N87" i="19" s="1"/>
  <c r="M87" i="19" s="1"/>
  <c r="L275" i="19"/>
  <c r="N275" i="19" s="1"/>
  <c r="M275" i="19" s="1"/>
  <c r="G85" i="19"/>
  <c r="I85" i="19" s="1"/>
  <c r="H85" i="19"/>
  <c r="C88" i="19"/>
  <c r="E88" i="19" s="1"/>
  <c r="D88" i="19"/>
  <c r="G274" i="19"/>
  <c r="I274" i="19" s="1"/>
  <c r="H274" i="19" s="1"/>
  <c r="G275" i="19" l="1"/>
  <c r="I275" i="19" s="1"/>
  <c r="H275" i="19" s="1"/>
  <c r="L276" i="19"/>
  <c r="N276" i="19" s="1"/>
  <c r="M276" i="19" s="1"/>
  <c r="L88" i="19"/>
  <c r="N88" i="19" s="1"/>
  <c r="M88" i="19" s="1"/>
  <c r="C275" i="19"/>
  <c r="E275" i="19" s="1"/>
  <c r="D275" i="19" s="1"/>
  <c r="G86" i="19"/>
  <c r="I86" i="19" s="1"/>
  <c r="H86" i="19" s="1"/>
  <c r="C89" i="19"/>
  <c r="E89" i="19" s="1"/>
  <c r="D89" i="19" s="1"/>
  <c r="C276" i="19" l="1"/>
  <c r="E276" i="19" s="1"/>
  <c r="D276" i="19" s="1"/>
  <c r="L89" i="19"/>
  <c r="N89" i="19" s="1"/>
  <c r="M89" i="19" s="1"/>
  <c r="C90" i="19"/>
  <c r="E90" i="19" s="1"/>
  <c r="D90" i="19" s="1"/>
  <c r="L277" i="19"/>
  <c r="N277" i="19" s="1"/>
  <c r="M277" i="19" s="1"/>
  <c r="G87" i="19"/>
  <c r="I87" i="19" s="1"/>
  <c r="H87" i="19" s="1"/>
  <c r="H276" i="19"/>
  <c r="G276" i="19"/>
  <c r="I276" i="19" s="1"/>
  <c r="L278" i="19" l="1"/>
  <c r="N278" i="19" s="1"/>
  <c r="M278" i="19" s="1"/>
  <c r="C91" i="19"/>
  <c r="E91" i="19" s="1"/>
  <c r="D91" i="19" s="1"/>
  <c r="L90" i="19"/>
  <c r="N90" i="19" s="1"/>
  <c r="M90" i="19" s="1"/>
  <c r="G88" i="19"/>
  <c r="I88" i="19" s="1"/>
  <c r="H88" i="19" s="1"/>
  <c r="D277" i="19"/>
  <c r="C277" i="19"/>
  <c r="E277" i="19" s="1"/>
  <c r="G277" i="19"/>
  <c r="I277" i="19" s="1"/>
  <c r="H277" i="19" s="1"/>
  <c r="L279" i="19" l="1"/>
  <c r="N279" i="19" s="1"/>
  <c r="M279" i="19" s="1"/>
  <c r="G89" i="19"/>
  <c r="I89" i="19" s="1"/>
  <c r="H89" i="19" s="1"/>
  <c r="G278" i="19"/>
  <c r="I278" i="19" s="1"/>
  <c r="H278" i="19" s="1"/>
  <c r="L91" i="19"/>
  <c r="N91" i="19" s="1"/>
  <c r="M91" i="19" s="1"/>
  <c r="C92" i="19"/>
  <c r="E92" i="19" s="1"/>
  <c r="D92" i="19" s="1"/>
  <c r="C278" i="19"/>
  <c r="E278" i="19" s="1"/>
  <c r="D278" i="19" s="1"/>
  <c r="G279" i="19" l="1"/>
  <c r="I279" i="19" s="1"/>
  <c r="H279" i="19" s="1"/>
  <c r="G90" i="19"/>
  <c r="I90" i="19" s="1"/>
  <c r="H90" i="19" s="1"/>
  <c r="L92" i="19"/>
  <c r="N92" i="19" s="1"/>
  <c r="M92" i="19" s="1"/>
  <c r="C279" i="19"/>
  <c r="E279" i="19" s="1"/>
  <c r="D279" i="19" s="1"/>
  <c r="C93" i="19"/>
  <c r="E93" i="19" s="1"/>
  <c r="D93" i="19" s="1"/>
  <c r="L280" i="19"/>
  <c r="N280" i="19" s="1"/>
  <c r="M280" i="19" s="1"/>
  <c r="C280" i="19" l="1"/>
  <c r="E280" i="19" s="1"/>
  <c r="D280" i="19" s="1"/>
  <c r="G280" i="19"/>
  <c r="I280" i="19" s="1"/>
  <c r="H280" i="19" s="1"/>
  <c r="L93" i="19"/>
  <c r="N93" i="19" s="1"/>
  <c r="M93" i="19" s="1"/>
  <c r="L281" i="19"/>
  <c r="N281" i="19" s="1"/>
  <c r="M281" i="19" s="1"/>
  <c r="G91" i="19"/>
  <c r="I91" i="19" s="1"/>
  <c r="H91" i="19" s="1"/>
  <c r="C94" i="19"/>
  <c r="E94" i="19" s="1"/>
  <c r="D94" i="19" s="1"/>
  <c r="L282" i="19" l="1"/>
  <c r="N282" i="19" s="1"/>
  <c r="M282" i="19" s="1"/>
  <c r="L94" i="19"/>
  <c r="N94" i="19" s="1"/>
  <c r="M94" i="19"/>
  <c r="H281" i="19"/>
  <c r="G281" i="19"/>
  <c r="I281" i="19" s="1"/>
  <c r="C95" i="19"/>
  <c r="E95" i="19" s="1"/>
  <c r="D95" i="19" s="1"/>
  <c r="G92" i="19"/>
  <c r="I92" i="19" s="1"/>
  <c r="H92" i="19" s="1"/>
  <c r="C281" i="19"/>
  <c r="E281" i="19" s="1"/>
  <c r="D281" i="19" s="1"/>
  <c r="C282" i="19" l="1"/>
  <c r="E282" i="19" s="1"/>
  <c r="D282" i="19" s="1"/>
  <c r="C96" i="19"/>
  <c r="E96" i="19" s="1"/>
  <c r="D96" i="19"/>
  <c r="G93" i="19"/>
  <c r="I93" i="19" s="1"/>
  <c r="H93" i="19"/>
  <c r="L283" i="19"/>
  <c r="N283" i="19" s="1"/>
  <c r="M283" i="19" s="1"/>
  <c r="L95" i="19"/>
  <c r="N95" i="19" s="1"/>
  <c r="M95" i="19" s="1"/>
  <c r="G282" i="19"/>
  <c r="I282" i="19" s="1"/>
  <c r="H282" i="19" s="1"/>
  <c r="G283" i="19" l="1"/>
  <c r="I283" i="19" s="1"/>
  <c r="H283" i="19" s="1"/>
  <c r="L284" i="19"/>
  <c r="N284" i="19" s="1"/>
  <c r="M284" i="19" s="1"/>
  <c r="L96" i="19"/>
  <c r="N96" i="19" s="1"/>
  <c r="M96" i="19" s="1"/>
  <c r="C283" i="19"/>
  <c r="E283" i="19" s="1"/>
  <c r="D283" i="19" s="1"/>
  <c r="C97" i="19"/>
  <c r="E97" i="19" s="1"/>
  <c r="D97" i="19" s="1"/>
  <c r="G94" i="19"/>
  <c r="I94" i="19" s="1"/>
  <c r="H94" i="19" s="1"/>
  <c r="G95" i="19" l="1"/>
  <c r="I95" i="19" s="1"/>
  <c r="H95" i="19" s="1"/>
  <c r="C284" i="19"/>
  <c r="E284" i="19" s="1"/>
  <c r="D284" i="19" s="1"/>
  <c r="L97" i="19"/>
  <c r="N97" i="19" s="1"/>
  <c r="M97" i="19" s="1"/>
  <c r="L285" i="19"/>
  <c r="N285" i="19" s="1"/>
  <c r="M285" i="19" s="1"/>
  <c r="C98" i="19"/>
  <c r="E98" i="19" s="1"/>
  <c r="D98" i="19" s="1"/>
  <c r="G284" i="19"/>
  <c r="I284" i="19" s="1"/>
  <c r="H284" i="19" s="1"/>
  <c r="L286" i="19" l="1"/>
  <c r="N286" i="19" s="1"/>
  <c r="M286" i="19" s="1"/>
  <c r="L98" i="19"/>
  <c r="N98" i="19" s="1"/>
  <c r="M98" i="19"/>
  <c r="H285" i="19"/>
  <c r="G285" i="19"/>
  <c r="I285" i="19" s="1"/>
  <c r="C285" i="19"/>
  <c r="E285" i="19" s="1"/>
  <c r="D285" i="19" s="1"/>
  <c r="C99" i="19"/>
  <c r="E99" i="19" s="1"/>
  <c r="D99" i="19" s="1"/>
  <c r="G96" i="19"/>
  <c r="I96" i="19" s="1"/>
  <c r="H96" i="19" s="1"/>
  <c r="C100" i="19" l="1"/>
  <c r="E100" i="19" s="1"/>
  <c r="D100" i="19" s="1"/>
  <c r="G97" i="19"/>
  <c r="I97" i="19" s="1"/>
  <c r="H97" i="19"/>
  <c r="C286" i="19"/>
  <c r="E286" i="19" s="1"/>
  <c r="D286" i="19" s="1"/>
  <c r="L287" i="19"/>
  <c r="N287" i="19" s="1"/>
  <c r="M287" i="19" s="1"/>
  <c r="L99" i="19"/>
  <c r="N99" i="19" s="1"/>
  <c r="M99" i="19" s="1"/>
  <c r="G286" i="19"/>
  <c r="I286" i="19" s="1"/>
  <c r="H286" i="19" s="1"/>
  <c r="G287" i="19" l="1"/>
  <c r="I287" i="19" s="1"/>
  <c r="H287" i="19" s="1"/>
  <c r="C287" i="19"/>
  <c r="E287" i="19" s="1"/>
  <c r="D287" i="19" s="1"/>
  <c r="L100" i="19"/>
  <c r="N100" i="19" s="1"/>
  <c r="M100" i="19" s="1"/>
  <c r="L288" i="19"/>
  <c r="N288" i="19" s="1"/>
  <c r="M288" i="19" s="1"/>
  <c r="C101" i="19"/>
  <c r="E101" i="19" s="1"/>
  <c r="D101" i="19" s="1"/>
  <c r="G98" i="19"/>
  <c r="I98" i="19" s="1"/>
  <c r="H98" i="19" s="1"/>
  <c r="L101" i="19" l="1"/>
  <c r="N101" i="19" s="1"/>
  <c r="M101" i="19" s="1"/>
  <c r="L289" i="19"/>
  <c r="N289" i="19" s="1"/>
  <c r="M289" i="19" s="1"/>
  <c r="H99" i="19"/>
  <c r="G99" i="19"/>
  <c r="I99" i="19" s="1"/>
  <c r="C288" i="19"/>
  <c r="E288" i="19" s="1"/>
  <c r="D288" i="19" s="1"/>
  <c r="C102" i="19"/>
  <c r="E102" i="19" s="1"/>
  <c r="D102" i="19" s="1"/>
  <c r="G288" i="19"/>
  <c r="I288" i="19" s="1"/>
  <c r="H288" i="19" s="1"/>
  <c r="G289" i="19" l="1"/>
  <c r="I289" i="19" s="1"/>
  <c r="H289" i="19" s="1"/>
  <c r="C103" i="19"/>
  <c r="E103" i="19" s="1"/>
  <c r="D103" i="19" s="1"/>
  <c r="L290" i="19"/>
  <c r="N290" i="19" s="1"/>
  <c r="M290" i="19" s="1"/>
  <c r="C289" i="19"/>
  <c r="E289" i="19" s="1"/>
  <c r="D289" i="19" s="1"/>
  <c r="L102" i="19"/>
  <c r="N102" i="19" s="1"/>
  <c r="M102" i="19" s="1"/>
  <c r="G100" i="19"/>
  <c r="I100" i="19" s="1"/>
  <c r="H100" i="19" s="1"/>
  <c r="C290" i="19" l="1"/>
  <c r="E290" i="19" s="1"/>
  <c r="D290" i="19" s="1"/>
  <c r="L103" i="19"/>
  <c r="N103" i="19" s="1"/>
  <c r="M103" i="19" s="1"/>
  <c r="L291" i="19"/>
  <c r="N291" i="19" s="1"/>
  <c r="M291" i="19" s="1"/>
  <c r="G101" i="19"/>
  <c r="I101" i="19" s="1"/>
  <c r="H101" i="19" s="1"/>
  <c r="C104" i="19"/>
  <c r="E104" i="19" s="1"/>
  <c r="D104" i="19" s="1"/>
  <c r="G290" i="19"/>
  <c r="I290" i="19" s="1"/>
  <c r="H290" i="19" s="1"/>
  <c r="G102" i="19" l="1"/>
  <c r="I102" i="19" s="1"/>
  <c r="H102" i="19" s="1"/>
  <c r="L292" i="19"/>
  <c r="N292" i="19" s="1"/>
  <c r="M292" i="19" s="1"/>
  <c r="G291" i="19"/>
  <c r="I291" i="19" s="1"/>
  <c r="H291" i="19" s="1"/>
  <c r="L104" i="19"/>
  <c r="N104" i="19" s="1"/>
  <c r="M104" i="19" s="1"/>
  <c r="C105" i="19"/>
  <c r="E105" i="19" s="1"/>
  <c r="D105" i="19" s="1"/>
  <c r="C291" i="19"/>
  <c r="E291" i="19" s="1"/>
  <c r="D291" i="19" s="1"/>
  <c r="C292" i="19" l="1"/>
  <c r="E292" i="19" s="1"/>
  <c r="D292" i="19" s="1"/>
  <c r="C106" i="19"/>
  <c r="E106" i="19" s="1"/>
  <c r="D106" i="19" s="1"/>
  <c r="L105" i="19"/>
  <c r="N105" i="19" s="1"/>
  <c r="M105" i="19"/>
  <c r="L293" i="19"/>
  <c r="N293" i="19" s="1"/>
  <c r="M293" i="19" s="1"/>
  <c r="G103" i="19"/>
  <c r="I103" i="19" s="1"/>
  <c r="H103" i="19" s="1"/>
  <c r="G292" i="19"/>
  <c r="I292" i="19" s="1"/>
  <c r="H292" i="19" s="1"/>
  <c r="G293" i="19" l="1"/>
  <c r="I293" i="19" s="1"/>
  <c r="H293" i="19" s="1"/>
  <c r="G104" i="19"/>
  <c r="I104" i="19" s="1"/>
  <c r="H104" i="19" s="1"/>
  <c r="C107" i="19"/>
  <c r="E107" i="19" s="1"/>
  <c r="D107" i="19" s="1"/>
  <c r="L294" i="19"/>
  <c r="N294" i="19" s="1"/>
  <c r="M294" i="19" s="1"/>
  <c r="C293" i="19"/>
  <c r="E293" i="19" s="1"/>
  <c r="D293" i="19" s="1"/>
  <c r="L106" i="19"/>
  <c r="N106" i="19" s="1"/>
  <c r="M106" i="19" s="1"/>
  <c r="C108" i="19" l="1"/>
  <c r="E108" i="19" s="1"/>
  <c r="D108" i="19" s="1"/>
  <c r="L295" i="19"/>
  <c r="N295" i="19" s="1"/>
  <c r="M295" i="19" s="1"/>
  <c r="L107" i="19"/>
  <c r="N107" i="19" s="1"/>
  <c r="M107" i="19" s="1"/>
  <c r="G105" i="19"/>
  <c r="I105" i="19" s="1"/>
  <c r="H105" i="19" s="1"/>
  <c r="C294" i="19"/>
  <c r="E294" i="19" s="1"/>
  <c r="D294" i="19" s="1"/>
  <c r="G294" i="19"/>
  <c r="I294" i="19" s="1"/>
  <c r="H294" i="19" s="1"/>
  <c r="G106" i="19" l="1"/>
  <c r="I106" i="19" s="1"/>
  <c r="H106" i="19" s="1"/>
  <c r="L108" i="19"/>
  <c r="N108" i="19" s="1"/>
  <c r="M108" i="19" s="1"/>
  <c r="G295" i="19"/>
  <c r="I295" i="19" s="1"/>
  <c r="H295" i="19" s="1"/>
  <c r="L296" i="19"/>
  <c r="N296" i="19" s="1"/>
  <c r="M296" i="19" s="1"/>
  <c r="C295" i="19"/>
  <c r="E295" i="19" s="1"/>
  <c r="D295" i="19" s="1"/>
  <c r="C109" i="19"/>
  <c r="E109" i="19" s="1"/>
  <c r="D109" i="19" s="1"/>
  <c r="L297" i="19" l="1"/>
  <c r="N297" i="19" s="1"/>
  <c r="M297" i="19" s="1"/>
  <c r="G296" i="19"/>
  <c r="I296" i="19" s="1"/>
  <c r="H296" i="19" s="1"/>
  <c r="C110" i="19"/>
  <c r="E110" i="19" s="1"/>
  <c r="D110" i="19" s="1"/>
  <c r="L109" i="19"/>
  <c r="N109" i="19" s="1"/>
  <c r="M109" i="19" s="1"/>
  <c r="C296" i="19"/>
  <c r="E296" i="19" s="1"/>
  <c r="D296" i="19" s="1"/>
  <c r="G107" i="19"/>
  <c r="I107" i="19" s="1"/>
  <c r="H107" i="19" s="1"/>
  <c r="G108" i="19" l="1"/>
  <c r="I108" i="19" s="1"/>
  <c r="H108" i="19" s="1"/>
  <c r="L110" i="19"/>
  <c r="N110" i="19" s="1"/>
  <c r="M110" i="19" s="1"/>
  <c r="C111" i="19"/>
  <c r="E111" i="19" s="1"/>
  <c r="D111" i="19" s="1"/>
  <c r="G297" i="19"/>
  <c r="I297" i="19" s="1"/>
  <c r="H297" i="19" s="1"/>
  <c r="C297" i="19"/>
  <c r="E297" i="19" s="1"/>
  <c r="D297" i="19" s="1"/>
  <c r="L298" i="19"/>
  <c r="N298" i="19" s="1"/>
  <c r="M298" i="19" s="1"/>
  <c r="G298" i="19" l="1"/>
  <c r="I298" i="19" s="1"/>
  <c r="H298" i="19" s="1"/>
  <c r="C112" i="19"/>
  <c r="E112" i="19" s="1"/>
  <c r="D112" i="19" s="1"/>
  <c r="L299" i="19"/>
  <c r="N299" i="19" s="1"/>
  <c r="M299" i="19" s="1"/>
  <c r="L111" i="19"/>
  <c r="N111" i="19" s="1"/>
  <c r="M111" i="19" s="1"/>
  <c r="C298" i="19"/>
  <c r="E298" i="19" s="1"/>
  <c r="D298" i="19" s="1"/>
  <c r="G109" i="19"/>
  <c r="I109" i="19" s="1"/>
  <c r="H109" i="19" s="1"/>
  <c r="L112" i="19" l="1"/>
  <c r="N112" i="19" s="1"/>
  <c r="M112" i="19" s="1"/>
  <c r="L300" i="19"/>
  <c r="N300" i="19" s="1"/>
  <c r="M300" i="19" s="1"/>
  <c r="G110" i="19"/>
  <c r="I110" i="19" s="1"/>
  <c r="H110" i="19" s="1"/>
  <c r="C113" i="19"/>
  <c r="E113" i="19" s="1"/>
  <c r="D113" i="19" s="1"/>
  <c r="C299" i="19"/>
  <c r="E299" i="19" s="1"/>
  <c r="D299" i="19" s="1"/>
  <c r="G299" i="19"/>
  <c r="I299" i="19" s="1"/>
  <c r="H299" i="19" s="1"/>
  <c r="C114" i="19" l="1"/>
  <c r="E114" i="19" s="1"/>
  <c r="D114" i="19" s="1"/>
  <c r="G111" i="19"/>
  <c r="I111" i="19" s="1"/>
  <c r="H111" i="19" s="1"/>
  <c r="G300" i="19"/>
  <c r="I300" i="19" s="1"/>
  <c r="H300" i="19" s="1"/>
  <c r="L301" i="19"/>
  <c r="N301" i="19" s="1"/>
  <c r="M301" i="19" s="1"/>
  <c r="C300" i="19"/>
  <c r="E300" i="19" s="1"/>
  <c r="D300" i="19" s="1"/>
  <c r="L113" i="19"/>
  <c r="N113" i="19" s="1"/>
  <c r="M113" i="19" s="1"/>
  <c r="L302" i="19" l="1"/>
  <c r="N302" i="19" s="1"/>
  <c r="M302" i="19" s="1"/>
  <c r="G301" i="19"/>
  <c r="I301" i="19" s="1"/>
  <c r="H301" i="19" s="1"/>
  <c r="M114" i="19"/>
  <c r="L114" i="19"/>
  <c r="N114" i="19" s="1"/>
  <c r="G112" i="19"/>
  <c r="I112" i="19" s="1"/>
  <c r="H112" i="19" s="1"/>
  <c r="C301" i="19"/>
  <c r="E301" i="19" s="1"/>
  <c r="D301" i="19" s="1"/>
  <c r="C115" i="19"/>
  <c r="E115" i="19" s="1"/>
  <c r="D115" i="19" s="1"/>
  <c r="C116" i="19" l="1"/>
  <c r="E116" i="19" s="1"/>
  <c r="D116" i="19" s="1"/>
  <c r="G302" i="19"/>
  <c r="I302" i="19" s="1"/>
  <c r="H302" i="19" s="1"/>
  <c r="C302" i="19"/>
  <c r="E302" i="19" s="1"/>
  <c r="D302" i="19" s="1"/>
  <c r="G113" i="19"/>
  <c r="I113" i="19" s="1"/>
  <c r="H113" i="19" s="1"/>
  <c r="L303" i="19"/>
  <c r="N303" i="19" s="1"/>
  <c r="M303" i="19" s="1"/>
  <c r="L115" i="19"/>
  <c r="N115" i="19" s="1"/>
  <c r="M115" i="19" s="1"/>
  <c r="G114" i="19" l="1"/>
  <c r="I114" i="19" s="1"/>
  <c r="H114" i="19" s="1"/>
  <c r="L304" i="19"/>
  <c r="N304" i="19" s="1"/>
  <c r="M304" i="19" s="1"/>
  <c r="C303" i="19"/>
  <c r="E303" i="19" s="1"/>
  <c r="D303" i="19" s="1"/>
  <c r="L116" i="19"/>
  <c r="N116" i="19" s="1"/>
  <c r="M116" i="19" s="1"/>
  <c r="G303" i="19"/>
  <c r="I303" i="19" s="1"/>
  <c r="H303" i="19" s="1"/>
  <c r="C117" i="19"/>
  <c r="E117" i="19" s="1"/>
  <c r="D117" i="19" s="1"/>
  <c r="L117" i="19" l="1"/>
  <c r="N117" i="19" s="1"/>
  <c r="M117" i="19" s="1"/>
  <c r="C304" i="19"/>
  <c r="E304" i="19" s="1"/>
  <c r="D304" i="19" s="1"/>
  <c r="C118" i="19"/>
  <c r="E118" i="19" s="1"/>
  <c r="D118" i="19" s="1"/>
  <c r="L305" i="19"/>
  <c r="N305" i="19" s="1"/>
  <c r="M305" i="19" s="1"/>
  <c r="G304" i="19"/>
  <c r="I304" i="19" s="1"/>
  <c r="H304" i="19" s="1"/>
  <c r="G115" i="19"/>
  <c r="I115" i="19" s="1"/>
  <c r="H115" i="19" s="1"/>
  <c r="G116" i="19" l="1"/>
  <c r="I116" i="19" s="1"/>
  <c r="H116" i="19" s="1"/>
  <c r="L306" i="19"/>
  <c r="N306" i="19" s="1"/>
  <c r="M306" i="19" s="1"/>
  <c r="C119" i="19"/>
  <c r="E119" i="19" s="1"/>
  <c r="D119" i="19" s="1"/>
  <c r="C305" i="19"/>
  <c r="E305" i="19" s="1"/>
  <c r="D305" i="19" s="1"/>
  <c r="G305" i="19"/>
  <c r="I305" i="19" s="1"/>
  <c r="H305" i="19" s="1"/>
  <c r="L118" i="19"/>
  <c r="N118" i="19" s="1"/>
  <c r="M118" i="19" s="1"/>
  <c r="C306" i="19" l="1"/>
  <c r="E306" i="19" s="1"/>
  <c r="D306" i="19" s="1"/>
  <c r="C120" i="19"/>
  <c r="E120" i="19" s="1"/>
  <c r="D120" i="19" s="1"/>
  <c r="L119" i="19"/>
  <c r="N119" i="19" s="1"/>
  <c r="M119" i="19" s="1"/>
  <c r="L307" i="19"/>
  <c r="N307" i="19" s="1"/>
  <c r="M307" i="19" s="1"/>
  <c r="G306" i="19"/>
  <c r="I306" i="19" s="1"/>
  <c r="H306" i="19" s="1"/>
  <c r="G117" i="19"/>
  <c r="I117" i="19" s="1"/>
  <c r="H117" i="19" s="1"/>
  <c r="L308" i="19" l="1"/>
  <c r="N308" i="19" s="1"/>
  <c r="M308" i="19" s="1"/>
  <c r="L120" i="19"/>
  <c r="N120" i="19" s="1"/>
  <c r="M120" i="19" s="1"/>
  <c r="C121" i="19"/>
  <c r="E121" i="19" s="1"/>
  <c r="D121" i="19" s="1"/>
  <c r="G118" i="19"/>
  <c r="I118" i="19" s="1"/>
  <c r="H118" i="19" s="1"/>
  <c r="G307" i="19"/>
  <c r="I307" i="19" s="1"/>
  <c r="H307" i="19" s="1"/>
  <c r="C307" i="19"/>
  <c r="E307" i="19" s="1"/>
  <c r="D307" i="19" s="1"/>
  <c r="C308" i="19" l="1"/>
  <c r="E308" i="19" s="1"/>
  <c r="D308" i="19" s="1"/>
  <c r="L309" i="19"/>
  <c r="N309" i="19" s="1"/>
  <c r="M309" i="19" s="1"/>
  <c r="L121" i="19"/>
  <c r="N121" i="19" s="1"/>
  <c r="M121" i="19"/>
  <c r="G308" i="19"/>
  <c r="I308" i="19" s="1"/>
  <c r="H308" i="19" s="1"/>
  <c r="G119" i="19"/>
  <c r="I119" i="19" s="1"/>
  <c r="H119" i="19" s="1"/>
  <c r="C122" i="19"/>
  <c r="E122" i="19" s="1"/>
  <c r="D122" i="19" s="1"/>
  <c r="G120" i="19" l="1"/>
  <c r="I120" i="19" s="1"/>
  <c r="H120" i="19" s="1"/>
  <c r="C123" i="19"/>
  <c r="E123" i="19" s="1"/>
  <c r="D123" i="19" s="1"/>
  <c r="L310" i="19"/>
  <c r="N310" i="19" s="1"/>
  <c r="M310" i="19" s="1"/>
  <c r="G309" i="19"/>
  <c r="I309" i="19" s="1"/>
  <c r="H309" i="19" s="1"/>
  <c r="C309" i="19"/>
  <c r="E309" i="19" s="1"/>
  <c r="D309" i="19" s="1"/>
  <c r="L122" i="19"/>
  <c r="N122" i="19" s="1"/>
  <c r="M122" i="19" s="1"/>
  <c r="L311" i="19" l="1"/>
  <c r="N311" i="19" s="1"/>
  <c r="M311" i="19" s="1"/>
  <c r="L123" i="19"/>
  <c r="N123" i="19" s="1"/>
  <c r="M123" i="19" s="1"/>
  <c r="G310" i="19"/>
  <c r="I310" i="19" s="1"/>
  <c r="H310" i="19" s="1"/>
  <c r="C124" i="19"/>
  <c r="E124" i="19" s="1"/>
  <c r="D124" i="19" s="1"/>
  <c r="C310" i="19"/>
  <c r="E310" i="19" s="1"/>
  <c r="D310" i="19" s="1"/>
  <c r="G121" i="19"/>
  <c r="I121" i="19" s="1"/>
  <c r="H121" i="19" s="1"/>
  <c r="C311" i="19" l="1"/>
  <c r="E311" i="19" s="1"/>
  <c r="D311" i="19" s="1"/>
  <c r="C125" i="19"/>
  <c r="E125" i="19" s="1"/>
  <c r="D125" i="19" s="1"/>
  <c r="G311" i="19"/>
  <c r="I311" i="19" s="1"/>
  <c r="H311" i="19" s="1"/>
  <c r="G122" i="19"/>
  <c r="I122" i="19" s="1"/>
  <c r="H122" i="19" s="1"/>
  <c r="L124" i="19"/>
  <c r="N124" i="19" s="1"/>
  <c r="M124" i="19" s="1"/>
  <c r="L312" i="19"/>
  <c r="N312" i="19" s="1"/>
  <c r="M312" i="19" s="1"/>
  <c r="G123" i="19" l="1"/>
  <c r="I123" i="19" s="1"/>
  <c r="H123" i="19" s="1"/>
  <c r="G312" i="19"/>
  <c r="I312" i="19" s="1"/>
  <c r="H312" i="19" s="1"/>
  <c r="L313" i="19"/>
  <c r="N313" i="19" s="1"/>
  <c r="M313" i="19"/>
  <c r="C126" i="19"/>
  <c r="E126" i="19" s="1"/>
  <c r="D126" i="19" s="1"/>
  <c r="L125" i="19"/>
  <c r="N125" i="19" s="1"/>
  <c r="M125" i="19" s="1"/>
  <c r="C312" i="19"/>
  <c r="E312" i="19" s="1"/>
  <c r="D312" i="19" s="1"/>
  <c r="C313" i="19" l="1"/>
  <c r="E313" i="19" s="1"/>
  <c r="D313" i="19" s="1"/>
  <c r="L126" i="19"/>
  <c r="N126" i="19" s="1"/>
  <c r="M126" i="19" s="1"/>
  <c r="G313" i="19"/>
  <c r="I313" i="19" s="1"/>
  <c r="H313" i="19" s="1"/>
  <c r="C127" i="19"/>
  <c r="E127" i="19" s="1"/>
  <c r="D127" i="19" s="1"/>
  <c r="G124" i="19"/>
  <c r="I124" i="19" s="1"/>
  <c r="H124" i="19" s="1"/>
  <c r="L314" i="19"/>
  <c r="N314" i="19" s="1"/>
  <c r="M314" i="19" s="1"/>
  <c r="G314" i="19" l="1"/>
  <c r="I314" i="19" s="1"/>
  <c r="H314" i="19" s="1"/>
  <c r="C128" i="19"/>
  <c r="E128" i="19" s="1"/>
  <c r="D128" i="19" s="1"/>
  <c r="L315" i="19"/>
  <c r="N315" i="19" s="1"/>
  <c r="M315" i="19" s="1"/>
  <c r="L127" i="19"/>
  <c r="N127" i="19" s="1"/>
  <c r="M127" i="19" s="1"/>
  <c r="G125" i="19"/>
  <c r="I125" i="19" s="1"/>
  <c r="H125" i="19" s="1"/>
  <c r="C314" i="19"/>
  <c r="E314" i="19" s="1"/>
  <c r="D314" i="19" s="1"/>
  <c r="L128" i="19" l="1"/>
  <c r="N128" i="19" s="1"/>
  <c r="M128" i="19" s="1"/>
  <c r="L316" i="19"/>
  <c r="N316" i="19" s="1"/>
  <c r="M316" i="19" s="1"/>
  <c r="C315" i="19"/>
  <c r="E315" i="19" s="1"/>
  <c r="D315" i="19" s="1"/>
  <c r="C129" i="19"/>
  <c r="E129" i="19" s="1"/>
  <c r="D129" i="19" s="1"/>
  <c r="G126" i="19"/>
  <c r="I126" i="19" s="1"/>
  <c r="H126" i="19" s="1"/>
  <c r="G315" i="19"/>
  <c r="I315" i="19" s="1"/>
  <c r="H315" i="19" s="1"/>
  <c r="C130" i="19" l="1"/>
  <c r="E130" i="19" s="1"/>
  <c r="D130" i="19" s="1"/>
  <c r="C316" i="19"/>
  <c r="E316" i="19" s="1"/>
  <c r="D316" i="19" s="1"/>
  <c r="L317" i="19"/>
  <c r="N317" i="19" s="1"/>
  <c r="M317" i="19"/>
  <c r="G316" i="19"/>
  <c r="I316" i="19" s="1"/>
  <c r="H316" i="19" s="1"/>
  <c r="G127" i="19"/>
  <c r="I127" i="19" s="1"/>
  <c r="H127" i="19" s="1"/>
  <c r="L129" i="19"/>
  <c r="N129" i="19" s="1"/>
  <c r="M129" i="19"/>
  <c r="G128" i="19" l="1"/>
  <c r="I128" i="19" s="1"/>
  <c r="H128" i="19" s="1"/>
  <c r="C317" i="19"/>
  <c r="E317" i="19" s="1"/>
  <c r="D317" i="19" s="1"/>
  <c r="G317" i="19"/>
  <c r="I317" i="19" s="1"/>
  <c r="H317" i="19" s="1"/>
  <c r="C131" i="19"/>
  <c r="E131" i="19" s="1"/>
  <c r="D131" i="19" s="1"/>
  <c r="L130" i="19"/>
  <c r="N130" i="19" s="1"/>
  <c r="M130" i="19" s="1"/>
  <c r="L318" i="19"/>
  <c r="N318" i="19" s="1"/>
  <c r="M318" i="19" s="1"/>
  <c r="G318" i="19" l="1"/>
  <c r="I318" i="19" s="1"/>
  <c r="H318" i="19" s="1"/>
  <c r="C132" i="19"/>
  <c r="E132" i="19" s="1"/>
  <c r="D132" i="19" s="1"/>
  <c r="L319" i="19"/>
  <c r="N319" i="19" s="1"/>
  <c r="M319" i="19" s="1"/>
  <c r="C318" i="19"/>
  <c r="E318" i="19" s="1"/>
  <c r="D318" i="19" s="1"/>
  <c r="L131" i="19"/>
  <c r="N131" i="19" s="1"/>
  <c r="M131" i="19" s="1"/>
  <c r="G129" i="19"/>
  <c r="I129" i="19" s="1"/>
  <c r="H129" i="19" s="1"/>
  <c r="C319" i="19" l="1"/>
  <c r="E319" i="19" s="1"/>
  <c r="D319" i="19" s="1"/>
  <c r="L320" i="19"/>
  <c r="N320" i="19" s="1"/>
  <c r="M320" i="19" s="1"/>
  <c r="C133" i="19"/>
  <c r="E133" i="19" s="1"/>
  <c r="D133" i="19" s="1"/>
  <c r="G130" i="19"/>
  <c r="I130" i="19" s="1"/>
  <c r="H130" i="19" s="1"/>
  <c r="L132" i="19"/>
  <c r="N132" i="19" s="1"/>
  <c r="M132" i="19" s="1"/>
  <c r="G319" i="19"/>
  <c r="I319" i="19" s="1"/>
  <c r="H319" i="19" s="1"/>
  <c r="G131" i="19" l="1"/>
  <c r="I131" i="19" s="1"/>
  <c r="H131" i="19" s="1"/>
  <c r="C134" i="19"/>
  <c r="E134" i="19" s="1"/>
  <c r="D134" i="19" s="1"/>
  <c r="G320" i="19"/>
  <c r="I320" i="19" s="1"/>
  <c r="H320" i="19" s="1"/>
  <c r="L321" i="19"/>
  <c r="N321" i="19" s="1"/>
  <c r="M321" i="19" s="1"/>
  <c r="L133" i="19"/>
  <c r="N133" i="19" s="1"/>
  <c r="M133" i="19"/>
  <c r="C320" i="19"/>
  <c r="E320" i="19" s="1"/>
  <c r="D320" i="19" s="1"/>
  <c r="L322" i="19" l="1"/>
  <c r="N322" i="19" s="1"/>
  <c r="M322" i="19" s="1"/>
  <c r="C321" i="19"/>
  <c r="E321" i="19" s="1"/>
  <c r="D321" i="19" s="1"/>
  <c r="G321" i="19"/>
  <c r="I321" i="19" s="1"/>
  <c r="H321" i="19" s="1"/>
  <c r="C135" i="19"/>
  <c r="E135" i="19" s="1"/>
  <c r="D135" i="19" s="1"/>
  <c r="G132" i="19"/>
  <c r="I132" i="19" s="1"/>
  <c r="H132" i="19" s="1"/>
  <c r="L134" i="19"/>
  <c r="N134" i="19" s="1"/>
  <c r="M134" i="19" s="1"/>
  <c r="G322" i="19" l="1"/>
  <c r="I322" i="19" s="1"/>
  <c r="H322" i="19" s="1"/>
  <c r="C136" i="19"/>
  <c r="E136" i="19" s="1"/>
  <c r="D136" i="19" s="1"/>
  <c r="L135" i="19"/>
  <c r="N135" i="19" s="1"/>
  <c r="M135" i="19" s="1"/>
  <c r="C322" i="19"/>
  <c r="E322" i="19" s="1"/>
  <c r="D322" i="19" s="1"/>
  <c r="G133" i="19"/>
  <c r="I133" i="19" s="1"/>
  <c r="H133" i="19" s="1"/>
  <c r="L323" i="19"/>
  <c r="N323" i="19" s="1"/>
  <c r="M323" i="19" s="1"/>
  <c r="C323" i="19" l="1"/>
  <c r="E323" i="19" s="1"/>
  <c r="D323" i="19" s="1"/>
  <c r="L136" i="19"/>
  <c r="N136" i="19" s="1"/>
  <c r="M136" i="19" s="1"/>
  <c r="C137" i="19"/>
  <c r="E137" i="19" s="1"/>
  <c r="D137" i="19" s="1"/>
  <c r="L324" i="19"/>
  <c r="N324" i="19" s="1"/>
  <c r="M324" i="19" s="1"/>
  <c r="G134" i="19"/>
  <c r="I134" i="19" s="1"/>
  <c r="H134" i="19" s="1"/>
  <c r="G323" i="19"/>
  <c r="I323" i="19" s="1"/>
  <c r="H323" i="19" s="1"/>
  <c r="G135" i="19" l="1"/>
  <c r="I135" i="19" s="1"/>
  <c r="H135" i="19" s="1"/>
  <c r="L325" i="19"/>
  <c r="N325" i="19" s="1"/>
  <c r="M325" i="19" s="1"/>
  <c r="C138" i="19"/>
  <c r="E138" i="19" s="1"/>
  <c r="D138" i="19" s="1"/>
  <c r="L137" i="19"/>
  <c r="N137" i="19" s="1"/>
  <c r="M137" i="19" s="1"/>
  <c r="G324" i="19"/>
  <c r="I324" i="19" s="1"/>
  <c r="H324" i="19" s="1"/>
  <c r="D324" i="19"/>
  <c r="C324" i="19"/>
  <c r="E324" i="19" s="1"/>
  <c r="L138" i="19" l="1"/>
  <c r="N138" i="19" s="1"/>
  <c r="M138" i="19" s="1"/>
  <c r="C139" i="19"/>
  <c r="E139" i="19" s="1"/>
  <c r="D139" i="19" s="1"/>
  <c r="L326" i="19"/>
  <c r="N326" i="19" s="1"/>
  <c r="M326" i="19" s="1"/>
  <c r="G325" i="19"/>
  <c r="I325" i="19" s="1"/>
  <c r="H325" i="19" s="1"/>
  <c r="G136" i="19"/>
  <c r="I136" i="19" s="1"/>
  <c r="H136" i="19" s="1"/>
  <c r="C325" i="19"/>
  <c r="E325" i="19" s="1"/>
  <c r="D325" i="19" s="1"/>
  <c r="G326" i="19" l="1"/>
  <c r="I326" i="19" s="1"/>
  <c r="H326" i="19" s="1"/>
  <c r="L327" i="19"/>
  <c r="N327" i="19" s="1"/>
  <c r="M327" i="19" s="1"/>
  <c r="C140" i="19"/>
  <c r="E140" i="19" s="1"/>
  <c r="D140" i="19" s="1"/>
  <c r="C326" i="19"/>
  <c r="E326" i="19" s="1"/>
  <c r="D326" i="19" s="1"/>
  <c r="G137" i="19"/>
  <c r="I137" i="19" s="1"/>
  <c r="H137" i="19" s="1"/>
  <c r="L139" i="19"/>
  <c r="N139" i="19" s="1"/>
  <c r="M139" i="19" s="1"/>
  <c r="C327" i="19" l="1"/>
  <c r="E327" i="19" s="1"/>
  <c r="D327" i="19" s="1"/>
  <c r="G138" i="19"/>
  <c r="I138" i="19" s="1"/>
  <c r="H138" i="19" s="1"/>
  <c r="C141" i="19"/>
  <c r="E141" i="19" s="1"/>
  <c r="D141" i="19" s="1"/>
  <c r="L328" i="19"/>
  <c r="N328" i="19" s="1"/>
  <c r="M328" i="19" s="1"/>
  <c r="L140" i="19"/>
  <c r="N140" i="19" s="1"/>
  <c r="M140" i="19" s="1"/>
  <c r="G327" i="19"/>
  <c r="I327" i="19" s="1"/>
  <c r="H327" i="19" s="1"/>
  <c r="C142" i="19" l="1"/>
  <c r="E142" i="19" s="1"/>
  <c r="D142" i="19" s="1"/>
  <c r="L329" i="19"/>
  <c r="N329" i="19" s="1"/>
  <c r="M329" i="19" s="1"/>
  <c r="G328" i="19"/>
  <c r="I328" i="19" s="1"/>
  <c r="H328" i="19" s="1"/>
  <c r="H139" i="19"/>
  <c r="G139" i="19"/>
  <c r="I139" i="19" s="1"/>
  <c r="L141" i="19"/>
  <c r="N141" i="19" s="1"/>
  <c r="M141" i="19"/>
  <c r="C328" i="19"/>
  <c r="E328" i="19" s="1"/>
  <c r="D328" i="19" s="1"/>
  <c r="C329" i="19" l="1"/>
  <c r="E329" i="19" s="1"/>
  <c r="D329" i="19" s="1"/>
  <c r="G329" i="19"/>
  <c r="I329" i="19" s="1"/>
  <c r="H329" i="19" s="1"/>
  <c r="L330" i="19"/>
  <c r="N330" i="19" s="1"/>
  <c r="M330" i="19" s="1"/>
  <c r="C143" i="19"/>
  <c r="E143" i="19" s="1"/>
  <c r="D143" i="19" s="1"/>
  <c r="G140" i="19"/>
  <c r="I140" i="19" s="1"/>
  <c r="H140" i="19" s="1"/>
  <c r="L142" i="19"/>
  <c r="N142" i="19" s="1"/>
  <c r="M142" i="19" s="1"/>
  <c r="L143" i="19" l="1"/>
  <c r="N143" i="19" s="1"/>
  <c r="M143" i="19" s="1"/>
  <c r="G141" i="19"/>
  <c r="I141" i="19" s="1"/>
  <c r="H141" i="19" s="1"/>
  <c r="C144" i="19"/>
  <c r="E144" i="19" s="1"/>
  <c r="D144" i="19" s="1"/>
  <c r="L331" i="19"/>
  <c r="N331" i="19" s="1"/>
  <c r="M331" i="19" s="1"/>
  <c r="G330" i="19"/>
  <c r="I330" i="19" s="1"/>
  <c r="H330" i="19" s="1"/>
  <c r="C330" i="19"/>
  <c r="E330" i="19" s="1"/>
  <c r="D330" i="19" s="1"/>
  <c r="G331" i="19" l="1"/>
  <c r="I331" i="19" s="1"/>
  <c r="H331" i="19" s="1"/>
  <c r="L332" i="19"/>
  <c r="N332" i="19" s="1"/>
  <c r="M332" i="19" s="1"/>
  <c r="C145" i="19"/>
  <c r="E145" i="19" s="1"/>
  <c r="D145" i="19" s="1"/>
  <c r="G142" i="19"/>
  <c r="I142" i="19" s="1"/>
  <c r="H142" i="19" s="1"/>
  <c r="C331" i="19"/>
  <c r="E331" i="19" s="1"/>
  <c r="D331" i="19" s="1"/>
  <c r="L144" i="19"/>
  <c r="N144" i="19" s="1"/>
  <c r="M144" i="19" s="1"/>
  <c r="G143" i="19" l="1"/>
  <c r="I143" i="19" s="1"/>
  <c r="H143" i="19" s="1"/>
  <c r="C146" i="19"/>
  <c r="E146" i="19" s="1"/>
  <c r="D146" i="19" s="1"/>
  <c r="L145" i="19"/>
  <c r="N145" i="19" s="1"/>
  <c r="M145" i="19"/>
  <c r="L333" i="19"/>
  <c r="N333" i="19" s="1"/>
  <c r="M333" i="19" s="1"/>
  <c r="C332" i="19"/>
  <c r="E332" i="19" s="1"/>
  <c r="D332" i="19" s="1"/>
  <c r="G332" i="19"/>
  <c r="I332" i="19" s="1"/>
  <c r="H332" i="19" s="1"/>
  <c r="C147" i="19" l="1"/>
  <c r="E147" i="19" s="1"/>
  <c r="D147" i="19" s="1"/>
  <c r="G333" i="19"/>
  <c r="I333" i="19" s="1"/>
  <c r="H333" i="19" s="1"/>
  <c r="C333" i="19"/>
  <c r="E333" i="19" s="1"/>
  <c r="D333" i="19" s="1"/>
  <c r="L334" i="19"/>
  <c r="N334" i="19" s="1"/>
  <c r="M334" i="19" s="1"/>
  <c r="G144" i="19"/>
  <c r="I144" i="19" s="1"/>
  <c r="H144" i="19" s="1"/>
  <c r="L146" i="19"/>
  <c r="N146" i="19" s="1"/>
  <c r="M146" i="19" s="1"/>
  <c r="L335" i="19" l="1"/>
  <c r="N335" i="19" s="1"/>
  <c r="M335" i="19" s="1"/>
  <c r="C334" i="19"/>
  <c r="E334" i="19" s="1"/>
  <c r="D334" i="19" s="1"/>
  <c r="G334" i="19"/>
  <c r="I334" i="19" s="1"/>
  <c r="H334" i="19" s="1"/>
  <c r="L147" i="19"/>
  <c r="N147" i="19" s="1"/>
  <c r="M147" i="19" s="1"/>
  <c r="G145" i="19"/>
  <c r="I145" i="19" s="1"/>
  <c r="H145" i="19" s="1"/>
  <c r="C148" i="19"/>
  <c r="E148" i="19" s="1"/>
  <c r="D148" i="19" s="1"/>
  <c r="L148" i="19" l="1"/>
  <c r="N148" i="19" s="1"/>
  <c r="M148" i="19" s="1"/>
  <c r="G335" i="19"/>
  <c r="I335" i="19" s="1"/>
  <c r="H335" i="19" s="1"/>
  <c r="C149" i="19"/>
  <c r="E149" i="19" s="1"/>
  <c r="D149" i="19" s="1"/>
  <c r="C335" i="19"/>
  <c r="E335" i="19" s="1"/>
  <c r="D335" i="19" s="1"/>
  <c r="G146" i="19"/>
  <c r="I146" i="19" s="1"/>
  <c r="H146" i="19" s="1"/>
  <c r="L336" i="19"/>
  <c r="N336" i="19" s="1"/>
  <c r="M336" i="19" s="1"/>
  <c r="C336" i="19" l="1"/>
  <c r="E336" i="19" s="1"/>
  <c r="D336" i="19" s="1"/>
  <c r="C150" i="19"/>
  <c r="E150" i="19" s="1"/>
  <c r="D150" i="19" s="1"/>
  <c r="L337" i="19"/>
  <c r="N337" i="19" s="1"/>
  <c r="M337" i="19" s="1"/>
  <c r="G336" i="19"/>
  <c r="I336" i="19" s="1"/>
  <c r="H336" i="19" s="1"/>
  <c r="G147" i="19"/>
  <c r="I147" i="19" s="1"/>
  <c r="H147" i="19" s="1"/>
  <c r="L149" i="19"/>
  <c r="N149" i="19" s="1"/>
  <c r="M149" i="19"/>
  <c r="G148" i="19" l="1"/>
  <c r="I148" i="19" s="1"/>
  <c r="H148" i="19" s="1"/>
  <c r="G337" i="19"/>
  <c r="I337" i="19" s="1"/>
  <c r="H337" i="19" s="1"/>
  <c r="C151" i="19"/>
  <c r="E151" i="19" s="1"/>
  <c r="D151" i="19" s="1"/>
  <c r="C337" i="19"/>
  <c r="E337" i="19" s="1"/>
  <c r="D337" i="19" s="1"/>
  <c r="L338" i="19"/>
  <c r="N338" i="19" s="1"/>
  <c r="M338" i="19" s="1"/>
  <c r="L150" i="19"/>
  <c r="N150" i="19" s="1"/>
  <c r="M150" i="19" s="1"/>
  <c r="L151" i="19" l="1"/>
  <c r="N151" i="19" s="1"/>
  <c r="M151" i="19" s="1"/>
  <c r="L339" i="19"/>
  <c r="N339" i="19" s="1"/>
  <c r="M339" i="19" s="1"/>
  <c r="C338" i="19"/>
  <c r="E338" i="19" s="1"/>
  <c r="D338" i="19" s="1"/>
  <c r="G338" i="19"/>
  <c r="I338" i="19" s="1"/>
  <c r="H338" i="19" s="1"/>
  <c r="G149" i="19"/>
  <c r="I149" i="19" s="1"/>
  <c r="H149" i="19" s="1"/>
  <c r="C152" i="19"/>
  <c r="E152" i="19" s="1"/>
  <c r="D152" i="19" s="1"/>
  <c r="G339" i="19" l="1"/>
  <c r="I339" i="19" s="1"/>
  <c r="H339" i="19" s="1"/>
  <c r="C339" i="19"/>
  <c r="E339" i="19" s="1"/>
  <c r="D339" i="19" s="1"/>
  <c r="C153" i="19"/>
  <c r="E153" i="19" s="1"/>
  <c r="D153" i="19" s="1"/>
  <c r="L340" i="19"/>
  <c r="N340" i="19" s="1"/>
  <c r="M340" i="19" s="1"/>
  <c r="G150" i="19"/>
  <c r="I150" i="19" s="1"/>
  <c r="H150" i="19" s="1"/>
  <c r="L152" i="19"/>
  <c r="N152" i="19" s="1"/>
  <c r="M152" i="19" s="1"/>
  <c r="L341" i="19" l="1"/>
  <c r="N341" i="19" s="1"/>
  <c r="M341" i="19" s="1"/>
  <c r="C154" i="19"/>
  <c r="E154" i="19" s="1"/>
  <c r="D154" i="19" s="1"/>
  <c r="L153" i="19"/>
  <c r="N153" i="19" s="1"/>
  <c r="M153" i="19" s="1"/>
  <c r="C340" i="19"/>
  <c r="E340" i="19" s="1"/>
  <c r="D340" i="19" s="1"/>
  <c r="G151" i="19"/>
  <c r="I151" i="19" s="1"/>
  <c r="H151" i="19" s="1"/>
  <c r="G340" i="19"/>
  <c r="I340" i="19" s="1"/>
  <c r="H340" i="19" s="1"/>
  <c r="C341" i="19" l="1"/>
  <c r="E341" i="19" s="1"/>
  <c r="D341" i="19" s="1"/>
  <c r="L154" i="19"/>
  <c r="N154" i="19" s="1"/>
  <c r="M154" i="19" s="1"/>
  <c r="C155" i="19"/>
  <c r="E155" i="19" s="1"/>
  <c r="D155" i="19" s="1"/>
  <c r="G341" i="19"/>
  <c r="I341" i="19" s="1"/>
  <c r="H341" i="19" s="1"/>
  <c r="G152" i="19"/>
  <c r="I152" i="19" s="1"/>
  <c r="H152" i="19" s="1"/>
  <c r="L342" i="19"/>
  <c r="N342" i="19" s="1"/>
  <c r="M342" i="19" s="1"/>
  <c r="L343" i="19" l="1"/>
  <c r="N343" i="19" s="1"/>
  <c r="M343" i="19" s="1"/>
  <c r="G153" i="19"/>
  <c r="I153" i="19" s="1"/>
  <c r="H153" i="19" s="1"/>
  <c r="G342" i="19"/>
  <c r="I342" i="19" s="1"/>
  <c r="H342" i="19" s="1"/>
  <c r="L155" i="19"/>
  <c r="N155" i="19" s="1"/>
  <c r="M155" i="19" s="1"/>
  <c r="C342" i="19"/>
  <c r="E342" i="19" s="1"/>
  <c r="D342" i="19" s="1"/>
  <c r="C156" i="19"/>
  <c r="E156" i="19" s="1"/>
  <c r="D156" i="19" s="1"/>
  <c r="C343" i="19" l="1"/>
  <c r="E343" i="19" s="1"/>
  <c r="D343" i="19" s="1"/>
  <c r="L156" i="19"/>
  <c r="N156" i="19" s="1"/>
  <c r="M156" i="19" s="1"/>
  <c r="C157" i="19"/>
  <c r="E157" i="19" s="1"/>
  <c r="D157" i="19" s="1"/>
  <c r="G343" i="19"/>
  <c r="I343" i="19" s="1"/>
  <c r="H343" i="19" s="1"/>
  <c r="G154" i="19"/>
  <c r="I154" i="19" s="1"/>
  <c r="H154" i="19" s="1"/>
  <c r="L344" i="19"/>
  <c r="N344" i="19" s="1"/>
  <c r="M344" i="19" s="1"/>
  <c r="C158" i="19" l="1"/>
  <c r="E158" i="19" s="1"/>
  <c r="D158" i="19" s="1"/>
  <c r="G344" i="19"/>
  <c r="I344" i="19" s="1"/>
  <c r="H344" i="19" s="1"/>
  <c r="L345" i="19"/>
  <c r="N345" i="19" s="1"/>
  <c r="M345" i="19" s="1"/>
  <c r="L157" i="19"/>
  <c r="N157" i="19" s="1"/>
  <c r="M157" i="19" s="1"/>
  <c r="G155" i="19"/>
  <c r="I155" i="19" s="1"/>
  <c r="H155" i="19" s="1"/>
  <c r="C344" i="19"/>
  <c r="E344" i="19" s="1"/>
  <c r="D344" i="19" s="1"/>
  <c r="L158" i="19" l="1"/>
  <c r="N158" i="19" s="1"/>
  <c r="M158" i="19" s="1"/>
  <c r="L346" i="19"/>
  <c r="N346" i="19" s="1"/>
  <c r="M346" i="19" s="1"/>
  <c r="C345" i="19"/>
  <c r="E345" i="19" s="1"/>
  <c r="D345" i="19" s="1"/>
  <c r="G345" i="19"/>
  <c r="I345" i="19" s="1"/>
  <c r="H345" i="19" s="1"/>
  <c r="G156" i="19"/>
  <c r="I156" i="19" s="1"/>
  <c r="H156" i="19" s="1"/>
  <c r="C159" i="19"/>
  <c r="E159" i="19" s="1"/>
  <c r="D159" i="19" s="1"/>
  <c r="G346" i="19" l="1"/>
  <c r="I346" i="19" s="1"/>
  <c r="H346" i="19" s="1"/>
  <c r="C346" i="19"/>
  <c r="E346" i="19" s="1"/>
  <c r="D346" i="19" s="1"/>
  <c r="C160" i="19"/>
  <c r="E160" i="19" s="1"/>
  <c r="D160" i="19" s="1"/>
  <c r="L347" i="19"/>
  <c r="N347" i="19" s="1"/>
  <c r="M347" i="19" s="1"/>
  <c r="G157" i="19"/>
  <c r="I157" i="19" s="1"/>
  <c r="H157" i="19" s="1"/>
  <c r="L159" i="19"/>
  <c r="N159" i="19" s="1"/>
  <c r="M159" i="19" s="1"/>
  <c r="L348" i="19" l="1"/>
  <c r="N348" i="19" s="1"/>
  <c r="M348" i="19" s="1"/>
  <c r="C161" i="19"/>
  <c r="E161" i="19" s="1"/>
  <c r="D161" i="19" s="1"/>
  <c r="L160" i="19"/>
  <c r="N160" i="19" s="1"/>
  <c r="M160" i="19"/>
  <c r="C347" i="19"/>
  <c r="E347" i="19" s="1"/>
  <c r="D347" i="19" s="1"/>
  <c r="G158" i="19"/>
  <c r="I158" i="19" s="1"/>
  <c r="H158" i="19" s="1"/>
  <c r="G347" i="19"/>
  <c r="I347" i="19" s="1"/>
  <c r="H347" i="19" s="1"/>
  <c r="C348" i="19" l="1"/>
  <c r="E348" i="19" s="1"/>
  <c r="D348" i="19" s="1"/>
  <c r="G348" i="19"/>
  <c r="I348" i="19" s="1"/>
  <c r="H348" i="19" s="1"/>
  <c r="G159" i="19"/>
  <c r="I159" i="19" s="1"/>
  <c r="H159" i="19" s="1"/>
  <c r="C162" i="19"/>
  <c r="E162" i="19" s="1"/>
  <c r="D162" i="19" s="1"/>
  <c r="L349" i="19"/>
  <c r="N349" i="19" s="1"/>
  <c r="M349" i="19" s="1"/>
  <c r="L161" i="19"/>
  <c r="N161" i="19" s="1"/>
  <c r="M161" i="19" s="1"/>
  <c r="C163" i="19" l="1"/>
  <c r="E163" i="19" s="1"/>
  <c r="D163" i="19" s="1"/>
  <c r="G160" i="19"/>
  <c r="I160" i="19" s="1"/>
  <c r="H160" i="19" s="1"/>
  <c r="G349" i="19"/>
  <c r="I349" i="19" s="1"/>
  <c r="H349" i="19" s="1"/>
  <c r="L162" i="19"/>
  <c r="N162" i="19" s="1"/>
  <c r="M162" i="19" s="1"/>
  <c r="L350" i="19"/>
  <c r="N350" i="19" s="1"/>
  <c r="M350" i="19" s="1"/>
  <c r="C349" i="19"/>
  <c r="E349" i="19" s="1"/>
  <c r="D349" i="19" s="1"/>
  <c r="L163" i="19" l="1"/>
  <c r="N163" i="19" s="1"/>
  <c r="M163" i="19" s="1"/>
  <c r="G350" i="19"/>
  <c r="I350" i="19" s="1"/>
  <c r="H350" i="19" s="1"/>
  <c r="G161" i="19"/>
  <c r="I161" i="19" s="1"/>
  <c r="H161" i="19" s="1"/>
  <c r="C350" i="19"/>
  <c r="E350" i="19" s="1"/>
  <c r="D350" i="19" s="1"/>
  <c r="L351" i="19"/>
  <c r="N351" i="19" s="1"/>
  <c r="M351" i="19"/>
  <c r="C164" i="19"/>
  <c r="E164" i="19" s="1"/>
  <c r="D164" i="19" s="1"/>
  <c r="C351" i="19" l="1"/>
  <c r="E351" i="19" s="1"/>
  <c r="D351" i="19" s="1"/>
  <c r="G162" i="19"/>
  <c r="I162" i="19" s="1"/>
  <c r="H162" i="19" s="1"/>
  <c r="C165" i="19"/>
  <c r="E165" i="19" s="1"/>
  <c r="D165" i="19" s="1"/>
  <c r="G351" i="19"/>
  <c r="I351" i="19" s="1"/>
  <c r="H351" i="19" s="1"/>
  <c r="L164" i="19"/>
  <c r="N164" i="19" s="1"/>
  <c r="M164" i="19"/>
  <c r="L352" i="19"/>
  <c r="N352" i="19" s="1"/>
  <c r="M352" i="19" s="1"/>
  <c r="G352" i="19" l="1"/>
  <c r="I352" i="19" s="1"/>
  <c r="H352" i="19" s="1"/>
  <c r="C166" i="19"/>
  <c r="E166" i="19" s="1"/>
  <c r="D166" i="19" s="1"/>
  <c r="L353" i="19"/>
  <c r="N353" i="19" s="1"/>
  <c r="M353" i="19" s="1"/>
  <c r="G163" i="19"/>
  <c r="I163" i="19" s="1"/>
  <c r="H163" i="19" s="1"/>
  <c r="C352" i="19"/>
  <c r="E352" i="19" s="1"/>
  <c r="D352" i="19" s="1"/>
  <c r="L165" i="19"/>
  <c r="N165" i="19" s="1"/>
  <c r="M165" i="19"/>
  <c r="G164" i="19" l="1"/>
  <c r="I164" i="19" s="1"/>
  <c r="H164" i="19" s="1"/>
  <c r="L354" i="19"/>
  <c r="N354" i="19" s="1"/>
  <c r="M354" i="19" s="1"/>
  <c r="C167" i="19"/>
  <c r="E167" i="19" s="1"/>
  <c r="D167" i="19" s="1"/>
  <c r="C353" i="19"/>
  <c r="E353" i="19" s="1"/>
  <c r="D353" i="19" s="1"/>
  <c r="G353" i="19"/>
  <c r="I353" i="19" s="1"/>
  <c r="H353" i="19" s="1"/>
  <c r="L166" i="19"/>
  <c r="N166" i="19" s="1"/>
  <c r="M166" i="19" s="1"/>
  <c r="C354" i="19" l="1"/>
  <c r="E354" i="19" s="1"/>
  <c r="D354" i="19" s="1"/>
  <c r="C168" i="19"/>
  <c r="E168" i="19" s="1"/>
  <c r="D168" i="19" s="1"/>
  <c r="L167" i="19"/>
  <c r="N167" i="19" s="1"/>
  <c r="M167" i="19" s="1"/>
  <c r="L355" i="19"/>
  <c r="N355" i="19" s="1"/>
  <c r="M355" i="19" s="1"/>
  <c r="G354" i="19"/>
  <c r="I354" i="19" s="1"/>
  <c r="H354" i="19" s="1"/>
  <c r="G165" i="19"/>
  <c r="I165" i="19" s="1"/>
  <c r="H165" i="19" s="1"/>
  <c r="G166" i="19" l="1"/>
  <c r="I166" i="19" s="1"/>
  <c r="H166" i="19" s="1"/>
  <c r="C355" i="19"/>
  <c r="E355" i="19" s="1"/>
  <c r="D355" i="19" s="1"/>
  <c r="L356" i="19"/>
  <c r="N356" i="19" s="1"/>
  <c r="M356" i="19" s="1"/>
  <c r="L168" i="19"/>
  <c r="N168" i="19" s="1"/>
  <c r="M168" i="19"/>
  <c r="C169" i="19"/>
  <c r="E169" i="19" s="1"/>
  <c r="D169" i="19" s="1"/>
  <c r="G355" i="19"/>
  <c r="I355" i="19" s="1"/>
  <c r="H355" i="19" s="1"/>
  <c r="G356" i="19" l="1"/>
  <c r="I356" i="19" s="1"/>
  <c r="H356" i="19" s="1"/>
  <c r="L357" i="19"/>
  <c r="N357" i="19" s="1"/>
  <c r="M357" i="19" s="1"/>
  <c r="C170" i="19"/>
  <c r="E170" i="19" s="1"/>
  <c r="D170" i="19" s="1"/>
  <c r="C356" i="19"/>
  <c r="E356" i="19" s="1"/>
  <c r="D356" i="19" s="1"/>
  <c r="G167" i="19"/>
  <c r="I167" i="19" s="1"/>
  <c r="H167" i="19" s="1"/>
  <c r="L169" i="19"/>
  <c r="N169" i="19" s="1"/>
  <c r="M169" i="19" s="1"/>
  <c r="C171" i="19" l="1"/>
  <c r="E171" i="19" s="1"/>
  <c r="D171" i="19" s="1"/>
  <c r="C357" i="19"/>
  <c r="E357" i="19" s="1"/>
  <c r="D357" i="19" s="1"/>
  <c r="L170" i="19"/>
  <c r="N170" i="19" s="1"/>
  <c r="M170" i="19" s="1"/>
  <c r="L358" i="19"/>
  <c r="N358" i="19" s="1"/>
  <c r="M358" i="19" s="1"/>
  <c r="G168" i="19"/>
  <c r="I168" i="19" s="1"/>
  <c r="H168" i="19" s="1"/>
  <c r="G357" i="19"/>
  <c r="I357" i="19" s="1"/>
  <c r="H357" i="19" s="1"/>
  <c r="L359" i="19" l="1"/>
  <c r="N359" i="19" s="1"/>
  <c r="M359" i="19" s="1"/>
  <c r="L171" i="19"/>
  <c r="N171" i="19" s="1"/>
  <c r="M171" i="19" s="1"/>
  <c r="G358" i="19"/>
  <c r="I358" i="19" s="1"/>
  <c r="H358" i="19" s="1"/>
  <c r="C358" i="19"/>
  <c r="E358" i="19" s="1"/>
  <c r="D358" i="19" s="1"/>
  <c r="G169" i="19"/>
  <c r="I169" i="19" s="1"/>
  <c r="H169" i="19" s="1"/>
  <c r="C172" i="19"/>
  <c r="E172" i="19" s="1"/>
  <c r="D172" i="19" s="1"/>
  <c r="C359" i="19" l="1"/>
  <c r="E359" i="19" s="1"/>
  <c r="D359" i="19" s="1"/>
  <c r="G170" i="19"/>
  <c r="I170" i="19" s="1"/>
  <c r="H170" i="19" s="1"/>
  <c r="G359" i="19"/>
  <c r="I359" i="19" s="1"/>
  <c r="H359" i="19" s="1"/>
  <c r="C173" i="19"/>
  <c r="E173" i="19" s="1"/>
  <c r="D173" i="19" s="1"/>
  <c r="L172" i="19"/>
  <c r="N172" i="19" s="1"/>
  <c r="M172" i="19" s="1"/>
  <c r="L360" i="19"/>
  <c r="N360" i="19" s="1"/>
  <c r="M360" i="19" s="1"/>
  <c r="L173" i="19" l="1"/>
  <c r="N173" i="19" s="1"/>
  <c r="M173" i="19" s="1"/>
  <c r="C174" i="19"/>
  <c r="E174" i="19" s="1"/>
  <c r="D174" i="19" s="1"/>
  <c r="G360" i="19"/>
  <c r="I360" i="19" s="1"/>
  <c r="H360" i="19" s="1"/>
  <c r="G171" i="19"/>
  <c r="I171" i="19" s="1"/>
  <c r="H171" i="19" s="1"/>
  <c r="L361" i="19"/>
  <c r="N361" i="19" s="1"/>
  <c r="M361" i="19" s="1"/>
  <c r="C360" i="19"/>
  <c r="E360" i="19" s="1"/>
  <c r="D360" i="19" s="1"/>
  <c r="G172" i="19" l="1"/>
  <c r="I172" i="19" s="1"/>
  <c r="H172" i="19" s="1"/>
  <c r="G361" i="19"/>
  <c r="I361" i="19" s="1"/>
  <c r="H361" i="19" s="1"/>
  <c r="C175" i="19"/>
  <c r="E175" i="19" s="1"/>
  <c r="D175" i="19" s="1"/>
  <c r="C361" i="19"/>
  <c r="E361" i="19" s="1"/>
  <c r="D361" i="19" s="1"/>
  <c r="L362" i="19"/>
  <c r="N362" i="19" s="1"/>
  <c r="M362" i="19" s="1"/>
  <c r="L174" i="19"/>
  <c r="N174" i="19" s="1"/>
  <c r="M174" i="19" s="1"/>
  <c r="C362" i="19" l="1"/>
  <c r="E362" i="19" s="1"/>
  <c r="D362" i="19" s="1"/>
  <c r="C176" i="19"/>
  <c r="E176" i="19" s="1"/>
  <c r="D176" i="19" s="1"/>
  <c r="G362" i="19"/>
  <c r="I362" i="19" s="1"/>
  <c r="H362" i="19" s="1"/>
  <c r="L175" i="19"/>
  <c r="N175" i="19" s="1"/>
  <c r="M175" i="19" s="1"/>
  <c r="L363" i="19"/>
  <c r="N363" i="19" s="1"/>
  <c r="M363" i="19"/>
  <c r="G173" i="19"/>
  <c r="I173" i="19" s="1"/>
  <c r="H173" i="19" s="1"/>
  <c r="C177" i="19" l="1"/>
  <c r="E177" i="19" s="1"/>
  <c r="D177" i="19" s="1"/>
  <c r="L176" i="19"/>
  <c r="N176" i="19" s="1"/>
  <c r="M176" i="19" s="1"/>
  <c r="C363" i="19"/>
  <c r="E363" i="19" s="1"/>
  <c r="D363" i="19" s="1"/>
  <c r="G174" i="19"/>
  <c r="I174" i="19" s="1"/>
  <c r="H174" i="19" s="1"/>
  <c r="G363" i="19"/>
  <c r="I363" i="19" s="1"/>
  <c r="H363" i="19" s="1"/>
  <c r="L364" i="19"/>
  <c r="N364" i="19" s="1"/>
  <c r="M364" i="19" s="1"/>
  <c r="C364" i="19" l="1"/>
  <c r="E364" i="19" s="1"/>
  <c r="D364" i="19" s="1"/>
  <c r="G175" i="19"/>
  <c r="I175" i="19" s="1"/>
  <c r="H175" i="19" s="1"/>
  <c r="L365" i="19"/>
  <c r="N365" i="19" s="1"/>
  <c r="M365" i="19" s="1"/>
  <c r="L177" i="19"/>
  <c r="N177" i="19" s="1"/>
  <c r="M177" i="19" s="1"/>
  <c r="G364" i="19"/>
  <c r="I364" i="19" s="1"/>
  <c r="H364" i="19" s="1"/>
  <c r="C178" i="19"/>
  <c r="E178" i="19" s="1"/>
  <c r="D178" i="19" s="1"/>
  <c r="L178" i="19" l="1"/>
  <c r="N178" i="19" s="1"/>
  <c r="M178" i="19" s="1"/>
  <c r="L366" i="19"/>
  <c r="N366" i="19" s="1"/>
  <c r="M366" i="19" s="1"/>
  <c r="C179" i="19"/>
  <c r="E179" i="19" s="1"/>
  <c r="D179" i="19" s="1"/>
  <c r="G176" i="19"/>
  <c r="I176" i="19" s="1"/>
  <c r="H176" i="19" s="1"/>
  <c r="G365" i="19"/>
  <c r="I365" i="19" s="1"/>
  <c r="H365" i="19" s="1"/>
  <c r="C365" i="19"/>
  <c r="E365" i="19" s="1"/>
  <c r="D365" i="19" s="1"/>
  <c r="G177" i="19" l="1"/>
  <c r="I177" i="19" s="1"/>
  <c r="H177" i="19" s="1"/>
  <c r="C180" i="19"/>
  <c r="E180" i="19" s="1"/>
  <c r="D180" i="19" s="1"/>
  <c r="C366" i="19"/>
  <c r="E366" i="19" s="1"/>
  <c r="D366" i="19" s="1"/>
  <c r="L367" i="19"/>
  <c r="N367" i="19" s="1"/>
  <c r="M367" i="19"/>
  <c r="G366" i="19"/>
  <c r="I366" i="19" s="1"/>
  <c r="H366" i="19" s="1"/>
  <c r="L179" i="19"/>
  <c r="N179" i="19" s="1"/>
  <c r="M179" i="19" s="1"/>
  <c r="L180" i="19" l="1"/>
  <c r="N180" i="19" s="1"/>
  <c r="M180" i="19" s="1"/>
  <c r="C367" i="19"/>
  <c r="E367" i="19" s="1"/>
  <c r="D367" i="19" s="1"/>
  <c r="C181" i="19"/>
  <c r="E181" i="19" s="1"/>
  <c r="D181" i="19" s="1"/>
  <c r="G367" i="19"/>
  <c r="I367" i="19" s="1"/>
  <c r="H367" i="19" s="1"/>
  <c r="G178" i="19"/>
  <c r="I178" i="19" s="1"/>
  <c r="H178" i="19" s="1"/>
  <c r="L368" i="19"/>
  <c r="N368" i="19" s="1"/>
  <c r="M368" i="19" s="1"/>
  <c r="G368" i="19" l="1"/>
  <c r="I368" i="19" s="1"/>
  <c r="H368" i="19" s="1"/>
  <c r="C182" i="19"/>
  <c r="E182" i="19" s="1"/>
  <c r="D182" i="19" s="1"/>
  <c r="C368" i="19"/>
  <c r="E368" i="19" s="1"/>
  <c r="D368" i="19" s="1"/>
  <c r="L369" i="19"/>
  <c r="N369" i="19" s="1"/>
  <c r="G179" i="19"/>
  <c r="I179" i="19" s="1"/>
  <c r="H179" i="19" s="1"/>
  <c r="L181" i="19"/>
  <c r="N181" i="19" s="1"/>
  <c r="M181" i="19"/>
  <c r="C369" i="19" l="1"/>
  <c r="E369" i="19" s="1"/>
  <c r="C183" i="19"/>
  <c r="E183" i="19" s="1"/>
  <c r="D183" i="19" s="1"/>
  <c r="G180" i="19"/>
  <c r="I180" i="19" s="1"/>
  <c r="H180" i="19" s="1"/>
  <c r="G369" i="19"/>
  <c r="I369" i="19" s="1"/>
  <c r="M182" i="19"/>
  <c r="L182" i="19"/>
  <c r="N182" i="19" s="1"/>
  <c r="M369" i="19"/>
  <c r="G181" i="19" l="1"/>
  <c r="I181" i="19" s="1"/>
  <c r="H181" i="19" s="1"/>
  <c r="C184" i="19"/>
  <c r="E184" i="19" s="1"/>
  <c r="D184" i="19" s="1"/>
  <c r="L183" i="19"/>
  <c r="N183" i="19" s="1"/>
  <c r="H369" i="19"/>
  <c r="D369" i="19"/>
  <c r="C185" i="19" l="1"/>
  <c r="E185" i="19" s="1"/>
  <c r="G182" i="19"/>
  <c r="I182" i="19" s="1"/>
  <c r="M183" i="19"/>
  <c r="L184" i="19" l="1"/>
  <c r="N184" i="19" s="1"/>
  <c r="H182" i="19"/>
  <c r="D185" i="19"/>
  <c r="G183" i="19" l="1"/>
  <c r="I183" i="19" s="1"/>
  <c r="C186" i="19"/>
  <c r="E186" i="19" s="1"/>
  <c r="D186" i="19" s="1"/>
  <c r="M184" i="19"/>
  <c r="L185" i="19" l="1"/>
  <c r="N185" i="19" s="1"/>
  <c r="M185" i="19" s="1"/>
  <c r="F10" i="19"/>
  <c r="F4" i="19"/>
  <c r="F7" i="19" s="1"/>
  <c r="H183" i="19"/>
  <c r="L186" i="19" l="1"/>
  <c r="N186" i="19" s="1"/>
  <c r="G184" i="19"/>
  <c r="I184" i="19" s="1"/>
  <c r="H184" i="19" s="1"/>
  <c r="G185" i="19" l="1"/>
  <c r="I185" i="19" s="1"/>
  <c r="H185" i="19" s="1"/>
  <c r="O10" i="19"/>
  <c r="O4" i="19"/>
  <c r="O7" i="19" s="1"/>
  <c r="M186" i="19"/>
  <c r="G186" i="19" l="1"/>
  <c r="I186" i="19" s="1"/>
  <c r="J10" i="19" l="1"/>
  <c r="J4" i="19"/>
  <c r="J7" i="19" s="1"/>
  <c r="H186" i="19"/>
</calcChain>
</file>

<file path=xl/sharedStrings.xml><?xml version="1.0" encoding="utf-8"?>
<sst xmlns="http://schemas.openxmlformats.org/spreadsheetml/2006/main" count="4738" uniqueCount="2352">
  <si>
    <t>Node#</t>
    <phoneticPr fontId="4" type="noConversion"/>
  </si>
  <si>
    <t>Alias</t>
    <phoneticPr fontId="4" type="noConversion"/>
  </si>
  <si>
    <t>State</t>
    <phoneticPr fontId="4" type="noConversion"/>
  </si>
  <si>
    <t>n73</t>
    <phoneticPr fontId="4" type="noConversion"/>
  </si>
  <si>
    <t>CAFO1</t>
    <phoneticPr fontId="4" type="noConversion"/>
  </si>
  <si>
    <t>Adams </t>
  </si>
  <si>
    <t>P.O.Box122,Coloma,WI54930 </t>
  </si>
  <si>
    <t>WI</t>
    <phoneticPr fontId="4" type="noConversion"/>
  </si>
  <si>
    <t>n74</t>
  </si>
  <si>
    <t>CAFO2</t>
  </si>
  <si>
    <t>25635thAve.,GrandMarsh,WI53936 </t>
  </si>
  <si>
    <t>WI</t>
    <phoneticPr fontId="4" type="noConversion"/>
  </si>
  <si>
    <t>n75</t>
  </si>
  <si>
    <t>CAFO3</t>
  </si>
  <si>
    <r>
      <rPr>
        <sz val="11"/>
        <color theme="1"/>
        <rFont val="等线"/>
        <family val="2"/>
        <scheme val="minor"/>
      </rPr>
      <t>N3569VandenBoschRd,Kaukauna,WI54130</t>
    </r>
    <r>
      <rPr>
        <sz val="11"/>
        <color theme="1"/>
        <rFont val="等线"/>
        <family val="3"/>
        <charset val="134"/>
        <scheme val="minor"/>
      </rPr>
      <t> </t>
    </r>
    <phoneticPr fontId="6" type="noConversion"/>
  </si>
  <si>
    <t>WI</t>
    <phoneticPr fontId="4" type="noConversion"/>
  </si>
  <si>
    <t>n76</t>
  </si>
  <si>
    <t>CAFO4</t>
  </si>
  <si>
    <t>Barron </t>
  </si>
  <si>
    <t>336GerlandRd,RiceLake,WI54868 </t>
  </si>
  <si>
    <t>n77</t>
  </si>
  <si>
    <t>CAFO5</t>
  </si>
  <si>
    <t>9513-1/413-1/2St,Ridgeland,WI54763 </t>
  </si>
  <si>
    <t>n78</t>
  </si>
  <si>
    <t>CAFO6</t>
  </si>
  <si>
    <t>156319thAve,RiceLake,WI54868 </t>
  </si>
  <si>
    <t>WI</t>
    <phoneticPr fontId="4" type="noConversion"/>
  </si>
  <si>
    <t>n79</t>
  </si>
  <si>
    <t>CAFO7</t>
  </si>
  <si>
    <t>16314thSt,Almena,WI54805 </t>
  </si>
  <si>
    <t>n80</t>
  </si>
  <si>
    <t>CAFO8</t>
  </si>
  <si>
    <t>85230thSt,Chetek,WI54728 </t>
  </si>
  <si>
    <t>n81</t>
  </si>
  <si>
    <t>CAFO9</t>
  </si>
  <si>
    <t>Brown </t>
  </si>
  <si>
    <t>1734WaysideRd,Greenleaf,WI54126 </t>
  </si>
  <si>
    <t>n82</t>
  </si>
  <si>
    <t>CAFO10</t>
  </si>
  <si>
    <t>3586CooperstownRd,DePere,WI54115 </t>
  </si>
  <si>
    <t>n83</t>
  </si>
  <si>
    <t>CAFO11</t>
  </si>
  <si>
    <t>3489HillRoad,Greenleaf,WI54126 </t>
  </si>
  <si>
    <t>n84</t>
  </si>
  <si>
    <t>CAFO12</t>
  </si>
  <si>
    <t>1440LamersClancyRd,Greenleaf,WI54126 </t>
  </si>
  <si>
    <t>WI</t>
    <phoneticPr fontId="4" type="noConversion"/>
  </si>
  <si>
    <t>n85</t>
  </si>
  <si>
    <t>CAFO13</t>
  </si>
  <si>
    <t>5424GauthierRoad,NewFranken,WI54229 </t>
  </si>
  <si>
    <t>n86</t>
  </si>
  <si>
    <t>CAFO14</t>
  </si>
  <si>
    <t>4367LarkRoad,Denmark,WI54208 </t>
  </si>
  <si>
    <t>n87</t>
  </si>
  <si>
    <t>CAFO15</t>
  </si>
  <si>
    <t>1074MeadowlarkRd,DePere,WI54115 </t>
  </si>
  <si>
    <t>n88</t>
  </si>
  <si>
    <t>CAFO16</t>
  </si>
  <si>
    <t>4431CountyRoadC,Pulaski,WI54162 </t>
  </si>
  <si>
    <t>n89</t>
  </si>
  <si>
    <t>CAFO17</t>
  </si>
  <si>
    <t>2375DaySt,Greenleaf,WI54126 </t>
  </si>
  <si>
    <t>n90</t>
  </si>
  <si>
    <t>CAFO18</t>
  </si>
  <si>
    <t>4240RosinRd,DePere,WI54115 </t>
  </si>
  <si>
    <t>n91</t>
  </si>
  <si>
    <t>CAFO19</t>
  </si>
  <si>
    <t>1244CountyLineRd,DePere,WI54115 </t>
  </si>
  <si>
    <t>n92</t>
  </si>
  <si>
    <t>CAFO20</t>
  </si>
  <si>
    <t>4819GLENVIEWRD,DENMARK,WI54208 </t>
  </si>
  <si>
    <t>n93</t>
  </si>
  <si>
    <t>CAFO21</t>
  </si>
  <si>
    <t>5580HumboltRd,Luxemburg,WI54217 </t>
  </si>
  <si>
    <t>n94</t>
  </si>
  <si>
    <t>CAFO22</t>
  </si>
  <si>
    <t>3793StateHwy57,DePere,WI54115 </t>
  </si>
  <si>
    <t>n95</t>
  </si>
  <si>
    <t>CAFO23</t>
  </si>
  <si>
    <t>2768PoplarSt,Wrightstown,WI54180 </t>
  </si>
  <si>
    <t>n96</t>
  </si>
  <si>
    <t>CAFO24</t>
  </si>
  <si>
    <t>4357CountyRdU,Wrightstown,WI54180 </t>
  </si>
  <si>
    <t>n97</t>
  </si>
  <si>
    <t>CAFO25</t>
  </si>
  <si>
    <t>3603WaysideRd,Greenleaf,WI54126 </t>
  </si>
  <si>
    <t>n98</t>
  </si>
  <si>
    <t>CAFO26</t>
  </si>
  <si>
    <t>7091Old57Rd,Greenleaf,WI54126 </t>
  </si>
  <si>
    <t>n99</t>
  </si>
  <si>
    <t>CAFO27</t>
  </si>
  <si>
    <t>6013MorrisonRd,DePere,WI54115 </t>
  </si>
  <si>
    <t>n100</t>
  </si>
  <si>
    <t>CAFO28</t>
  </si>
  <si>
    <t>Buffalo </t>
  </si>
  <si>
    <t>W2184CtyRdK,Durand,WI54736 </t>
  </si>
  <si>
    <t>n101</t>
  </si>
  <si>
    <t>CAFO29</t>
  </si>
  <si>
    <t>W1984CtyRdK,Durand,WI54726 </t>
  </si>
  <si>
    <t>n102</t>
  </si>
  <si>
    <t>CAFO30</t>
  </si>
  <si>
    <t>W849CountyRdU,Cochrane,WI54622 </t>
  </si>
  <si>
    <t>n103</t>
  </si>
  <si>
    <t>CAFO31</t>
  </si>
  <si>
    <t>Burnett </t>
  </si>
  <si>
    <t>23250SWilliamsRd,Grantsburg,WI54840 </t>
  </si>
  <si>
    <t>n104</t>
  </si>
  <si>
    <t>CAFO32</t>
  </si>
  <si>
    <t>Calumet </t>
  </si>
  <si>
    <t>N6038ERiverRd,Brillion,WI54110 </t>
  </si>
  <si>
    <t>n105</t>
  </si>
  <si>
    <t>CAFO33</t>
  </si>
  <si>
    <t>W3412SchmidtRd,Brillion,WI54110 </t>
  </si>
  <si>
    <t>n106</t>
  </si>
  <si>
    <t>CAFO34</t>
  </si>
  <si>
    <t>N5701IrishRd,Hilbert,WI54129 </t>
  </si>
  <si>
    <t>n107</t>
  </si>
  <si>
    <t>CAFO35</t>
  </si>
  <si>
    <t>W397Man-CalRoad,Brillion,WI54110 </t>
  </si>
  <si>
    <t>n108</t>
  </si>
  <si>
    <t>CAFO36</t>
  </si>
  <si>
    <t>W2268HickoryHillsRoad,Chilton,WI53014 </t>
  </si>
  <si>
    <t>n109</t>
  </si>
  <si>
    <t>CAFO37</t>
  </si>
  <si>
    <t>W2920FaroSpringsRd,Hilbert,WI54129 </t>
  </si>
  <si>
    <t>WI</t>
    <phoneticPr fontId="4" type="noConversion"/>
  </si>
  <si>
    <t>n110</t>
  </si>
  <si>
    <t>CAFO38</t>
  </si>
  <si>
    <t>N8681BastianRd,Brillion,WI54110 </t>
  </si>
  <si>
    <t>n111</t>
  </si>
  <si>
    <t>CAFO39</t>
  </si>
  <si>
    <t>N6414RiemerRoad,Hilbert,WI54129 </t>
  </si>
  <si>
    <t>n112</t>
  </si>
  <si>
    <t>CAFO40</t>
  </si>
  <si>
    <t>N9594CountyRoadPP,Brillion,WI54110 </t>
  </si>
  <si>
    <t>n113</t>
  </si>
  <si>
    <t>CAFO41</t>
  </si>
  <si>
    <t>Chippewa </t>
  </si>
  <si>
    <t>34452Co.Hwy.O,Stanley,WI54758 </t>
  </si>
  <si>
    <t>n114</t>
  </si>
  <si>
    <t>CAFO42</t>
  </si>
  <si>
    <t>8544CountyHighwayX,ChippewaFalls,WI54729 </t>
  </si>
  <si>
    <t>n115</t>
  </si>
  <si>
    <t>CAFO43</t>
  </si>
  <si>
    <t>Clark </t>
  </si>
  <si>
    <t>W861CtyRdA,Dorchester,WI54425 </t>
  </si>
  <si>
    <t>n116</t>
  </si>
  <si>
    <t>CAFO44</t>
  </si>
  <si>
    <t>W2031CTHK,Unity,WI54488 </t>
  </si>
  <si>
    <t>n117</t>
  </si>
  <si>
    <t>CAFO45</t>
  </si>
  <si>
    <t>W4733CtyHwyC,Neillsville,WI54456 </t>
  </si>
  <si>
    <t>n118</t>
  </si>
  <si>
    <t>CAFO46</t>
  </si>
  <si>
    <t>8278NCntyRoadY,Spencer,WI54479 </t>
  </si>
  <si>
    <t>n119</t>
  </si>
  <si>
    <t>CAFO47</t>
  </si>
  <si>
    <t>N13853GormanAve,Thorp,WI547717700 </t>
  </si>
  <si>
    <t>n120</t>
  </si>
  <si>
    <t>CAFO48</t>
  </si>
  <si>
    <t>N7543MeridianAve,Spencer,WI54479 </t>
  </si>
  <si>
    <t>n121</t>
  </si>
  <si>
    <t>CAFO49</t>
  </si>
  <si>
    <t>W4929SandRd,Neillsville,WI54456 </t>
  </si>
  <si>
    <t>n122</t>
  </si>
  <si>
    <t>CAFO50</t>
  </si>
  <si>
    <t>N16743BadgerAve,Dorchester,WI54425 </t>
  </si>
  <si>
    <t>n123</t>
  </si>
  <si>
    <t>CAFO51</t>
  </si>
  <si>
    <t>W3320153Road,Loyal,WI54446 </t>
  </si>
  <si>
    <t>n124</t>
  </si>
  <si>
    <t>CAFO52</t>
  </si>
  <si>
    <t>W136PantherCreekRd,Chili,WI54420 </t>
  </si>
  <si>
    <t>n125</t>
  </si>
  <si>
    <t>CAFO53</t>
  </si>
  <si>
    <t>Columbia </t>
  </si>
  <si>
    <t>7502PattonRd,DeForest,WI53532 </t>
  </si>
  <si>
    <t>n126</t>
  </si>
  <si>
    <t>CAFO54</t>
  </si>
  <si>
    <t>N368Hwy51,DeForest,WI53532 </t>
  </si>
  <si>
    <t>n127</t>
  </si>
  <si>
    <t>CAFO55</t>
  </si>
  <si>
    <t>Dane </t>
  </si>
  <si>
    <t>n128</t>
  </si>
  <si>
    <t>CAFO56</t>
  </si>
  <si>
    <t>5519Hwy73,Marshall,WI53559 </t>
  </si>
  <si>
    <t>n129</t>
  </si>
  <si>
    <t>CAFO57</t>
  </si>
  <si>
    <t>6790TwinLaneRd,SunPrairie,WI53590 </t>
  </si>
  <si>
    <t>n130</t>
  </si>
  <si>
    <t>CAFO58</t>
  </si>
  <si>
    <t>364RemyRd,Belleville,WI53508 </t>
  </si>
  <si>
    <t>n131</t>
  </si>
  <si>
    <t>CAFO59</t>
  </si>
  <si>
    <t>5010TownHallDr,CottageGrove,WI53527 </t>
  </si>
  <si>
    <t>n132</t>
  </si>
  <si>
    <t>CAFO60</t>
  </si>
  <si>
    <t>6626RippDr,Dane,WI53529 </t>
  </si>
  <si>
    <t>n133</t>
  </si>
  <si>
    <t>CAFO61</t>
  </si>
  <si>
    <t>5707CountyRdVV,Marshall,WI53559 </t>
  </si>
  <si>
    <t>n134</t>
  </si>
  <si>
    <t>CAFO62</t>
  </si>
  <si>
    <t>7262SchneiderRd,Middleton,WI53562 </t>
  </si>
  <si>
    <t>n135</t>
  </si>
  <si>
    <t>CAFO63</t>
  </si>
  <si>
    <t>6200MaierRd,Waunakee,WI53597 </t>
  </si>
  <si>
    <t>WI</t>
    <phoneticPr fontId="4" type="noConversion"/>
  </si>
  <si>
    <t>n136</t>
  </si>
  <si>
    <t>CAFO64</t>
  </si>
  <si>
    <t>4985ChurchRoad,Middleton,WI53562 </t>
  </si>
  <si>
    <t>n137</t>
  </si>
  <si>
    <t>CAFO65</t>
  </si>
  <si>
    <t>Dodge </t>
  </si>
  <si>
    <t>N10523Hwy175,Lomira,WI53048 </t>
  </si>
  <si>
    <t>n138</t>
  </si>
  <si>
    <t>CAFO66</t>
  </si>
  <si>
    <t>W11550TorpyRd,Waterloo,WI53594 </t>
  </si>
  <si>
    <t>n139</t>
  </si>
  <si>
    <t>CAFO67</t>
  </si>
  <si>
    <t>N8133DoyleRd,Theresa,WI53091 </t>
  </si>
  <si>
    <t>n140</t>
  </si>
  <si>
    <t>CAFO68</t>
  </si>
  <si>
    <t>N8783BasswoodRd,BeaverDam,WI53816 </t>
  </si>
  <si>
    <t>n141</t>
  </si>
  <si>
    <t>CAFO69</t>
  </si>
  <si>
    <t>N5638HWYDJ,JUNEAU,WI53039 </t>
  </si>
  <si>
    <t>n142</t>
  </si>
  <si>
    <t>CAFO70</t>
  </si>
  <si>
    <t>Door </t>
  </si>
  <si>
    <t>7900OldElmRd,SturgeonBay,WI54235 </t>
  </si>
  <si>
    <t>n143</t>
  </si>
  <si>
    <t>CAFO71</t>
  </si>
  <si>
    <t>Dunn </t>
  </si>
  <si>
    <t>E2850STH72,Menomonie,WI54751 </t>
  </si>
  <si>
    <t>n144</t>
  </si>
  <si>
    <t>CAFO72</t>
  </si>
  <si>
    <t>8606810thStreet,Colfax,WI54730,Colfax,WI54730 </t>
  </si>
  <si>
    <t>n145</t>
  </si>
  <si>
    <t>CAFO73</t>
  </si>
  <si>
    <t>E9817590thAve,ElkMound,WI54739 </t>
  </si>
  <si>
    <t>n146</t>
  </si>
  <si>
    <t>CAFO74</t>
  </si>
  <si>
    <t>E9195910thAve,Colfax,WI54730 </t>
  </si>
  <si>
    <t>n147</t>
  </si>
  <si>
    <t>CAFO75</t>
  </si>
  <si>
    <t>EauClaire </t>
  </si>
  <si>
    <t>S14111CountyRoadI,Eleva,WI54738 </t>
  </si>
  <si>
    <t>n148</t>
  </si>
  <si>
    <t>CAFO76</t>
  </si>
  <si>
    <t>FondDuLac </t>
  </si>
  <si>
    <t>N8148SchaeferRd,Malone,WI53049 </t>
  </si>
  <si>
    <t>n149</t>
  </si>
  <si>
    <t>CAFO77</t>
  </si>
  <si>
    <t>W4050CtyRdUU,Eden,WI53019 </t>
  </si>
  <si>
    <t>n150</t>
  </si>
  <si>
    <t>CAFO78</t>
  </si>
  <si>
    <t>W4306CloverlandDr,Campbellsport,WI53010 </t>
  </si>
  <si>
    <t>n151</t>
  </si>
  <si>
    <t>CAFO79</t>
  </si>
  <si>
    <t>W6976CountyRdF,Brownsville,WI53006 </t>
  </si>
  <si>
    <t>n152</t>
  </si>
  <si>
    <t>CAFO80</t>
  </si>
  <si>
    <t>N3447MarshviewRd,Markesan,WI53946 </t>
  </si>
  <si>
    <t>n153</t>
  </si>
  <si>
    <t>CAFO81</t>
  </si>
  <si>
    <t>W2651KielRd,Malone,WI53049 </t>
  </si>
  <si>
    <t>n154</t>
  </si>
  <si>
    <t>CAFO82</t>
  </si>
  <si>
    <t>W514WeberRd,Chilton,WI53014 </t>
  </si>
  <si>
    <t>n155</t>
  </si>
  <si>
    <t>CAFO83</t>
  </si>
  <si>
    <t>N4017HwyK,FondduLac,WI549358535 </t>
  </si>
  <si>
    <t>n156</t>
  </si>
  <si>
    <t>CAFO84</t>
  </si>
  <si>
    <t>W3367LedgeRd,Malone,WI53049 </t>
  </si>
  <si>
    <t>n157</t>
  </si>
  <si>
    <t>CAFO85</t>
  </si>
  <si>
    <t>W9150LincolnRd,Eldorado,WI54932 </t>
  </si>
  <si>
    <t>n158</t>
  </si>
  <si>
    <t>CAFO86</t>
  </si>
  <si>
    <t>N8997CountyRoadM,Pickett,WI54964 </t>
  </si>
  <si>
    <t>n159</t>
  </si>
  <si>
    <t>CAFO87</t>
  </si>
  <si>
    <t>W7222CemetaryRd,VanDyne,WI54979 </t>
  </si>
  <si>
    <t>n160</t>
  </si>
  <si>
    <t>CAFO88</t>
  </si>
  <si>
    <t>N3832HwyW,Eden,WI53019 </t>
  </si>
  <si>
    <t>n161</t>
  </si>
  <si>
    <t>CAFO89</t>
  </si>
  <si>
    <t>N5119CountyRdK,FondduLac,WI54935 </t>
  </si>
  <si>
    <t>n162</t>
  </si>
  <si>
    <t>CAFO90</t>
  </si>
  <si>
    <t>Grant </t>
  </si>
  <si>
    <t>11933ReadyHollowRd,Bagley,WI53801 </t>
  </si>
  <si>
    <t>n163</t>
  </si>
  <si>
    <t>CAFO91</t>
  </si>
  <si>
    <t>4851ChurchRd,Platteville,WI53818 </t>
  </si>
  <si>
    <t>n164</t>
  </si>
  <si>
    <t>CAFO92</t>
  </si>
  <si>
    <t>5532CommercialRd,Lancaster,WI53813 </t>
  </si>
  <si>
    <t>n165</t>
  </si>
  <si>
    <t>CAFO93</t>
  </si>
  <si>
    <t>3679WoodRoad,Fennimore,WI53809 </t>
  </si>
  <si>
    <t>n166</t>
  </si>
  <si>
    <t>CAFO94</t>
  </si>
  <si>
    <t>GreenLake </t>
  </si>
  <si>
    <t>N477CtyRdQ,Markesan,WI53946 </t>
  </si>
  <si>
    <t>n167</t>
  </si>
  <si>
    <t>CAFO95</t>
  </si>
  <si>
    <t>N2357StateRoad73,Markesan,WI53946 </t>
  </si>
  <si>
    <t>n168</t>
  </si>
  <si>
    <t>CAFO96</t>
  </si>
  <si>
    <t>W2470CtyRdAW,Randolph,WI53965 </t>
  </si>
  <si>
    <t>n169</t>
  </si>
  <si>
    <t>CAFO97</t>
  </si>
  <si>
    <t>N8257CountyRdF,Berlin,WI54923 </t>
  </si>
  <si>
    <t>n170</t>
  </si>
  <si>
    <t>CAFO98</t>
  </si>
  <si>
    <t>Green </t>
  </si>
  <si>
    <t>N5875HwyE,Albany,WI53502 </t>
  </si>
  <si>
    <t>n171</t>
  </si>
  <si>
    <t>CAFO99</t>
  </si>
  <si>
    <t>N1930CountyRoadG,Brodhead,WI53520 </t>
  </si>
  <si>
    <t>n172</t>
  </si>
  <si>
    <t>CAFO100</t>
  </si>
  <si>
    <t>N6395CTHN,Monticello,WI53570 </t>
  </si>
  <si>
    <t>n173</t>
  </si>
  <si>
    <t>CAFO101</t>
  </si>
  <si>
    <t>N1233CtyHwyG,Brodhead,WI53520 </t>
  </si>
  <si>
    <t>n174</t>
  </si>
  <si>
    <t>CAFO102</t>
  </si>
  <si>
    <t>Jackson </t>
  </si>
  <si>
    <t>W13887CtyRdD,Melrose,WI54642 </t>
  </si>
  <si>
    <t>n175</t>
  </si>
  <si>
    <t>CAFO103</t>
  </si>
  <si>
    <t>N6811SouthLincolnRoad,Taylor,WI54569 </t>
  </si>
  <si>
    <t>n176</t>
  </si>
  <si>
    <t>CAFO104</t>
  </si>
  <si>
    <t>W12465SR95,AlmaCenter,WI54611 </t>
  </si>
  <si>
    <t>n177</t>
  </si>
  <si>
    <t>CAFO105</t>
  </si>
  <si>
    <t>N1497StateRd108,Melrose,WI54642 </t>
  </si>
  <si>
    <t>n178</t>
  </si>
  <si>
    <t>CAFO106</t>
  </si>
  <si>
    <t>1100EastTaftStreet,Blair,WI54616 </t>
  </si>
  <si>
    <t>n179</t>
  </si>
  <si>
    <t>CAFO107</t>
  </si>
  <si>
    <t>Jefferson </t>
  </si>
  <si>
    <t>N3612WillRoad,Jefferson,WI53549 </t>
  </si>
  <si>
    <t>n180</t>
  </si>
  <si>
    <t>CAFO108</t>
  </si>
  <si>
    <t>W6770PondRd,FortAtkinson,WI53538 </t>
  </si>
  <si>
    <t>n181</t>
  </si>
  <si>
    <t>CAFO109</t>
  </si>
  <si>
    <t>W3855EbenezerDr,Watertown,WI53094 </t>
  </si>
  <si>
    <t>n182</t>
  </si>
  <si>
    <t>CAFO110</t>
  </si>
  <si>
    <t>N8812RiverValleyRd,Ixonia,WI53036 </t>
  </si>
  <si>
    <t>n183</t>
  </si>
  <si>
    <t>CAFO111</t>
  </si>
  <si>
    <t>Juneau </t>
  </si>
  <si>
    <t>N15927CTYG,Nekoosa,WI54457 </t>
  </si>
  <si>
    <t>n184</t>
  </si>
  <si>
    <t>CAFO112</t>
  </si>
  <si>
    <t>Kewaunee </t>
  </si>
  <si>
    <t>E4361CountyRoadG,Kewaunee,WI54216 </t>
  </si>
  <si>
    <t>n185</t>
  </si>
  <si>
    <t>CAFO113</t>
  </si>
  <si>
    <t>5232BKlineRd,Luxemburg,WI54217 </t>
  </si>
  <si>
    <t>n186</t>
  </si>
  <si>
    <t>CAFO114</t>
  </si>
  <si>
    <t>E3576CardinalRd,Casco,WI54205 </t>
  </si>
  <si>
    <t>n187</t>
  </si>
  <si>
    <t>CAFO115</t>
  </si>
  <si>
    <t>N1215SleepyHollowRd,Kewaunee,WI54216 </t>
  </si>
  <si>
    <t>n188</t>
  </si>
  <si>
    <t>CAFO116</t>
  </si>
  <si>
    <t>N6939CtyHwyD,Algoma,WI54201 </t>
  </si>
  <si>
    <t>n189</t>
  </si>
  <si>
    <t>CAFO117</t>
  </si>
  <si>
    <t>E4029PheasantRd,Algoma,WI54201 </t>
  </si>
  <si>
    <t>n190</t>
  </si>
  <si>
    <t>CAFO118</t>
  </si>
  <si>
    <t>E2304CountyHwyF,Kewaunee,WI54216 </t>
  </si>
  <si>
    <t>n191</t>
  </si>
  <si>
    <t>CAFO119</t>
  </si>
  <si>
    <t>E3730RockledgeRd,Algoma,WI54201 </t>
  </si>
  <si>
    <t>n192</t>
  </si>
  <si>
    <t>CAFO120</t>
  </si>
  <si>
    <t>E2675CountyHwyS,Casco,WI54205 </t>
  </si>
  <si>
    <t>n193</t>
  </si>
  <si>
    <t>CAFO121</t>
  </si>
  <si>
    <t>N4893HwyC,Kewaunee,WI54216 </t>
  </si>
  <si>
    <t>n194</t>
  </si>
  <si>
    <t>CAFO122</t>
  </si>
  <si>
    <t>N3265CountyRdAB,Luxemburg,WI54217 </t>
  </si>
  <si>
    <t>n195</t>
  </si>
  <si>
    <t>CAFO123</t>
  </si>
  <si>
    <t>E745LuxemburgRd,Luxemburg,WI54217 </t>
  </si>
  <si>
    <t>n196</t>
  </si>
  <si>
    <t>CAFO124</t>
  </si>
  <si>
    <t>N7518TonetRd,Luxemburg,WI54217 </t>
  </si>
  <si>
    <t>n197</t>
  </si>
  <si>
    <t>CAFO125</t>
  </si>
  <si>
    <t>E389LuxemburgRd,Luxemburg,WI54217 </t>
  </si>
  <si>
    <t>n198</t>
  </si>
  <si>
    <t>CAFO126</t>
  </si>
  <si>
    <t>N2348Hwy42,Kewaunee,WI54216 </t>
  </si>
  <si>
    <t>n199</t>
  </si>
  <si>
    <t>CAFO127</t>
  </si>
  <si>
    <t>Lafayette </t>
  </si>
  <si>
    <t>9600HwyD,SouthWayne,WI53587 </t>
  </si>
  <si>
    <t>n200</t>
  </si>
  <si>
    <t>CAFO128</t>
  </si>
  <si>
    <t>24425StPetersRd,Darlington,WI53530 </t>
  </si>
  <si>
    <t>n201</t>
  </si>
  <si>
    <t>CAFO129</t>
  </si>
  <si>
    <t>22322BurrOakRd,MINERALPOINT,WI53565 </t>
  </si>
  <si>
    <t>n202</t>
  </si>
  <si>
    <t>CAFO130</t>
  </si>
  <si>
    <t>POBox81,SouthWayne,WI53587 </t>
  </si>
  <si>
    <t>n203</t>
  </si>
  <si>
    <t>CAFO131</t>
  </si>
  <si>
    <t>24425SaintPetersRoad,Darlington,WI53530 </t>
  </si>
  <si>
    <t>n204</t>
  </si>
  <si>
    <t>CAFO132</t>
  </si>
  <si>
    <t>Langlade </t>
  </si>
  <si>
    <t>N6841CountyV,Deerbrook,WI54424 </t>
  </si>
  <si>
    <t>n205</t>
  </si>
  <si>
    <t>CAFO133</t>
  </si>
  <si>
    <t>N4646HillRoad,Bryant,WI544189703 </t>
  </si>
  <si>
    <t>n206</t>
  </si>
  <si>
    <t>CAFO134</t>
  </si>
  <si>
    <t>Manitowoc </t>
  </si>
  <si>
    <t>15724HillcreekRd,Valders,WI54245 </t>
  </si>
  <si>
    <t>n207</t>
  </si>
  <si>
    <t>CAFO135</t>
  </si>
  <si>
    <t>1329MenchalvilleRd,Reedsville,WI54230 </t>
  </si>
  <si>
    <t>n208</t>
  </si>
  <si>
    <t>CAFO136</t>
  </si>
  <si>
    <t>n209</t>
  </si>
  <si>
    <t>CAFO137</t>
  </si>
  <si>
    <t>14329UpperFallsRd,Reedsville,WI54230 </t>
  </si>
  <si>
    <t>n210</t>
  </si>
  <si>
    <t>CAFO138</t>
  </si>
  <si>
    <t>11405CountyRdF,Newton,WI53063 </t>
  </si>
  <si>
    <t>n211</t>
  </si>
  <si>
    <t>CAFO139</t>
  </si>
  <si>
    <t>7427NewtonRd,Newton,WI53063 </t>
  </si>
  <si>
    <t>n212</t>
  </si>
  <si>
    <t>CAFO140</t>
  </si>
  <si>
    <t>5503MarkenRoad,Valders,WI54323 </t>
  </si>
  <si>
    <t>n213</t>
  </si>
  <si>
    <t>CAFO141</t>
  </si>
  <si>
    <t>22220HerzogRoad,Reedsville,WI54230 </t>
  </si>
  <si>
    <t>n214</t>
  </si>
  <si>
    <t>CAFO142</t>
  </si>
  <si>
    <t>12031HillcrestRd,Whitelaw,WI54247 </t>
  </si>
  <si>
    <t>n215</t>
  </si>
  <si>
    <t>CAFO143</t>
  </si>
  <si>
    <t>6832CtyX,Cleveland,WI53015 </t>
  </si>
  <si>
    <t>n216</t>
  </si>
  <si>
    <t>CAFO144</t>
  </si>
  <si>
    <t>14319SUnionRoad,Cleveland,WI53015 </t>
  </si>
  <si>
    <t>n217</t>
  </si>
  <si>
    <t>CAFO145</t>
  </si>
  <si>
    <t>17231PointCreekRd,Kiel,WI53042 </t>
  </si>
  <si>
    <t>n218</t>
  </si>
  <si>
    <t>CAFO146</t>
  </si>
  <si>
    <t>14421MineralSpringsRd,Newton,WI53063 </t>
  </si>
  <si>
    <t>n219</t>
  </si>
  <si>
    <t>CAFO147</t>
  </si>
  <si>
    <t>10219CountyRoadF,Newton,WI53063 </t>
  </si>
  <si>
    <t>n220</t>
  </si>
  <si>
    <t>CAFO148</t>
  </si>
  <si>
    <t>13104LakeshoreRd,TwoRivers,WI54241 </t>
  </si>
  <si>
    <t>n221</t>
  </si>
  <si>
    <t>CAFO149</t>
  </si>
  <si>
    <t>3416StoneRd,Manitowoc,WI54220 </t>
  </si>
  <si>
    <t>n222</t>
  </si>
  <si>
    <t>CAFO150</t>
  </si>
  <si>
    <t>12434TanneryRd,Mishicot,WI54288 </t>
  </si>
  <si>
    <t>n223</t>
  </si>
  <si>
    <t>CAFO151</t>
  </si>
  <si>
    <t>11812PalmGroveRd,Reedsville,WI542309410 </t>
  </si>
  <si>
    <t>n224</t>
  </si>
  <si>
    <t>CAFO152</t>
  </si>
  <si>
    <t>Marathon </t>
  </si>
  <si>
    <t>487CountyRoadA,Marathon,WI54448 </t>
  </si>
  <si>
    <t>n225</t>
  </si>
  <si>
    <t>CAFO153</t>
  </si>
  <si>
    <t>F2181CountyRdN,Colby,WI54421 </t>
  </si>
  <si>
    <t>n226</t>
  </si>
  <si>
    <t>CAFO154</t>
  </si>
  <si>
    <t>5117CountyHighwayN,Edgar,WI54426 </t>
  </si>
  <si>
    <t>n227</t>
  </si>
  <si>
    <t>CAFO155</t>
  </si>
  <si>
    <t>B4595RiverAve,Unity,WI54488 </t>
  </si>
  <si>
    <t>n228</t>
  </si>
  <si>
    <t>CAFO156</t>
  </si>
  <si>
    <t>EP4104CountyRoadE,Stratford,WI54484 </t>
  </si>
  <si>
    <t>n229</t>
  </si>
  <si>
    <t>CAFO157</t>
  </si>
  <si>
    <t>1715WTownlineRd,Athens,WI54411 </t>
  </si>
  <si>
    <t>n230</t>
  </si>
  <si>
    <t>CAFO158</t>
  </si>
  <si>
    <t>2171CherryDrive,Eland,WI54427 </t>
  </si>
  <si>
    <t>n231</t>
  </si>
  <si>
    <t>CAFO159</t>
  </si>
  <si>
    <t>920EastTownlineRoad,Athens,WI54411 </t>
  </si>
  <si>
    <t>n232</t>
  </si>
  <si>
    <t>CAFO160</t>
  </si>
  <si>
    <t>N1245EvergreenRoad,Birnamwood,WI54414 </t>
  </si>
  <si>
    <t>n233</t>
  </si>
  <si>
    <t>CAFO161</t>
  </si>
  <si>
    <t>5555CountyHighwayA,Merrill,WI54452 </t>
  </si>
  <si>
    <t>n234</t>
  </si>
  <si>
    <t>CAFO162</t>
  </si>
  <si>
    <t>Marinette </t>
  </si>
  <si>
    <t>4304N5thRoad,Pound,WI54161 </t>
  </si>
  <si>
    <t>n235</t>
  </si>
  <si>
    <t>CAFO163</t>
  </si>
  <si>
    <t>N282323rdRd,Coleman,WI54112 </t>
  </si>
  <si>
    <t>n236</t>
  </si>
  <si>
    <t>CAFO164</t>
  </si>
  <si>
    <t>W9075CountyRoadP,Crivitz,WI54114 </t>
  </si>
  <si>
    <t>n237</t>
  </si>
  <si>
    <t>CAFO165</t>
  </si>
  <si>
    <t>W830322ndRd,Crivitz,WI54114 </t>
  </si>
  <si>
    <t>n238</t>
  </si>
  <si>
    <t>CAFO166</t>
  </si>
  <si>
    <t>Marquette </t>
  </si>
  <si>
    <t>N5339CtyA,Westfield,WI53964 </t>
  </si>
  <si>
    <t>n239</t>
  </si>
  <si>
    <t>CAFO167</t>
  </si>
  <si>
    <t>Monroe </t>
  </si>
  <si>
    <t>20076FlatironAve,Tomah,WI54660 </t>
  </si>
  <si>
    <t>n240</t>
  </si>
  <si>
    <t>CAFO168</t>
  </si>
  <si>
    <t>1126FrontSt,Cashton,WI54619 </t>
  </si>
  <si>
    <t>n241</t>
  </si>
  <si>
    <t>CAFO169</t>
  </si>
  <si>
    <t>9785OgderAve,Cashton,WI54619 </t>
  </si>
  <si>
    <t>n242</t>
  </si>
  <si>
    <t>CAFO170</t>
  </si>
  <si>
    <t>Oconto </t>
  </si>
  <si>
    <t>9267StateHwy22E,Gillett,WI54124 </t>
  </si>
  <si>
    <t>n243</t>
  </si>
  <si>
    <t>CAFO171</t>
  </si>
  <si>
    <t>6401CompanyLakeRd,OcontoFalls,WI54154 </t>
  </si>
  <si>
    <t>n244</t>
  </si>
  <si>
    <t>CAFO172</t>
  </si>
  <si>
    <t>13674CountyRdM,Suring,WI54174 </t>
  </si>
  <si>
    <t>n245</t>
  </si>
  <si>
    <t>CAFO173</t>
  </si>
  <si>
    <t>8716CCCRoad,OcontoFalls,WI54154 </t>
  </si>
  <si>
    <t>n246</t>
  </si>
  <si>
    <t>CAFO174</t>
  </si>
  <si>
    <t>11620HwyH,Gillett,WI54124 </t>
  </si>
  <si>
    <t>n247</t>
  </si>
  <si>
    <t>CAFO175</t>
  </si>
  <si>
    <t>Outagamie </t>
  </si>
  <si>
    <t>N8322CountyRdY,Seymour,WI54165 </t>
  </si>
  <si>
    <t>n248</t>
  </si>
  <si>
    <t>CAFO176</t>
  </si>
  <si>
    <t>N8128TownHallRd,BlackCreek,WI54106 </t>
  </si>
  <si>
    <t>n249</t>
  </si>
  <si>
    <t>CAFO177</t>
  </si>
  <si>
    <t>N870CountyRoadGG,Kaukauna,WI54130 </t>
  </si>
  <si>
    <t>n250</t>
  </si>
  <si>
    <t>CAFO178</t>
  </si>
  <si>
    <t>W926VanAstenRd,Kaukauna,WI54130 </t>
  </si>
  <si>
    <t>n251</t>
  </si>
  <si>
    <t>CAFO179</t>
  </si>
  <si>
    <t>N7832VillageRd,BearCreek,WI54922 </t>
  </si>
  <si>
    <t>n252</t>
  </si>
  <si>
    <t>CAFO180</t>
  </si>
  <si>
    <t>W2540CTHS,Kaukauna,WI54130 </t>
  </si>
  <si>
    <t>n253</t>
  </si>
  <si>
    <t>CAFO181</t>
  </si>
  <si>
    <t>W229CntyRdZZ,Kaukauna,WI54130 </t>
  </si>
  <si>
    <t>n254</t>
  </si>
  <si>
    <t>CAFO182</t>
  </si>
  <si>
    <t>N6848CountyRdD,NewLondon,WI54961 </t>
  </si>
  <si>
    <t>n255</t>
  </si>
  <si>
    <t>CAFO183</t>
  </si>
  <si>
    <t>N3569VandenBoschRd,Kaukauna,WI54130 </t>
  </si>
  <si>
    <t>n256</t>
  </si>
  <si>
    <t>CAFO184</t>
  </si>
  <si>
    <t>W873GoldenGlowRd,Kaukauna,WI54130 </t>
  </si>
  <si>
    <t>n257</t>
  </si>
  <si>
    <t>CAFO185</t>
  </si>
  <si>
    <t>Ozaukee </t>
  </si>
  <si>
    <t>3990WillowLane,PortWashington,WI53074 </t>
  </si>
  <si>
    <t>n258</t>
  </si>
  <si>
    <t>CAFO186</t>
  </si>
  <si>
    <t>2314ShadyLaneRd,Saukville,WI53080 </t>
  </si>
  <si>
    <t>n259</t>
  </si>
  <si>
    <t>CAFO187</t>
  </si>
  <si>
    <t>W2828MeadowlarkRoad,Fredonia,WI53021 </t>
  </si>
  <si>
    <t>n260</t>
  </si>
  <si>
    <t>CAFO188</t>
  </si>
  <si>
    <t>Pepin </t>
  </si>
  <si>
    <t>W4072CountyRdR,Durand,WI54736 </t>
  </si>
  <si>
    <t>n261</t>
  </si>
  <si>
    <t>CAFO189</t>
  </si>
  <si>
    <t>W4230CtyRdR,Durand,WI54736 </t>
  </si>
  <si>
    <t>n262</t>
  </si>
  <si>
    <t>CAFO190</t>
  </si>
  <si>
    <t>Pierce </t>
  </si>
  <si>
    <t>W2686390thAve,MaidenRock,WI54750 </t>
  </si>
  <si>
    <t>n263</t>
  </si>
  <si>
    <t>CAFO191</t>
  </si>
  <si>
    <t>Polk </t>
  </si>
  <si>
    <t>60105thSt,DeerPark,WI54007 </t>
  </si>
  <si>
    <t>n264</t>
  </si>
  <si>
    <t>CAFO192</t>
  </si>
  <si>
    <t>315355thAve,Frederic,WI54837 </t>
  </si>
  <si>
    <t>n265</t>
  </si>
  <si>
    <t>CAFO193</t>
  </si>
  <si>
    <t>950180thStreet,Dresser,WI54009 </t>
  </si>
  <si>
    <t>n266</t>
  </si>
  <si>
    <t>CAFO194</t>
  </si>
  <si>
    <t>Portage </t>
  </si>
  <si>
    <t>2823Hwy161,Nelsonville,WI54458 </t>
  </si>
  <si>
    <t>n267</t>
  </si>
  <si>
    <t>CAFO195</t>
  </si>
  <si>
    <t>Price </t>
  </si>
  <si>
    <t>W5993LittleChicagoRd,Phillips,WI54555 </t>
  </si>
  <si>
    <t>n268</t>
  </si>
  <si>
    <t>CAFO196</t>
  </si>
  <si>
    <t>Richland </t>
  </si>
  <si>
    <t>29404CtyHwyOO,RichlandCenter,WI53581 </t>
  </si>
  <si>
    <t>n269</t>
  </si>
  <si>
    <t>CAFO197</t>
  </si>
  <si>
    <t>Rock </t>
  </si>
  <si>
    <t>18218WStateRd59,Evansville,WI53536 </t>
  </si>
  <si>
    <t>n270</t>
  </si>
  <si>
    <t>CAFO198</t>
  </si>
  <si>
    <t>Sauk </t>
  </si>
  <si>
    <t>E7296CountyHwyB,SpringGreen,WI53588 </t>
  </si>
  <si>
    <t>n271</t>
  </si>
  <si>
    <t>CAFO199</t>
  </si>
  <si>
    <t>Sawyer </t>
  </si>
  <si>
    <t>2920N.SwedeRd.,Radisson,WI54867 </t>
  </si>
  <si>
    <t>n272</t>
  </si>
  <si>
    <t>CAFO200</t>
  </si>
  <si>
    <t>Shawano </t>
  </si>
  <si>
    <t>W1630RedwoodDr,Pulaski,WI54162 </t>
  </si>
  <si>
    <t>n273</t>
  </si>
  <si>
    <t>CAFO201</t>
  </si>
  <si>
    <t>N5365HintzRd.,Krakow,WI54137 </t>
  </si>
  <si>
    <t>n274</t>
  </si>
  <si>
    <t>CAFO202</t>
  </si>
  <si>
    <t>W8371OakAve,Shawano,WI54166 </t>
  </si>
  <si>
    <t>n275</t>
  </si>
  <si>
    <t>CAFO203</t>
  </si>
  <si>
    <t>N9035RiverRd,Birnamwood,WI54414 </t>
  </si>
  <si>
    <t>n276</t>
  </si>
  <si>
    <t>CAFO204</t>
  </si>
  <si>
    <t>W3773OldDumpRoad,Bonduel,WI54107 </t>
  </si>
  <si>
    <t>n277</t>
  </si>
  <si>
    <t>CAFO205</t>
  </si>
  <si>
    <t>N7339ReginaRoad,Wittenberg,WI54499 </t>
  </si>
  <si>
    <t>n278</t>
  </si>
  <si>
    <t>CAFO206</t>
  </si>
  <si>
    <t>N3397SBroadwayRd,Bonduel,WI54107 </t>
  </si>
  <si>
    <t>n279</t>
  </si>
  <si>
    <t>CAFO207</t>
  </si>
  <si>
    <t>Sheboygan </t>
  </si>
  <si>
    <t>N8870DrakeCourt,ElkhartLake,WI53020 </t>
  </si>
  <si>
    <t>n280</t>
  </si>
  <si>
    <t>CAFO208</t>
  </si>
  <si>
    <t>W7325Hwy67,Plymouth,WI53073 </t>
  </si>
  <si>
    <t>n281</t>
  </si>
  <si>
    <t>CAFO209</t>
  </si>
  <si>
    <t>W3194PlaybirdRoad,SheboyganFalls,WI53085 </t>
  </si>
  <si>
    <t>n282</t>
  </si>
  <si>
    <t>CAFO210</t>
  </si>
  <si>
    <t>N6368WillowRd.,SheboyganFalls,WI53085 </t>
  </si>
  <si>
    <t>n283</t>
  </si>
  <si>
    <t>CAFO211</t>
  </si>
  <si>
    <t>N2957HickoryGroveRd,Cascade,WI53011 </t>
  </si>
  <si>
    <t>n284</t>
  </si>
  <si>
    <t>CAFO212</t>
  </si>
  <si>
    <t>W7560GrogenRd,ElkhartLake,WI53020 </t>
  </si>
  <si>
    <t>n285</t>
  </si>
  <si>
    <t>CAFO213</t>
  </si>
  <si>
    <t>N5853MeadowlarkRd,SheboyganFalls,WI53085 </t>
  </si>
  <si>
    <t>n286</t>
  </si>
  <si>
    <t>CAFO214</t>
  </si>
  <si>
    <t>W3018WilsonLimaRoad,Oostburg,WI53070 </t>
  </si>
  <si>
    <t>n287</t>
  </si>
  <si>
    <t>CAFO215</t>
  </si>
  <si>
    <t>W4705CountyRdD,RandomLake,WI530750354 </t>
  </si>
  <si>
    <t>n288</t>
  </si>
  <si>
    <t>CAFO216</t>
  </si>
  <si>
    <t>St.Croix </t>
  </si>
  <si>
    <t>2036CoRdE,Baldwin,WI54002 </t>
  </si>
  <si>
    <t>n289</t>
  </si>
  <si>
    <t>CAFO217</t>
  </si>
  <si>
    <t>426165thSt,Hammond,WI54015 </t>
  </si>
  <si>
    <t>n290</t>
  </si>
  <si>
    <t>CAFO218</t>
  </si>
  <si>
    <t>206130thAvenue,Baldwin,WI54002 </t>
  </si>
  <si>
    <t>n291</t>
  </si>
  <si>
    <t>CAFO219</t>
  </si>
  <si>
    <t>2606CountyHighwayD,Woodville,WI54028 </t>
  </si>
  <si>
    <t>n292</t>
  </si>
  <si>
    <t>CAFO220</t>
  </si>
  <si>
    <t>Trempealeau </t>
  </si>
  <si>
    <t>N17388CtyRdT,Galesville,WI54630 </t>
  </si>
  <si>
    <t>n293</t>
  </si>
  <si>
    <t>CAFO221</t>
  </si>
  <si>
    <t>W14482CtyRdEE,Osseo,WI54758 </t>
  </si>
  <si>
    <t>n294</t>
  </si>
  <si>
    <t>CAFO222</t>
  </si>
  <si>
    <t>N49128CtyRdV,Strum,WI54770 </t>
  </si>
  <si>
    <t>n295</t>
  </si>
  <si>
    <t>CAFO223</t>
  </si>
  <si>
    <t>N32153StateRd93,Arcadia,WI54612 </t>
  </si>
  <si>
    <t>n296</t>
  </si>
  <si>
    <t>CAFO224</t>
  </si>
  <si>
    <t>Vernon </t>
  </si>
  <si>
    <t>E18194CountyHighwayF,Hillsboro,WI54634 </t>
  </si>
  <si>
    <t>n297</t>
  </si>
  <si>
    <t>CAFO225</t>
  </si>
  <si>
    <t>S3302SorensonLane,Viroqua,WI54665 </t>
  </si>
  <si>
    <t>n298</t>
  </si>
  <si>
    <t>CAFO226</t>
  </si>
  <si>
    <t>E13843KoubaValleyRd,Hillsboro,WI54634 </t>
  </si>
  <si>
    <t>n299</t>
  </si>
  <si>
    <t>CAFO227</t>
  </si>
  <si>
    <t>E11310BuckeyeRidgeRoad,LaFarge,WI54639 </t>
  </si>
  <si>
    <t>n300</t>
  </si>
  <si>
    <t>CAFO228</t>
  </si>
  <si>
    <t>Walworth </t>
  </si>
  <si>
    <t>W7889RelianceRd,Whitewater,WI53190 </t>
  </si>
  <si>
    <t>n301</t>
  </si>
  <si>
    <t>CAFO229</t>
  </si>
  <si>
    <t>PoBox1355,LakeGeneva,WI53147 </t>
  </si>
  <si>
    <t>n302</t>
  </si>
  <si>
    <t>CAFO230</t>
  </si>
  <si>
    <t>N815ZendaRd,LakeGeneva,WI53147 </t>
  </si>
  <si>
    <t>n303</t>
  </si>
  <si>
    <t>CAFO231</t>
  </si>
  <si>
    <t>Washburn </t>
  </si>
  <si>
    <t>W8659WoodyardRoad,ShellLake,WI54871 </t>
  </si>
  <si>
    <t>n304</t>
  </si>
  <si>
    <t>CAFO232</t>
  </si>
  <si>
    <t>Washington </t>
  </si>
  <si>
    <t>N9179CountyRdW,Campbellsport,WI53010 </t>
  </si>
  <si>
    <t>n305</t>
  </si>
  <si>
    <t>CAFO233</t>
  </si>
  <si>
    <t>8262OrchardValleyRd,WestBend,WI53090 </t>
  </si>
  <si>
    <t>n306</t>
  </si>
  <si>
    <t>CAFO234</t>
  </si>
  <si>
    <t>6600SunsetDr,Allenton,WI53002 </t>
  </si>
  <si>
    <t>n307</t>
  </si>
  <si>
    <t>CAFO235</t>
  </si>
  <si>
    <t>5385SunsetDr,Kewaskum,WI53040 </t>
  </si>
  <si>
    <t>n308</t>
  </si>
  <si>
    <t>CAFO236</t>
  </si>
  <si>
    <t>Waupaca </t>
  </si>
  <si>
    <t>N5736CTHT,NewLondon,WI54961 </t>
  </si>
  <si>
    <t>n309</t>
  </si>
  <si>
    <t>CAFO237</t>
  </si>
  <si>
    <t>E8698ReinkeRd,Clintonville,WI54929 </t>
  </si>
  <si>
    <t>n310</t>
  </si>
  <si>
    <t>CAFO238</t>
  </si>
  <si>
    <t>N1602BuchholtzRd,Weyauwega,WI54983 </t>
  </si>
  <si>
    <t>n311</t>
  </si>
  <si>
    <t>CAFO239</t>
  </si>
  <si>
    <t>Waushara </t>
  </si>
  <si>
    <t>W215StateRoad21,Berlin,WI54923 </t>
  </si>
  <si>
    <t>n312</t>
  </si>
  <si>
    <t>CAFO240</t>
  </si>
  <si>
    <t>W1776AspenAve,PineRiver,WI54965 </t>
  </si>
  <si>
    <t>n313</t>
  </si>
  <si>
    <t>CAFO241</t>
  </si>
  <si>
    <t>Winnebago </t>
  </si>
  <si>
    <t>7022CrossRd,Winneconne,WI54986 </t>
  </si>
  <si>
    <t>n314</t>
  </si>
  <si>
    <t>CAFO242</t>
  </si>
  <si>
    <t>N3603VandenBoschRoad,Kaukauna,WI54130 </t>
  </si>
  <si>
    <t>n315</t>
  </si>
  <si>
    <t>CAFO243</t>
  </si>
  <si>
    <t>3006LoneElmRd,VanDyne,WI54979 </t>
  </si>
  <si>
    <t>n316</t>
  </si>
  <si>
    <t>CAFO244</t>
  </si>
  <si>
    <t>Wood </t>
  </si>
  <si>
    <t>9486RobinRd,Marshfield,WI54449 </t>
  </si>
  <si>
    <t>n317</t>
  </si>
  <si>
    <t>CAFO245</t>
  </si>
  <si>
    <t>6000ElmRd,Auburndale,WI54412 </t>
  </si>
  <si>
    <t>Node#</t>
    <phoneticPr fontId="4" type="noConversion"/>
  </si>
  <si>
    <t>Alias</t>
    <phoneticPr fontId="4" type="noConversion"/>
  </si>
  <si>
    <t>n1</t>
    <phoneticPr fontId="4" type="noConversion"/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</si>
  <si>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</t>
    </r>
    <phoneticPr fontId="4" type="noConversion"/>
  </si>
  <si>
    <r>
      <rPr>
        <sz val="11"/>
        <rFont val="等线"/>
        <family val="2"/>
        <scheme val="minor"/>
      </rPr>
      <t>Adams County</t>
    </r>
  </si>
  <si>
    <t>WI</t>
    <phoneticPr fontId="4" type="noConversion"/>
  </si>
  <si>
    <t>n2</t>
    <phoneticPr fontId="4" type="noConversion"/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</si>
  <si>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</t>
    </r>
    <phoneticPr fontId="4" type="noConversion"/>
  </si>
  <si>
    <r>
      <rPr>
        <sz val="11"/>
        <rFont val="等线"/>
        <family val="2"/>
        <scheme val="minor"/>
      </rPr>
      <t>Ashland County</t>
    </r>
  </si>
  <si>
    <t>n3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</si>
  <si>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</si>
  <si>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Barron County</t>
    </r>
  </si>
  <si>
    <t>n4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</si>
  <si>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</si>
  <si>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Bayfield County</t>
    </r>
  </si>
  <si>
    <t>n5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</si>
  <si>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</si>
  <si>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Brown County</t>
    </r>
  </si>
  <si>
    <t>n6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</si>
  <si>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</si>
  <si>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Buffalo County</t>
    </r>
  </si>
  <si>
    <t>n7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</si>
  <si>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</si>
  <si>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Burnett County</t>
    </r>
  </si>
  <si>
    <t>n8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</si>
  <si>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</si>
  <si>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Calumet County</t>
    </r>
  </si>
  <si>
    <t>n9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</si>
  <si>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</si>
  <si>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Chippewa County</t>
    </r>
  </si>
  <si>
    <t>n10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</si>
  <si>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</si>
  <si>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Clark County</t>
    </r>
  </si>
  <si>
    <t>n11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</si>
  <si>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</si>
  <si>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Columbia County</t>
    </r>
  </si>
  <si>
    <t>n12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</si>
  <si>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</si>
  <si>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Crawford County</t>
    </r>
  </si>
  <si>
    <t>n13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</si>
  <si>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</si>
  <si>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Dane County</t>
    </r>
  </si>
  <si>
    <t>n14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</si>
  <si>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</si>
  <si>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Dodge County</t>
    </r>
  </si>
  <si>
    <t>n15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</si>
  <si>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</si>
  <si>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Door County</t>
    </r>
  </si>
  <si>
    <t>n16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</si>
  <si>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</si>
  <si>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Douglas County</t>
    </r>
  </si>
  <si>
    <t>n17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</si>
  <si>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</si>
  <si>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Dunn County</t>
    </r>
  </si>
  <si>
    <t>n18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</si>
  <si>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</si>
  <si>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Eau Claire County</t>
    </r>
  </si>
  <si>
    <t>n19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</si>
  <si>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</si>
  <si>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Florence County</t>
    </r>
  </si>
  <si>
    <t>n20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</si>
  <si>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</si>
  <si>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Fond du Lac County</t>
    </r>
  </si>
  <si>
    <t>n21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</si>
  <si>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</si>
  <si>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Forest County</t>
    </r>
  </si>
  <si>
    <t>n22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</si>
  <si>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</si>
  <si>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Grant County</t>
    </r>
  </si>
  <si>
    <t>WI</t>
    <phoneticPr fontId="4" type="noConversion"/>
  </si>
  <si>
    <t>n23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</si>
  <si>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</si>
  <si>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Green County</t>
    </r>
  </si>
  <si>
    <t>n24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</si>
  <si>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</si>
  <si>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Green Lake County</t>
    </r>
  </si>
  <si>
    <t>n25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</si>
  <si>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</si>
  <si>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Iowa County</t>
    </r>
  </si>
  <si>
    <t>n26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</si>
  <si>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</si>
  <si>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Iron County</t>
    </r>
  </si>
  <si>
    <t>n27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</si>
  <si>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</si>
  <si>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Jackson County</t>
    </r>
  </si>
  <si>
    <t>n28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</si>
  <si>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</si>
  <si>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Jefferson County</t>
    </r>
  </si>
  <si>
    <t>n29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</si>
  <si>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29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</si>
  <si>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Juneau County</t>
    </r>
  </si>
  <si>
    <t>n30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</si>
  <si>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</si>
  <si>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Kenosha County</t>
    </r>
  </si>
  <si>
    <t>n31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</si>
  <si>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</si>
  <si>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Kewaunee County</t>
    </r>
  </si>
  <si>
    <t>n32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</si>
  <si>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</si>
  <si>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La Crosse County</t>
    </r>
  </si>
  <si>
    <t>n33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</si>
  <si>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</si>
  <si>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Lafayette County</t>
    </r>
  </si>
  <si>
    <t>n34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</si>
  <si>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</si>
  <si>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Langlade County</t>
    </r>
  </si>
  <si>
    <t>n35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</si>
  <si>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</si>
  <si>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Lincoln County</t>
    </r>
  </si>
  <si>
    <t>n36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</si>
  <si>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</si>
  <si>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Manitowoc County</t>
    </r>
  </si>
  <si>
    <t>n37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</si>
  <si>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</si>
  <si>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Marathon County</t>
    </r>
  </si>
  <si>
    <t>n38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</si>
  <si>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</si>
  <si>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Marinette County</t>
    </r>
  </si>
  <si>
    <t>n39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</si>
  <si>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39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</si>
  <si>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Marquette County</t>
    </r>
  </si>
  <si>
    <t>n40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</si>
  <si>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</si>
  <si>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Menominee County</t>
    </r>
  </si>
  <si>
    <t>n41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</si>
  <si>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</si>
  <si>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Milwaukee County</t>
    </r>
  </si>
  <si>
    <t>n42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</si>
  <si>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</si>
  <si>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Monroe County</t>
    </r>
  </si>
  <si>
    <t>n43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</si>
  <si>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</si>
  <si>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Oconto County</t>
    </r>
  </si>
  <si>
    <t>n44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</si>
  <si>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</si>
  <si>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Oneida County</t>
    </r>
  </si>
  <si>
    <t>n45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</si>
  <si>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</si>
  <si>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Outagamie County</t>
    </r>
  </si>
  <si>
    <t>n46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</si>
  <si>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</si>
  <si>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Ozaukee County</t>
    </r>
  </si>
  <si>
    <t>n47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</si>
  <si>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</si>
  <si>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Pepin County</t>
    </r>
  </si>
  <si>
    <t>n48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</si>
  <si>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</si>
  <si>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Pierce County</t>
    </r>
  </si>
  <si>
    <t>n49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</si>
  <si>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49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</si>
  <si>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Polk County</t>
    </r>
  </si>
  <si>
    <t>n50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</si>
  <si>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</si>
  <si>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Portage County</t>
    </r>
  </si>
  <si>
    <t>n51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</si>
  <si>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</si>
  <si>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Price County</t>
    </r>
  </si>
  <si>
    <t>n52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</si>
  <si>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</si>
  <si>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Racine County</t>
    </r>
  </si>
  <si>
    <t>n53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</si>
  <si>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</si>
  <si>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Richland County</t>
    </r>
  </si>
  <si>
    <t>n54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</si>
  <si>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</si>
  <si>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Rock County</t>
    </r>
  </si>
  <si>
    <t>n55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</si>
  <si>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</si>
  <si>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Rusk County</t>
    </r>
  </si>
  <si>
    <t>n56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</si>
  <si>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</si>
  <si>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St. Croix County</t>
    </r>
  </si>
  <si>
    <t>n57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</si>
  <si>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</si>
  <si>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Sauk County</t>
    </r>
  </si>
  <si>
    <t>n58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</si>
  <si>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</si>
  <si>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Sawyer County</t>
    </r>
  </si>
  <si>
    <t>n59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</si>
  <si>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59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</si>
  <si>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Shawano County</t>
    </r>
  </si>
  <si>
    <t>n60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</si>
  <si>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</si>
  <si>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Sheboygan County</t>
    </r>
  </si>
  <si>
    <t>n61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</si>
  <si>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</si>
  <si>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Taylor County</t>
    </r>
  </si>
  <si>
    <t>n62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</si>
  <si>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</si>
  <si>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Trempealeau County</t>
    </r>
  </si>
  <si>
    <t>n63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</si>
  <si>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</si>
  <si>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Vernon County</t>
    </r>
  </si>
  <si>
    <t>n64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</si>
  <si>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</si>
  <si>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Vilas County</t>
    </r>
  </si>
  <si>
    <t>n65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</si>
  <si>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</si>
  <si>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Walworth County</t>
    </r>
  </si>
  <si>
    <t>n66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</si>
  <si>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</si>
  <si>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Washburn County</t>
    </r>
  </si>
  <si>
    <t>n67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</si>
  <si>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</si>
  <si>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Washington County</t>
    </r>
  </si>
  <si>
    <t>n68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</si>
  <si>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</si>
  <si>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Waukesha County</t>
    </r>
  </si>
  <si>
    <t>n69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</si>
  <si>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69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</si>
  <si>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Waupaca County</t>
    </r>
  </si>
  <si>
    <t>n70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</si>
  <si>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70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</si>
  <si>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Waushara County</t>
    </r>
  </si>
  <si>
    <t>n71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</si>
  <si>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71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</si>
  <si>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Winnebago County</t>
    </r>
  </si>
  <si>
    <t>n72</t>
  </si>
  <si>
    <r>
      <rPr>
        <sz val="11"/>
        <color theme="1"/>
        <rFont val="等线"/>
        <family val="2"/>
        <scheme val="minor"/>
      </rPr>
      <t>county</t>
    </r>
    <r>
      <rPr>
        <sz val="11"/>
        <color theme="1"/>
        <rFont val="等线"/>
        <family val="2"/>
        <scheme val="minor"/>
      </rPr>
      <t>72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</si>
  <si>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rFont val="等线"/>
        <family val="2"/>
        <scheme val="minor"/>
      </rPr>
      <t>Wood County</t>
    </r>
  </si>
  <si>
    <t>Node#</t>
    <phoneticPr fontId="4" type="noConversion"/>
  </si>
  <si>
    <t>Alias</t>
    <phoneticPr fontId="4" type="noConversion"/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</si>
  <si>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380</t>
    </r>
    <phoneticPr fontId="4" type="noConversion"/>
  </si>
  <si>
    <t>LF1</t>
    <phoneticPr fontId="4" type="noConversion"/>
  </si>
  <si>
    <t>KESTREL HAWK LF</t>
  </si>
  <si>
    <t>Racine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</si>
  <si>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381</t>
    </r>
    <r>
      <rPr>
        <sz val="11"/>
        <color theme="1"/>
        <rFont val="等线"/>
        <family val="2"/>
        <charset val="134"/>
        <scheme val="minor"/>
      </rPr>
      <t/>
    </r>
  </si>
  <si>
    <t>LF2</t>
  </si>
  <si>
    <t>W M W I - METRO RECYCLING &amp; DISPOSAL</t>
  </si>
  <si>
    <t>Milwaukee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</si>
  <si>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382</t>
    </r>
    <r>
      <rPr>
        <sz val="11"/>
        <color theme="1"/>
        <rFont val="等线"/>
        <family val="2"/>
        <charset val="134"/>
        <scheme val="minor"/>
      </rPr>
      <t/>
    </r>
  </si>
  <si>
    <t>LF3</t>
  </si>
  <si>
    <t>DOMTAR AW LLC ASH BARK SITE</t>
  </si>
  <si>
    <t>Wood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</si>
  <si>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383</t>
    </r>
    <r>
      <rPr>
        <sz val="11"/>
        <color theme="1"/>
        <rFont val="等线"/>
        <family val="2"/>
        <charset val="134"/>
        <scheme val="minor"/>
      </rPr>
      <t/>
    </r>
  </si>
  <si>
    <t>LF4</t>
  </si>
  <si>
    <t>KOHLER CO LF</t>
  </si>
  <si>
    <t>Sheboygan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</si>
  <si>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384</t>
    </r>
    <r>
      <rPr>
        <sz val="11"/>
        <color theme="1"/>
        <rFont val="等线"/>
        <family val="2"/>
        <charset val="134"/>
        <scheme val="minor"/>
      </rPr>
      <t/>
    </r>
  </si>
  <si>
    <t>LF5</t>
  </si>
  <si>
    <t>WATER RENEWAL CENTER LANDFILL</t>
  </si>
  <si>
    <t>Portage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</si>
  <si>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385</t>
    </r>
    <r>
      <rPr>
        <sz val="11"/>
        <color theme="1"/>
        <rFont val="等线"/>
        <family val="2"/>
        <charset val="134"/>
        <scheme val="minor"/>
      </rPr>
      <t/>
    </r>
  </si>
  <si>
    <t>LF6</t>
  </si>
  <si>
    <t>FALK LANDFILL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</si>
  <si>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386</t>
    </r>
    <r>
      <rPr>
        <sz val="11"/>
        <color theme="1"/>
        <rFont val="等线"/>
        <family val="2"/>
        <charset val="134"/>
        <scheme val="minor"/>
      </rPr>
      <t/>
    </r>
  </si>
  <si>
    <t>LF7</t>
  </si>
  <si>
    <t>CHEMTRADE SOLUTIONS LLC</t>
  </si>
  <si>
    <t>Winnebago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</si>
  <si>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387</t>
    </r>
    <r>
      <rPr>
        <sz val="11"/>
        <color theme="1"/>
        <rFont val="等线"/>
        <family val="2"/>
        <charset val="134"/>
        <scheme val="minor"/>
      </rPr>
      <t/>
    </r>
  </si>
  <si>
    <t>LF8</t>
  </si>
  <si>
    <t>WPL - COLUMBIA ENERGY CENTER</t>
  </si>
  <si>
    <t>Columbia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</si>
  <si>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388</t>
    </r>
    <r>
      <rPr>
        <sz val="11"/>
        <color theme="1"/>
        <rFont val="等线"/>
        <family val="2"/>
        <charset val="134"/>
        <scheme val="minor"/>
      </rPr>
      <t/>
    </r>
  </si>
  <si>
    <t>LF9</t>
  </si>
  <si>
    <t>GEORGIA-PACIFIC CONSUMER PROD LP GB WEST LF</t>
  </si>
  <si>
    <t>Brown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</si>
  <si>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389</t>
    </r>
    <r>
      <rPr>
        <sz val="11"/>
        <color theme="1"/>
        <rFont val="等线"/>
        <family val="2"/>
        <charset val="134"/>
        <scheme val="minor"/>
      </rPr>
      <t/>
    </r>
  </si>
  <si>
    <t>LF10</t>
  </si>
  <si>
    <t>OUTAGAMIE CNTY SW DIV LF</t>
  </si>
  <si>
    <t>Outagamie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</si>
  <si>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390</t>
    </r>
    <r>
      <rPr>
        <sz val="11"/>
        <color theme="1"/>
        <rFont val="等线"/>
        <family val="2"/>
        <charset val="134"/>
        <scheme val="minor"/>
      </rPr>
      <t/>
    </r>
  </si>
  <si>
    <t>LF11</t>
  </si>
  <si>
    <t>WATER QUALITY CENTER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</si>
  <si>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391</t>
    </r>
    <r>
      <rPr>
        <sz val="11"/>
        <color theme="1"/>
        <rFont val="等线"/>
        <family val="2"/>
        <charset val="134"/>
        <scheme val="minor"/>
      </rPr>
      <t/>
    </r>
  </si>
  <si>
    <t>LF12</t>
  </si>
  <si>
    <t>DOMTAR AW LLC WASTEWATER TREATMENT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</si>
  <si>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392</t>
    </r>
    <r>
      <rPr>
        <sz val="11"/>
        <color theme="1"/>
        <rFont val="等线"/>
        <family val="2"/>
        <charset val="134"/>
        <scheme val="minor"/>
      </rPr>
      <t/>
    </r>
  </si>
  <si>
    <t>LF13</t>
  </si>
  <si>
    <t>SUPERIOR CTY MOCCASIN MIKE LF</t>
  </si>
  <si>
    <t>Douglas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</si>
  <si>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393</t>
    </r>
    <r>
      <rPr>
        <sz val="11"/>
        <color theme="1"/>
        <rFont val="等线"/>
        <family val="2"/>
        <charset val="134"/>
        <scheme val="minor"/>
      </rPr>
      <t/>
    </r>
  </si>
  <si>
    <t>LF14</t>
  </si>
  <si>
    <t>WEPCO PLEASANT PRAIRIE LF</t>
  </si>
  <si>
    <t>Kenosha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</si>
  <si>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394</t>
    </r>
    <r>
      <rPr>
        <sz val="11"/>
        <color theme="1"/>
        <rFont val="等线"/>
        <family val="2"/>
        <charset val="134"/>
        <scheme val="minor"/>
      </rPr>
      <t/>
    </r>
  </si>
  <si>
    <t>LF15</t>
  </si>
  <si>
    <t>WEPCO HWY 32 LF</t>
  </si>
  <si>
    <t>Ozaukee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</si>
  <si>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395</t>
    </r>
    <r>
      <rPr>
        <sz val="11"/>
        <color theme="1"/>
        <rFont val="等线"/>
        <family val="2"/>
        <charset val="134"/>
        <scheme val="minor"/>
      </rPr>
      <t/>
    </r>
  </si>
  <si>
    <t>LF16</t>
  </si>
  <si>
    <t>EXPERA MOSINEE LLC</t>
  </si>
  <si>
    <t>Marathon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</si>
  <si>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396</t>
    </r>
    <r>
      <rPr>
        <sz val="11"/>
        <color theme="1"/>
        <rFont val="等线"/>
        <family val="2"/>
        <charset val="134"/>
        <scheme val="minor"/>
      </rPr>
      <t/>
    </r>
  </si>
  <si>
    <t>LF17</t>
  </si>
  <si>
    <t>WASHINGTON ISLAND LF/COMPOST SITE</t>
  </si>
  <si>
    <t>Door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</si>
  <si>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397</t>
    </r>
    <r>
      <rPr>
        <sz val="11"/>
        <color theme="1"/>
        <rFont val="等线"/>
        <family val="2"/>
        <charset val="134"/>
        <scheme val="minor"/>
      </rPr>
      <t/>
    </r>
  </si>
  <si>
    <t>LF18</t>
  </si>
  <si>
    <t>WPL - EDGEWATER GENERATING STATION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</si>
  <si>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398</t>
    </r>
    <r>
      <rPr>
        <sz val="11"/>
        <color theme="1"/>
        <rFont val="等线"/>
        <family val="2"/>
        <charset val="134"/>
        <scheme val="minor"/>
      </rPr>
      <t/>
    </r>
  </si>
  <si>
    <t>LF19</t>
  </si>
  <si>
    <t>GEORGIA PACIFIC CONSUMER PROD LP GB NORTHLAN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</si>
  <si>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399</t>
    </r>
    <r>
      <rPr>
        <sz val="11"/>
        <color theme="1"/>
        <rFont val="等线"/>
        <family val="2"/>
        <charset val="134"/>
        <scheme val="minor"/>
      </rPr>
      <t/>
    </r>
  </si>
  <si>
    <t>LF20</t>
  </si>
  <si>
    <t>ADVANCED DISP SERV CRANBERRY CREEK LF LLC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</si>
  <si>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400</t>
    </r>
    <r>
      <rPr>
        <sz val="11"/>
        <color theme="1"/>
        <rFont val="等线"/>
        <family val="2"/>
        <charset val="134"/>
        <scheme val="minor"/>
      </rPr>
      <t/>
    </r>
  </si>
  <si>
    <t>LF21</t>
  </si>
  <si>
    <t>GREDE LLC - REEDSBURG</t>
  </si>
  <si>
    <t>Sauk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</si>
  <si>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401</t>
    </r>
    <r>
      <rPr>
        <sz val="11"/>
        <color theme="1"/>
        <rFont val="等线"/>
        <family val="2"/>
        <charset val="134"/>
        <scheme val="minor"/>
      </rPr>
      <t/>
    </r>
  </si>
  <si>
    <t>LF22</t>
  </si>
  <si>
    <t>KEWAUNEE CNTY SOLID WASTE</t>
  </si>
  <si>
    <t>Kewaunee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</si>
  <si>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402</t>
    </r>
    <r>
      <rPr>
        <sz val="11"/>
        <color theme="1"/>
        <rFont val="等线"/>
        <family val="2"/>
        <charset val="134"/>
        <scheme val="minor"/>
      </rPr>
      <t/>
    </r>
  </si>
  <si>
    <t>LF23</t>
  </si>
  <si>
    <t>DANE CNTY LF #2 RODEFELD</t>
  </si>
  <si>
    <t>Dane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</si>
  <si>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403</t>
    </r>
    <r>
      <rPr>
        <sz val="11"/>
        <color theme="1"/>
        <rFont val="等线"/>
        <family val="2"/>
        <charset val="134"/>
        <scheme val="minor"/>
      </rPr>
      <t/>
    </r>
  </si>
  <si>
    <t>LF24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</si>
  <si>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404</t>
    </r>
    <r>
      <rPr>
        <sz val="11"/>
        <color theme="1"/>
        <rFont val="等线"/>
        <family val="2"/>
        <charset val="134"/>
        <scheme val="minor"/>
      </rPr>
      <t/>
    </r>
  </si>
  <si>
    <t>LF25</t>
  </si>
  <si>
    <t xml:space="preserve">APPLETON COATED LLC - LOCKS MILL 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</si>
  <si>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405</t>
    </r>
    <r>
      <rPr>
        <sz val="11"/>
        <color theme="1"/>
        <rFont val="等线"/>
        <family val="2"/>
        <charset val="134"/>
        <scheme val="minor"/>
      </rPr>
      <t/>
    </r>
  </si>
  <si>
    <t>LF26</t>
  </si>
  <si>
    <t>W M W I - RIDGEVIEW RECYCLING &amp; DISPOSAL</t>
  </si>
  <si>
    <t>Manitowoc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</si>
  <si>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406</t>
    </r>
    <r>
      <rPr>
        <sz val="11"/>
        <color theme="1"/>
        <rFont val="等线"/>
        <family val="2"/>
        <charset val="134"/>
        <scheme val="minor"/>
      </rPr>
      <t/>
    </r>
  </si>
  <si>
    <t>LF27</t>
  </si>
  <si>
    <t>W M W I - VALLEY TRAIL</t>
  </si>
  <si>
    <t>Green Lake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</si>
  <si>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407</t>
    </r>
    <r>
      <rPr>
        <sz val="11"/>
        <color theme="1"/>
        <rFont val="等线"/>
        <family val="2"/>
        <charset val="134"/>
        <scheme val="minor"/>
      </rPr>
      <t/>
    </r>
  </si>
  <si>
    <t>LF28</t>
  </si>
  <si>
    <t>WIS PUBLIC SERV CORP WESTON ASH DISP SITE #3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</si>
  <si>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408</t>
    </r>
    <r>
      <rPr>
        <sz val="11"/>
        <color theme="1"/>
        <rFont val="等线"/>
        <family val="2"/>
        <charset val="134"/>
        <scheme val="minor"/>
      </rPr>
      <t/>
    </r>
  </si>
  <si>
    <t>LF29</t>
  </si>
  <si>
    <t>ADVANCED DISPOSAL SERVICES GLACIER RIDGE LLC</t>
  </si>
  <si>
    <t>Dodge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</si>
  <si>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409</t>
    </r>
    <r>
      <rPr>
        <sz val="11"/>
        <color theme="1"/>
        <rFont val="等线"/>
        <family val="2"/>
        <charset val="134"/>
        <scheme val="minor"/>
      </rPr>
      <t/>
    </r>
  </si>
  <si>
    <t>LF30</t>
  </si>
  <si>
    <t>SHAWANO CTY PHASE 2 LF</t>
  </si>
  <si>
    <t>Shawano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</si>
  <si>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410</t>
    </r>
    <r>
      <rPr>
        <sz val="11"/>
        <color theme="1"/>
        <rFont val="等线"/>
        <family val="2"/>
        <charset val="134"/>
        <scheme val="minor"/>
      </rPr>
      <t/>
    </r>
  </si>
  <si>
    <t>LF31</t>
  </si>
  <si>
    <t>MAR-OCO LF</t>
  </si>
  <si>
    <t>Marinette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</si>
  <si>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411</t>
    </r>
    <r>
      <rPr>
        <sz val="11"/>
        <color theme="1"/>
        <rFont val="等线"/>
        <family val="2"/>
        <charset val="134"/>
        <scheme val="minor"/>
      </rPr>
      <t/>
    </r>
  </si>
  <si>
    <t>LF32</t>
  </si>
  <si>
    <t>ADVANCED DISP SERV SEVEN MILE CREEK LF LLC</t>
  </si>
  <si>
    <t>Eau Claire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</si>
  <si>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412</t>
    </r>
    <r>
      <rPr>
        <sz val="11"/>
        <color theme="1"/>
        <rFont val="等线"/>
        <family val="2"/>
        <charset val="134"/>
        <scheme val="minor"/>
      </rPr>
      <t/>
    </r>
  </si>
  <si>
    <t>LF33</t>
  </si>
  <si>
    <t>HWY G SANITARY LF</t>
  </si>
  <si>
    <t>Vilas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</si>
  <si>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413</t>
    </r>
    <r>
      <rPr>
        <sz val="11"/>
        <color theme="1"/>
        <rFont val="等线"/>
        <family val="2"/>
        <charset val="134"/>
        <scheme val="minor"/>
      </rPr>
      <t/>
    </r>
  </si>
  <si>
    <t>LF34</t>
  </si>
  <si>
    <t>PACKAGING CORP OF AMERICA - TOMAHAWK LF</t>
  </si>
  <si>
    <t>Lincoln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</si>
  <si>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414</t>
    </r>
    <r>
      <rPr>
        <sz val="11"/>
        <color theme="1"/>
        <rFont val="等线"/>
        <family val="2"/>
        <charset val="134"/>
        <scheme val="minor"/>
      </rPr>
      <t/>
    </r>
  </si>
  <si>
    <t>LF35</t>
  </si>
  <si>
    <t>DAIRYLAND POWER COOP - CASSVILLE</t>
  </si>
  <si>
    <t>Grant</t>
  </si>
  <si>
    <t>WI</t>
    <phoneticPr fontId="4" type="noConversion"/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</si>
  <si>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415</t>
    </r>
    <r>
      <rPr>
        <sz val="11"/>
        <color theme="1"/>
        <rFont val="等线"/>
        <family val="2"/>
        <charset val="134"/>
        <scheme val="minor"/>
      </rPr>
      <t/>
    </r>
  </si>
  <si>
    <t>LF36</t>
  </si>
  <si>
    <t>ADVANCED DISP SERV HICKORY MEADOWS LF LLC</t>
  </si>
  <si>
    <t>Calumet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</si>
  <si>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416</t>
    </r>
    <r>
      <rPr>
        <sz val="11"/>
        <color theme="1"/>
        <rFont val="等线"/>
        <family val="2"/>
        <charset val="134"/>
        <scheme val="minor"/>
      </rPr>
      <t/>
    </r>
  </si>
  <si>
    <t>LF37</t>
  </si>
  <si>
    <t>LINCOLN CNTY SANITARY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</si>
  <si>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417</t>
    </r>
    <r>
      <rPr>
        <sz val="11"/>
        <color theme="1"/>
        <rFont val="等线"/>
        <family val="2"/>
        <charset val="134"/>
        <scheme val="minor"/>
      </rPr>
      <t/>
    </r>
  </si>
  <si>
    <t>LF38</t>
  </si>
  <si>
    <t>ADAMS CNTY LF &amp; RECYCLING CENTER</t>
  </si>
  <si>
    <t>Adams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</si>
  <si>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418</t>
    </r>
    <r>
      <rPr>
        <sz val="11"/>
        <color theme="1"/>
        <rFont val="等线"/>
        <family val="2"/>
        <charset val="134"/>
        <scheme val="minor"/>
      </rPr>
      <t/>
    </r>
  </si>
  <si>
    <t>LF39</t>
  </si>
  <si>
    <t>WINNEBAGO CNTY SUNNYVIEW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</si>
  <si>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419</t>
    </r>
    <r>
      <rPr>
        <sz val="11"/>
        <color theme="1"/>
        <rFont val="等线"/>
        <family val="2"/>
        <charset val="134"/>
        <scheme val="minor"/>
      </rPr>
      <t/>
    </r>
  </si>
  <si>
    <t>LF40</t>
  </si>
  <si>
    <t>W M W I - DEER TRACK PARK LF INC</t>
  </si>
  <si>
    <t>Jefferson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</si>
  <si>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420</t>
    </r>
    <r>
      <rPr>
        <sz val="11"/>
        <color theme="1"/>
        <rFont val="等线"/>
        <family val="2"/>
        <charset val="134"/>
        <scheme val="minor"/>
      </rPr>
      <t/>
    </r>
  </si>
  <si>
    <t>LF41</t>
  </si>
  <si>
    <t>WEPCO CALEDONIA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</si>
  <si>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421</t>
    </r>
    <r>
      <rPr>
        <sz val="11"/>
        <color theme="1"/>
        <rFont val="等线"/>
        <family val="2"/>
        <charset val="134"/>
        <scheme val="minor"/>
      </rPr>
      <t/>
    </r>
  </si>
  <si>
    <t>LF42</t>
  </si>
  <si>
    <t>NORTHERN STATES POWER CO - WOODFIELD ASH LF</t>
  </si>
  <si>
    <t>Bayfield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</si>
  <si>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422</t>
    </r>
    <r>
      <rPr>
        <sz val="11"/>
        <color theme="1"/>
        <rFont val="等线"/>
        <family val="2"/>
        <charset val="134"/>
        <scheme val="minor"/>
      </rPr>
      <t/>
    </r>
  </si>
  <si>
    <t>LF43</t>
  </si>
  <si>
    <t>OUTAGAMIE CNTY NE LF (AREA 6)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</si>
  <si>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423</t>
    </r>
    <r>
      <rPr>
        <sz val="11"/>
        <color theme="1"/>
        <rFont val="等线"/>
        <family val="2"/>
        <charset val="134"/>
        <scheme val="minor"/>
      </rPr>
      <t/>
    </r>
  </si>
  <si>
    <t>LF44</t>
  </si>
  <si>
    <t>ADVANCED DISPOSAL SERVICES MALLARD RIDGE LLC</t>
  </si>
  <si>
    <t>Walworth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</si>
  <si>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424</t>
    </r>
    <r>
      <rPr>
        <sz val="11"/>
        <color theme="1"/>
        <rFont val="等线"/>
        <family val="2"/>
        <charset val="134"/>
        <scheme val="minor"/>
      </rPr>
      <t/>
    </r>
  </si>
  <si>
    <t>LF45</t>
  </si>
  <si>
    <t>RED HILLS LANDFILL - PHASE V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</si>
  <si>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425</t>
    </r>
    <r>
      <rPr>
        <sz val="11"/>
        <color theme="1"/>
        <rFont val="等线"/>
        <family val="2"/>
        <charset val="134"/>
        <scheme val="minor"/>
      </rPr>
      <t/>
    </r>
  </si>
  <si>
    <t>LF46</t>
  </si>
  <si>
    <t>LA CROSSE CNTY LF MSW  &amp; ASH MONOFILL</t>
  </si>
  <si>
    <t>La Crosse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</si>
  <si>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426</t>
    </r>
    <r>
      <rPr>
        <sz val="11"/>
        <color theme="1"/>
        <rFont val="等线"/>
        <family val="2"/>
        <charset val="134"/>
        <scheme val="minor"/>
      </rPr>
      <t/>
    </r>
  </si>
  <si>
    <t>LF47</t>
  </si>
  <si>
    <t>VERNON CNTY SOLID WASTE/RECYCLING FACILITY</t>
  </si>
  <si>
    <t>Vernon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</si>
  <si>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427</t>
    </r>
    <r>
      <rPr>
        <sz val="11"/>
        <color theme="1"/>
        <rFont val="等线"/>
        <family val="2"/>
        <charset val="134"/>
        <scheme val="minor"/>
      </rPr>
      <t/>
    </r>
  </si>
  <si>
    <t>LF48</t>
  </si>
  <si>
    <t>GEORGIA PACIFIC NORTH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</si>
  <si>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428</t>
    </r>
    <r>
      <rPr>
        <sz val="11"/>
        <color theme="1"/>
        <rFont val="等线"/>
        <family val="2"/>
        <charset val="134"/>
        <scheme val="minor"/>
      </rPr>
      <t/>
    </r>
  </si>
  <si>
    <t>LF49</t>
  </si>
  <si>
    <t>ADVANCED DISPOSAL EMERALD PARK LANDFILL  LLC</t>
  </si>
  <si>
    <t>Waukesha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</si>
  <si>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429</t>
    </r>
    <r>
      <rPr>
        <sz val="11"/>
        <color theme="1"/>
        <rFont val="等线"/>
        <family val="2"/>
        <charset val="134"/>
        <scheme val="minor"/>
      </rPr>
      <t/>
    </r>
  </si>
  <si>
    <t>LF50</t>
  </si>
  <si>
    <t>W M W I - MADISON PRAIRIE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</si>
  <si>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430</t>
    </r>
    <r>
      <rPr>
        <sz val="11"/>
        <color theme="1"/>
        <rFont val="等线"/>
        <family val="2"/>
        <charset val="134"/>
        <scheme val="minor"/>
      </rPr>
      <t/>
    </r>
  </si>
  <si>
    <t>LF51</t>
  </si>
  <si>
    <t>MARATHON CNTY AREA B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</si>
  <si>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431</t>
    </r>
    <r>
      <rPr>
        <sz val="11"/>
        <color theme="1"/>
        <rFont val="等线"/>
        <family val="2"/>
        <charset val="134"/>
        <scheme val="minor"/>
      </rPr>
      <t/>
    </r>
  </si>
  <si>
    <t>LF52</t>
  </si>
  <si>
    <t>EXPERA BROKAW LLC CELL #4A LF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</si>
  <si>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432</t>
    </r>
    <r>
      <rPr>
        <sz val="11"/>
        <color theme="1"/>
        <rFont val="等线"/>
        <family val="2"/>
        <charset val="134"/>
        <scheme val="minor"/>
      </rPr>
      <t/>
    </r>
  </si>
  <si>
    <t>LF53</t>
  </si>
  <si>
    <t>W M W I-ORCHARD RIDGE RECYCLING &amp; DISPOSAL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</si>
  <si>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433</t>
    </r>
    <r>
      <rPr>
        <sz val="11"/>
        <color theme="1"/>
        <rFont val="等线"/>
        <family val="2"/>
        <charset val="134"/>
        <scheme val="minor"/>
      </rPr>
      <t/>
    </r>
  </si>
  <si>
    <t>LF54</t>
  </si>
  <si>
    <t>WAUPACA FOUNDRY INC LF #3</t>
  </si>
  <si>
    <t>Waupaca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</si>
  <si>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434</t>
    </r>
    <r>
      <rPr>
        <sz val="11"/>
        <color theme="1"/>
        <rFont val="等线"/>
        <family val="2"/>
        <charset val="134"/>
        <scheme val="minor"/>
      </rPr>
      <t/>
    </r>
  </si>
  <si>
    <t>LF55</t>
  </si>
  <si>
    <t>WASTE MANAGEMENT WI - TIMBERLINE TRAIL RDF</t>
  </si>
  <si>
    <t>Rusk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</si>
  <si>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435</t>
    </r>
    <r>
      <rPr>
        <sz val="11"/>
        <color theme="1"/>
        <rFont val="等线"/>
        <family val="2"/>
        <charset val="134"/>
        <scheme val="minor"/>
      </rPr>
      <t/>
    </r>
  </si>
  <si>
    <t>LF56</t>
  </si>
  <si>
    <t xml:space="preserve">APPLETON COATED LLC 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</si>
  <si>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436</t>
    </r>
    <r>
      <rPr>
        <sz val="11"/>
        <color theme="1"/>
        <rFont val="等线"/>
        <family val="2"/>
        <charset val="134"/>
        <scheme val="minor"/>
      </rPr>
      <t/>
    </r>
  </si>
  <si>
    <t>LF57</t>
  </si>
  <si>
    <t>BFI WASTE SYSTEMS OF NORTH AMERICA INC</t>
  </si>
  <si>
    <t>Washburn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</si>
  <si>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437</t>
    </r>
    <r>
      <rPr>
        <sz val="11"/>
        <color theme="1"/>
        <rFont val="等线"/>
        <family val="2"/>
        <charset val="134"/>
        <scheme val="minor"/>
      </rPr>
      <t/>
    </r>
  </si>
  <si>
    <t>LF58</t>
  </si>
  <si>
    <t>MONROE CNTY RIDGEVILLE II SAN LF</t>
  </si>
  <si>
    <t>Monroe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</si>
  <si>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438</t>
    </r>
    <r>
      <rPr>
        <sz val="11"/>
        <color theme="1"/>
        <rFont val="等线"/>
        <family val="2"/>
        <charset val="134"/>
        <scheme val="minor"/>
      </rPr>
      <t/>
    </r>
  </si>
  <si>
    <t>LF59</t>
  </si>
  <si>
    <t>W M W I - PHEASANT RUN RECYCLING &amp; DISPOSAL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</si>
  <si>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439</t>
    </r>
    <r>
      <rPr>
        <sz val="11"/>
        <color theme="1"/>
        <rFont val="等线"/>
        <family val="2"/>
        <charset val="134"/>
        <scheme val="minor"/>
      </rPr>
      <t/>
    </r>
  </si>
  <si>
    <t>LF60</t>
  </si>
  <si>
    <t>JANESVILLE CTY LF (NEW)</t>
  </si>
  <si>
    <t>Rock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</si>
  <si>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440</t>
    </r>
    <r>
      <rPr>
        <sz val="11"/>
        <color theme="1"/>
        <rFont val="等线"/>
        <family val="2"/>
        <charset val="134"/>
        <scheme val="minor"/>
      </rPr>
      <t/>
    </r>
  </si>
  <si>
    <t>LF61</t>
  </si>
  <si>
    <t>DAIRYLAND POWER COOP PHASE IV - BELVIDERE</t>
  </si>
  <si>
    <t>Buffalo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</si>
  <si>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441</t>
    </r>
    <r>
      <rPr>
        <sz val="11"/>
        <color theme="1"/>
        <rFont val="等线"/>
        <family val="2"/>
        <charset val="134"/>
        <scheme val="minor"/>
      </rPr>
      <t/>
    </r>
  </si>
  <si>
    <t>LF62</t>
  </si>
  <si>
    <t>MARATHON CNTY BLUE BIRD RIDGE RDF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</si>
  <si>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442</t>
    </r>
    <r>
      <rPr>
        <sz val="11"/>
        <color theme="1"/>
        <rFont val="等线"/>
        <family val="2"/>
        <charset val="134"/>
        <scheme val="minor"/>
      </rPr>
      <t/>
    </r>
  </si>
  <si>
    <t>LF63</t>
  </si>
  <si>
    <t>RIDGEVIEW RECYCLING &amp; DISPOSAL - SOUTH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</si>
  <si>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443</t>
    </r>
    <r>
      <rPr>
        <sz val="11"/>
        <color theme="1"/>
        <rFont val="等线"/>
        <family val="2"/>
        <charset val="134"/>
        <scheme val="minor"/>
      </rPr>
      <t/>
    </r>
  </si>
  <si>
    <t>LF64</t>
  </si>
  <si>
    <t>Node#</t>
    <phoneticPr fontId="4" type="noConversion"/>
  </si>
  <si>
    <t>Alias</t>
    <phoneticPr fontId="4" type="noConversion"/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</si>
  <si>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318</t>
    </r>
    <phoneticPr fontId="4" type="noConversion"/>
  </si>
  <si>
    <t>WWTP1</t>
    <phoneticPr fontId="4" type="noConversion"/>
  </si>
  <si>
    <t>ASHLAND WASTEWATER TREATMENT PLANT (WI)</t>
  </si>
  <si>
    <t>ASHLAND</t>
  </si>
  <si>
    <t>WI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</si>
  <si>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319</t>
    </r>
    <r>
      <rPr>
        <sz val="11"/>
        <color theme="1"/>
        <rFont val="等线"/>
        <family val="2"/>
        <charset val="134"/>
        <scheme val="minor"/>
      </rPr>
      <t/>
    </r>
  </si>
  <si>
    <t>WWTP2</t>
    <phoneticPr fontId="4" type="noConversion"/>
  </si>
  <si>
    <t>City of Rice Lake</t>
  </si>
  <si>
    <t>Rice Lake</t>
  </si>
  <si>
    <t>Barron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</si>
  <si>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320</t>
    </r>
    <r>
      <rPr>
        <sz val="11"/>
        <color theme="1"/>
        <rFont val="等线"/>
        <family val="2"/>
        <charset val="134"/>
        <scheme val="minor"/>
      </rPr>
      <t/>
    </r>
  </si>
  <si>
    <t>WWTP3</t>
  </si>
  <si>
    <t>City of Chippewa Falls</t>
  </si>
  <si>
    <t>Chippewa Falls</t>
  </si>
  <si>
    <t>Chippewa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</si>
  <si>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321</t>
    </r>
    <r>
      <rPr>
        <sz val="11"/>
        <color theme="1"/>
        <rFont val="等线"/>
        <family val="2"/>
        <charset val="134"/>
        <scheme val="minor"/>
      </rPr>
      <t/>
    </r>
  </si>
  <si>
    <t>WWTP4</t>
  </si>
  <si>
    <t>STOUGHTON WASTEWATER TREATMENT FACILITY</t>
  </si>
  <si>
    <t>STOUGHTON</t>
  </si>
  <si>
    <t>DANE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</si>
  <si>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322</t>
    </r>
    <r>
      <rPr>
        <sz val="11"/>
        <color theme="1"/>
        <rFont val="等线"/>
        <family val="2"/>
        <charset val="134"/>
        <scheme val="minor"/>
      </rPr>
      <t/>
    </r>
  </si>
  <si>
    <t>WWTP5</t>
  </si>
  <si>
    <t>City of Sun Prairie Water Pollution Control Facility</t>
  </si>
  <si>
    <t>Sun Prairie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</si>
  <si>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323</t>
    </r>
    <r>
      <rPr>
        <sz val="11"/>
        <color theme="1"/>
        <rFont val="等线"/>
        <family val="2"/>
        <charset val="134"/>
        <scheme val="minor"/>
      </rPr>
      <t/>
    </r>
  </si>
  <si>
    <t>WWTP6</t>
  </si>
  <si>
    <t>Madison Metropolitan Sewerage District - Nine Springs Wastewater Treatment Plant</t>
    <phoneticPr fontId="10" type="noConversion"/>
  </si>
  <si>
    <t>Madison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</si>
  <si>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324</t>
    </r>
    <r>
      <rPr>
        <sz val="11"/>
        <color theme="1"/>
        <rFont val="等线"/>
        <family val="2"/>
        <charset val="134"/>
        <scheme val="minor"/>
      </rPr>
      <t/>
    </r>
  </si>
  <si>
    <t>WWTP7</t>
  </si>
  <si>
    <t>BEAVER DAM WWTP</t>
  </si>
  <si>
    <t>BEAVER DAM</t>
  </si>
  <si>
    <t>DODGE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</si>
  <si>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325</t>
    </r>
    <r>
      <rPr>
        <sz val="11"/>
        <color theme="1"/>
        <rFont val="等线"/>
        <family val="2"/>
        <charset val="134"/>
        <scheme val="minor"/>
      </rPr>
      <t/>
    </r>
  </si>
  <si>
    <t>WWTP8</t>
  </si>
  <si>
    <t>Sturgeon Bay Utilities WWTP</t>
  </si>
  <si>
    <t>Sturgeon Bay, WI.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</si>
  <si>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326</t>
    </r>
    <r>
      <rPr>
        <sz val="11"/>
        <color theme="1"/>
        <rFont val="等线"/>
        <family val="2"/>
        <charset val="134"/>
        <scheme val="minor"/>
      </rPr>
      <t/>
    </r>
  </si>
  <si>
    <t>WWTP9</t>
  </si>
  <si>
    <t>SUPERIOR WWTP</t>
  </si>
  <si>
    <t>SUPERIOR</t>
  </si>
  <si>
    <t>DOUGLAS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</si>
  <si>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327</t>
    </r>
    <r>
      <rPr>
        <sz val="11"/>
        <color theme="1"/>
        <rFont val="等线"/>
        <family val="2"/>
        <charset val="134"/>
        <scheme val="minor"/>
      </rPr>
      <t/>
    </r>
  </si>
  <si>
    <t>WWTP10</t>
  </si>
  <si>
    <t>City of Menomonie WWTP</t>
  </si>
  <si>
    <t>Menomonie</t>
  </si>
  <si>
    <t>Dunn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</si>
  <si>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328</t>
    </r>
    <r>
      <rPr>
        <sz val="11"/>
        <color theme="1"/>
        <rFont val="等线"/>
        <family val="2"/>
        <charset val="134"/>
        <scheme val="minor"/>
      </rPr>
      <t/>
    </r>
  </si>
  <si>
    <t>WWTP11</t>
  </si>
  <si>
    <t>City Of Augusta</t>
  </si>
  <si>
    <t>Augusta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</si>
  <si>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329</t>
    </r>
    <r>
      <rPr>
        <sz val="11"/>
        <color theme="1"/>
        <rFont val="等线"/>
        <family val="2"/>
        <charset val="134"/>
        <scheme val="minor"/>
      </rPr>
      <t/>
    </r>
  </si>
  <si>
    <t>WWTP12</t>
  </si>
  <si>
    <t>EAU CLAIRE WWTP</t>
  </si>
  <si>
    <t>EAU CLAIRE CITY</t>
  </si>
  <si>
    <t>EAU CLAIRE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</si>
  <si>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330</t>
    </r>
    <r>
      <rPr>
        <sz val="11"/>
        <color theme="1"/>
        <rFont val="等线"/>
        <family val="2"/>
        <charset val="134"/>
        <scheme val="minor"/>
      </rPr>
      <t/>
    </r>
  </si>
  <si>
    <t>WWTP13</t>
  </si>
  <si>
    <t>Waupun Utilities</t>
  </si>
  <si>
    <t>Waupun</t>
  </si>
  <si>
    <t>Fond du Lac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</si>
  <si>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331</t>
    </r>
    <r>
      <rPr>
        <sz val="11"/>
        <color theme="1"/>
        <rFont val="等线"/>
        <family val="2"/>
        <charset val="134"/>
        <scheme val="minor"/>
      </rPr>
      <t/>
    </r>
  </si>
  <si>
    <t>WWTP14</t>
  </si>
  <si>
    <t>City of Fond du Lac Water Pollution Control Plant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</si>
  <si>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332</t>
    </r>
    <r>
      <rPr>
        <sz val="11"/>
        <color theme="1"/>
        <rFont val="等线"/>
        <family val="2"/>
        <charset val="134"/>
        <scheme val="minor"/>
      </rPr>
      <t/>
    </r>
  </si>
  <si>
    <t>WWTP15</t>
  </si>
  <si>
    <t>PLATTEVILLE WWTP</t>
  </si>
  <si>
    <t>PLATTEVILLE</t>
  </si>
  <si>
    <t>GRANT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</si>
  <si>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333</t>
    </r>
    <r>
      <rPr>
        <sz val="11"/>
        <color theme="1"/>
        <rFont val="等线"/>
        <family val="2"/>
        <charset val="134"/>
        <scheme val="minor"/>
      </rPr>
      <t/>
    </r>
  </si>
  <si>
    <t>WWTP16</t>
  </si>
  <si>
    <t>MONROE WASTEWATER TREATMENT PLANT</t>
  </si>
  <si>
    <t>MONROE</t>
  </si>
  <si>
    <t>GREEN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</si>
  <si>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334</t>
    </r>
    <r>
      <rPr>
        <sz val="11"/>
        <color theme="1"/>
        <rFont val="等线"/>
        <family val="2"/>
        <charset val="134"/>
        <scheme val="minor"/>
      </rPr>
      <t/>
    </r>
  </si>
  <si>
    <t>WWTP17</t>
  </si>
  <si>
    <t>Berlin Water &amp; Sewer Dept</t>
  </si>
  <si>
    <t>Berlin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</si>
  <si>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335</t>
    </r>
    <r>
      <rPr>
        <sz val="11"/>
        <color theme="1"/>
        <rFont val="等线"/>
        <family val="2"/>
        <charset val="134"/>
        <scheme val="minor"/>
      </rPr>
      <t/>
    </r>
  </si>
  <si>
    <t>WWTP18</t>
  </si>
  <si>
    <t>City of Jefferson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</si>
  <si>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336</t>
    </r>
    <r>
      <rPr>
        <sz val="11"/>
        <color theme="1"/>
        <rFont val="等线"/>
        <family val="2"/>
        <charset val="134"/>
        <scheme val="minor"/>
      </rPr>
      <t/>
    </r>
  </si>
  <si>
    <t>WWTP19</t>
  </si>
  <si>
    <t>City of Whitewater WWTP</t>
  </si>
  <si>
    <t>Whitewater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</si>
  <si>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337</t>
    </r>
    <r>
      <rPr>
        <sz val="11"/>
        <color theme="1"/>
        <rFont val="等线"/>
        <family val="2"/>
        <charset val="134"/>
        <scheme val="minor"/>
      </rPr>
      <t/>
    </r>
  </si>
  <si>
    <t>WWTP20</t>
  </si>
  <si>
    <t>WATERTOWN STP</t>
  </si>
  <si>
    <t>WATERTOWN</t>
  </si>
  <si>
    <t>JEFFERSON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</si>
  <si>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338</t>
    </r>
    <r>
      <rPr>
        <sz val="11"/>
        <color theme="1"/>
        <rFont val="等线"/>
        <family val="2"/>
        <charset val="134"/>
        <scheme val="minor"/>
      </rPr>
      <t/>
    </r>
  </si>
  <si>
    <t>WWTP21</t>
  </si>
  <si>
    <t>SALEM UTILITY DISTRICT</t>
  </si>
  <si>
    <t>TREVOR</t>
  </si>
  <si>
    <t>KENOSHA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</si>
  <si>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339</t>
    </r>
    <r>
      <rPr>
        <sz val="11"/>
        <color theme="1"/>
        <rFont val="等线"/>
        <family val="2"/>
        <charset val="134"/>
        <scheme val="minor"/>
      </rPr>
      <t/>
    </r>
  </si>
  <si>
    <t>WWTP22</t>
  </si>
  <si>
    <t>Kenosha Wastewater Treatment Plant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</si>
  <si>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340</t>
    </r>
    <r>
      <rPr>
        <sz val="11"/>
        <color theme="1"/>
        <rFont val="等线"/>
        <family val="2"/>
        <charset val="134"/>
        <scheme val="minor"/>
      </rPr>
      <t/>
    </r>
  </si>
  <si>
    <t>WWTP23</t>
  </si>
  <si>
    <t>ALGOMA WWTP</t>
  </si>
  <si>
    <t>ALGOMA</t>
  </si>
  <si>
    <t>KEWAUNEE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</si>
  <si>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341</t>
    </r>
    <r>
      <rPr>
        <sz val="11"/>
        <color theme="1"/>
        <rFont val="等线"/>
        <family val="2"/>
        <charset val="134"/>
        <scheme val="minor"/>
      </rPr>
      <t/>
    </r>
  </si>
  <si>
    <t>WWTP24</t>
  </si>
  <si>
    <t>LaCrosse WWTP City of LaCrosse</t>
  </si>
  <si>
    <t>LaCrosse</t>
  </si>
  <si>
    <t>LaCrose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</si>
  <si>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342</t>
    </r>
    <r>
      <rPr>
        <sz val="11"/>
        <color theme="1"/>
        <rFont val="等线"/>
        <family val="2"/>
        <charset val="134"/>
        <scheme val="minor"/>
      </rPr>
      <t/>
    </r>
  </si>
  <si>
    <t>WWTP25</t>
  </si>
  <si>
    <t>Tomahawk WWTP</t>
  </si>
  <si>
    <t>Tomahawk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</si>
  <si>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343</t>
    </r>
    <r>
      <rPr>
        <sz val="11"/>
        <color theme="1"/>
        <rFont val="等线"/>
        <family val="2"/>
        <charset val="134"/>
        <scheme val="minor"/>
      </rPr>
      <t/>
    </r>
  </si>
  <si>
    <t>WWTP26</t>
  </si>
  <si>
    <t>CITY OF MERRILL WASTEWATER TREATMENT FACILITY</t>
  </si>
  <si>
    <t>MERRILL</t>
  </si>
  <si>
    <t>LINCOLN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</si>
  <si>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344</t>
    </r>
    <r>
      <rPr>
        <sz val="11"/>
        <color theme="1"/>
        <rFont val="等线"/>
        <family val="2"/>
        <charset val="134"/>
        <scheme val="minor"/>
      </rPr>
      <t/>
    </r>
  </si>
  <si>
    <t>WWTP27</t>
  </si>
  <si>
    <t>City of Two Rivers</t>
  </si>
  <si>
    <t>Two Rivers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</si>
  <si>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345</t>
    </r>
    <r>
      <rPr>
        <sz val="11"/>
        <color theme="1"/>
        <rFont val="等线"/>
        <family val="2"/>
        <charset val="134"/>
        <scheme val="minor"/>
      </rPr>
      <t/>
    </r>
  </si>
  <si>
    <t>WWTP28</t>
  </si>
  <si>
    <t>City of Manitowoc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</si>
  <si>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346</t>
    </r>
    <r>
      <rPr>
        <sz val="11"/>
        <color theme="1"/>
        <rFont val="等线"/>
        <family val="2"/>
        <charset val="134"/>
        <scheme val="minor"/>
      </rPr>
      <t/>
    </r>
  </si>
  <si>
    <t>WWTP29</t>
  </si>
  <si>
    <t>RIB MOUNTAIN MSD WASTEWATER TREATMENT FACILITY</t>
  </si>
  <si>
    <t>WAUSAU</t>
  </si>
  <si>
    <t>MARATHON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</si>
  <si>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347</t>
    </r>
    <r>
      <rPr>
        <sz val="11"/>
        <color theme="1"/>
        <rFont val="等线"/>
        <family val="2"/>
        <charset val="134"/>
        <scheme val="minor"/>
      </rPr>
      <t/>
    </r>
  </si>
  <si>
    <t>WWTP30</t>
  </si>
  <si>
    <t>Wausau WWTP</t>
  </si>
  <si>
    <t>Wausau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</si>
  <si>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348</t>
    </r>
    <r>
      <rPr>
        <sz val="11"/>
        <color theme="1"/>
        <rFont val="等线"/>
        <family val="2"/>
        <charset val="134"/>
        <scheme val="minor"/>
      </rPr>
      <t/>
    </r>
  </si>
  <si>
    <t>WWTP31</t>
  </si>
  <si>
    <t>City of Marinette WWTP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</si>
  <si>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349</t>
    </r>
    <r>
      <rPr>
        <sz val="11"/>
        <color theme="1"/>
        <rFont val="等线"/>
        <family val="2"/>
        <charset val="134"/>
        <scheme val="minor"/>
      </rPr>
      <t/>
    </r>
  </si>
  <si>
    <t>WWTP32</t>
  </si>
  <si>
    <t>City of South Milwaukee Wastewater Facility</t>
  </si>
  <si>
    <t>South Milwaukee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</si>
  <si>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350</t>
    </r>
    <r>
      <rPr>
        <sz val="11"/>
        <color theme="1"/>
        <rFont val="等线"/>
        <family val="2"/>
        <charset val="134"/>
        <scheme val="minor"/>
      </rPr>
      <t/>
    </r>
  </si>
  <si>
    <t>WWTP33</t>
  </si>
  <si>
    <t>South Shore Water Reclamation Facility</t>
  </si>
  <si>
    <t>Oak Creek, WI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</si>
  <si>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351</t>
    </r>
    <r>
      <rPr>
        <sz val="11"/>
        <color theme="1"/>
        <rFont val="等线"/>
        <family val="2"/>
        <charset val="134"/>
        <scheme val="minor"/>
      </rPr>
      <t/>
    </r>
  </si>
  <si>
    <t>WWTP34</t>
  </si>
  <si>
    <t>City of Sparta</t>
  </si>
  <si>
    <t>Sparta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</si>
  <si>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352</t>
    </r>
    <r>
      <rPr>
        <sz val="11"/>
        <color theme="1"/>
        <rFont val="等线"/>
        <family val="2"/>
        <charset val="134"/>
        <scheme val="minor"/>
      </rPr>
      <t/>
    </r>
  </si>
  <si>
    <t>WWTP35</t>
  </si>
  <si>
    <t>RHINELANDER STP</t>
  </si>
  <si>
    <t>RHINELANDER</t>
  </si>
  <si>
    <t>ONEIDA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</si>
  <si>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353</t>
    </r>
    <r>
      <rPr>
        <sz val="11"/>
        <color theme="1"/>
        <rFont val="等线"/>
        <family val="2"/>
        <charset val="134"/>
        <scheme val="minor"/>
      </rPr>
      <t/>
    </r>
  </si>
  <si>
    <t>WWTP36</t>
  </si>
  <si>
    <t>City of Appleton WWTP</t>
  </si>
  <si>
    <t>Appleton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</si>
  <si>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354</t>
    </r>
    <r>
      <rPr>
        <sz val="11"/>
        <color theme="1"/>
        <rFont val="等线"/>
        <family val="2"/>
        <charset val="134"/>
        <scheme val="minor"/>
      </rPr>
      <t/>
    </r>
  </si>
  <si>
    <t>WWTP37</t>
  </si>
  <si>
    <t>Grafton Utility</t>
  </si>
  <si>
    <t>Grafton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</si>
  <si>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355</t>
    </r>
    <r>
      <rPr>
        <sz val="11"/>
        <color theme="1"/>
        <rFont val="等线"/>
        <family val="2"/>
        <charset val="134"/>
        <scheme val="minor"/>
      </rPr>
      <t/>
    </r>
  </si>
  <si>
    <t>WWTP38</t>
  </si>
  <si>
    <t>PORT WASHINGTON WWTP</t>
  </si>
  <si>
    <t>PORT WASHINGTON</t>
  </si>
  <si>
    <t>OZAUKEE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</si>
  <si>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356</t>
    </r>
    <r>
      <rPr>
        <sz val="11"/>
        <color theme="1"/>
        <rFont val="等线"/>
        <family val="2"/>
        <charset val="134"/>
        <scheme val="minor"/>
      </rPr>
      <t/>
    </r>
  </si>
  <si>
    <t>WWTP39</t>
  </si>
  <si>
    <t>Village of Clear Lake WWTP</t>
  </si>
  <si>
    <t>Clear Lake</t>
  </si>
  <si>
    <t>Polk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</si>
  <si>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357</t>
    </r>
    <r>
      <rPr>
        <sz val="11"/>
        <color theme="1"/>
        <rFont val="等线"/>
        <family val="2"/>
        <charset val="134"/>
        <scheme val="minor"/>
      </rPr>
      <t/>
    </r>
  </si>
  <si>
    <t>WWTP40</t>
  </si>
  <si>
    <t>City of Stevens Point WWTP</t>
  </si>
  <si>
    <t>Stevens Point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</si>
  <si>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358</t>
    </r>
    <r>
      <rPr>
        <sz val="11"/>
        <color theme="1"/>
        <rFont val="等线"/>
        <family val="2"/>
        <charset val="134"/>
        <scheme val="minor"/>
      </rPr>
      <t/>
    </r>
  </si>
  <si>
    <t>WWTP41</t>
  </si>
  <si>
    <t>city of burlington, wisconsin</t>
  </si>
  <si>
    <t>burlington</t>
  </si>
  <si>
    <t>racine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</si>
  <si>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359</t>
    </r>
    <r>
      <rPr>
        <sz val="11"/>
        <color theme="1"/>
        <rFont val="等线"/>
        <family val="2"/>
        <charset val="134"/>
        <scheme val="minor"/>
      </rPr>
      <t/>
    </r>
  </si>
  <si>
    <t>WWTP42</t>
  </si>
  <si>
    <t>Racine Wastewater Utility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</si>
  <si>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360</t>
    </r>
    <r>
      <rPr>
        <sz val="11"/>
        <color theme="1"/>
        <rFont val="等线"/>
        <family val="2"/>
        <charset val="134"/>
        <scheme val="minor"/>
      </rPr>
      <t/>
    </r>
  </si>
  <si>
    <t>WWTP43</t>
  </si>
  <si>
    <t>Richland Center WWTP</t>
  </si>
  <si>
    <t>Richland Center</t>
  </si>
  <si>
    <t>Richland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</si>
  <si>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361</t>
    </r>
    <r>
      <rPr>
        <sz val="11"/>
        <color theme="1"/>
        <rFont val="等线"/>
        <family val="2"/>
        <charset val="134"/>
        <scheme val="minor"/>
      </rPr>
      <t/>
    </r>
  </si>
  <si>
    <t>WWTP44</t>
  </si>
  <si>
    <t>Beloit, WI Water Poluution Control Facility</t>
  </si>
  <si>
    <t>Beloit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</si>
  <si>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362</t>
    </r>
    <r>
      <rPr>
        <sz val="11"/>
        <color theme="1"/>
        <rFont val="等线"/>
        <family val="2"/>
        <charset val="134"/>
        <scheme val="minor"/>
      </rPr>
      <t/>
    </r>
  </si>
  <si>
    <t>WWTP45</t>
  </si>
  <si>
    <t>Janesville Wastewater Utility</t>
  </si>
  <si>
    <t>Janesville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</si>
  <si>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363</t>
    </r>
    <r>
      <rPr>
        <sz val="11"/>
        <color theme="1"/>
        <rFont val="等线"/>
        <family val="2"/>
        <charset val="134"/>
        <scheme val="minor"/>
      </rPr>
      <t/>
    </r>
  </si>
  <si>
    <t>WWTP46</t>
  </si>
  <si>
    <t>City of Hudson</t>
  </si>
  <si>
    <t>Hudson</t>
  </si>
  <si>
    <t>Saint Croix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</si>
  <si>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364</t>
    </r>
    <r>
      <rPr>
        <sz val="11"/>
        <color theme="1"/>
        <rFont val="等线"/>
        <family val="2"/>
        <charset val="134"/>
        <scheme val="minor"/>
      </rPr>
      <t/>
    </r>
  </si>
  <si>
    <t>WWTP47</t>
  </si>
  <si>
    <t>PLYMOUTH WWTP (WI)</t>
  </si>
  <si>
    <t>PLYMOUTH</t>
  </si>
  <si>
    <t>SHEBOYGAN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</si>
  <si>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365</t>
    </r>
    <r>
      <rPr>
        <sz val="11"/>
        <color theme="1"/>
        <rFont val="等线"/>
        <family val="2"/>
        <charset val="134"/>
        <scheme val="minor"/>
      </rPr>
      <t/>
    </r>
  </si>
  <si>
    <t>WWTP48</t>
  </si>
  <si>
    <t>Sheboygan Regional WWTP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</si>
  <si>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366</t>
    </r>
    <r>
      <rPr>
        <sz val="11"/>
        <color theme="1"/>
        <rFont val="等线"/>
        <family val="2"/>
        <charset val="134"/>
        <scheme val="minor"/>
      </rPr>
      <t/>
    </r>
  </si>
  <si>
    <t>WWTP49</t>
  </si>
  <si>
    <t>WALWORTH COUNTY MSD STP</t>
  </si>
  <si>
    <t>DELAVAN</t>
  </si>
  <si>
    <t>WALWORTH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</si>
  <si>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367</t>
    </r>
    <r>
      <rPr>
        <sz val="11"/>
        <color theme="1"/>
        <rFont val="等线"/>
        <family val="2"/>
        <charset val="134"/>
        <scheme val="minor"/>
      </rPr>
      <t/>
    </r>
  </si>
  <si>
    <t>WWTP50</t>
  </si>
  <si>
    <t>Village of Jackson WWTF</t>
  </si>
  <si>
    <t>Jackson</t>
  </si>
  <si>
    <t>Washington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</si>
  <si>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368</t>
    </r>
    <r>
      <rPr>
        <sz val="11"/>
        <color theme="1"/>
        <rFont val="等线"/>
        <family val="2"/>
        <charset val="134"/>
        <scheme val="minor"/>
      </rPr>
      <t/>
    </r>
  </si>
  <si>
    <t>WWTP51</t>
  </si>
  <si>
    <t>HARTFORD WWTP</t>
  </si>
  <si>
    <t>HARTFORD</t>
  </si>
  <si>
    <t>WASHINGTON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</si>
  <si>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369</t>
    </r>
    <r>
      <rPr>
        <sz val="11"/>
        <color theme="1"/>
        <rFont val="等线"/>
        <family val="2"/>
        <charset val="134"/>
        <scheme val="minor"/>
      </rPr>
      <t/>
    </r>
  </si>
  <si>
    <t>WWTP52</t>
  </si>
  <si>
    <t>City of West Bend Wastewater Treatment Plant</t>
  </si>
  <si>
    <t>West Bend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</si>
  <si>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370</t>
    </r>
    <r>
      <rPr>
        <sz val="11"/>
        <color theme="1"/>
        <rFont val="等线"/>
        <family val="2"/>
        <charset val="134"/>
        <scheme val="minor"/>
      </rPr>
      <t/>
    </r>
  </si>
  <si>
    <t>WWTP53</t>
  </si>
  <si>
    <t>Village of Mukwonago WWTP</t>
  </si>
  <si>
    <t>Mukwonago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</si>
  <si>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371</t>
    </r>
    <r>
      <rPr>
        <sz val="11"/>
        <color theme="1"/>
        <rFont val="等线"/>
        <family val="2"/>
        <charset val="134"/>
        <scheme val="minor"/>
      </rPr>
      <t/>
    </r>
  </si>
  <si>
    <t>WWTP54</t>
  </si>
  <si>
    <t>Delafield-Hartland WPCC</t>
  </si>
  <si>
    <t>Delafield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</si>
  <si>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372</t>
    </r>
    <r>
      <rPr>
        <sz val="11"/>
        <color theme="1"/>
        <rFont val="等线"/>
        <family val="2"/>
        <charset val="134"/>
        <scheme val="minor"/>
      </rPr>
      <t/>
    </r>
  </si>
  <si>
    <t>WWTP55</t>
  </si>
  <si>
    <t>OCONOMOWOC WWTP</t>
  </si>
  <si>
    <t>OCONOMOWOC</t>
  </si>
  <si>
    <t>WAUKESHA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</si>
  <si>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373</t>
    </r>
    <r>
      <rPr>
        <sz val="11"/>
        <color theme="1"/>
        <rFont val="等线"/>
        <family val="2"/>
        <charset val="134"/>
        <scheme val="minor"/>
      </rPr>
      <t/>
    </r>
  </si>
  <si>
    <t>WWTP56</t>
  </si>
  <si>
    <t>Brookfield Fox River WPCC</t>
  </si>
  <si>
    <t>Brookfield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</si>
  <si>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374</t>
    </r>
    <r>
      <rPr>
        <sz val="11"/>
        <color theme="1"/>
        <rFont val="等线"/>
        <family val="2"/>
        <charset val="134"/>
        <scheme val="minor"/>
      </rPr>
      <t/>
    </r>
  </si>
  <si>
    <t>WWTP57</t>
  </si>
  <si>
    <t>Waukesha Wastewater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</si>
  <si>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375</t>
    </r>
    <r>
      <rPr>
        <sz val="11"/>
        <color theme="1"/>
        <rFont val="等线"/>
        <family val="2"/>
        <charset val="134"/>
        <scheme val="minor"/>
      </rPr>
      <t/>
    </r>
  </si>
  <si>
    <t>WWTP58</t>
  </si>
  <si>
    <t>New London Wastewater Treatment Facility</t>
  </si>
  <si>
    <t>New London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</si>
  <si>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376</t>
    </r>
    <r>
      <rPr>
        <sz val="11"/>
        <color theme="1"/>
        <rFont val="等线"/>
        <family val="2"/>
        <charset val="134"/>
        <scheme val="minor"/>
      </rPr>
      <t/>
    </r>
  </si>
  <si>
    <t>WWTP59</t>
  </si>
  <si>
    <t>WAUPACA WWTP</t>
  </si>
  <si>
    <t>WAUPACA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</si>
  <si>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377</t>
    </r>
    <r>
      <rPr>
        <sz val="11"/>
        <color theme="1"/>
        <rFont val="等线"/>
        <family val="2"/>
        <charset val="134"/>
        <scheme val="minor"/>
      </rPr>
      <t/>
    </r>
  </si>
  <si>
    <t>WWTP60</t>
  </si>
  <si>
    <t>Neenah-Menasha Sewerage Commission</t>
  </si>
  <si>
    <t>Menasha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</si>
  <si>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378</t>
    </r>
    <r>
      <rPr>
        <sz val="11"/>
        <color theme="1"/>
        <rFont val="等线"/>
        <family val="2"/>
        <charset val="134"/>
        <scheme val="minor"/>
      </rPr>
      <t/>
    </r>
  </si>
  <si>
    <t>WWTP61</t>
  </si>
  <si>
    <t>Oshkosh Wastewater Treatment Plant</t>
  </si>
  <si>
    <t>Oshkosh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</si>
  <si>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379</t>
    </r>
    <r>
      <rPr>
        <sz val="11"/>
        <color theme="1"/>
        <rFont val="等线"/>
        <family val="2"/>
        <charset val="134"/>
        <scheme val="minor"/>
      </rPr>
      <t/>
    </r>
  </si>
  <si>
    <t>WWTP62</t>
  </si>
  <si>
    <t>WISCONSIN RAPIDS WWTP</t>
  </si>
  <si>
    <t>WISCONSIN RAPIDS</t>
  </si>
  <si>
    <t>WOOD</t>
  </si>
  <si>
    <t>County</t>
  </si>
  <si>
    <t>County</t>
    <phoneticPr fontId="4" type="noConversion"/>
  </si>
  <si>
    <t>Street</t>
    <phoneticPr fontId="4" type="noConversion"/>
  </si>
  <si>
    <t>Name</t>
    <phoneticPr fontId="4" type="noConversion"/>
  </si>
  <si>
    <t>City</t>
    <phoneticPr fontId="4" type="noConversion"/>
  </si>
  <si>
    <t>County</t>
    <phoneticPr fontId="4" type="noConversion"/>
  </si>
  <si>
    <t>Name</t>
    <phoneticPr fontId="4" type="noConversion"/>
  </si>
  <si>
    <t>County</t>
    <phoneticPr fontId="4" type="noConversion"/>
  </si>
  <si>
    <t>State</t>
    <phoneticPr fontId="4" type="noConversion"/>
  </si>
  <si>
    <t>Node</t>
    <phoneticPr fontId="6" type="noConversion"/>
  </si>
  <si>
    <t>Animal</t>
  </si>
  <si>
    <t>Numberof</t>
  </si>
  <si>
    <t>Proposed</t>
  </si>
  <si>
    <t xml:space="preserve">large </t>
    <phoneticPr fontId="6" type="noConversion"/>
  </si>
  <si>
    <t>animal</t>
    <phoneticPr fontId="6" type="noConversion"/>
  </si>
  <si>
    <t>lactating cows</t>
  </si>
  <si>
    <t>dry cows</t>
  </si>
  <si>
    <t>heifers</t>
  </si>
  <si>
    <t>calf</t>
  </si>
  <si>
    <t>manure</t>
    <phoneticPr fontId="6" type="noConversion"/>
  </si>
  <si>
    <t>TS</t>
    <phoneticPr fontId="6" type="noConversion"/>
  </si>
  <si>
    <r>
      <rPr>
        <sz val="11"/>
        <color theme="1"/>
        <rFont val="等线"/>
        <family val="2"/>
        <scheme val="minor"/>
      </rPr>
      <t>VS</t>
    </r>
    <phoneticPr fontId="6" type="noConversion"/>
  </si>
  <si>
    <t>manure ton/year</t>
    <phoneticPr fontId="6" type="noConversion"/>
  </si>
  <si>
    <t>tatol solid ton/year</t>
    <phoneticPr fontId="6" type="noConversion"/>
  </si>
  <si>
    <t>volatile solid ton/year</t>
    <phoneticPr fontId="6" type="noConversion"/>
  </si>
  <si>
    <t>Type</t>
  </si>
  <si>
    <t>estimation</t>
    <phoneticPr fontId="6" type="noConversion"/>
  </si>
  <si>
    <t>weights</t>
    <phoneticPr fontId="6" type="noConversion"/>
  </si>
  <si>
    <t>ton/year</t>
    <phoneticPr fontId="6" type="noConversion"/>
  </si>
  <si>
    <t>ton/year</t>
    <phoneticPr fontId="6" type="noConversion"/>
  </si>
  <si>
    <t>TS%</t>
    <phoneticPr fontId="6" type="noConversion"/>
  </si>
  <si>
    <t>VS%</t>
    <phoneticPr fontId="4" type="noConversion"/>
  </si>
  <si>
    <t>VS%</t>
    <phoneticPr fontId="6" type="noConversion"/>
  </si>
  <si>
    <t>original</t>
    <phoneticPr fontId="6" type="noConversion"/>
  </si>
  <si>
    <t>Units</t>
  </si>
  <si>
    <t>AnimalUnits</t>
  </si>
  <si>
    <t>animal units</t>
    <phoneticPr fontId="6" type="noConversion"/>
  </si>
  <si>
    <t>lb</t>
    <phoneticPr fontId="6" type="noConversion"/>
  </si>
  <si>
    <t>lb</t>
    <phoneticPr fontId="6" type="noConversion"/>
  </si>
  <si>
    <t>Sum</t>
    <phoneticPr fontId="6" type="noConversion"/>
  </si>
  <si>
    <t>n73</t>
    <phoneticPr fontId="6" type="noConversion"/>
  </si>
  <si>
    <t>Dairy </t>
  </si>
  <si>
    <t>n74</t>
    <phoneticPr fontId="6" type="noConversion"/>
  </si>
  <si>
    <r>
      <rPr>
        <sz val="11"/>
        <color theme="1"/>
        <rFont val="等线"/>
        <family val="2"/>
        <scheme val="minor"/>
      </rPr>
      <t>Grant</t>
    </r>
    <r>
      <rPr>
        <sz val="11"/>
        <color theme="1"/>
        <rFont val="等线"/>
        <family val="3"/>
        <charset val="134"/>
        <scheme val="minor"/>
      </rPr>
      <t> </t>
    </r>
    <phoneticPr fontId="6" type="noConversion"/>
  </si>
  <si>
    <t>County</t>
    <phoneticPr fontId="4" type="noConversion"/>
  </si>
  <si>
    <t>Pop</t>
    <phoneticPr fontId="4" type="noConversion"/>
  </si>
  <si>
    <t>Amount(1)</t>
    <phoneticPr fontId="4" type="noConversion"/>
  </si>
  <si>
    <t>Total Solid</t>
    <phoneticPr fontId="4" type="noConversion"/>
  </si>
  <si>
    <t>Volatile S</t>
    <phoneticPr fontId="4" type="noConversion"/>
  </si>
  <si>
    <t>C</t>
    <phoneticPr fontId="4" type="noConversion"/>
  </si>
  <si>
    <t>N</t>
    <phoneticPr fontId="4" type="noConversion"/>
  </si>
  <si>
    <t>P</t>
    <phoneticPr fontId="4" type="noConversion"/>
  </si>
  <si>
    <t>K</t>
    <phoneticPr fontId="4" type="noConversion"/>
  </si>
  <si>
    <t>(person)</t>
    <phoneticPr fontId="4" type="noConversion"/>
  </si>
  <si>
    <t>(ton/yr)</t>
    <phoneticPr fontId="4" type="noConversion"/>
  </si>
  <si>
    <t>(ton/yr)</t>
    <phoneticPr fontId="4" type="noConversion"/>
  </si>
  <si>
    <t>(ton/yr)</t>
    <phoneticPr fontId="4" type="noConversion"/>
  </si>
  <si>
    <t>Wisconsin</t>
  </si>
  <si>
    <t>Food waste per consumer</t>
    <phoneticPr fontId="4" type="noConversion"/>
  </si>
  <si>
    <t>kg/yr/person</t>
    <phoneticPr fontId="4" type="noConversion"/>
  </si>
  <si>
    <t>Adams County</t>
  </si>
  <si>
    <t>At the production and retail stages</t>
    <phoneticPr fontId="4" type="noConversion"/>
  </si>
  <si>
    <t>kg/yr/person</t>
    <phoneticPr fontId="4" type="noConversion"/>
  </si>
  <si>
    <t>Ashland County</t>
  </si>
  <si>
    <t>TS</t>
    <phoneticPr fontId="4" type="noConversion"/>
  </si>
  <si>
    <t>w.b.</t>
    <phoneticPr fontId="4" type="noConversion"/>
  </si>
  <si>
    <t>Barron County</t>
  </si>
  <si>
    <t>VS</t>
    <phoneticPr fontId="4" type="noConversion"/>
  </si>
  <si>
    <t>Bayfield County</t>
  </si>
  <si>
    <t>C</t>
    <phoneticPr fontId="4" type="noConversion"/>
  </si>
  <si>
    <r>
      <rPr>
        <sz val="11"/>
        <color theme="1"/>
        <rFont val="等线"/>
        <family val="2"/>
        <scheme val="minor"/>
      </rPr>
      <t>d</t>
    </r>
    <r>
      <rPr>
        <sz val="11"/>
        <color theme="1"/>
        <rFont val="等线"/>
        <family val="2"/>
        <scheme val="minor"/>
      </rPr>
      <t>.b</t>
    </r>
    <phoneticPr fontId="4" type="noConversion"/>
  </si>
  <si>
    <t>Brown County</t>
  </si>
  <si>
    <t>N</t>
    <phoneticPr fontId="4" type="noConversion"/>
  </si>
  <si>
    <t>d.b</t>
    <phoneticPr fontId="4" type="noConversion"/>
  </si>
  <si>
    <t>Buffalo County</t>
  </si>
  <si>
    <t>P</t>
    <phoneticPr fontId="4" type="noConversion"/>
  </si>
  <si>
    <t>d.b.</t>
    <phoneticPr fontId="4" type="noConversion"/>
  </si>
  <si>
    <t>Burnett County</t>
  </si>
  <si>
    <t>K</t>
    <phoneticPr fontId="4" type="noConversion"/>
  </si>
  <si>
    <t>Calumet County</t>
  </si>
  <si>
    <t>Ca</t>
    <phoneticPr fontId="4" type="noConversion"/>
  </si>
  <si>
    <t>Chippewa County</t>
  </si>
  <si>
    <t>Mg</t>
    <phoneticPr fontId="4" type="noConversion"/>
  </si>
  <si>
    <t>Clark County</t>
  </si>
  <si>
    <t>Columbia County</t>
  </si>
  <si>
    <t>Crawford County</t>
  </si>
  <si>
    <t>Dane County</t>
  </si>
  <si>
    <t>Dodge County</t>
  </si>
  <si>
    <t>Door County</t>
  </si>
  <si>
    <t>Douglas County</t>
  </si>
  <si>
    <t>Dunn County</t>
  </si>
  <si>
    <t>Eau Claire County</t>
  </si>
  <si>
    <t>Florence County</t>
  </si>
  <si>
    <t>Fond du Lac County</t>
  </si>
  <si>
    <t>Forest County</t>
  </si>
  <si>
    <t>Grant County</t>
  </si>
  <si>
    <t>Green County</t>
  </si>
  <si>
    <t>Green Lake County</t>
  </si>
  <si>
    <t>Iowa County</t>
  </si>
  <si>
    <t>Iron County</t>
  </si>
  <si>
    <t>Jackson County</t>
  </si>
  <si>
    <t>Jefferson County</t>
  </si>
  <si>
    <t>Juneau County</t>
  </si>
  <si>
    <t>Kenosha County</t>
  </si>
  <si>
    <t>Kewaunee County</t>
  </si>
  <si>
    <t>La Crosse County</t>
  </si>
  <si>
    <t>Lafayette County</t>
  </si>
  <si>
    <t>Langlade County</t>
  </si>
  <si>
    <t>Lincoln County</t>
  </si>
  <si>
    <t>Manitowoc County</t>
  </si>
  <si>
    <t>Marathon County</t>
  </si>
  <si>
    <t>Marinette County</t>
  </si>
  <si>
    <t>Marquette County</t>
  </si>
  <si>
    <t>Menominee County</t>
  </si>
  <si>
    <t>Milwaukee County</t>
  </si>
  <si>
    <t>Monroe County</t>
  </si>
  <si>
    <t>Oconto County</t>
  </si>
  <si>
    <t>Oneida County</t>
  </si>
  <si>
    <t>Outagamie County</t>
  </si>
  <si>
    <t>Ozaukee County</t>
  </si>
  <si>
    <t>Pepin County</t>
  </si>
  <si>
    <t>Pierce County</t>
  </si>
  <si>
    <t>Polk County</t>
  </si>
  <si>
    <t>Portage County</t>
  </si>
  <si>
    <t>Price County</t>
  </si>
  <si>
    <t>Racine County</t>
  </si>
  <si>
    <t>Richland County</t>
  </si>
  <si>
    <t>Rock County</t>
  </si>
  <si>
    <t>Rusk County</t>
  </si>
  <si>
    <t>St. Croix County</t>
  </si>
  <si>
    <t>Sauk County</t>
  </si>
  <si>
    <t>Sawyer County</t>
  </si>
  <si>
    <t>Shawano County</t>
  </si>
  <si>
    <t>Sheboygan County</t>
  </si>
  <si>
    <t>Taylor County</t>
  </si>
  <si>
    <t>Trempealeau County</t>
  </si>
  <si>
    <t>Vernon County</t>
  </si>
  <si>
    <t>Vilas County</t>
  </si>
  <si>
    <t>Walworth County</t>
  </si>
  <si>
    <t>Washburn County</t>
  </si>
  <si>
    <t>Washington County</t>
  </si>
  <si>
    <t>Waukesha County</t>
  </si>
  <si>
    <t>Waupaca County</t>
  </si>
  <si>
    <t>Waushara County</t>
  </si>
  <si>
    <t>Winnebago County</t>
  </si>
  <si>
    <t>Wood County</t>
  </si>
  <si>
    <t>Service population</t>
    <phoneticPr fontId="4" type="noConversion"/>
  </si>
  <si>
    <t>Wastewater</t>
    <phoneticPr fontId="4" type="noConversion"/>
  </si>
  <si>
    <t>Sludge treated</t>
    <phoneticPr fontId="4" type="noConversion"/>
  </si>
  <si>
    <t>Mass in sludge</t>
    <phoneticPr fontId="4" type="noConversion"/>
  </si>
  <si>
    <t>Biogas produced</t>
    <phoneticPr fontId="4" type="noConversion"/>
  </si>
  <si>
    <t>people</t>
    <phoneticPr fontId="4" type="noConversion"/>
  </si>
  <si>
    <t>Million Gallons/Day</t>
    <phoneticPr fontId="4" type="noConversion"/>
  </si>
  <si>
    <t>gal/day</t>
    <phoneticPr fontId="4" type="noConversion"/>
  </si>
  <si>
    <t>tons TS/day</t>
    <phoneticPr fontId="4" type="noConversion"/>
  </si>
  <si>
    <t>ft3/day</t>
    <phoneticPr fontId="4" type="noConversion"/>
  </si>
  <si>
    <t>l/day</t>
    <phoneticPr fontId="4" type="noConversion"/>
  </si>
  <si>
    <t>tons VS/day</t>
    <phoneticPr fontId="4" type="noConversion"/>
  </si>
  <si>
    <t>m3/day</t>
    <phoneticPr fontId="4" type="noConversion"/>
  </si>
  <si>
    <t>ton/year</t>
    <phoneticPr fontId="4" type="noConversion"/>
  </si>
  <si>
    <t>kg/day</t>
    <phoneticPr fontId="4" type="noConversion"/>
  </si>
  <si>
    <t>WW/person</t>
    <phoneticPr fontId="4" type="noConversion"/>
  </si>
  <si>
    <t>gallons/day</t>
    <phoneticPr fontId="4" type="noConversion"/>
  </si>
  <si>
    <t>l/day</t>
    <phoneticPr fontId="4" type="noConversion"/>
  </si>
  <si>
    <t>sludge/person</t>
    <phoneticPr fontId="4" type="noConversion"/>
  </si>
  <si>
    <t>gallons/day</t>
    <phoneticPr fontId="4" type="noConversion"/>
  </si>
  <si>
    <t>TS content</t>
    <phoneticPr fontId="4" type="noConversion"/>
  </si>
  <si>
    <t>VS content</t>
    <phoneticPr fontId="4" type="noConversion"/>
  </si>
  <si>
    <t>yield of biogas</t>
    <phoneticPr fontId="4" type="noConversion"/>
  </si>
  <si>
    <t>kg biogas/kg sludge</t>
    <phoneticPr fontId="4" type="noConversion"/>
  </si>
  <si>
    <t>Survey Data</t>
    <phoneticPr fontId="4" type="noConversion"/>
  </si>
  <si>
    <t>Madison Metropolitan Sewerage District (MMSW)</t>
    <phoneticPr fontId="4" type="noConversion"/>
  </si>
  <si>
    <t>Sludge(~5%Solid)</t>
    <phoneticPr fontId="4" type="noConversion"/>
  </si>
  <si>
    <t>person</t>
    <phoneticPr fontId="4" type="noConversion"/>
  </si>
  <si>
    <t>G/day</t>
    <phoneticPr fontId="4" type="noConversion"/>
  </si>
  <si>
    <t>ton/year</t>
    <phoneticPr fontId="4" type="noConversion"/>
  </si>
  <si>
    <r>
      <rPr>
        <sz val="11"/>
        <rFont val="等线"/>
        <family val="2"/>
        <scheme val="minor"/>
      </rPr>
      <t>Wisconsin</t>
    </r>
  </si>
  <si>
    <t>Population</t>
    <phoneticPr fontId="4" type="noConversion"/>
  </si>
  <si>
    <t># Case</t>
    <phoneticPr fontId="4" type="noConversion"/>
  </si>
  <si>
    <t>#Animals</t>
    <phoneticPr fontId="4" type="noConversion"/>
  </si>
  <si>
    <r>
      <rPr>
        <sz val="11"/>
        <color theme="1"/>
        <rFont val="等线"/>
        <family val="2"/>
        <scheme val="minor"/>
      </rPr>
      <t>Estimated Capacity</t>
    </r>
    <r>
      <rPr>
        <sz val="11"/>
        <color theme="1"/>
        <rFont val="等线"/>
        <family val="2"/>
        <scheme val="minor"/>
      </rPr>
      <t xml:space="preserve"> (ton/yr)</t>
    </r>
    <phoneticPr fontId="4" type="noConversion"/>
  </si>
  <si>
    <t>Capacity^0.6</t>
    <phoneticPr fontId="4" type="noConversion"/>
  </si>
  <si>
    <t>Digester cost($)</t>
    <phoneticPr fontId="4" type="noConversion"/>
  </si>
  <si>
    <r>
      <rPr>
        <sz val="11"/>
        <color theme="1"/>
        <rFont val="等线"/>
        <family val="2"/>
        <scheme val="minor"/>
      </rPr>
      <t>Generator cost</t>
    </r>
    <r>
      <rPr>
        <sz val="11"/>
        <color theme="1"/>
        <rFont val="等线"/>
        <family val="2"/>
        <scheme val="minor"/>
      </rPr>
      <t>($)</t>
    </r>
    <phoneticPr fontId="4" type="noConversion"/>
  </si>
  <si>
    <r>
      <rPr>
        <sz val="11"/>
        <color theme="1"/>
        <rFont val="等线"/>
        <family val="2"/>
        <scheme val="minor"/>
      </rPr>
      <t>Generator/</t>
    </r>
    <r>
      <rPr>
        <sz val="11"/>
        <color theme="1"/>
        <rFont val="等线"/>
        <family val="2"/>
        <scheme val="minor"/>
      </rPr>
      <t>Digester</t>
    </r>
    <phoneticPr fontId="4" type="noConversion"/>
  </si>
  <si>
    <r>
      <rPr>
        <sz val="11"/>
        <color theme="1"/>
        <rFont val="等线"/>
        <family val="2"/>
        <scheme val="minor"/>
      </rPr>
      <t>O&amp;M cost</t>
    </r>
    <r>
      <rPr>
        <sz val="11"/>
        <color theme="1"/>
        <rFont val="等线"/>
        <family val="2"/>
        <scheme val="minor"/>
      </rPr>
      <t>($/year)</t>
    </r>
    <phoneticPr fontId="4" type="noConversion"/>
  </si>
  <si>
    <t>OM/Capital</t>
    <phoneticPr fontId="4" type="noConversion"/>
  </si>
  <si>
    <r>
      <rPr>
        <sz val="11"/>
        <color theme="1"/>
        <rFont val="等线"/>
        <family val="2"/>
        <scheme val="minor"/>
      </rPr>
      <t>R</t>
    </r>
    <r>
      <rPr>
        <sz val="11"/>
        <color theme="1"/>
        <rFont val="等线"/>
        <family val="2"/>
        <scheme val="minor"/>
      </rPr>
      <t>eported total cost</t>
    </r>
    <phoneticPr fontId="4" type="noConversion"/>
  </si>
  <si>
    <t>Cleaning cost:</t>
    <phoneticPr fontId="4" type="noConversion"/>
  </si>
  <si>
    <t>$/m3</t>
    <phoneticPr fontId="4" type="noConversion"/>
  </si>
  <si>
    <t>CM1</t>
    <phoneticPr fontId="4" type="noConversion"/>
  </si>
  <si>
    <t>S1</t>
    <phoneticPr fontId="4" type="noConversion"/>
  </si>
  <si>
    <r>
      <rPr>
        <sz val="11"/>
        <color theme="1"/>
        <rFont val="等线"/>
        <family val="2"/>
        <scheme val="minor"/>
      </rPr>
      <t>Reboiler2</t>
    </r>
    <r>
      <rPr>
        <sz val="11"/>
        <color theme="1"/>
        <rFont val="等线"/>
        <family val="2"/>
        <scheme val="minor"/>
      </rPr>
      <t xml:space="preserve"> duty</t>
    </r>
    <r>
      <rPr>
        <sz val="11"/>
        <color theme="1"/>
        <rFont val="等线"/>
        <family val="2"/>
        <scheme val="minor"/>
      </rPr>
      <t>(Gcal/h)</t>
    </r>
    <phoneticPr fontId="4" type="noConversion"/>
  </si>
  <si>
    <t>S3</t>
    <phoneticPr fontId="4" type="noConversion"/>
  </si>
  <si>
    <t>FW2</t>
  </si>
  <si>
    <t>FW1</t>
  </si>
  <si>
    <t>Supporting Information:</t>
    <phoneticPr fontId="4" type="noConversion"/>
  </si>
  <si>
    <t>Data Pretreatment</t>
    <phoneticPr fontId="4" type="noConversion"/>
  </si>
  <si>
    <t>Section</t>
    <phoneticPr fontId="4" type="noConversion"/>
  </si>
  <si>
    <t>Description</t>
    <phoneticPr fontId="4" type="noConversion"/>
  </si>
  <si>
    <t>CAFO list</t>
    <phoneticPr fontId="4" type="noConversion"/>
  </si>
  <si>
    <t>WWTP list</t>
    <phoneticPr fontId="4" type="noConversion"/>
  </si>
  <si>
    <t>LF list</t>
    <phoneticPr fontId="4" type="noConversion"/>
  </si>
  <si>
    <t xml:space="preserve">The list of concentrated animal feeding operations considered </t>
    <phoneticPr fontId="4" type="noConversion"/>
  </si>
  <si>
    <t>The list of wastewater treatment plants considered</t>
    <phoneticPr fontId="4" type="noConversion"/>
  </si>
  <si>
    <t>The list of landfills considered</t>
    <phoneticPr fontId="4" type="noConversion"/>
  </si>
  <si>
    <t>County list</t>
    <phoneticPr fontId="4" type="noConversion"/>
  </si>
  <si>
    <t>The list of counties in Wisconsin</t>
    <phoneticPr fontId="4" type="noConversion"/>
  </si>
  <si>
    <t>CM supply</t>
    <phoneticPr fontId="4" type="noConversion"/>
  </si>
  <si>
    <t>The supply values of cow maure</t>
    <phoneticPr fontId="4" type="noConversion"/>
  </si>
  <si>
    <t>FW supply</t>
    <phoneticPr fontId="4" type="noConversion"/>
  </si>
  <si>
    <t>The locations of nodes (latitude and longitude)</t>
    <phoneticPr fontId="4" type="noConversion"/>
  </si>
  <si>
    <t>The supply values of food waste</t>
    <phoneticPr fontId="4" type="noConversion"/>
  </si>
  <si>
    <t>S supply</t>
    <phoneticPr fontId="4" type="noConversion"/>
  </si>
  <si>
    <t>The supply values of wastewater sludge</t>
    <phoneticPr fontId="4" type="noConversion"/>
  </si>
  <si>
    <t># NODES</t>
  </si>
  <si>
    <t>x</t>
    <phoneticPr fontId="6" type="noConversion"/>
  </si>
  <si>
    <t>y</t>
    <phoneticPr fontId="6" type="noConversion"/>
  </si>
  <si>
    <t>n1</t>
  </si>
  <si>
    <t>county1</t>
  </si>
  <si>
    <t>n2</t>
  </si>
  <si>
    <t>county2</t>
  </si>
  <si>
    <t>county3</t>
  </si>
  <si>
    <t>county4</t>
  </si>
  <si>
    <t>county5</t>
  </si>
  <si>
    <t>county6</t>
  </si>
  <si>
    <t>county7</t>
  </si>
  <si>
    <t>county8</t>
  </si>
  <si>
    <t>county9</t>
  </si>
  <si>
    <t>county10</t>
  </si>
  <si>
    <t>county11</t>
  </si>
  <si>
    <t>county12</t>
  </si>
  <si>
    <t>county13</t>
  </si>
  <si>
    <t>county14</t>
  </si>
  <si>
    <t>county15</t>
  </si>
  <si>
    <t>county16</t>
  </si>
  <si>
    <t>county17</t>
  </si>
  <si>
    <t>county18</t>
  </si>
  <si>
    <t>county19</t>
  </si>
  <si>
    <t>county20</t>
  </si>
  <si>
    <t>county21</t>
  </si>
  <si>
    <t>county22</t>
  </si>
  <si>
    <t>county23</t>
  </si>
  <si>
    <t>county24</t>
  </si>
  <si>
    <t>county25</t>
  </si>
  <si>
    <t>county26</t>
  </si>
  <si>
    <t>county27</t>
  </si>
  <si>
    <t>county28</t>
  </si>
  <si>
    <t>county29</t>
  </si>
  <si>
    <t>county30</t>
  </si>
  <si>
    <t>county31</t>
  </si>
  <si>
    <t>county32</t>
  </si>
  <si>
    <t>county33</t>
  </si>
  <si>
    <t>county34</t>
  </si>
  <si>
    <t>county35</t>
  </si>
  <si>
    <t>county36</t>
  </si>
  <si>
    <t>county37</t>
  </si>
  <si>
    <t>county38</t>
  </si>
  <si>
    <t>county39</t>
  </si>
  <si>
    <t>county40</t>
  </si>
  <si>
    <t>county41</t>
  </si>
  <si>
    <t>county42</t>
  </si>
  <si>
    <t>county43</t>
  </si>
  <si>
    <t>county44</t>
  </si>
  <si>
    <t>county45</t>
  </si>
  <si>
    <t>county46</t>
  </si>
  <si>
    <t>county47</t>
  </si>
  <si>
    <t>county48</t>
  </si>
  <si>
    <t>county49</t>
  </si>
  <si>
    <t>county50</t>
  </si>
  <si>
    <t>county51</t>
  </si>
  <si>
    <t>county52</t>
  </si>
  <si>
    <t>county53</t>
  </si>
  <si>
    <t>county54</t>
  </si>
  <si>
    <t>county55</t>
  </si>
  <si>
    <t>county56</t>
  </si>
  <si>
    <t>county57</t>
  </si>
  <si>
    <t>county58</t>
  </si>
  <si>
    <t>county59</t>
  </si>
  <si>
    <t>county60</t>
  </si>
  <si>
    <t>county61</t>
  </si>
  <si>
    <t>county62</t>
  </si>
  <si>
    <t>county63</t>
  </si>
  <si>
    <t>county64</t>
  </si>
  <si>
    <t>county65</t>
  </si>
  <si>
    <t>county66</t>
  </si>
  <si>
    <t>county67</t>
  </si>
  <si>
    <t>county68</t>
  </si>
  <si>
    <t>county69</t>
  </si>
  <si>
    <t>county70</t>
  </si>
  <si>
    <t>county71</t>
  </si>
  <si>
    <t>county72</t>
  </si>
  <si>
    <t>n73</t>
  </si>
  <si>
    <t>CAFO1</t>
  </si>
  <si>
    <t>n318</t>
  </si>
  <si>
    <t>WWTP1</t>
  </si>
  <si>
    <t>n319</t>
  </si>
  <si>
    <t>WWTP2</t>
  </si>
  <si>
    <t>n320</t>
  </si>
  <si>
    <t>n321</t>
  </si>
  <si>
    <t>n322</t>
  </si>
  <si>
    <t>n323</t>
  </si>
  <si>
    <t>n324</t>
  </si>
  <si>
    <t>n325</t>
  </si>
  <si>
    <t>n326</t>
  </si>
  <si>
    <t>n327</t>
  </si>
  <si>
    <t>n328</t>
  </si>
  <si>
    <t>n329</t>
  </si>
  <si>
    <t>n330</t>
  </si>
  <si>
    <t>n331</t>
  </si>
  <si>
    <t>n332</t>
  </si>
  <si>
    <t>n333</t>
  </si>
  <si>
    <t>n334</t>
  </si>
  <si>
    <t>n335</t>
  </si>
  <si>
    <t>n336</t>
  </si>
  <si>
    <t>n337</t>
  </si>
  <si>
    <t>n338</t>
  </si>
  <si>
    <t>n339</t>
  </si>
  <si>
    <t>n340</t>
  </si>
  <si>
    <t>n341</t>
  </si>
  <si>
    <t>n342</t>
  </si>
  <si>
    <t>n343</t>
  </si>
  <si>
    <t>n344</t>
  </si>
  <si>
    <t>n345</t>
  </si>
  <si>
    <t>n346</t>
  </si>
  <si>
    <t>n347</t>
  </si>
  <si>
    <t>n348</t>
  </si>
  <si>
    <t>n349</t>
  </si>
  <si>
    <t>n350</t>
  </si>
  <si>
    <t>n351</t>
  </si>
  <si>
    <t>n352</t>
  </si>
  <si>
    <t>n353</t>
  </si>
  <si>
    <t>n354</t>
  </si>
  <si>
    <t>n355</t>
  </si>
  <si>
    <t>n356</t>
  </si>
  <si>
    <t>n357</t>
  </si>
  <si>
    <t>n358</t>
  </si>
  <si>
    <t>n359</t>
  </si>
  <si>
    <t>n360</t>
  </si>
  <si>
    <t>n361</t>
  </si>
  <si>
    <t>n362</t>
  </si>
  <si>
    <t>n363</t>
  </si>
  <si>
    <t>n364</t>
  </si>
  <si>
    <t>n365</t>
  </si>
  <si>
    <t>n366</t>
  </si>
  <si>
    <t>n367</t>
  </si>
  <si>
    <t>n368</t>
  </si>
  <si>
    <t>n369</t>
  </si>
  <si>
    <t>n370</t>
  </si>
  <si>
    <t>n371</t>
  </si>
  <si>
    <t>n372</t>
  </si>
  <si>
    <t>n373</t>
  </si>
  <si>
    <t>n374</t>
  </si>
  <si>
    <t>n375</t>
  </si>
  <si>
    <t>n376</t>
  </si>
  <si>
    <t>n377</t>
  </si>
  <si>
    <t>n378</t>
  </si>
  <si>
    <t>n379</t>
  </si>
  <si>
    <t>n380</t>
  </si>
  <si>
    <t>LF1</t>
  </si>
  <si>
    <t>n381</t>
  </si>
  <si>
    <t>n382</t>
  </si>
  <si>
    <t>n383</t>
  </si>
  <si>
    <t>n384</t>
  </si>
  <si>
    <t>n385</t>
  </si>
  <si>
    <t>n386</t>
  </si>
  <si>
    <t>n387</t>
  </si>
  <si>
    <t>n388</t>
  </si>
  <si>
    <t>n389</t>
  </si>
  <si>
    <t>n390</t>
  </si>
  <si>
    <t>n391</t>
  </si>
  <si>
    <t>n392</t>
  </si>
  <si>
    <t>n393</t>
  </si>
  <si>
    <t>n394</t>
  </si>
  <si>
    <t>n395</t>
  </si>
  <si>
    <t>n396</t>
  </si>
  <si>
    <t>n397</t>
  </si>
  <si>
    <t>n398</t>
  </si>
  <si>
    <t>n399</t>
  </si>
  <si>
    <t>n400</t>
  </si>
  <si>
    <t>n401</t>
  </si>
  <si>
    <t>n402</t>
  </si>
  <si>
    <t>n403</t>
  </si>
  <si>
    <t>n404</t>
  </si>
  <si>
    <t>n405</t>
  </si>
  <si>
    <t>n406</t>
  </si>
  <si>
    <t>n407</t>
  </si>
  <si>
    <t>n408</t>
  </si>
  <si>
    <t>n409</t>
  </si>
  <si>
    <t>n410</t>
  </si>
  <si>
    <t>n411</t>
  </si>
  <si>
    <t>n412</t>
  </si>
  <si>
    <t>n413</t>
  </si>
  <si>
    <t>n414</t>
  </si>
  <si>
    <t>n415</t>
  </si>
  <si>
    <t>n416</t>
  </si>
  <si>
    <t>n417</t>
  </si>
  <si>
    <t>n418</t>
  </si>
  <si>
    <t>n419</t>
  </si>
  <si>
    <t>n420</t>
  </si>
  <si>
    <t>n421</t>
  </si>
  <si>
    <t>n422</t>
  </si>
  <si>
    <t>n423</t>
  </si>
  <si>
    <t>n424</t>
  </si>
  <si>
    <t>n425</t>
  </si>
  <si>
    <t>n426</t>
  </si>
  <si>
    <t>n427</t>
  </si>
  <si>
    <t>n428</t>
  </si>
  <si>
    <t>n429</t>
  </si>
  <si>
    <t>n430</t>
  </si>
  <si>
    <t>n431</t>
  </si>
  <si>
    <t>n432</t>
  </si>
  <si>
    <t>n433</t>
  </si>
  <si>
    <t>n434</t>
  </si>
  <si>
    <t>n435</t>
  </si>
  <si>
    <t>n436</t>
  </si>
  <si>
    <t>n437</t>
  </si>
  <si>
    <t>n438</t>
  </si>
  <si>
    <t>n439</t>
  </si>
  <si>
    <t>n440</t>
  </si>
  <si>
    <t>n441</t>
  </si>
  <si>
    <t>n442</t>
  </si>
  <si>
    <t>n443</t>
  </si>
  <si>
    <t>n444</t>
  </si>
  <si>
    <t>collection_site</t>
  </si>
  <si>
    <t>Node_alias</t>
    <phoneticPr fontId="4" type="noConversion"/>
  </si>
  <si>
    <t>Nodes locations</t>
    <phoneticPr fontId="4" type="noConversion"/>
  </si>
  <si>
    <t>Biogas yield</t>
    <phoneticPr fontId="4" type="noConversion"/>
  </si>
  <si>
    <t>Examples of how the biogas yield factor is calculated in code</t>
    <phoneticPr fontId="4" type="noConversion"/>
  </si>
  <si>
    <t>methane density</t>
    <phoneticPr fontId="4" type="noConversion"/>
  </si>
  <si>
    <t>kg/m3</t>
    <phoneticPr fontId="4" type="noConversion"/>
  </si>
  <si>
    <t>biogas density</t>
    <phoneticPr fontId="4" type="noConversion"/>
  </si>
  <si>
    <t>kg/m3</t>
    <phoneticPr fontId="4" type="noConversion"/>
  </si>
  <si>
    <t>CH4% in biogas</t>
    <phoneticPr fontId="4" type="noConversion"/>
  </si>
  <si>
    <t>%</t>
    <phoneticPr fontId="4" type="noConversion"/>
  </si>
  <si>
    <t>CM</t>
    <phoneticPr fontId="4" type="noConversion"/>
  </si>
  <si>
    <t>FW</t>
    <phoneticPr fontId="4" type="noConversion"/>
  </si>
  <si>
    <t>Ileleji K E, Martin C, Jones D. Basics of energy production through anaerobic digestion of livestock manure[J]. 2010.</t>
  </si>
  <si>
    <t>waste</t>
    <phoneticPr fontId="4" type="noConversion"/>
  </si>
  <si>
    <t>Bo</t>
    <phoneticPr fontId="4" type="noConversion"/>
  </si>
  <si>
    <t>So</t>
    <phoneticPr fontId="4" type="noConversion"/>
  </si>
  <si>
    <t>HRT</t>
    <phoneticPr fontId="4" type="noConversion"/>
  </si>
  <si>
    <t>T</t>
    <phoneticPr fontId="4" type="noConversion"/>
  </si>
  <si>
    <t>miu_m</t>
    <phoneticPr fontId="4" type="noConversion"/>
  </si>
  <si>
    <t>CH4</t>
    <phoneticPr fontId="4" type="noConversion"/>
  </si>
  <si>
    <t>unit</t>
    <phoneticPr fontId="4" type="noConversion"/>
  </si>
  <si>
    <t>L/gVS</t>
    <phoneticPr fontId="4" type="noConversion"/>
  </si>
  <si>
    <t>g/L</t>
    <phoneticPr fontId="4" type="noConversion"/>
  </si>
  <si>
    <t>days</t>
    <phoneticPr fontId="4" type="noConversion"/>
  </si>
  <si>
    <t>C</t>
    <phoneticPr fontId="4" type="noConversion"/>
  </si>
  <si>
    <t>/day</t>
    <phoneticPr fontId="4" type="noConversion"/>
  </si>
  <si>
    <t>L/L/day</t>
    <phoneticPr fontId="4" type="noConversion"/>
  </si>
  <si>
    <t>CM</t>
    <phoneticPr fontId="4" type="noConversion"/>
  </si>
  <si>
    <t>yield factor</t>
    <phoneticPr fontId="4" type="noConversion"/>
  </si>
  <si>
    <t>CH4</t>
  </si>
  <si>
    <r>
      <rPr>
        <sz val="11"/>
        <color theme="1"/>
        <rFont val="等线"/>
        <family val="2"/>
        <scheme val="minor"/>
      </rPr>
      <t>f</t>
    </r>
    <r>
      <rPr>
        <sz val="11"/>
        <color theme="1"/>
        <rFont val="等线"/>
        <family val="2"/>
        <scheme val="minor"/>
      </rPr>
      <t xml:space="preserve">eed </t>
    </r>
    <r>
      <rPr>
        <sz val="11"/>
        <color theme="1"/>
        <rFont val="等线"/>
        <family val="2"/>
        <scheme val="minor"/>
      </rPr>
      <t>flow</t>
    </r>
    <phoneticPr fontId="4" type="noConversion"/>
  </si>
  <si>
    <r>
      <rPr>
        <sz val="11"/>
        <color theme="1"/>
        <rFont val="等线"/>
        <family val="2"/>
        <scheme val="minor"/>
      </rPr>
      <t>f</t>
    </r>
    <r>
      <rPr>
        <sz val="11"/>
        <color theme="1"/>
        <rFont val="等线"/>
        <family val="2"/>
        <scheme val="minor"/>
      </rPr>
      <t xml:space="preserve">eed </t>
    </r>
    <r>
      <rPr>
        <sz val="11"/>
        <color theme="1"/>
        <rFont val="等线"/>
        <family val="2"/>
        <scheme val="minor"/>
      </rPr>
      <t>flow</t>
    </r>
    <phoneticPr fontId="4" type="noConversion"/>
  </si>
  <si>
    <r>
      <rPr>
        <sz val="11"/>
        <color theme="1"/>
        <rFont val="等线"/>
        <family val="2"/>
        <scheme val="minor"/>
      </rPr>
      <t>r</t>
    </r>
    <r>
      <rPr>
        <sz val="11"/>
        <color theme="1"/>
        <rFont val="等线"/>
        <family val="2"/>
        <scheme val="minor"/>
      </rPr>
      <t xml:space="preserve">eactor </t>
    </r>
    <r>
      <rPr>
        <sz val="11"/>
        <color theme="1"/>
        <rFont val="等线"/>
        <family val="2"/>
        <scheme val="minor"/>
      </rPr>
      <t>volumn</t>
    </r>
    <phoneticPr fontId="4" type="noConversion"/>
  </si>
  <si>
    <r>
      <t>CH4</t>
    </r>
    <r>
      <rPr>
        <sz val="11"/>
        <color theme="1"/>
        <rFont val="等线"/>
        <family val="2"/>
        <scheme val="minor"/>
      </rPr>
      <t>yield</t>
    </r>
    <phoneticPr fontId="4" type="noConversion"/>
  </si>
  <si>
    <t>CH4yield</t>
    <phoneticPr fontId="4" type="noConversion"/>
  </si>
  <si>
    <t>CH4yield</t>
    <phoneticPr fontId="4" type="noConversion"/>
  </si>
  <si>
    <r>
      <rPr>
        <sz val="11"/>
        <color theme="1"/>
        <rFont val="等线"/>
        <family val="2"/>
        <scheme val="minor"/>
      </rPr>
      <t>b</t>
    </r>
    <r>
      <rPr>
        <sz val="11"/>
        <color theme="1"/>
        <rFont val="等线"/>
        <family val="2"/>
        <scheme val="minor"/>
      </rPr>
      <t>iogas</t>
    </r>
    <r>
      <rPr>
        <sz val="11"/>
        <color theme="1"/>
        <rFont val="等线"/>
        <family val="2"/>
        <scheme val="minor"/>
      </rPr>
      <t>yield</t>
    </r>
    <phoneticPr fontId="4" type="noConversion"/>
  </si>
  <si>
    <r>
      <rPr>
        <sz val="11"/>
        <color theme="1"/>
        <rFont val="等线"/>
        <family val="2"/>
        <scheme val="minor"/>
      </rPr>
      <t>b</t>
    </r>
    <r>
      <rPr>
        <sz val="11"/>
        <color theme="1"/>
        <rFont val="等线"/>
        <family val="2"/>
        <scheme val="minor"/>
      </rPr>
      <t>iogas</t>
    </r>
    <r>
      <rPr>
        <sz val="11"/>
        <color theme="1"/>
        <rFont val="等线"/>
        <family val="2"/>
        <scheme val="minor"/>
      </rPr>
      <t>yield</t>
    </r>
    <phoneticPr fontId="4" type="noConversion"/>
  </si>
  <si>
    <t>L/L/day</t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</si>
  <si>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on</t>
    </r>
    <r>
      <rPr>
        <sz val="11"/>
        <color theme="1"/>
        <rFont val="等线"/>
        <family val="2"/>
        <scheme val="minor"/>
      </rPr>
      <t>/year</t>
    </r>
    <phoneticPr fontId="4" type="noConversion"/>
  </si>
  <si>
    <r>
      <rPr>
        <sz val="11"/>
        <color theme="1"/>
        <rFont val="等线"/>
        <family val="2"/>
        <scheme val="minor"/>
      </rPr>
      <t>l/</t>
    </r>
    <r>
      <rPr>
        <sz val="11"/>
        <color theme="1"/>
        <rFont val="等线"/>
        <family val="2"/>
        <scheme val="minor"/>
      </rPr>
      <t>day</t>
    </r>
    <phoneticPr fontId="4" type="noConversion"/>
  </si>
  <si>
    <t>l</t>
    <phoneticPr fontId="4" type="noConversion"/>
  </si>
  <si>
    <t>L/day</t>
    <phoneticPr fontId="4" type="noConversion"/>
  </si>
  <si>
    <t>L CH4/L feed</t>
    <phoneticPr fontId="4" type="noConversion"/>
  </si>
  <si>
    <t>kg/CH4/kg feed</t>
    <phoneticPr fontId="4" type="noConversion"/>
  </si>
  <si>
    <r>
      <rPr>
        <sz val="11"/>
        <color theme="1"/>
        <rFont val="等线"/>
        <family val="2"/>
        <scheme val="minor"/>
      </rPr>
      <t>kg</t>
    </r>
    <r>
      <rPr>
        <sz val="11"/>
        <color theme="1"/>
        <rFont val="等线"/>
        <family val="2"/>
        <scheme val="minor"/>
      </rPr>
      <t xml:space="preserve"> biogas</t>
    </r>
    <r>
      <rPr>
        <sz val="11"/>
        <color theme="1"/>
        <rFont val="等线"/>
        <family val="2"/>
        <scheme val="minor"/>
      </rPr>
      <t>/kg feed</t>
    </r>
    <phoneticPr fontId="4" type="noConversion"/>
  </si>
  <si>
    <t>CM</t>
    <phoneticPr fontId="4" type="noConversion"/>
  </si>
  <si>
    <t>FW</t>
    <phoneticPr fontId="4" type="noConversion"/>
  </si>
  <si>
    <t>Sludge:</t>
    <phoneticPr fontId="4" type="noConversion"/>
  </si>
  <si>
    <t>Biogas:</t>
    <phoneticPr fontId="4" type="noConversion"/>
  </si>
  <si>
    <t>Methane:</t>
    <phoneticPr fontId="4" type="noConversion"/>
  </si>
  <si>
    <t>gal/day</t>
    <phoneticPr fontId="4" type="noConversion"/>
  </si>
  <si>
    <t>ft3/day</t>
    <phoneticPr fontId="4" type="noConversion"/>
  </si>
  <si>
    <t>ft3/day</t>
    <phoneticPr fontId="4" type="noConversion"/>
  </si>
  <si>
    <t>~</t>
    <phoneticPr fontId="4" type="noConversion"/>
  </si>
  <si>
    <t>60% methane</t>
    <phoneticPr fontId="4" type="noConversion"/>
  </si>
  <si>
    <t>~</t>
    <phoneticPr fontId="4" type="noConversion"/>
  </si>
  <si>
    <t>l/day (kg/day)</t>
    <phoneticPr fontId="4" type="noConversion"/>
  </si>
  <si>
    <t>m3/day</t>
    <phoneticPr fontId="4" type="noConversion"/>
  </si>
  <si>
    <t>kg/day</t>
    <phoneticPr fontId="4" type="noConversion"/>
  </si>
  <si>
    <t>CH4yield</t>
    <phoneticPr fontId="4" type="noConversion"/>
  </si>
  <si>
    <t>kg CH4/kg feed</t>
    <phoneticPr fontId="4" type="noConversion"/>
  </si>
  <si>
    <t>Transportation</t>
    <phoneticPr fontId="4" type="noConversion"/>
  </si>
  <si>
    <t>Transportation cost and emission</t>
    <phoneticPr fontId="4" type="noConversion"/>
  </si>
  <si>
    <t>Diesel Usage</t>
    <phoneticPr fontId="4" type="noConversion"/>
  </si>
  <si>
    <t>Diesel Density</t>
    <phoneticPr fontId="4" type="noConversion"/>
  </si>
  <si>
    <t>Diesel Price</t>
    <phoneticPr fontId="4" type="noConversion"/>
  </si>
  <si>
    <t>Diesel Carbon Emission</t>
    <phoneticPr fontId="4" type="noConversion"/>
  </si>
  <si>
    <t>Fuel Percentage in Total Transportation Cost</t>
    <phoneticPr fontId="4" type="noConversion"/>
  </si>
  <si>
    <t>kg diesel/ton sludge/km</t>
    <phoneticPr fontId="4" type="noConversion"/>
  </si>
  <si>
    <t>kg/L</t>
    <phoneticPr fontId="4" type="noConversion"/>
  </si>
  <si>
    <t>$/gallon</t>
    <phoneticPr fontId="4" type="noConversion"/>
  </si>
  <si>
    <t>lbs CO2/gallon</t>
    <phoneticPr fontId="4" type="noConversion"/>
  </si>
  <si>
    <t>OFEFP (Swiss federal environmental protection agency; BUWAL in German). Inventaires e ´cologiques relatifs aux emballages-Cahier de l’environnement 250. vol 2, Berne, Switzerland, 1998.</t>
    <phoneticPr fontId="4" type="noConversion"/>
  </si>
  <si>
    <t>https://www.eia.gov/petroleum/gasdiesel/</t>
  </si>
  <si>
    <t>https://www.eia.gov/tools/faqs/faq.php?id=307&amp;t=11</t>
  </si>
  <si>
    <t>Torrey I V, Ford W, Murray D. An analysis of the operational costs of trucking: 2014 Update[J]. 2014.</t>
  </si>
  <si>
    <t>Transportation Cost</t>
    <phoneticPr fontId="4" type="noConversion"/>
  </si>
  <si>
    <t>$/ton/km</t>
    <phoneticPr fontId="4" type="noConversion"/>
  </si>
  <si>
    <t>Transportation Emission</t>
    <phoneticPr fontId="4" type="noConversion"/>
  </si>
  <si>
    <t>Biogas price</t>
    <phoneticPr fontId="4" type="noConversion"/>
  </si>
  <si>
    <t>Base</t>
    <phoneticPr fontId="4" type="noConversion"/>
  </si>
  <si>
    <t>Methane:</t>
    <phoneticPr fontId="4" type="noConversion"/>
  </si>
  <si>
    <t>Biogas</t>
    <phoneticPr fontId="4" type="noConversion"/>
  </si>
  <si>
    <t>Total Energy</t>
    <phoneticPr fontId="4" type="noConversion"/>
  </si>
  <si>
    <t>Electricity</t>
    <phoneticPr fontId="4" type="noConversion"/>
  </si>
  <si>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J</t>
    </r>
    <r>
      <rPr>
        <sz val="11"/>
        <color theme="1"/>
        <rFont val="等线"/>
        <family val="2"/>
        <scheme val="minor"/>
      </rPr>
      <t>/kg</t>
    </r>
    <phoneticPr fontId="4" type="noConversion"/>
  </si>
  <si>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J</t>
    </r>
    <r>
      <rPr>
        <sz val="11"/>
        <color theme="1"/>
        <rFont val="等线"/>
        <family val="2"/>
        <scheme val="minor"/>
      </rPr>
      <t>/kg</t>
    </r>
    <phoneticPr fontId="4" type="noConversion"/>
  </si>
  <si>
    <t>~</t>
    <phoneticPr fontId="4" type="noConversion"/>
  </si>
  <si>
    <r>
      <rPr>
        <sz val="11"/>
        <color theme="1"/>
        <rFont val="等线"/>
        <family val="2"/>
        <scheme val="minor"/>
      </rPr>
      <t>kWh/ton</t>
    </r>
    <r>
      <rPr>
        <sz val="11"/>
        <color theme="1"/>
        <rFont val="等线"/>
        <family val="2"/>
        <scheme val="minor"/>
      </rPr>
      <t xml:space="preserve"> biogas</t>
    </r>
    <phoneticPr fontId="4" type="noConversion"/>
  </si>
  <si>
    <t>kWh electricity/ton biogas</t>
    <phoneticPr fontId="4" type="noConversion"/>
  </si>
  <si>
    <t>$/tonne biogas</t>
    <phoneticPr fontId="4" type="noConversion"/>
  </si>
  <si>
    <r>
      <rPr>
        <sz val="11"/>
        <color theme="1"/>
        <rFont val="等线"/>
        <family val="2"/>
        <scheme val="minor"/>
      </rPr>
      <t>ton biogas/</t>
    </r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Wh</t>
    </r>
    <phoneticPr fontId="4" type="noConversion"/>
  </si>
  <si>
    <t>Vol</t>
    <phoneticPr fontId="4" type="noConversion"/>
  </si>
  <si>
    <t>CH4 (Vol%)</t>
    <phoneticPr fontId="4" type="noConversion"/>
  </si>
  <si>
    <t>Electricity Price</t>
    <phoneticPr fontId="4" type="noConversion"/>
  </si>
  <si>
    <t>Efficiency</t>
    <phoneticPr fontId="4" type="noConversion"/>
  </si>
  <si>
    <t>Mass</t>
    <phoneticPr fontId="4" type="noConversion"/>
  </si>
  <si>
    <t>CH4 (mass %)</t>
    <phoneticPr fontId="4" type="noConversion"/>
  </si>
  <si>
    <t>$/kWh</t>
    <phoneticPr fontId="4" type="noConversion"/>
  </si>
  <si>
    <t>High</t>
    <phoneticPr fontId="4" type="noConversion"/>
  </si>
  <si>
    <t>Methane:</t>
    <phoneticPr fontId="4" type="noConversion"/>
  </si>
  <si>
    <t>Biogas</t>
    <phoneticPr fontId="4" type="noConversion"/>
  </si>
  <si>
    <t>Total Energy</t>
    <phoneticPr fontId="4" type="noConversion"/>
  </si>
  <si>
    <t>Electricity</t>
    <phoneticPr fontId="4" type="noConversion"/>
  </si>
  <si>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J</t>
    </r>
    <r>
      <rPr>
        <sz val="11"/>
        <color theme="1"/>
        <rFont val="等线"/>
        <family val="2"/>
        <scheme val="minor"/>
      </rPr>
      <t>/kg</t>
    </r>
    <phoneticPr fontId="4" type="noConversion"/>
  </si>
  <si>
    <t>~</t>
    <phoneticPr fontId="4" type="noConversion"/>
  </si>
  <si>
    <r>
      <rPr>
        <sz val="11"/>
        <color theme="1"/>
        <rFont val="等线"/>
        <family val="2"/>
        <scheme val="minor"/>
      </rPr>
      <t>kWh/ton</t>
    </r>
    <r>
      <rPr>
        <sz val="11"/>
        <color theme="1"/>
        <rFont val="等线"/>
        <family val="2"/>
        <scheme val="minor"/>
      </rPr>
      <t xml:space="preserve"> biogas</t>
    </r>
    <phoneticPr fontId="4" type="noConversion"/>
  </si>
  <si>
    <t>kWh electricity/ton biogas</t>
    <phoneticPr fontId="4" type="noConversion"/>
  </si>
  <si>
    <t>$/tonne biogas</t>
    <phoneticPr fontId="4" type="noConversion"/>
  </si>
  <si>
    <r>
      <rPr>
        <sz val="11"/>
        <color theme="1"/>
        <rFont val="等线"/>
        <family val="2"/>
        <scheme val="minor"/>
      </rPr>
      <t>ton biogas/</t>
    </r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Wh</t>
    </r>
    <phoneticPr fontId="4" type="noConversion"/>
  </si>
  <si>
    <t>Vol</t>
    <phoneticPr fontId="4" type="noConversion"/>
  </si>
  <si>
    <t>CH4 (Vol%)</t>
    <phoneticPr fontId="4" type="noConversion"/>
  </si>
  <si>
    <t>Electricity Price</t>
    <phoneticPr fontId="4" type="noConversion"/>
  </si>
  <si>
    <t>Efficiency</t>
    <phoneticPr fontId="4" type="noConversion"/>
  </si>
  <si>
    <t>Mass</t>
    <phoneticPr fontId="4" type="noConversion"/>
  </si>
  <si>
    <t>CH4 (mass %)</t>
    <phoneticPr fontId="4" type="noConversion"/>
  </si>
  <si>
    <t>$/kWh</t>
    <phoneticPr fontId="4" type="noConversion"/>
  </si>
  <si>
    <t>Low</t>
    <phoneticPr fontId="4" type="noConversion"/>
  </si>
  <si>
    <t>~</t>
    <phoneticPr fontId="4" type="noConversion"/>
  </si>
  <si>
    <t>CH4 (Vol%)</t>
    <phoneticPr fontId="4" type="noConversion"/>
  </si>
  <si>
    <t>Electricity Price</t>
    <phoneticPr fontId="4" type="noConversion"/>
  </si>
  <si>
    <t>The price range of biogas</t>
    <phoneticPr fontId="4" type="noConversion"/>
  </si>
  <si>
    <t>Examples of how the methane emission factor is calculated in code</t>
    <phoneticPr fontId="4" type="noConversion"/>
  </si>
  <si>
    <t>Carbon emission - product</t>
    <phoneticPr fontId="4" type="noConversion"/>
  </si>
  <si>
    <t>Carbon emission - technology</t>
    <phoneticPr fontId="4" type="noConversion"/>
  </si>
  <si>
    <t>Examples of how the CO2 emission factor is calculated in code</t>
    <phoneticPr fontId="4" type="noConversion"/>
  </si>
  <si>
    <t>Carbon benefit for biogas</t>
    <phoneticPr fontId="4" type="noConversion"/>
  </si>
  <si>
    <t>The carbon benefit for replacing fuels by biogas</t>
    <phoneticPr fontId="4" type="noConversion"/>
  </si>
  <si>
    <t>23 real biogas cases data used for regression</t>
    <phoneticPr fontId="4" type="noConversion"/>
  </si>
  <si>
    <t>Undigestated, separated CM</t>
    <phoneticPr fontId="4" type="noConversion"/>
  </si>
  <si>
    <t>g VS/day</t>
    <phoneticPr fontId="4" type="noConversion"/>
  </si>
  <si>
    <t>Undigestated, unseparated</t>
    <phoneticPr fontId="4" type="noConversion"/>
  </si>
  <si>
    <t>gVS/day</t>
    <phoneticPr fontId="4" type="noConversion"/>
  </si>
  <si>
    <t>day</t>
    <phoneticPr fontId="4" type="noConversion"/>
  </si>
  <si>
    <t>Temp K</t>
  </si>
  <si>
    <t>VS-tot</t>
    <phoneticPr fontId="4" type="noConversion"/>
  </si>
  <si>
    <t>V-loss</t>
    <phoneticPr fontId="4" type="noConversion"/>
  </si>
  <si>
    <t>CH4 emitted l</t>
    <phoneticPr fontId="4" type="noConversion"/>
  </si>
  <si>
    <t>VS-tot</t>
    <phoneticPr fontId="4" type="noConversion"/>
  </si>
  <si>
    <t>VS-loss</t>
    <phoneticPr fontId="4" type="noConversion"/>
  </si>
  <si>
    <t>CH4 emitted s</t>
    <phoneticPr fontId="4" type="noConversion"/>
  </si>
  <si>
    <t>VS-tot</t>
    <phoneticPr fontId="4" type="noConversion"/>
  </si>
  <si>
    <t>CH4 emitted l</t>
    <phoneticPr fontId="4" type="noConversion"/>
  </si>
  <si>
    <t>g CH4/year</t>
    <phoneticPr fontId="4" type="noConversion"/>
  </si>
  <si>
    <t>g CH4/year</t>
    <phoneticPr fontId="4" type="noConversion"/>
  </si>
  <si>
    <t>g CH4/g VS</t>
    <phoneticPr fontId="4" type="noConversion"/>
  </si>
  <si>
    <t>g CH4/ g manure</t>
    <phoneticPr fontId="4" type="noConversion"/>
  </si>
  <si>
    <t>#Tech</t>
    <phoneticPr fontId="4" type="noConversion"/>
  </si>
  <si>
    <t>feed (tonne/year)</t>
    <phoneticPr fontId="4" type="noConversion"/>
  </si>
  <si>
    <r>
      <rPr>
        <sz val="11"/>
        <color theme="1"/>
        <rFont val="等线"/>
        <family val="2"/>
        <scheme val="minor"/>
      </rPr>
      <t>C6</t>
    </r>
    <r>
      <rPr>
        <sz val="11"/>
        <color theme="1"/>
        <rFont val="等线"/>
        <family val="2"/>
        <scheme val="minor"/>
      </rPr>
      <t>+</t>
    </r>
    <r>
      <rPr>
        <sz val="11"/>
        <color theme="1"/>
        <rFont val="等线"/>
        <family val="2"/>
        <scheme val="minor"/>
      </rPr>
      <t>C8 (tonne/year)</t>
    </r>
    <phoneticPr fontId="4" type="noConversion"/>
  </si>
  <si>
    <t>AD (kJ/yr)</t>
    <phoneticPr fontId="4" type="noConversion"/>
  </si>
  <si>
    <t>AD estimated CO2 emission (tonCO2/year)</t>
    <phoneticPr fontId="4" type="noConversion"/>
  </si>
  <si>
    <r>
      <rPr>
        <sz val="11"/>
        <color theme="1"/>
        <rFont val="等线"/>
        <family val="2"/>
        <scheme val="minor"/>
      </rPr>
      <t>Reboiler1</t>
    </r>
    <r>
      <rPr>
        <sz val="11"/>
        <color theme="1"/>
        <rFont val="等线"/>
        <family val="2"/>
        <scheme val="minor"/>
      </rPr>
      <t xml:space="preserve"> duty</t>
    </r>
    <r>
      <rPr>
        <sz val="11"/>
        <color theme="1"/>
        <rFont val="等线"/>
        <family val="2"/>
        <scheme val="minor"/>
      </rPr>
      <t>(Gcal/h)</t>
    </r>
    <phoneticPr fontId="4" type="noConversion"/>
  </si>
  <si>
    <t>R1+R2 Estimated CO2 emission (ton CO2/yr)</t>
    <phoneticPr fontId="4" type="noConversion"/>
  </si>
  <si>
    <t>Total Emission (ton CO2/yr)</t>
    <phoneticPr fontId="4" type="noConversion"/>
  </si>
  <si>
    <r>
      <rPr>
        <sz val="11"/>
        <color theme="1"/>
        <rFont val="等线"/>
        <family val="2"/>
        <scheme val="minor"/>
      </rPr>
      <t>Base</t>
    </r>
    <r>
      <rPr>
        <sz val="11"/>
        <color theme="1"/>
        <rFont val="等线"/>
        <family val="2"/>
        <scheme val="minor"/>
      </rPr>
      <t xml:space="preserve"> case</t>
    </r>
    <phoneticPr fontId="4" type="noConversion"/>
  </si>
  <si>
    <t>CM4</t>
    <phoneticPr fontId="4" type="noConversion"/>
  </si>
  <si>
    <t>CM3</t>
    <phoneticPr fontId="4" type="noConversion"/>
  </si>
  <si>
    <t>CM2</t>
    <phoneticPr fontId="4" type="noConversion"/>
  </si>
  <si>
    <t>S4</t>
    <phoneticPr fontId="4" type="noConversion"/>
  </si>
  <si>
    <t>S2</t>
    <phoneticPr fontId="4" type="noConversion"/>
  </si>
  <si>
    <t>FW4</t>
    <phoneticPr fontId="4" type="noConversion"/>
  </si>
  <si>
    <t>FW3</t>
    <phoneticPr fontId="4" type="noConversion"/>
  </si>
  <si>
    <t>Methane:</t>
    <phoneticPr fontId="4" type="noConversion"/>
  </si>
  <si>
    <t>Biogas</t>
    <phoneticPr fontId="4" type="noConversion"/>
  </si>
  <si>
    <t>Total Energy</t>
    <phoneticPr fontId="4" type="noConversion"/>
  </si>
  <si>
    <t>~</t>
    <phoneticPr fontId="4" type="noConversion"/>
  </si>
  <si>
    <r>
      <rPr>
        <sz val="11"/>
        <color theme="1"/>
        <rFont val="等线"/>
        <family val="2"/>
        <scheme val="minor"/>
      </rPr>
      <t>kWh/ton</t>
    </r>
    <r>
      <rPr>
        <sz val="11"/>
        <color theme="1"/>
        <rFont val="等线"/>
        <family val="2"/>
        <scheme val="minor"/>
      </rPr>
      <t xml:space="preserve"> biogas</t>
    </r>
    <phoneticPr fontId="4" type="noConversion"/>
  </si>
  <si>
    <t>~</t>
    <phoneticPr fontId="4" type="noConversion"/>
  </si>
  <si>
    <t>kWh electricity/ton biogas</t>
    <phoneticPr fontId="4" type="noConversion"/>
  </si>
  <si>
    <r>
      <rPr>
        <sz val="11"/>
        <color theme="1"/>
        <rFont val="等线"/>
        <family val="2"/>
        <scheme val="minor"/>
      </rPr>
      <t>ton biogas/</t>
    </r>
    <r>
      <rPr>
        <sz val="11"/>
        <color theme="1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Wh</t>
    </r>
    <phoneticPr fontId="4" type="noConversion"/>
  </si>
  <si>
    <t>Vol</t>
    <phoneticPr fontId="4" type="noConversion"/>
  </si>
  <si>
    <t>Mass</t>
    <phoneticPr fontId="4" type="noConversion"/>
  </si>
  <si>
    <t>CH4 (mass %)</t>
    <phoneticPr fontId="4" type="noConversion"/>
  </si>
  <si>
    <t>Now:</t>
    <phoneticPr fontId="4" type="noConversion"/>
  </si>
  <si>
    <t>ton CO2/MWh</t>
    <phoneticPr fontId="4" type="noConversion"/>
  </si>
  <si>
    <t>Benefits</t>
    <phoneticPr fontId="4" type="noConversion"/>
  </si>
  <si>
    <t>biogas - electricity:</t>
    <phoneticPr fontId="4" type="noConversion"/>
  </si>
  <si>
    <t>kWh/ton biogas</t>
    <phoneticPr fontId="4" type="noConversion"/>
  </si>
  <si>
    <t>avg electricity emission</t>
    <phoneticPr fontId="4" type="noConversion"/>
  </si>
  <si>
    <t>ton CO2/kWh</t>
    <phoneticPr fontId="4" type="noConversion"/>
  </si>
  <si>
    <t>saved emission by biogas</t>
    <phoneticPr fontId="4" type="noConversion"/>
  </si>
  <si>
    <t>ton CO2/ ton biogas</t>
    <phoneticPr fontId="4" type="noConversion"/>
  </si>
  <si>
    <t>Biogas technology 1</t>
    <phoneticPr fontId="4" type="noConversion"/>
  </si>
  <si>
    <t>Biogas technology 2</t>
    <phoneticPr fontId="4" type="noConversion"/>
  </si>
  <si>
    <t>Examples of how the biogas technology data is calculated in code</t>
    <phoneticPr fontId="4" type="noConversion"/>
  </si>
  <si>
    <t>Examples of how the C6/C8 technology data is calculated in code</t>
    <phoneticPr fontId="4" type="noConversion"/>
  </si>
  <si>
    <t>Capacity</t>
    <phoneticPr fontId="4" type="noConversion"/>
  </si>
  <si>
    <t>Digester</t>
    <phoneticPr fontId="4" type="noConversion"/>
  </si>
  <si>
    <t>Screw Press</t>
    <phoneticPr fontId="4" type="noConversion"/>
  </si>
  <si>
    <t>Electricity Generator</t>
    <phoneticPr fontId="4" type="noConversion"/>
  </si>
  <si>
    <t>O&amp;M</t>
    <phoneticPr fontId="4" type="noConversion"/>
  </si>
  <si>
    <t>Cleaning</t>
    <phoneticPr fontId="4" type="noConversion"/>
  </si>
  <si>
    <t>Total Investement</t>
    <phoneticPr fontId="4" type="noConversion"/>
  </si>
  <si>
    <t>Total Operational</t>
    <phoneticPr fontId="4" type="noConversion"/>
  </si>
  <si>
    <t>tonne/year</t>
    <phoneticPr fontId="4" type="noConversion"/>
  </si>
  <si>
    <t>$</t>
    <phoneticPr fontId="4" type="noConversion"/>
  </si>
  <si>
    <t>$</t>
    <phoneticPr fontId="4" type="noConversion"/>
  </si>
  <si>
    <t>$/year</t>
    <phoneticPr fontId="4" type="noConversion"/>
  </si>
  <si>
    <t>$/year</t>
    <phoneticPr fontId="4" type="noConversion"/>
  </si>
  <si>
    <t>Inflation rate</t>
    <phoneticPr fontId="4" type="noConversion"/>
  </si>
  <si>
    <t>Description</t>
    <phoneticPr fontId="4" type="noConversion"/>
  </si>
  <si>
    <t>tF1</t>
    <phoneticPr fontId="4" type="noConversion"/>
  </si>
  <si>
    <t>tF2</t>
    <phoneticPr fontId="4" type="noConversion"/>
  </si>
  <si>
    <t>tF3</t>
    <phoneticPr fontId="4" type="noConversion"/>
  </si>
  <si>
    <t>tF4</t>
    <phoneticPr fontId="4" type="noConversion"/>
  </si>
  <si>
    <t>tG1</t>
    <phoneticPr fontId="4" type="noConversion"/>
  </si>
  <si>
    <t>tG2</t>
  </si>
  <si>
    <t>tG3</t>
  </si>
  <si>
    <t>tG4</t>
  </si>
  <si>
    <t>tH1</t>
    <phoneticPr fontId="4" type="noConversion"/>
  </si>
  <si>
    <t>tH2</t>
  </si>
  <si>
    <t>tH3</t>
  </si>
  <si>
    <t>tH4</t>
  </si>
  <si>
    <t>tA2</t>
  </si>
  <si>
    <t>tA3</t>
  </si>
  <si>
    <t>tA4</t>
  </si>
  <si>
    <t>tB1</t>
    <phoneticPr fontId="4" type="noConversion"/>
  </si>
  <si>
    <t>tB2</t>
  </si>
  <si>
    <t>tB3</t>
  </si>
  <si>
    <t>tB4</t>
  </si>
  <si>
    <t>tC1</t>
    <phoneticPr fontId="4" type="noConversion"/>
  </si>
  <si>
    <t>tC2</t>
  </si>
  <si>
    <t>tC3</t>
  </si>
  <si>
    <t>tC4</t>
  </si>
  <si>
    <t>Acid-Phase Digester</t>
    <phoneticPr fontId="4" type="noConversion"/>
  </si>
  <si>
    <t>Pump1</t>
    <phoneticPr fontId="4" type="noConversion"/>
  </si>
  <si>
    <t>Pump2</t>
    <phoneticPr fontId="4" type="noConversion"/>
  </si>
  <si>
    <t>Extraction Facility</t>
    <phoneticPr fontId="4" type="noConversion"/>
  </si>
  <si>
    <t>Pump3</t>
    <phoneticPr fontId="4" type="noConversion"/>
  </si>
  <si>
    <t>Distillation Column1</t>
    <phoneticPr fontId="4" type="noConversion"/>
  </si>
  <si>
    <t>Distillation Column2</t>
    <phoneticPr fontId="4" type="noConversion"/>
  </si>
  <si>
    <t>Energy cost</t>
    <phoneticPr fontId="4" type="noConversion"/>
  </si>
  <si>
    <t>Base cost</t>
    <phoneticPr fontId="4" type="noConversion"/>
  </si>
  <si>
    <t>Total Investment</t>
    <phoneticPr fontId="4" type="noConversion"/>
  </si>
  <si>
    <t>Total operational</t>
    <phoneticPr fontId="4" type="noConversion"/>
  </si>
  <si>
    <t>$</t>
    <phoneticPr fontId="4" type="noConversion"/>
  </si>
  <si>
    <t>$</t>
    <phoneticPr fontId="4" type="noConversion"/>
  </si>
  <si>
    <t>$/year</t>
    <phoneticPr fontId="4" type="noConversion"/>
  </si>
  <si>
    <t>$/year</t>
    <phoneticPr fontId="4" type="noConversion"/>
  </si>
  <si>
    <t>$/year</t>
    <phoneticPr fontId="4" type="noConversion"/>
  </si>
  <si>
    <t>CM</t>
    <phoneticPr fontId="4" type="noConversion"/>
  </si>
  <si>
    <t>S</t>
    <phoneticPr fontId="4" type="noConversion"/>
  </si>
  <si>
    <t>waste</t>
    <phoneticPr fontId="4" type="noConversion"/>
  </si>
  <si>
    <t>Biogas yield</t>
    <phoneticPr fontId="4" type="noConversion"/>
  </si>
  <si>
    <t>C6 yield</t>
    <phoneticPr fontId="4" type="noConversion"/>
  </si>
  <si>
    <t>C8 yield</t>
    <phoneticPr fontId="4" type="noConversion"/>
  </si>
  <si>
    <t>Presumed COD (g/kg)</t>
    <phoneticPr fontId="4" type="noConversion"/>
  </si>
  <si>
    <t>tA1</t>
    <phoneticPr fontId="4" type="noConversion"/>
  </si>
  <si>
    <t>C6+C8 Capacity</t>
    <phoneticPr fontId="4" type="noConversion"/>
  </si>
  <si>
    <t>Feed Capacity</t>
    <phoneticPr fontId="4" type="noConversion"/>
  </si>
  <si>
    <t>tonne/year</t>
    <phoneticPr fontId="4" type="noConversion"/>
  </si>
  <si>
    <t>2006-2017</t>
    <phoneticPr fontId="4" type="noConversion"/>
  </si>
  <si>
    <t>inflation rate</t>
    <phoneticPr fontId="4" type="noConversion"/>
  </si>
  <si>
    <t>2007-2017</t>
    <phoneticPr fontId="4" type="noConversion"/>
  </si>
  <si>
    <t>C6/C8 technology</t>
    <phoneticPr fontId="4" type="noConversion"/>
  </si>
  <si>
    <t>Biogas only</t>
    <phoneticPr fontId="4" type="noConversion"/>
  </si>
  <si>
    <t>Only biogas technologies are allowed to be installed, including no-mixing and mixing cases</t>
    <phoneticPr fontId="4" type="noConversion"/>
  </si>
  <si>
    <t>C6C8 only</t>
    <phoneticPr fontId="4" type="noConversion"/>
  </si>
  <si>
    <t>Only C6/C8 technologies are allowed to be installed, including no-mixing and mixing cases</t>
    <phoneticPr fontId="4" type="noConversion"/>
  </si>
  <si>
    <t>Hybrid</t>
    <phoneticPr fontId="4" type="noConversion"/>
  </si>
  <si>
    <t>All technolgies are allowed to be installed, including no-mixing and mixing cases</t>
    <phoneticPr fontId="4" type="noConversion"/>
  </si>
  <si>
    <t>Compare</t>
    <phoneticPr fontId="4" type="noConversion"/>
  </si>
  <si>
    <t>Compare the results of do-nothing, biogas only, C6C8 only and hybrid cases</t>
    <phoneticPr fontId="4" type="noConversion"/>
  </si>
  <si>
    <t>Biogas price sensitivity analysis</t>
    <phoneticPr fontId="4" type="noConversion"/>
  </si>
  <si>
    <t>Sensitivity analysis on biogas price ($70-310/tonne)</t>
    <phoneticPr fontId="4" type="noConversion"/>
  </si>
  <si>
    <t>SCC sensitivity analysis</t>
    <phoneticPr fontId="4" type="noConversion"/>
  </si>
  <si>
    <t>Sensitivity analysis on social cost of carbon ($38-228/tonne CO2)</t>
    <phoneticPr fontId="4" type="noConversion"/>
  </si>
  <si>
    <t>C6C8 yield sensitivity analysis</t>
    <phoneticPr fontId="4" type="noConversion"/>
  </si>
  <si>
    <t>Sensitivity analysis on C6C8 yield factors (C6: 0-17.6% COD conversion, C8: 0-7.5% COD conversion)</t>
    <phoneticPr fontId="4" type="noConversion"/>
  </si>
  <si>
    <t>#</t>
    <phoneticPr fontId="4" type="noConversion"/>
  </si>
  <si>
    <t>CAFO</t>
    <phoneticPr fontId="4" type="noConversion"/>
  </si>
  <si>
    <t>WWTP</t>
    <phoneticPr fontId="4" type="noConversion"/>
  </si>
  <si>
    <t>LF</t>
    <phoneticPr fontId="4" type="noConversion"/>
  </si>
  <si>
    <t>SUM</t>
    <phoneticPr fontId="4" type="noConversion"/>
  </si>
  <si>
    <t>MIX</t>
    <phoneticPr fontId="4" type="noConversion"/>
  </si>
  <si>
    <t>Carbon Benefit</t>
    <phoneticPr fontId="4" type="noConversion"/>
  </si>
  <si>
    <r>
      <rPr>
        <sz val="11"/>
        <color theme="1"/>
        <rFont val="等线"/>
        <family val="2"/>
        <scheme val="minor"/>
      </rPr>
      <t>Investement</t>
    </r>
    <r>
      <rPr>
        <sz val="11"/>
        <color theme="1"/>
        <rFont val="等线"/>
        <family val="2"/>
        <scheme val="minor"/>
      </rPr>
      <t xml:space="preserve"> cost</t>
    </r>
    <phoneticPr fontId="4" type="noConversion"/>
  </si>
  <si>
    <t>Million $</t>
    <phoneticPr fontId="4" type="noConversion"/>
  </si>
  <si>
    <t>C6 Price</t>
    <phoneticPr fontId="4" type="noConversion"/>
  </si>
  <si>
    <t>Operational cost</t>
    <phoneticPr fontId="4" type="noConversion"/>
  </si>
  <si>
    <r>
      <rPr>
        <sz val="11"/>
        <color theme="1"/>
        <rFont val="等线"/>
        <family val="2"/>
        <scheme val="minor"/>
      </rPr>
      <t>C8 Pr</t>
    </r>
    <r>
      <rPr>
        <sz val="11"/>
        <color theme="1"/>
        <rFont val="等线"/>
        <family val="2"/>
        <scheme val="minor"/>
      </rPr>
      <t>i</t>
    </r>
    <r>
      <rPr>
        <sz val="11"/>
        <color theme="1"/>
        <rFont val="等线"/>
        <family val="2"/>
        <scheme val="minor"/>
      </rPr>
      <t>ce</t>
    </r>
    <phoneticPr fontId="4" type="noConversion"/>
  </si>
  <si>
    <t>Transportation cost</t>
    <phoneticPr fontId="4" type="noConversion"/>
  </si>
  <si>
    <r>
      <rPr>
        <sz val="11"/>
        <color theme="1"/>
        <rFont val="等线"/>
        <family val="2"/>
        <scheme val="minor"/>
      </rPr>
      <t>P</t>
    </r>
    <r>
      <rPr>
        <sz val="11"/>
        <color theme="1"/>
        <rFont val="等线"/>
        <family val="2"/>
        <scheme val="minor"/>
      </rPr>
      <t>rofit</t>
    </r>
    <phoneticPr fontId="4" type="noConversion"/>
  </si>
  <si>
    <t>Million $</t>
    <phoneticPr fontId="4" type="noConversion"/>
  </si>
  <si>
    <r>
      <rPr>
        <sz val="11"/>
        <color theme="1"/>
        <rFont val="等线"/>
        <family val="2"/>
        <scheme val="minor"/>
      </rPr>
      <t xml:space="preserve">Biogas </t>
    </r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echnology installed</t>
    </r>
    <phoneticPr fontId="4" type="noConversion"/>
  </si>
  <si>
    <t>-</t>
    <phoneticPr fontId="4" type="noConversion"/>
  </si>
  <si>
    <t>C6C8 technology installed</t>
    <phoneticPr fontId="4" type="noConversion"/>
  </si>
  <si>
    <t>Total C6 generated</t>
    <phoneticPr fontId="4" type="noConversion"/>
  </si>
  <si>
    <t>tonne/yr</t>
    <phoneticPr fontId="4" type="noConversion"/>
  </si>
  <si>
    <r>
      <rPr>
        <sz val="11"/>
        <color theme="1"/>
        <rFont val="等线"/>
        <family val="2"/>
        <scheme val="minor"/>
      </rPr>
      <t xml:space="preserve">Total C8 </t>
    </r>
    <r>
      <rPr>
        <sz val="11"/>
        <color theme="1"/>
        <rFont val="等线"/>
        <family val="2"/>
        <scheme val="minor"/>
      </rPr>
      <t>g</t>
    </r>
    <r>
      <rPr>
        <sz val="11"/>
        <color theme="1"/>
        <rFont val="等线"/>
        <family val="2"/>
        <scheme val="minor"/>
      </rPr>
      <t>enerated</t>
    </r>
    <phoneticPr fontId="4" type="noConversion"/>
  </si>
  <si>
    <t>tonne/yr</t>
    <phoneticPr fontId="4" type="noConversion"/>
  </si>
  <si>
    <t>Total Biogas generated</t>
    <phoneticPr fontId="4" type="noConversion"/>
  </si>
  <si>
    <t>Untreated AM</t>
    <phoneticPr fontId="4" type="noConversion"/>
  </si>
  <si>
    <t>Untreated S</t>
    <phoneticPr fontId="4" type="noConversion"/>
  </si>
  <si>
    <t>Untreated FW</t>
    <phoneticPr fontId="4" type="noConversion"/>
  </si>
  <si>
    <r>
      <rPr>
        <sz val="11"/>
        <color theme="1"/>
        <rFont val="等线"/>
        <family val="2"/>
        <scheme val="minor"/>
      </rPr>
      <t xml:space="preserve">CH4 emitted by </t>
    </r>
    <r>
      <rPr>
        <sz val="11"/>
        <color theme="1"/>
        <rFont val="等线"/>
        <family val="2"/>
        <scheme val="minor"/>
      </rPr>
      <t>untreated waste</t>
    </r>
    <phoneticPr fontId="4" type="noConversion"/>
  </si>
  <si>
    <t>CO2 emitted by transportation and technology</t>
    <phoneticPr fontId="4" type="noConversion"/>
  </si>
  <si>
    <t>TSCC</t>
    <phoneticPr fontId="4" type="noConversion"/>
  </si>
  <si>
    <r>
      <rPr>
        <sz val="11"/>
        <color theme="1"/>
        <rFont val="等线"/>
        <family val="2"/>
        <scheme val="minor"/>
      </rPr>
      <t>S</t>
    </r>
    <r>
      <rPr>
        <sz val="11"/>
        <color theme="1"/>
        <rFont val="等线"/>
        <family val="2"/>
        <scheme val="minor"/>
      </rPr>
      <t>SCC</t>
    </r>
    <phoneticPr fontId="4" type="noConversion"/>
  </si>
  <si>
    <t>NSCC</t>
    <phoneticPr fontId="4" type="noConversion"/>
  </si>
  <si>
    <t>Million $</t>
    <phoneticPr fontId="4" type="noConversion"/>
  </si>
  <si>
    <t>Social Welfare</t>
    <phoneticPr fontId="4" type="noConversion"/>
  </si>
  <si>
    <t>Million $</t>
    <phoneticPr fontId="4" type="noConversion"/>
  </si>
  <si>
    <t>GapAbs</t>
    <phoneticPr fontId="4" type="noConversion"/>
  </si>
  <si>
    <t>-</t>
    <phoneticPr fontId="4" type="noConversion"/>
  </si>
  <si>
    <t>Gap</t>
    <phoneticPr fontId="4" type="noConversion"/>
  </si>
  <si>
    <t>%</t>
    <phoneticPr fontId="4" type="noConversion"/>
  </si>
  <si>
    <t>-</t>
    <phoneticPr fontId="4" type="noConversion"/>
  </si>
  <si>
    <t>Time</t>
    <phoneticPr fontId="4" type="noConversion"/>
  </si>
  <si>
    <t>s</t>
    <phoneticPr fontId="4" type="noConversion"/>
  </si>
  <si>
    <t>#</t>
    <phoneticPr fontId="4" type="noConversion"/>
  </si>
  <si>
    <t>CAFO</t>
    <phoneticPr fontId="4" type="noConversion"/>
  </si>
  <si>
    <t>WWTP</t>
    <phoneticPr fontId="4" type="noConversion"/>
  </si>
  <si>
    <t>LF</t>
    <phoneticPr fontId="4" type="noConversion"/>
  </si>
  <si>
    <t>SUM</t>
    <phoneticPr fontId="4" type="noConversion"/>
  </si>
  <si>
    <t>MIX</t>
    <phoneticPr fontId="4" type="noConversion"/>
  </si>
  <si>
    <r>
      <rPr>
        <sz val="11"/>
        <color theme="1"/>
        <rFont val="等线"/>
        <family val="2"/>
        <scheme val="minor"/>
      </rPr>
      <t>Investement</t>
    </r>
    <r>
      <rPr>
        <sz val="11"/>
        <color theme="1"/>
        <rFont val="等线"/>
        <family val="2"/>
        <scheme val="minor"/>
      </rPr>
      <t xml:space="preserve"> cost</t>
    </r>
    <phoneticPr fontId="4" type="noConversion"/>
  </si>
  <si>
    <t>Million $</t>
    <phoneticPr fontId="4" type="noConversion"/>
  </si>
  <si>
    <t>Operational cost</t>
    <phoneticPr fontId="4" type="noConversion"/>
  </si>
  <si>
    <t>C6C8 technology installed</t>
    <phoneticPr fontId="4" type="noConversion"/>
  </si>
  <si>
    <t>Total C6 generated</t>
    <phoneticPr fontId="4" type="noConversion"/>
  </si>
  <si>
    <r>
      <rPr>
        <sz val="11"/>
        <color theme="1"/>
        <rFont val="等线"/>
        <family val="2"/>
        <scheme val="minor"/>
      </rPr>
      <t xml:space="preserve">Total C8 </t>
    </r>
    <r>
      <rPr>
        <sz val="11"/>
        <color theme="1"/>
        <rFont val="等线"/>
        <family val="2"/>
        <scheme val="minor"/>
      </rPr>
      <t>g</t>
    </r>
    <r>
      <rPr>
        <sz val="11"/>
        <color theme="1"/>
        <rFont val="等线"/>
        <family val="2"/>
        <scheme val="minor"/>
      </rPr>
      <t>enerated</t>
    </r>
    <phoneticPr fontId="4" type="noConversion"/>
  </si>
  <si>
    <t>Million tonne/yr</t>
    <phoneticPr fontId="4" type="noConversion"/>
  </si>
  <si>
    <t>Total Biogas generated</t>
    <phoneticPr fontId="4" type="noConversion"/>
  </si>
  <si>
    <t>Untreated AM</t>
    <phoneticPr fontId="4" type="noConversion"/>
  </si>
  <si>
    <t>Untreated S</t>
    <phoneticPr fontId="4" type="noConversion"/>
  </si>
  <si>
    <t>Untreated FW</t>
    <phoneticPr fontId="4" type="noConversion"/>
  </si>
  <si>
    <r>
      <rPr>
        <sz val="11"/>
        <color theme="1"/>
        <rFont val="等线"/>
        <family val="2"/>
        <scheme val="minor"/>
      </rPr>
      <t xml:space="preserve">CH4 emitted by </t>
    </r>
    <r>
      <rPr>
        <sz val="11"/>
        <color theme="1"/>
        <rFont val="等线"/>
        <family val="2"/>
        <scheme val="minor"/>
      </rPr>
      <t>untreated waste</t>
    </r>
    <phoneticPr fontId="4" type="noConversion"/>
  </si>
  <si>
    <t>CO2 emitted by transportation and technology</t>
    <phoneticPr fontId="4" type="noConversion"/>
  </si>
  <si>
    <t>TSCC</t>
    <phoneticPr fontId="4" type="noConversion"/>
  </si>
  <si>
    <t>NSCC</t>
    <phoneticPr fontId="4" type="noConversion"/>
  </si>
  <si>
    <t>Social Welfare</t>
    <phoneticPr fontId="4" type="noConversion"/>
  </si>
  <si>
    <t>GapAbs</t>
    <phoneticPr fontId="4" type="noConversion"/>
  </si>
  <si>
    <t>%</t>
    <phoneticPr fontId="4" type="noConversion"/>
  </si>
  <si>
    <t>Time</t>
    <phoneticPr fontId="4" type="noConversion"/>
  </si>
  <si>
    <t>s</t>
    <phoneticPr fontId="4" type="noConversion"/>
  </si>
  <si>
    <r>
      <rPr>
        <sz val="11"/>
        <color theme="1"/>
        <rFont val="等线"/>
        <family val="2"/>
        <scheme val="minor"/>
      </rPr>
      <t>Investement</t>
    </r>
    <r>
      <rPr>
        <sz val="11"/>
        <color theme="1"/>
        <rFont val="等线"/>
        <family val="2"/>
        <scheme val="minor"/>
      </rPr>
      <t xml:space="preserve"> cost</t>
    </r>
    <phoneticPr fontId="4" type="noConversion"/>
  </si>
  <si>
    <t>Operational cost</t>
    <phoneticPr fontId="4" type="noConversion"/>
  </si>
  <si>
    <t>Million tonne/yr</t>
    <phoneticPr fontId="4" type="noConversion"/>
  </si>
  <si>
    <t>Untreated FW</t>
    <phoneticPr fontId="4" type="noConversion"/>
  </si>
  <si>
    <t>Social Welfare</t>
    <phoneticPr fontId="4" type="noConversion"/>
  </si>
  <si>
    <t>s</t>
    <phoneticPr fontId="4" type="noConversion"/>
  </si>
  <si>
    <t>Do nothing</t>
    <phoneticPr fontId="4" type="noConversion"/>
  </si>
  <si>
    <t>Biogas only</t>
    <phoneticPr fontId="4" type="noConversion"/>
  </si>
  <si>
    <t>C6/C8 only</t>
    <phoneticPr fontId="4" type="noConversion"/>
  </si>
  <si>
    <t>Hybrid</t>
    <phoneticPr fontId="4" type="noConversion"/>
  </si>
  <si>
    <t>Unmixed</t>
    <phoneticPr fontId="4" type="noConversion"/>
  </si>
  <si>
    <t>Mixed</t>
    <phoneticPr fontId="4" type="noConversion"/>
  </si>
  <si>
    <t>No Mix</t>
    <phoneticPr fontId="4" type="noConversion"/>
  </si>
  <si>
    <t>Mix</t>
    <phoneticPr fontId="4" type="noConversion"/>
  </si>
  <si>
    <t>Mix</t>
    <phoneticPr fontId="4" type="noConversion"/>
  </si>
  <si>
    <t>Transportation cost</t>
    <phoneticPr fontId="4" type="noConversion"/>
  </si>
  <si>
    <t>Million $</t>
    <phoneticPr fontId="4" type="noConversion"/>
  </si>
  <si>
    <t>-</t>
    <phoneticPr fontId="4" type="noConversion"/>
  </si>
  <si>
    <t>%</t>
    <phoneticPr fontId="4" type="noConversion"/>
  </si>
  <si>
    <t>Untreated FW</t>
    <phoneticPr fontId="4" type="noConversion"/>
  </si>
  <si>
    <t>TSCC</t>
    <phoneticPr fontId="4" type="noConversion"/>
  </si>
  <si>
    <t>GapAbs</t>
    <phoneticPr fontId="4" type="noConversion"/>
  </si>
  <si>
    <t>Gap</t>
    <phoneticPr fontId="4" type="noConversion"/>
  </si>
  <si>
    <t>Time</t>
    <phoneticPr fontId="4" type="noConversion"/>
  </si>
  <si>
    <t>s</t>
    <phoneticPr fontId="4" type="noConversion"/>
  </si>
  <si>
    <t>Biogas Only</t>
    <phoneticPr fontId="4" type="noConversion"/>
  </si>
  <si>
    <t>Investement cost</t>
    <phoneticPr fontId="4" type="noConversion"/>
  </si>
  <si>
    <t>Profit-Biogas Only</t>
    <phoneticPr fontId="4" type="noConversion"/>
  </si>
  <si>
    <t>Profit-Hybrid</t>
    <phoneticPr fontId="4" type="noConversion"/>
  </si>
  <si>
    <t>Biogas technology installed</t>
    <phoneticPr fontId="4" type="noConversion"/>
  </si>
  <si>
    <t>-</t>
    <phoneticPr fontId="4" type="noConversion"/>
  </si>
  <si>
    <t>TSCC-Biogas Only</t>
    <phoneticPr fontId="4" type="noConversion"/>
  </si>
  <si>
    <t>TSCC-Hybrid</t>
    <phoneticPr fontId="4" type="noConversion"/>
  </si>
  <si>
    <t>SSCC-Biogas Only</t>
    <phoneticPr fontId="4" type="noConversion"/>
  </si>
  <si>
    <t>Million $</t>
    <phoneticPr fontId="4" type="noConversion"/>
  </si>
  <si>
    <t>SSCC-Hybrid</t>
    <phoneticPr fontId="4" type="noConversion"/>
  </si>
  <si>
    <t>NSCC</t>
    <phoneticPr fontId="4" type="noConversion"/>
  </si>
  <si>
    <t>NSCC</t>
    <phoneticPr fontId="4" type="noConversion"/>
  </si>
  <si>
    <t>Social Welfare-Biogas Only</t>
    <phoneticPr fontId="4" type="noConversion"/>
  </si>
  <si>
    <t>Social Welfare-Hybrid</t>
    <phoneticPr fontId="4" type="noConversion"/>
  </si>
  <si>
    <t>C6C8 Only</t>
    <phoneticPr fontId="4" type="noConversion"/>
  </si>
  <si>
    <t>Biogas Only</t>
    <phoneticPr fontId="4" type="noConversion"/>
  </si>
  <si>
    <t>SCC</t>
    <phoneticPr fontId="4" type="noConversion"/>
  </si>
  <si>
    <t>Profit-C6/C8 Only</t>
    <phoneticPr fontId="4" type="noConversion"/>
  </si>
  <si>
    <t>Profit</t>
    <phoneticPr fontId="4" type="noConversion"/>
  </si>
  <si>
    <t>Biogas technology installed</t>
    <phoneticPr fontId="4" type="noConversion"/>
  </si>
  <si>
    <t>C6C8 technology installed</t>
    <phoneticPr fontId="4" type="noConversion"/>
  </si>
  <si>
    <t>TSCC-Hybrid</t>
    <phoneticPr fontId="4" type="noConversion"/>
  </si>
  <si>
    <t>TSCC-C6/C8 Only</t>
    <phoneticPr fontId="4" type="noConversion"/>
  </si>
  <si>
    <t>TSCC</t>
    <phoneticPr fontId="4" type="noConversion"/>
  </si>
  <si>
    <t>SSCC-C6/C8 Only</t>
    <phoneticPr fontId="4" type="noConversion"/>
  </si>
  <si>
    <t>SSCC</t>
    <phoneticPr fontId="4" type="noConversion"/>
  </si>
  <si>
    <t>Social Welfare-Hybrid</t>
    <phoneticPr fontId="4" type="noConversion"/>
  </si>
  <si>
    <t>Social Welfare-C6/C8 Only</t>
    <phoneticPr fontId="4" type="noConversion"/>
  </si>
  <si>
    <t>Social Welfare</t>
    <phoneticPr fontId="4" type="noConversion"/>
  </si>
  <si>
    <t>C6 factor</t>
    <phoneticPr fontId="4" type="noConversion"/>
  </si>
  <si>
    <t>C8 factor</t>
    <phoneticPr fontId="4" type="noConversion"/>
  </si>
  <si>
    <t>C6 Conversion</t>
    <phoneticPr fontId="4" type="noConversion"/>
  </si>
  <si>
    <t>%</t>
    <phoneticPr fontId="4" type="noConversion"/>
  </si>
  <si>
    <t>C8 Conversion</t>
    <phoneticPr fontId="4" type="noConversion"/>
  </si>
  <si>
    <r>
      <rPr>
        <sz val="11"/>
        <color theme="1"/>
        <rFont val="等线"/>
        <family val="2"/>
        <scheme val="minor"/>
      </rPr>
      <t>P</t>
    </r>
    <r>
      <rPr>
        <sz val="11"/>
        <color theme="1"/>
        <rFont val="等线"/>
        <family val="2"/>
        <scheme val="minor"/>
      </rPr>
      <t>rofit</t>
    </r>
    <phoneticPr fontId="4" type="noConversion"/>
  </si>
  <si>
    <r>
      <rPr>
        <sz val="11"/>
        <color theme="1"/>
        <rFont val="等线"/>
        <family val="2"/>
        <scheme val="minor"/>
      </rPr>
      <t xml:space="preserve">Biogas </t>
    </r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echnology installed</t>
    </r>
    <phoneticPr fontId="4" type="noConversion"/>
  </si>
  <si>
    <t>C6C8 technology installed</t>
    <phoneticPr fontId="4" type="noConversion"/>
  </si>
  <si>
    <t>TSCC</t>
    <phoneticPr fontId="4" type="noConversion"/>
  </si>
  <si>
    <r>
      <rPr>
        <sz val="11"/>
        <color theme="1"/>
        <rFont val="等线"/>
        <family val="2"/>
        <scheme val="minor"/>
      </rPr>
      <t>S</t>
    </r>
    <r>
      <rPr>
        <sz val="11"/>
        <color theme="1"/>
        <rFont val="等线"/>
        <family val="2"/>
        <scheme val="minor"/>
      </rPr>
      <t>SCC</t>
    </r>
    <phoneticPr fontId="4" type="noConversion"/>
  </si>
  <si>
    <t>NSCC</t>
    <phoneticPr fontId="4" type="noConversion"/>
  </si>
  <si>
    <t>Social Welfare</t>
    <phoneticPr fontId="4" type="noConversion"/>
  </si>
  <si>
    <t>Modified SW</t>
    <phoneticPr fontId="4" type="noConversion"/>
  </si>
  <si>
    <t>ROI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</si>
</sst>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_ "/>
    <numFmt numFmtId="177" formatCode="0.000_);[Red]\(0.000\)"/>
    <numFmt numFmtId="178" formatCode="[$-F400]h:mm:ss\ AM/PM"/>
    <numFmt numFmtId="179" formatCode="_-&quot;$&quot;* #,##0.00_-;\-&quot;$&quot;* #,##0.00_-;_-&quot;$&quot;* &quot;-&quot;??_-;_-@_-"/>
    <numFmt numFmtId="180" formatCode="0_);[Red]\(0\)"/>
    <numFmt numFmtId="181" formatCode="0.0000000_);[Red]\(0.0000000\)"/>
    <numFmt numFmtId="182" formatCode="0.00000000000000_);[Red]\(0.00000000000000\)"/>
    <numFmt numFmtId="183" formatCode="0.000000000_);[Red]\(0.000000000\)"/>
    <numFmt numFmtId="184" formatCode="0.0000000000000000000000_);[Red]\(0.0000000000000000000000\)"/>
    <numFmt numFmtId="185" formatCode="0.00_ "/>
  </numFmts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sz val="10"/>
      <name val="Times New Roman"/>
      <family val="1"/>
      <charset val="1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1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8"/>
      <color theme="1"/>
      <name val="Arial"/>
      <family val="2"/>
    </font>
    <font>
      <sz val="12"/>
      <color theme="1"/>
      <name val="等线"/>
      <family val="2"/>
      <scheme val="minor"/>
    </font>
    <font>
      <sz val="10"/>
      <name val="Arial"/>
      <family val="2"/>
    </font>
    <font>
      <sz val="5"/>
      <color rgb="FF222222"/>
      <name val="Arial"/>
      <family val="2"/>
    </font>
    <font>
      <sz val="8"/>
      <color rgb="FF000000"/>
      <name val="TimesNRMT"/>
      <family val="1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7" fillId="0" borderId="0"/>
    <xf numFmtId="178" fontId="18" fillId="0" borderId="0"/>
    <xf numFmtId="179" fontId="17" fillId="0" borderId="0" applyFont="0" applyFill="0" applyBorder="0" applyAlignment="0" applyProtection="0"/>
    <xf numFmtId="0" fontId="5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center" vertical="center" wrapText="1"/>
    </xf>
    <xf numFmtId="176" fontId="13" fillId="0" borderId="0" xfId="0" applyNumberFormat="1" applyFont="1" applyFill="1" applyAlignment="1">
      <alignment horizontal="center" vertical="center" wrapText="1"/>
    </xf>
    <xf numFmtId="176" fontId="1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6" fontId="2" fillId="0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76" fontId="2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5" fillId="0" borderId="1" xfId="5" applyBorder="1"/>
    <xf numFmtId="0" fontId="2" fillId="0" borderId="0" xfId="0" applyFont="1"/>
    <xf numFmtId="0" fontId="9" fillId="0" borderId="0" xfId="1"/>
    <xf numFmtId="0" fontId="0" fillId="0" borderId="0" xfId="0" applyAlignment="1">
      <alignment horizontal="right"/>
    </xf>
    <xf numFmtId="9" fontId="0" fillId="0" borderId="0" xfId="0" applyNumberFormat="1"/>
    <xf numFmtId="0" fontId="19" fillId="0" borderId="0" xfId="0" applyFont="1"/>
    <xf numFmtId="0" fontId="0" fillId="0" borderId="0" xfId="0" applyFill="1"/>
    <xf numFmtId="0" fontId="0" fillId="3" borderId="0" xfId="0" applyFill="1"/>
    <xf numFmtId="0" fontId="20" fillId="0" borderId="0" xfId="0" applyFon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0" applyNumberFormat="1" applyBorder="1"/>
    <xf numFmtId="181" fontId="0" fillId="4" borderId="0" xfId="0" applyNumberFormat="1" applyFill="1" applyBorder="1"/>
    <xf numFmtId="181" fontId="12" fillId="0" borderId="0" xfId="0" applyNumberFormat="1" applyFont="1" applyAlignment="1">
      <alignment horizontal="center"/>
    </xf>
    <xf numFmtId="181" fontId="0" fillId="0" borderId="0" xfId="0" applyNumberFormat="1" applyFill="1" applyBorder="1"/>
    <xf numFmtId="183" fontId="12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3" borderId="2" xfId="0" applyNumberFormat="1" applyFill="1" applyBorder="1"/>
    <xf numFmtId="184" fontId="0" fillId="0" borderId="0" xfId="0" applyNumberFormat="1"/>
    <xf numFmtId="181" fontId="0" fillId="0" borderId="0" xfId="0" applyNumberFormat="1" applyAlignment="1"/>
    <xf numFmtId="181" fontId="0" fillId="0" borderId="2" xfId="0" applyNumberFormat="1" applyFill="1" applyBorder="1"/>
    <xf numFmtId="181" fontId="0" fillId="0" borderId="3" xfId="0" applyNumberFormat="1" applyFill="1" applyBorder="1"/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85" fontId="14" fillId="0" borderId="0" xfId="0" applyNumberFormat="1" applyFont="1" applyAlignment="1">
      <alignment horizontal="center"/>
    </xf>
    <xf numFmtId="185" fontId="0" fillId="0" borderId="0" xfId="0" applyNumberFormat="1" applyAlignment="1">
      <alignment horizontal="center"/>
    </xf>
    <xf numFmtId="185" fontId="12" fillId="0" borderId="0" xfId="0" applyNumberFormat="1" applyFont="1" applyAlignment="1">
      <alignment horizontal="center"/>
    </xf>
    <xf numFmtId="185" fontId="12" fillId="0" borderId="0" xfId="0" applyNumberFormat="1" applyFont="1" applyFill="1" applyAlignment="1">
      <alignment horizontal="center"/>
    </xf>
    <xf numFmtId="185" fontId="0" fillId="0" borderId="0" xfId="0" applyNumberFormat="1" applyFill="1" applyAlignment="1">
      <alignment horizontal="center"/>
    </xf>
    <xf numFmtId="185" fontId="14" fillId="0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1" fontId="5" fillId="0" borderId="0" xfId="0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4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</cellXfs>
  <cellStyles count="6">
    <cellStyle name="Currency 3" xfId="4"/>
    <cellStyle name="Normal 2" xfId="5"/>
    <cellStyle name="Normal 3" xfId="3"/>
    <cellStyle name="Normal 5" xfId="2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Digester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(Biogas_technology_regression!$D$2:$D$3,Biogas_technology_regression!$D$5:$D$6,Biogas_technology_regression!$D$8:$D$9,Biogas_technology_regression!$D$11:$D$12,Biogas_technology_regression!$D$14,Biogas_technology_regression!$D$17:$D$19,Biogas_technology_regression!$D$22)</c:f>
              <c:numCache>
                <c:formatCode>General</c:formatCode>
                <c:ptCount val="13"/>
                <c:pt idx="0">
                  <c:v>91.049090030701635</c:v>
                </c:pt>
                <c:pt idx="1">
                  <c:v>136.61993168930579</c:v>
                </c:pt>
                <c:pt idx="2">
                  <c:v>173.06437913009992</c:v>
                </c:pt>
                <c:pt idx="3">
                  <c:v>193.070728956826</c:v>
                </c:pt>
                <c:pt idx="4">
                  <c:v>214.362525327827</c:v>
                </c:pt>
                <c:pt idx="5">
                  <c:v>239.14296653129961</c:v>
                </c:pt>
                <c:pt idx="6">
                  <c:v>256.65464330255918</c:v>
                </c:pt>
                <c:pt idx="7">
                  <c:v>262.31654652032864</c:v>
                </c:pt>
                <c:pt idx="8">
                  <c:v>267.89812005729118</c:v>
                </c:pt>
                <c:pt idx="9">
                  <c:v>292.6405023881</c:v>
                </c:pt>
                <c:pt idx="10">
                  <c:v>294.72584226499896</c:v>
                </c:pt>
                <c:pt idx="11">
                  <c:v>324.91283087839219</c:v>
                </c:pt>
                <c:pt idx="12">
                  <c:v>533.45597608319213</c:v>
                </c:pt>
              </c:numCache>
            </c:numRef>
          </c:xVal>
          <c:yVal>
            <c:numRef>
              <c:f>(Biogas_technology_regression!$E$2:$E$3,Biogas_technology_regression!$E$5:$E$6,Biogas_technology_regression!$E$8:$E$9,Biogas_technology_regression!$E$11:$E$12,Biogas_technology_regression!$E$14,Biogas_technology_regression!$E$17:$E$19,Biogas_technology_regression!$E$22)</c:f>
              <c:numCache>
                <c:formatCode>General</c:formatCode>
                <c:ptCount val="13"/>
                <c:pt idx="0">
                  <c:v>186876</c:v>
                </c:pt>
                <c:pt idx="1">
                  <c:v>68641</c:v>
                </c:pt>
                <c:pt idx="2">
                  <c:v>207864</c:v>
                </c:pt>
                <c:pt idx="3">
                  <c:v>159156</c:v>
                </c:pt>
                <c:pt idx="4">
                  <c:v>334478</c:v>
                </c:pt>
                <c:pt idx="5">
                  <c:v>381247</c:v>
                </c:pt>
                <c:pt idx="6">
                  <c:v>388534</c:v>
                </c:pt>
                <c:pt idx="7">
                  <c:v>303221</c:v>
                </c:pt>
                <c:pt idx="8">
                  <c:v>349638</c:v>
                </c:pt>
                <c:pt idx="9">
                  <c:v>162750</c:v>
                </c:pt>
                <c:pt idx="10">
                  <c:v>435568</c:v>
                </c:pt>
                <c:pt idx="11">
                  <c:v>602824</c:v>
                </c:pt>
                <c:pt idx="12">
                  <c:v>472479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E-4CEF-969F-16F4D0A9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61007"/>
        <c:axId val="920579999"/>
      </c:scatterChart>
      <c:valAx>
        <c:axId val="9170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579999"/>
        <c:crosses val="autoZero"/>
        <c:crossBetween val="midCat"/>
      </c:valAx>
      <c:valAx>
        <c:axId val="9205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06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383381</xdr:colOff>
      <xdr:row>27</xdr:row>
      <xdr:rowOff>145255</xdr:rowOff>
    </xdr:from>
    <xdr:to>
      <xdr:col>5</xdr:col>
      <xdr:colOff>369093</xdr:colOff>
      <xdr:row>43</xdr:row>
      <xdr:rowOff>69055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FC96D2-8B5A-401A-AA58-6D5EE2BB2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269081</xdr:colOff>
      <xdr:row>1</xdr:row>
      <xdr:rowOff>95249</xdr:rowOff>
    </xdr:from>
    <xdr:ext cx="3561231" cy="552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D7BF369-A086-4E7E-B361-4313775F82DE}"/>
                </a:ext>
              </a:extLst>
            </xdr:cNvPr>
            <xdr:cNvSpPr txBox="1"/>
          </xdr:nvSpPr>
          <xdr:spPr>
            <a:xfrm>
              <a:off x="269081" y="271462"/>
              <a:ext cx="3561231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𝐶𝐻</m:t>
                        </m:r>
                      </m:e>
                      <m:sub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altLang="zh-C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zh-CN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zh-CN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sub>
                            </m:sSub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𝐻𝑅𝑇</m:t>
                            </m:r>
                          </m:den>
                        </m:f>
                      </m:e>
                    </m:d>
                    <m:r>
                      <a:rPr lang="en-US" altLang="zh-C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zh-CN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zh-CN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𝐻𝑅𝑇</m:t>
                            </m:r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−1+</m:t>
                            </m:r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den>
                        </m:f>
                      </m:e>
                    </m:d>
                    <m:r>
                      <a:rPr lang="en-US" altLang="zh-C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(</m:t>
                    </m:r>
                    <m:r>
                      <a:rPr lang="en-US" altLang="zh-C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altLang="zh-C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11)</m:t>
                    </m:r>
                  </m:oMath>
                </m:oMathPara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D7BF369-A086-4E7E-B361-4313775F82DE}"/>
                </a:ext>
              </a:extLst>
            </xdr:cNvPr>
            <xdr:cNvSpPr txBox="1"/>
          </xdr:nvSpPr>
          <xdr:spPr>
            <a:xfrm>
              <a:off x="269081" y="271462"/>
              <a:ext cx="3561231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𝑜∗𝑆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𝐻𝑅𝑇)∗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1−𝐾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𝐻𝑅𝑇∗𝜇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𝑚−1+𝐾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              (𝑆11)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_case_study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iogas_Only"/>
      <sheetName val="C6C8_Only"/>
      <sheetName val="Hybrid"/>
      <sheetName val="Compare"/>
      <sheetName val="Biogasonly_price_sensitivity"/>
      <sheetName val="SCC_sensitivity"/>
      <sheetName val="Yield_sensitivity"/>
    </sheetNames>
    <sheetDataSet>
      <sheetData sheetId="0"/>
      <sheetData sheetId="1">
        <row r="1">
          <cell r="D1" t="str">
            <v>CAFO</v>
          </cell>
          <cell r="E1" t="str">
            <v>WWTP</v>
          </cell>
          <cell r="F1" t="str">
            <v>LF</v>
          </cell>
        </row>
      </sheetData>
      <sheetData sheetId="2">
        <row r="5">
          <cell r="D5">
            <v>88.19</v>
          </cell>
        </row>
      </sheetData>
      <sheetData sheetId="3">
        <row r="5">
          <cell r="A5" t="str">
            <v>Profit</v>
          </cell>
          <cell r="D5">
            <v>72.08</v>
          </cell>
          <cell r="E5">
            <v>13.14</v>
          </cell>
          <cell r="F5">
            <v>8.66</v>
          </cell>
        </row>
        <row r="18">
          <cell r="A18" t="str">
            <v>NSCC</v>
          </cell>
          <cell r="D18">
            <v>-10.98</v>
          </cell>
          <cell r="E18">
            <v>-3.63</v>
          </cell>
          <cell r="F18">
            <v>-1.42</v>
          </cell>
        </row>
        <row r="19">
          <cell r="A19" t="str">
            <v>Social Welfare</v>
          </cell>
          <cell r="D19">
            <v>83.06</v>
          </cell>
          <cell r="E19">
            <v>16.77</v>
          </cell>
          <cell r="F19">
            <v>10.08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1" workbookViewId="0">
      <selection activeCell="A23" sqref="A23"/>
    </sheetView>
  </sheetViews>
  <sheetFormatPr defaultRowHeight="13.9"/>
  <cols>
    <col min="1" max="1" width="28.46484375" customWidth="1"/>
    <col min="2" max="2" width="12.19921875" customWidth="1"/>
  </cols>
  <sheetData>
    <row r="1" spans="1:2">
      <c r="A1" s="9" t="s">
        <v>1716</v>
      </c>
    </row>
    <row r="2" spans="1:2">
      <c r="A2" t="s">
        <v>1717</v>
      </c>
    </row>
    <row r="4" spans="1:2">
      <c r="A4" t="s">
        <v>1718</v>
      </c>
      <c r="B4" t="s">
        <v>1719</v>
      </c>
    </row>
    <row r="5" spans="1:2">
      <c r="A5" s="45" t="s">
        <v>1720</v>
      </c>
      <c r="B5" t="s">
        <v>1723</v>
      </c>
    </row>
    <row r="6" spans="1:2">
      <c r="A6" s="45" t="s">
        <v>1721</v>
      </c>
      <c r="B6" t="s">
        <v>1724</v>
      </c>
    </row>
    <row r="7" spans="1:2">
      <c r="A7" s="45" t="s">
        <v>1722</v>
      </c>
      <c r="B7" t="s">
        <v>1725</v>
      </c>
    </row>
    <row r="8" spans="1:2">
      <c r="A8" s="45" t="s">
        <v>1726</v>
      </c>
      <c r="B8" t="s">
        <v>1727</v>
      </c>
    </row>
    <row r="9" spans="1:2">
      <c r="A9" s="45" t="s">
        <v>1946</v>
      </c>
      <c r="B9" t="s">
        <v>1731</v>
      </c>
    </row>
    <row r="10" spans="1:2">
      <c r="A10" s="45" t="s">
        <v>1728</v>
      </c>
      <c r="B10" t="s">
        <v>1729</v>
      </c>
    </row>
    <row r="11" spans="1:2">
      <c r="A11" s="45" t="s">
        <v>1730</v>
      </c>
      <c r="B11" t="s">
        <v>1732</v>
      </c>
    </row>
    <row r="12" spans="1:2">
      <c r="A12" s="45" t="s">
        <v>1733</v>
      </c>
      <c r="B12" t="s">
        <v>1734</v>
      </c>
    </row>
    <row r="13" spans="1:2">
      <c r="A13" s="45" t="s">
        <v>2129</v>
      </c>
      <c r="B13" t="s">
        <v>2074</v>
      </c>
    </row>
    <row r="14" spans="1:2">
      <c r="A14" s="45" t="s">
        <v>2130</v>
      </c>
      <c r="B14" t="s">
        <v>2131</v>
      </c>
    </row>
    <row r="15" spans="1:2">
      <c r="A15" s="45" t="s">
        <v>2201</v>
      </c>
      <c r="B15" t="s">
        <v>2132</v>
      </c>
    </row>
    <row r="16" spans="1:2">
      <c r="A16" s="45" t="s">
        <v>1947</v>
      </c>
      <c r="B16" t="s">
        <v>1948</v>
      </c>
    </row>
    <row r="17" spans="1:2">
      <c r="A17" s="45" t="s">
        <v>2007</v>
      </c>
      <c r="B17" t="s">
        <v>2008</v>
      </c>
    </row>
    <row r="18" spans="1:2">
      <c r="A18" s="45" t="s">
        <v>2025</v>
      </c>
      <c r="B18" t="s">
        <v>2067</v>
      </c>
    </row>
    <row r="19" spans="1:2">
      <c r="A19" s="45" t="s">
        <v>2069</v>
      </c>
      <c r="B19" t="s">
        <v>2068</v>
      </c>
    </row>
    <row r="20" spans="1:2">
      <c r="A20" s="45" t="s">
        <v>2070</v>
      </c>
      <c r="B20" t="s">
        <v>2071</v>
      </c>
    </row>
    <row r="21" spans="1:2">
      <c r="A21" s="45" t="s">
        <v>2072</v>
      </c>
      <c r="B21" t="s">
        <v>2073</v>
      </c>
    </row>
    <row r="22" spans="1:2">
      <c r="A22" s="45" t="s">
        <v>2202</v>
      </c>
      <c r="B22" t="s">
        <v>2203</v>
      </c>
    </row>
    <row r="23" spans="1:2">
      <c r="A23" s="45" t="s">
        <v>2204</v>
      </c>
      <c r="B23" t="s">
        <v>2205</v>
      </c>
    </row>
    <row r="24" spans="1:2">
      <c r="A24" s="45" t="s">
        <v>2206</v>
      </c>
      <c r="B24" t="s">
        <v>2207</v>
      </c>
    </row>
    <row r="25" spans="1:2">
      <c r="A25" s="45" t="s">
        <v>2208</v>
      </c>
      <c r="B25" t="s">
        <v>2209</v>
      </c>
    </row>
    <row r="26" spans="1:2">
      <c r="A26" s="45" t="s">
        <v>2210</v>
      </c>
      <c r="B26" t="s">
        <v>2211</v>
      </c>
    </row>
    <row r="27" spans="1:2">
      <c r="A27" s="45" t="s">
        <v>2212</v>
      </c>
      <c r="B27" t="s">
        <v>2213</v>
      </c>
    </row>
    <row r="28" spans="1:2">
      <c r="A28" s="45" t="s">
        <v>2214</v>
      </c>
      <c r="B28" t="s">
        <v>2215</v>
      </c>
    </row>
  </sheetData>
  <phoneticPr fontId="4" type="noConversion"/>
  <hyperlinks>
    <hyperlink ref="A5" location="CAFO_list!A1" display="CAFO list"/>
    <hyperlink ref="A6" location="WWTP_list!A1" display="WWTP list"/>
    <hyperlink ref="A7" location="LF_list!A1" display="LF list"/>
    <hyperlink ref="A8" location="County_list!A1" display="County list"/>
    <hyperlink ref="A9" location="'Node locations'!A1" display="Nodes locations"/>
    <hyperlink ref="A10" location="CM_supply!A1" display="CM supply"/>
    <hyperlink ref="A11" location="FW_supply!A1" display="FW supply"/>
    <hyperlink ref="A12" location="S_supply!A1" display="S supply"/>
    <hyperlink ref="A13" location="Biogas_technology_regression!A1" display="Biogas technology"/>
    <hyperlink ref="A16" location="Biogas_yield!A1" display="Biogas yield"/>
    <hyperlink ref="A17" location="Transportation!A1" display="Transportation"/>
    <hyperlink ref="A18" location="Biogas_price!A1" display="Biogas price"/>
    <hyperlink ref="A19" location="Carbon_emission_prod!A1" display="Carbon emission - product"/>
    <hyperlink ref="A20" location="Carbon_emission_tech!A1" display="Carbon emission - technology"/>
    <hyperlink ref="A21" location="Carbon_benefit!A1" display="Carbon benefit for biogas"/>
    <hyperlink ref="A14" location="Biogas_technology_data!A1" display="Biogas technology 2"/>
    <hyperlink ref="A15" location="'C6_C8_technology_data'!A1" display="C6/C8 technology 2"/>
    <hyperlink ref="A22" location="Biogas_Only!A1" display="Biogas only"/>
    <hyperlink ref="A23" location="'C6C8_Only'!A1" display="C6C8 only"/>
    <hyperlink ref="A24" location="Hybrid!A1" display="Hybrid"/>
    <hyperlink ref="A25" location="Compare!A1" display="Compare"/>
    <hyperlink ref="A26" location="Biogasonly_price_sensitivity!A1" display="Biogas price sensitivity analysis"/>
    <hyperlink ref="A27" location="SCC_sensitivity!A1" display="SCC sensitivity analysis"/>
    <hyperlink ref="A28" location="Yield_sensitivity!A1" display="C6C8 yield sensitivity analysi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7"/>
  <sheetViews>
    <sheetView workbookViewId="0"/>
  </sheetViews>
  <sheetFormatPr defaultRowHeight="13.9"/>
  <cols>
    <col min="1" max="1" width="9.06640625" style="14"/>
    <col min="2" max="2" width="10.53125" style="14" customWidth="1"/>
    <col min="3" max="3" width="24.73046875" style="14" customWidth="1"/>
    <col min="4" max="4" width="15.59765625" style="14" customWidth="1"/>
    <col min="5" max="5" width="13.33203125" style="14" customWidth="1"/>
    <col min="6" max="7" width="18.19921875" style="14" customWidth="1"/>
    <col min="8" max="9" width="16.19921875" style="14" customWidth="1"/>
    <col min="10" max="10" width="18.86328125" style="14" customWidth="1"/>
    <col min="11" max="16384" width="9.06640625" style="14"/>
  </cols>
  <sheetData>
    <row r="1" spans="1:10">
      <c r="A1" s="1" t="s">
        <v>1698</v>
      </c>
      <c r="B1" s="1" t="s">
        <v>1699</v>
      </c>
      <c r="C1" s="1" t="s">
        <v>1700</v>
      </c>
      <c r="D1" s="1" t="s">
        <v>1701</v>
      </c>
      <c r="E1" s="1" t="s">
        <v>1702</v>
      </c>
      <c r="F1" s="1" t="s">
        <v>1703</v>
      </c>
      <c r="G1" s="1" t="s">
        <v>1704</v>
      </c>
      <c r="H1" s="1" t="s">
        <v>1705</v>
      </c>
      <c r="I1" s="1" t="s">
        <v>1706</v>
      </c>
      <c r="J1" s="1" t="s">
        <v>1707</v>
      </c>
    </row>
    <row r="2" spans="1:10">
      <c r="A2" s="14">
        <v>1</v>
      </c>
      <c r="B2" s="14">
        <v>120</v>
      </c>
      <c r="C2" s="14">
        <f>B2*15.356</f>
        <v>1842.72</v>
      </c>
      <c r="D2" s="14">
        <f>C2^0.6</f>
        <v>91.049090030701635</v>
      </c>
      <c r="E2" s="14">
        <v>186876</v>
      </c>
      <c r="F2" s="14">
        <v>48226</v>
      </c>
      <c r="G2" s="14">
        <f>F2/E2</f>
        <v>0.2580641708940688</v>
      </c>
      <c r="H2" s="41"/>
      <c r="I2" s="41"/>
      <c r="J2" s="14">
        <v>271271</v>
      </c>
    </row>
    <row r="3" spans="1:10">
      <c r="A3" s="14">
        <v>2</v>
      </c>
      <c r="B3" s="14">
        <v>236</v>
      </c>
      <c r="C3" s="14">
        <f t="shared" ref="C3:C24" si="0">B3*15.356</f>
        <v>3624.0160000000001</v>
      </c>
      <c r="D3" s="14">
        <f t="shared" ref="D3:D24" si="1">C3^0.6</f>
        <v>136.61993168930579</v>
      </c>
      <c r="E3" s="14">
        <v>68641</v>
      </c>
      <c r="F3" s="14">
        <v>31789</v>
      </c>
      <c r="G3" s="14">
        <f>F3/E3</f>
        <v>0.46311970979443773</v>
      </c>
      <c r="H3" s="41">
        <v>9445</v>
      </c>
      <c r="I3" s="41">
        <f>H3/E3</f>
        <v>0.13759997669031629</v>
      </c>
      <c r="J3" s="14">
        <v>169130</v>
      </c>
    </row>
    <row r="4" spans="1:10">
      <c r="A4" s="14">
        <v>3</v>
      </c>
      <c r="B4" s="14">
        <v>300</v>
      </c>
      <c r="C4" s="14">
        <f t="shared" si="0"/>
        <v>4606.8</v>
      </c>
      <c r="D4" s="14">
        <f t="shared" si="1"/>
        <v>157.77551807187365</v>
      </c>
      <c r="H4" s="41">
        <v>7755</v>
      </c>
      <c r="I4" s="41"/>
      <c r="J4" s="14">
        <v>232637</v>
      </c>
    </row>
    <row r="5" spans="1:10">
      <c r="A5" s="14">
        <v>4</v>
      </c>
      <c r="B5" s="14">
        <v>350</v>
      </c>
      <c r="C5" s="14">
        <f t="shared" si="0"/>
        <v>5374.6</v>
      </c>
      <c r="D5" s="14">
        <f t="shared" si="1"/>
        <v>173.06437913009992</v>
      </c>
      <c r="E5" s="14">
        <v>207864</v>
      </c>
      <c r="H5" s="41">
        <v>2029</v>
      </c>
      <c r="I5" s="41">
        <f>H5/E5</f>
        <v>9.7611900088519412E-3</v>
      </c>
      <c r="J5" s="14">
        <v>207864</v>
      </c>
    </row>
    <row r="6" spans="1:10">
      <c r="A6" s="14">
        <v>5</v>
      </c>
      <c r="B6" s="14">
        <v>420</v>
      </c>
      <c r="C6" s="14">
        <f t="shared" si="0"/>
        <v>6449.5199999999995</v>
      </c>
      <c r="D6" s="14">
        <f t="shared" si="1"/>
        <v>193.070728956826</v>
      </c>
      <c r="E6" s="14">
        <v>159156</v>
      </c>
      <c r="F6" s="14">
        <v>196521</v>
      </c>
      <c r="G6" s="14">
        <f>F6/E6</f>
        <v>1.2347696599562694</v>
      </c>
      <c r="H6" s="41"/>
      <c r="I6" s="41"/>
      <c r="J6" s="14">
        <v>355666</v>
      </c>
    </row>
    <row r="7" spans="1:10">
      <c r="A7" s="14">
        <v>6</v>
      </c>
      <c r="B7" s="14">
        <v>490</v>
      </c>
      <c r="C7" s="14">
        <f t="shared" si="0"/>
        <v>7524.44</v>
      </c>
      <c r="D7" s="14">
        <f t="shared" si="1"/>
        <v>211.77978841994664</v>
      </c>
      <c r="H7" s="41">
        <v>7751</v>
      </c>
      <c r="I7" s="41"/>
      <c r="J7" s="14">
        <v>939515</v>
      </c>
    </row>
    <row r="8" spans="1:10">
      <c r="A8" s="14">
        <v>7</v>
      </c>
      <c r="B8" s="14">
        <v>500</v>
      </c>
      <c r="C8" s="14">
        <f t="shared" si="0"/>
        <v>7678</v>
      </c>
      <c r="D8" s="14">
        <f t="shared" si="1"/>
        <v>214.362525327827</v>
      </c>
      <c r="E8" s="14">
        <v>334478</v>
      </c>
      <c r="F8" s="14">
        <v>111493</v>
      </c>
      <c r="G8" s="14">
        <f>F8/E8</f>
        <v>0.33333432991108536</v>
      </c>
      <c r="H8" s="41">
        <v>2676</v>
      </c>
      <c r="I8" s="41">
        <f>H8/E8</f>
        <v>8.0005261930530553E-3</v>
      </c>
      <c r="J8" s="14">
        <v>445971</v>
      </c>
    </row>
    <row r="9" spans="1:10">
      <c r="A9" s="14">
        <v>8</v>
      </c>
      <c r="B9" s="14">
        <v>600</v>
      </c>
      <c r="C9" s="14">
        <f t="shared" si="0"/>
        <v>9213.6</v>
      </c>
      <c r="D9" s="14">
        <f t="shared" si="1"/>
        <v>239.14296653129961</v>
      </c>
      <c r="E9" s="14">
        <v>381247</v>
      </c>
      <c r="F9" s="14">
        <v>236991</v>
      </c>
      <c r="G9" s="14">
        <f>F9/E9</f>
        <v>0.6216206291459343</v>
      </c>
      <c r="H9" s="41">
        <v>20608</v>
      </c>
      <c r="I9" s="41">
        <f>H9/E9</f>
        <v>5.4054195836295102E-2</v>
      </c>
      <c r="J9" s="14">
        <v>618238</v>
      </c>
    </row>
    <row r="10" spans="1:10">
      <c r="A10" s="14">
        <v>9</v>
      </c>
      <c r="B10" s="14">
        <v>600</v>
      </c>
      <c r="C10" s="14">
        <f t="shared" si="0"/>
        <v>9213.6</v>
      </c>
      <c r="D10" s="14">
        <f t="shared" si="1"/>
        <v>239.14296653129961</v>
      </c>
      <c r="H10" s="41">
        <v>16236</v>
      </c>
      <c r="I10" s="41"/>
      <c r="J10" s="14">
        <v>608846</v>
      </c>
    </row>
    <row r="11" spans="1:10">
      <c r="A11" s="14">
        <v>10</v>
      </c>
      <c r="B11" s="14">
        <v>675</v>
      </c>
      <c r="C11" s="14">
        <f t="shared" si="0"/>
        <v>10365.299999999999</v>
      </c>
      <c r="D11" s="14">
        <f t="shared" si="1"/>
        <v>256.65464330255918</v>
      </c>
      <c r="E11" s="14">
        <v>388534</v>
      </c>
      <c r="F11" s="14">
        <v>151800</v>
      </c>
      <c r="G11" s="14">
        <f>F11/E11</f>
        <v>0.39069939825086092</v>
      </c>
      <c r="H11" s="41">
        <v>136470</v>
      </c>
      <c r="I11" s="41">
        <f>H11/E11</f>
        <v>0.35124339182671271</v>
      </c>
      <c r="J11" s="14">
        <v>732940</v>
      </c>
    </row>
    <row r="12" spans="1:10">
      <c r="A12" s="14">
        <v>11</v>
      </c>
      <c r="B12" s="14">
        <v>700</v>
      </c>
      <c r="C12" s="14">
        <f t="shared" si="0"/>
        <v>10749.2</v>
      </c>
      <c r="D12" s="14">
        <f t="shared" si="1"/>
        <v>262.31654652032864</v>
      </c>
      <c r="E12" s="14">
        <v>303221</v>
      </c>
      <c r="F12" s="14">
        <v>301412</v>
      </c>
      <c r="G12" s="14">
        <f>F12/E12</f>
        <v>0.99403405436958525</v>
      </c>
      <c r="H12" s="41"/>
      <c r="I12" s="41"/>
      <c r="J12" s="14">
        <v>604633</v>
      </c>
    </row>
    <row r="13" spans="1:10">
      <c r="A13" s="14">
        <v>12</v>
      </c>
      <c r="B13" s="14">
        <v>700</v>
      </c>
      <c r="C13" s="14">
        <f t="shared" si="0"/>
        <v>10749.2</v>
      </c>
      <c r="D13" s="14">
        <f t="shared" si="1"/>
        <v>262.31654652032864</v>
      </c>
      <c r="H13" s="41"/>
      <c r="I13" s="41"/>
      <c r="J13" s="14">
        <v>412158</v>
      </c>
    </row>
    <row r="14" spans="1:10">
      <c r="A14" s="14">
        <v>13</v>
      </c>
      <c r="B14" s="14">
        <v>725</v>
      </c>
      <c r="C14" s="14">
        <f t="shared" si="0"/>
        <v>11133.1</v>
      </c>
      <c r="D14" s="14">
        <f t="shared" si="1"/>
        <v>267.89812005729118</v>
      </c>
      <c r="E14" s="14">
        <v>349638</v>
      </c>
      <c r="F14" s="14">
        <v>277299</v>
      </c>
      <c r="G14" s="14">
        <f>F14/E14</f>
        <v>0.79310315240334284</v>
      </c>
      <c r="H14" s="41"/>
      <c r="I14" s="41"/>
      <c r="J14" s="14">
        <v>626937</v>
      </c>
    </row>
    <row r="15" spans="1:10">
      <c r="A15" s="14">
        <v>14</v>
      </c>
      <c r="B15" s="14">
        <v>750</v>
      </c>
      <c r="C15" s="14">
        <f t="shared" si="0"/>
        <v>11517</v>
      </c>
      <c r="D15" s="14">
        <f t="shared" si="1"/>
        <v>273.4032168191269</v>
      </c>
      <c r="H15" s="41">
        <v>22815</v>
      </c>
      <c r="I15" s="41"/>
      <c r="J15" s="14">
        <v>351729</v>
      </c>
    </row>
    <row r="16" spans="1:10">
      <c r="A16" s="14">
        <v>15</v>
      </c>
      <c r="B16" s="14">
        <v>750</v>
      </c>
      <c r="C16" s="14">
        <f t="shared" si="0"/>
        <v>11517</v>
      </c>
      <c r="D16" s="14">
        <f t="shared" si="1"/>
        <v>273.4032168191269</v>
      </c>
      <c r="H16" s="41"/>
      <c r="I16" s="41"/>
      <c r="J16" s="14">
        <v>294885</v>
      </c>
    </row>
    <row r="17" spans="1:10">
      <c r="A17" s="14">
        <v>16</v>
      </c>
      <c r="B17" s="14">
        <v>840</v>
      </c>
      <c r="C17" s="14">
        <f t="shared" si="0"/>
        <v>12899.039999999999</v>
      </c>
      <c r="D17" s="14">
        <f t="shared" si="1"/>
        <v>292.6405023881</v>
      </c>
      <c r="E17" s="14">
        <v>162750</v>
      </c>
      <c r="F17" s="14">
        <v>204902</v>
      </c>
      <c r="G17" s="14">
        <f>F17/E17</f>
        <v>1.2589984639016898</v>
      </c>
      <c r="H17" s="41">
        <v>4814</v>
      </c>
      <c r="I17" s="41">
        <f>H17/E17</f>
        <v>2.957910906298003E-2</v>
      </c>
      <c r="J17" s="14">
        <v>461842</v>
      </c>
    </row>
    <row r="18" spans="1:10">
      <c r="A18" s="14">
        <v>17</v>
      </c>
      <c r="B18" s="14">
        <v>850</v>
      </c>
      <c r="C18" s="14">
        <f t="shared" si="0"/>
        <v>13052.6</v>
      </c>
      <c r="D18" s="14">
        <f t="shared" si="1"/>
        <v>294.72584226499896</v>
      </c>
      <c r="E18" s="14">
        <v>435568</v>
      </c>
      <c r="F18" s="14">
        <v>292453</v>
      </c>
      <c r="G18" s="14">
        <f>F18/E18</f>
        <v>0.67142903059912573</v>
      </c>
      <c r="H18" s="41">
        <v>36860</v>
      </c>
      <c r="I18" s="41">
        <f>H18/E18</f>
        <v>8.4625133159460755E-2</v>
      </c>
      <c r="J18" s="14">
        <v>1285298</v>
      </c>
    </row>
    <row r="19" spans="1:10">
      <c r="A19" s="14">
        <v>18</v>
      </c>
      <c r="B19" s="14">
        <v>1000</v>
      </c>
      <c r="C19" s="14">
        <f t="shared" si="0"/>
        <v>15356</v>
      </c>
      <c r="D19" s="14">
        <f t="shared" si="1"/>
        <v>324.91283087839219</v>
      </c>
      <c r="E19" s="14">
        <v>602824</v>
      </c>
      <c r="H19" s="41"/>
      <c r="I19" s="41"/>
      <c r="J19" s="14">
        <v>602824</v>
      </c>
    </row>
    <row r="20" spans="1:10">
      <c r="A20" s="14">
        <v>19</v>
      </c>
      <c r="B20" s="14">
        <v>1000</v>
      </c>
      <c r="C20" s="14">
        <f t="shared" si="0"/>
        <v>15356</v>
      </c>
      <c r="D20" s="14">
        <f t="shared" si="1"/>
        <v>324.91283087839219</v>
      </c>
      <c r="H20" s="41">
        <v>19973</v>
      </c>
      <c r="I20" s="41"/>
      <c r="J20" s="14">
        <v>282013</v>
      </c>
    </row>
    <row r="21" spans="1:10">
      <c r="A21" s="14">
        <v>20</v>
      </c>
      <c r="B21" s="14">
        <v>1200</v>
      </c>
      <c r="C21" s="14">
        <f t="shared" si="0"/>
        <v>18427.2</v>
      </c>
      <c r="D21" s="14">
        <f t="shared" si="1"/>
        <v>362.47295613593252</v>
      </c>
      <c r="H21" s="41"/>
      <c r="I21" s="41"/>
      <c r="J21" s="14">
        <v>602824</v>
      </c>
    </row>
    <row r="22" spans="1:10">
      <c r="A22" s="14">
        <v>21</v>
      </c>
      <c r="B22" s="14">
        <v>2285</v>
      </c>
      <c r="C22" s="14">
        <f t="shared" si="0"/>
        <v>35088.46</v>
      </c>
      <c r="D22" s="14">
        <f t="shared" si="1"/>
        <v>533.45597608319213</v>
      </c>
      <c r="E22" s="14">
        <v>472479</v>
      </c>
      <c r="F22" s="14">
        <v>209991</v>
      </c>
      <c r="G22" s="14">
        <f>F22/E22</f>
        <v>0.44444514994317208</v>
      </c>
      <c r="H22" s="41"/>
      <c r="I22" s="41"/>
      <c r="J22" s="14">
        <v>682470</v>
      </c>
    </row>
    <row r="23" spans="1:10">
      <c r="A23" s="14">
        <v>22</v>
      </c>
      <c r="B23" s="14">
        <v>3000</v>
      </c>
      <c r="C23" s="14">
        <f t="shared" si="0"/>
        <v>46068</v>
      </c>
      <c r="D23" s="14">
        <f t="shared" si="1"/>
        <v>628.11565082205766</v>
      </c>
      <c r="H23" s="41"/>
      <c r="I23" s="41"/>
      <c r="J23" s="14">
        <v>1567343</v>
      </c>
    </row>
    <row r="24" spans="1:10">
      <c r="A24" s="14">
        <v>23</v>
      </c>
      <c r="B24" s="14">
        <v>15000</v>
      </c>
      <c r="C24" s="14">
        <f t="shared" si="0"/>
        <v>230340</v>
      </c>
      <c r="D24" s="14">
        <f t="shared" si="1"/>
        <v>1649.7632212653032</v>
      </c>
      <c r="H24" s="41"/>
      <c r="I24" s="41"/>
      <c r="J24" s="14">
        <v>1744780</v>
      </c>
    </row>
    <row r="25" spans="1:10">
      <c r="G25" s="14">
        <f>AVERAGE(G2:G3,G6,G8:G9,G11:G12,G14,G17:G18,G22)</f>
        <v>0.67851070446996109</v>
      </c>
      <c r="I25" s="14">
        <f>AVERAGE(I3,I5,I8:I9,I11,I17:I18)</f>
        <v>9.6409074682524257E-2</v>
      </c>
    </row>
    <row r="27" spans="1:10">
      <c r="C27" s="14" t="s">
        <v>1708</v>
      </c>
      <c r="D27" s="14">
        <v>0.08</v>
      </c>
      <c r="E27" s="14" t="s">
        <v>1709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2" sqref="N2"/>
    </sheetView>
  </sheetViews>
  <sheetFormatPr defaultRowHeight="13.9"/>
  <cols>
    <col min="1" max="1" width="10.59765625" customWidth="1"/>
    <col min="2" max="2" width="9.86328125" customWidth="1"/>
    <col min="3" max="3" width="12.6640625" customWidth="1"/>
    <col min="5" max="5" width="17.46484375" customWidth="1"/>
    <col min="10" max="10" width="16.53125" customWidth="1"/>
    <col min="11" max="11" width="19.46484375" customWidth="1"/>
    <col min="13" max="13" width="12.19921875" customWidth="1"/>
  </cols>
  <sheetData>
    <row r="1" spans="1:14">
      <c r="A1" t="s">
        <v>2147</v>
      </c>
      <c r="B1" t="s">
        <v>2133</v>
      </c>
      <c r="C1" t="s">
        <v>1701</v>
      </c>
      <c r="D1" t="s">
        <v>2134</v>
      </c>
      <c r="E1" t="s">
        <v>2135</v>
      </c>
      <c r="F1" t="s">
        <v>2136</v>
      </c>
      <c r="G1" t="s">
        <v>2137</v>
      </c>
      <c r="H1" t="s">
        <v>2138</v>
      </c>
      <c r="J1" t="s">
        <v>2139</v>
      </c>
      <c r="K1" t="s">
        <v>2140</v>
      </c>
      <c r="M1" t="s">
        <v>2146</v>
      </c>
      <c r="N1" t="s">
        <v>2198</v>
      </c>
    </row>
    <row r="2" spans="1:14">
      <c r="B2" t="s">
        <v>2141</v>
      </c>
      <c r="D2" t="s">
        <v>2142</v>
      </c>
      <c r="E2" t="s">
        <v>2143</v>
      </c>
      <c r="F2" t="s">
        <v>2143</v>
      </c>
      <c r="G2" t="s">
        <v>2144</v>
      </c>
      <c r="H2" t="s">
        <v>2144</v>
      </c>
      <c r="J2" t="s">
        <v>2142</v>
      </c>
      <c r="K2" t="s">
        <v>2145</v>
      </c>
      <c r="M2">
        <v>1.2310000000000001</v>
      </c>
    </row>
    <row r="3" spans="1:14">
      <c r="A3" t="s">
        <v>2148</v>
      </c>
      <c r="B3">
        <v>30000</v>
      </c>
      <c r="C3">
        <f>B3^0.6</f>
        <v>485.59337483020391</v>
      </c>
      <c r="D3">
        <f>937.12*C3+75355</f>
        <v>530414.26342088077</v>
      </c>
      <c r="E3">
        <f>17869*LN(B3)-95066</f>
        <v>89144.67509305288</v>
      </c>
      <c r="F3">
        <f>D3*Biogas_technology_regression!$G$25</f>
        <v>359891.75553461735</v>
      </c>
      <c r="G3">
        <f>D3*Biogas_technology_regression!$I$25</f>
        <v>51136.748334819786</v>
      </c>
      <c r="H3">
        <f>B3*Biogas_yield!$I$20*0.08/1.15*1000</f>
        <v>113334.1446386571</v>
      </c>
      <c r="J3">
        <f>1.231*(D3+F3)+E3</f>
        <v>1185111.3844272711</v>
      </c>
      <c r="K3">
        <f>1.231*(G3+H3)+0.048*E3</f>
        <v>206742.61365481664</v>
      </c>
    </row>
    <row r="4" spans="1:14">
      <c r="A4" t="s">
        <v>2149</v>
      </c>
      <c r="B4">
        <v>50000</v>
      </c>
      <c r="C4">
        <f t="shared" ref="C4:C14" si="0">B4^0.6</f>
        <v>659.75395538644693</v>
      </c>
      <c r="D4">
        <f t="shared" ref="D4:D14" si="1">937.12*C4+75355</f>
        <v>693623.62667174719</v>
      </c>
      <c r="E4">
        <f t="shared" ref="E4:E14" si="2">17869*LN(B4)-95066</f>
        <v>98272.618164127343</v>
      </c>
      <c r="F4">
        <f>D4*Biogas_technology_regression!$G$25</f>
        <v>470631.05557005649</v>
      </c>
      <c r="G4">
        <f>D4*Biogas_technology_regression!$I$25</f>
        <v>66871.612025359806</v>
      </c>
      <c r="H4">
        <f>B4*Biogas_yield!$I$20*0.08/1.15*1000</f>
        <v>188890.24106442853</v>
      </c>
      <c r="J4">
        <f t="shared" ref="J4:J14" si="3">1.231*(D4+F4)+E4</f>
        <v>1531470.1320037879</v>
      </c>
      <c r="K4">
        <f t="shared" ref="K4:K14" si="4">1.231*(G4+H4)+0.048*E4</f>
        <v>319559.9268254076</v>
      </c>
    </row>
    <row r="5" spans="1:14">
      <c r="A5" t="s">
        <v>2150</v>
      </c>
      <c r="B5">
        <v>150000</v>
      </c>
      <c r="C5">
        <f t="shared" si="0"/>
        <v>1275.4245006257904</v>
      </c>
      <c r="D5">
        <f t="shared" si="1"/>
        <v>1270580.8080264407</v>
      </c>
      <c r="E5">
        <f t="shared" si="2"/>
        <v>117903.72115033781</v>
      </c>
      <c r="F5">
        <f>D5*Biogas_technology_regression!$G$25</f>
        <v>862102.67914003262</v>
      </c>
      <c r="G5">
        <f>D5*Biogas_technology_regression!$I$25</f>
        <v>122495.52001120313</v>
      </c>
      <c r="H5">
        <f>B5*Biogas_yield!$I$20*0.08/1.15*1000</f>
        <v>566670.72319328552</v>
      </c>
      <c r="J5">
        <f t="shared" si="3"/>
        <v>2743237.0938522662</v>
      </c>
      <c r="K5">
        <f t="shared" si="4"/>
        <v>854023.02399994188</v>
      </c>
    </row>
    <row r="6" spans="1:14">
      <c r="A6" t="s">
        <v>2151</v>
      </c>
      <c r="B6">
        <v>250000</v>
      </c>
      <c r="C6">
        <f t="shared" si="0"/>
        <v>1732.8621078878648</v>
      </c>
      <c r="D6">
        <f t="shared" si="1"/>
        <v>1699254.7385438757</v>
      </c>
      <c r="E6">
        <f t="shared" si="2"/>
        <v>127031.66422141227</v>
      </c>
      <c r="F6">
        <f>D6*Biogas_technology_regression!$G$25</f>
        <v>1152962.5297233246</v>
      </c>
      <c r="G6">
        <f>D6*Biogas_technology_regression!$I$25</f>
        <v>163823.57699290974</v>
      </c>
      <c r="H6">
        <f>B6*Biogas_yield!$I$20*0.08/1.15*1000</f>
        <v>944451.20532214269</v>
      </c>
      <c r="J6">
        <f t="shared" si="3"/>
        <v>3638111.1214583358</v>
      </c>
      <c r="K6">
        <f t="shared" si="4"/>
        <v>1370383.7769124573</v>
      </c>
    </row>
    <row r="7" spans="1:14">
      <c r="A7" t="s">
        <v>2152</v>
      </c>
      <c r="B7">
        <v>15000</v>
      </c>
      <c r="C7">
        <f t="shared" si="0"/>
        <v>320.37214975368062</v>
      </c>
      <c r="D7">
        <f t="shared" si="1"/>
        <v>375582.14897716918</v>
      </c>
      <c r="E7">
        <f t="shared" si="2"/>
        <v>76758.828123627201</v>
      </c>
      <c r="F7">
        <f>D7*Biogas_technology_regression!$G$25</f>
        <v>254836.50848884095</v>
      </c>
      <c r="G7">
        <f>D7*Biogas_technology_regression!$I$25</f>
        <v>36209.527450162852</v>
      </c>
      <c r="H7">
        <f>B7*Biogas_yield!$C$33*0.08/1.15*1000</f>
        <v>66945.567269417414</v>
      </c>
      <c r="J7">
        <f t="shared" si="3"/>
        <v>852804.19546428579</v>
      </c>
      <c r="K7">
        <f t="shared" si="4"/>
        <v>130668.34534973741</v>
      </c>
    </row>
    <row r="8" spans="1:14">
      <c r="A8" t="s">
        <v>2153</v>
      </c>
      <c r="B8">
        <v>35000</v>
      </c>
      <c r="C8">
        <f t="shared" si="0"/>
        <v>532.64864506035462</v>
      </c>
      <c r="D8">
        <f t="shared" si="1"/>
        <v>574510.69825895946</v>
      </c>
      <c r="E8">
        <f t="shared" si="2"/>
        <v>91899.193590886134</v>
      </c>
      <c r="F8">
        <f>D8*Biogas_technology_regression!$G$25</f>
        <v>389811.65860121581</v>
      </c>
      <c r="G8">
        <f>D8*Biogas_technology_regression!$I$25</f>
        <v>55388.044814357178</v>
      </c>
      <c r="H8">
        <f>B8*Biogas_yield!$C$33*0.08/1.15*1000</f>
        <v>156206.32362864065</v>
      </c>
      <c r="J8">
        <f t="shared" si="3"/>
        <v>1278980.014885762</v>
      </c>
      <c r="K8">
        <f t="shared" si="4"/>
        <v>264883.82884569291</v>
      </c>
    </row>
    <row r="9" spans="1:14">
      <c r="A9" t="s">
        <v>2154</v>
      </c>
      <c r="B9">
        <v>70000</v>
      </c>
      <c r="C9">
        <f t="shared" si="0"/>
        <v>807.34437544729644</v>
      </c>
      <c r="D9">
        <f t="shared" si="1"/>
        <v>831933.56111917039</v>
      </c>
      <c r="E9">
        <f t="shared" si="2"/>
        <v>104285.04056031178</v>
      </c>
      <c r="F9">
        <f>D9*Biogas_technology_regression!$G$25</f>
        <v>564475.82662717171</v>
      </c>
      <c r="G9">
        <f>D9*Biogas_technology_regression!$I$25</f>
        <v>80205.94482483645</v>
      </c>
      <c r="H9">
        <f>B9*Biogas_yield!$C$33*0.08/1.15*1000</f>
        <v>312412.64725728129</v>
      </c>
      <c r="J9">
        <f t="shared" si="3"/>
        <v>1823264.9968760591</v>
      </c>
      <c r="K9">
        <f t="shared" si="4"/>
        <v>488319.16879998194</v>
      </c>
    </row>
    <row r="10" spans="1:14">
      <c r="A10" t="s">
        <v>2155</v>
      </c>
      <c r="B10">
        <v>100000</v>
      </c>
      <c r="C10">
        <f t="shared" si="0"/>
        <v>999.99999999999977</v>
      </c>
      <c r="D10">
        <f t="shared" si="1"/>
        <v>1012474.9999999998</v>
      </c>
      <c r="E10">
        <f t="shared" si="2"/>
        <v>110658.46513355302</v>
      </c>
      <c r="F10">
        <f>D10*Biogas_technology_regression!$G$25</f>
        <v>686975.12550822366</v>
      </c>
      <c r="G10">
        <f>D10*Biogas_technology_regression!$I$25</f>
        <v>97611.777889188728</v>
      </c>
      <c r="H10">
        <f>B10*Biogas_yield!$C$33*0.08/1.15*1000</f>
        <v>446303.78179611609</v>
      </c>
      <c r="J10">
        <f t="shared" si="3"/>
        <v>2202681.5696341763</v>
      </c>
      <c r="K10">
        <f t="shared" si="4"/>
        <v>674871.6602990207</v>
      </c>
    </row>
    <row r="11" spans="1:14">
      <c r="A11" t="s">
        <v>2156</v>
      </c>
      <c r="B11">
        <v>5000</v>
      </c>
      <c r="C11">
        <f t="shared" si="0"/>
        <v>165.72270086699936</v>
      </c>
      <c r="D11">
        <f t="shared" si="1"/>
        <v>230657.05743648243</v>
      </c>
      <c r="E11">
        <f t="shared" si="2"/>
        <v>57127.725137416768</v>
      </c>
      <c r="F11">
        <f>D11*Biogas_technology_regression!$G$25</f>
        <v>156503.28253219597</v>
      </c>
      <c r="G11">
        <f>D11*Biogas_technology_regression!$I$25</f>
        <v>22237.43347644512</v>
      </c>
      <c r="H11">
        <f>B11*Biogas_yield!$I$21*0.08/1.15*1000</f>
        <v>35538.003411181038</v>
      </c>
      <c r="J11">
        <f t="shared" si="3"/>
        <v>533722.10363885993</v>
      </c>
      <c r="K11">
        <f t="shared" si="4"/>
        <v>73863.693615263808</v>
      </c>
    </row>
    <row r="12" spans="1:14">
      <c r="A12" t="s">
        <v>2157</v>
      </c>
      <c r="B12">
        <v>10000</v>
      </c>
      <c r="C12">
        <f t="shared" si="0"/>
        <v>251.18864315095806</v>
      </c>
      <c r="D12">
        <f t="shared" si="1"/>
        <v>310748.90126962581</v>
      </c>
      <c r="E12">
        <f t="shared" si="2"/>
        <v>69513.572106842417</v>
      </c>
      <c r="F12">
        <f>D12*Biogas_technology_regression!$G$25</f>
        <v>210846.45591372019</v>
      </c>
      <c r="G12">
        <f>D12*Biogas_technology_regression!$I$25</f>
        <v>29959.014030015711</v>
      </c>
      <c r="H12">
        <f>B12*Biogas_yield!$I$21*0.08/1.15*1000</f>
        <v>71076.006822362076</v>
      </c>
      <c r="J12">
        <f t="shared" si="3"/>
        <v>711597.45679954137</v>
      </c>
      <c r="K12">
        <f t="shared" si="4"/>
        <v>127710.76213040549</v>
      </c>
    </row>
    <row r="13" spans="1:14">
      <c r="A13" t="s">
        <v>2158</v>
      </c>
      <c r="B13">
        <v>20000</v>
      </c>
      <c r="C13">
        <f t="shared" si="0"/>
        <v>380.73078774317543</v>
      </c>
      <c r="D13">
        <f t="shared" si="1"/>
        <v>432145.43580988457</v>
      </c>
      <c r="E13">
        <f t="shared" si="2"/>
        <v>81899.419076268066</v>
      </c>
      <c r="F13">
        <f>D13*Biogas_technology_regression!$G$25</f>
        <v>293215.30408484314</v>
      </c>
      <c r="G13">
        <f>D13*Biogas_technology_regression!$I$25</f>
        <v>41662.741594707157</v>
      </c>
      <c r="H13">
        <f>B13*Biogas_yield!$I$21*0.08/1.15*1000</f>
        <v>142152.01364472415</v>
      </c>
      <c r="J13">
        <f t="shared" si="3"/>
        <v>974818.48988667794</v>
      </c>
      <c r="K13">
        <f t="shared" si="4"/>
        <v>230207.1358154008</v>
      </c>
    </row>
    <row r="14" spans="1:14">
      <c r="A14" t="s">
        <v>2159</v>
      </c>
      <c r="B14">
        <v>30000</v>
      </c>
      <c r="C14">
        <f t="shared" si="0"/>
        <v>485.59337483020391</v>
      </c>
      <c r="D14">
        <f t="shared" si="1"/>
        <v>530414.26342088077</v>
      </c>
      <c r="E14">
        <f t="shared" si="2"/>
        <v>89144.67509305288</v>
      </c>
      <c r="F14">
        <f>D14*Biogas_technology_regression!$G$25</f>
        <v>359891.75553461735</v>
      </c>
      <c r="G14">
        <f>D14*Biogas_technology_regression!$I$25</f>
        <v>51136.748334819786</v>
      </c>
      <c r="H14">
        <f>B14*Biogas_yield!$I$21*0.08/1.15*1000</f>
        <v>213228.02046708626</v>
      </c>
      <c r="J14">
        <f t="shared" si="3"/>
        <v>1185111.3844272711</v>
      </c>
      <c r="K14">
        <f t="shared" si="4"/>
        <v>329711.97479961289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RowHeight="13.9"/>
  <cols>
    <col min="2" max="2" width="15.86328125" customWidth="1"/>
    <col min="3" max="3" width="20.6640625" customWidth="1"/>
    <col min="4" max="4" width="17.86328125" customWidth="1"/>
    <col min="7" max="7" width="11.796875" customWidth="1"/>
  </cols>
  <sheetData>
    <row r="1" spans="1:16">
      <c r="A1" t="s">
        <v>2189</v>
      </c>
      <c r="B1" t="s">
        <v>2190</v>
      </c>
      <c r="C1" t="s">
        <v>2193</v>
      </c>
      <c r="D1" t="s">
        <v>2191</v>
      </c>
      <c r="E1" t="s">
        <v>2192</v>
      </c>
      <c r="G1" t="s">
        <v>2199</v>
      </c>
      <c r="H1" t="s">
        <v>2200</v>
      </c>
    </row>
    <row r="2" spans="1:16">
      <c r="A2" t="s">
        <v>2187</v>
      </c>
      <c r="B2">
        <f>Biogas_yield!I20</f>
        <v>5.4305944306023195E-2</v>
      </c>
      <c r="C2">
        <f>B2/0.7712*1000</f>
        <v>70.417458903038366</v>
      </c>
      <c r="D2">
        <f>C2*0.163/8/32*120/1000</f>
        <v>5.3803339693102746E-3</v>
      </c>
      <c r="E2">
        <f>C2*0.017/11/32*144/1000</f>
        <v>4.8972141873476684E-4</v>
      </c>
      <c r="G2">
        <v>1.202</v>
      </c>
    </row>
    <row r="3" spans="1:16">
      <c r="A3" t="s">
        <v>2188</v>
      </c>
      <c r="B3">
        <f>Biogas_yield!C33</f>
        <v>6.4156168633191679E-2</v>
      </c>
      <c r="C3">
        <f t="shared" ref="C3:C4" si="0">B3/0.7712*1000</f>
        <v>83.190052688267215</v>
      </c>
      <c r="D3">
        <f t="shared" ref="D3:D4" si="1">C3*0.163/8/32*120/1000</f>
        <v>6.3562399632129171E-3</v>
      </c>
      <c r="E3">
        <f t="shared" ref="E3:E4" si="2">C3*0.017/11/32*144/1000</f>
        <v>5.7854900278658556E-4</v>
      </c>
    </row>
    <row r="4" spans="1:16">
      <c r="A4" t="s">
        <v>1956</v>
      </c>
      <c r="B4">
        <f>Biogas_yield!I21</f>
        <v>0.10217175980714548</v>
      </c>
      <c r="C4">
        <f t="shared" si="0"/>
        <v>132.4841283806347</v>
      </c>
      <c r="D4">
        <f t="shared" si="1"/>
        <v>1.012261543408287E-2</v>
      </c>
      <c r="E4">
        <f t="shared" si="2"/>
        <v>9.213668928289596E-4</v>
      </c>
    </row>
    <row r="7" spans="1:16">
      <c r="A7" t="s">
        <v>1719</v>
      </c>
      <c r="B7" t="s">
        <v>2196</v>
      </c>
      <c r="C7" t="s">
        <v>2195</v>
      </c>
      <c r="D7" t="s">
        <v>2171</v>
      </c>
      <c r="E7" t="s">
        <v>2172</v>
      </c>
      <c r="F7" t="s">
        <v>2173</v>
      </c>
      <c r="G7" t="s">
        <v>2174</v>
      </c>
      <c r="H7" t="s">
        <v>2175</v>
      </c>
      <c r="I7" t="s">
        <v>2176</v>
      </c>
      <c r="J7" t="s">
        <v>2177</v>
      </c>
      <c r="K7" t="s">
        <v>2137</v>
      </c>
      <c r="L7" t="s">
        <v>2178</v>
      </c>
      <c r="M7" t="s">
        <v>2179</v>
      </c>
      <c r="O7" t="s">
        <v>2180</v>
      </c>
      <c r="P7" t="s">
        <v>2181</v>
      </c>
    </row>
    <row r="8" spans="1:16">
      <c r="B8" t="s">
        <v>2141</v>
      </c>
      <c r="C8" t="s">
        <v>2197</v>
      </c>
      <c r="D8" t="s">
        <v>2182</v>
      </c>
      <c r="E8" t="s">
        <v>2182</v>
      </c>
      <c r="F8" t="s">
        <v>2142</v>
      </c>
      <c r="G8" t="s">
        <v>2182</v>
      </c>
      <c r="H8" t="s">
        <v>2183</v>
      </c>
      <c r="I8" t="s">
        <v>2182</v>
      </c>
      <c r="J8" t="s">
        <v>2142</v>
      </c>
      <c r="K8" t="s">
        <v>2184</v>
      </c>
      <c r="L8" t="s">
        <v>2185</v>
      </c>
      <c r="M8" t="s">
        <v>2186</v>
      </c>
      <c r="O8" t="s">
        <v>2142</v>
      </c>
      <c r="P8" t="s">
        <v>2144</v>
      </c>
    </row>
    <row r="9" spans="1:16">
      <c r="A9" t="s">
        <v>2194</v>
      </c>
      <c r="B9">
        <v>30000</v>
      </c>
      <c r="C9">
        <f>B9*($D$2+$E$2)</f>
        <v>176.10166164135123</v>
      </c>
      <c r="D9">
        <f>(B9/(6906/1000*60*24*365))^0.6*7538395</f>
        <v>424250.61890553334</v>
      </c>
      <c r="E9">
        <f>(B9/(6906/1000*60*24*365))^0.6*224943</f>
        <v>12659.486133118175</v>
      </c>
      <c r="F9">
        <f>(B9/(6906/1000*60*24*365))^0.6*29540</f>
        <v>1662.4710276483859</v>
      </c>
      <c r="G9">
        <f>(C9/18044.8992)^0.6*859554.23</f>
        <v>53446.427110522491</v>
      </c>
      <c r="H9">
        <f>(C9/18044.8992)^0.6*29230</f>
        <v>1817.4991291015722</v>
      </c>
      <c r="I9">
        <f>(C9/18044.8992)^0.6*1344717</f>
        <v>83613.478494289389</v>
      </c>
      <c r="J9">
        <f>(C9/18044.8992)^0.6*796836</f>
        <v>49546.655355346571</v>
      </c>
      <c r="K9">
        <f>0.1*O9</f>
        <v>75364.995665898299</v>
      </c>
      <c r="L9">
        <f>(C9/18044.8992)*(3.041940863+0.323383717)*24*365*4.184/55.6/0.7*35.314667*10/0.8+1.1*B9*1000*2.8*(35+273-280.5)/1000/55.6/0.7*35.314667*10/1000/0.8</f>
        <v>42473.070468439051</v>
      </c>
      <c r="M9">
        <f>(B9/(6906/1000*60*24*365))*16840000</f>
        <v>139181.46750823522</v>
      </c>
      <c r="O9">
        <f>1.202*(D9+E9+F9+G9+H9+I9+J9)</f>
        <v>753649.95665898302</v>
      </c>
      <c r="P9">
        <f>K9+L9+1.202*M9</f>
        <v>285134.19007923605</v>
      </c>
    </row>
    <row r="10" spans="1:16">
      <c r="A10" t="s">
        <v>2160</v>
      </c>
      <c r="B10">
        <v>50000</v>
      </c>
      <c r="C10">
        <f t="shared" ref="C10:C12" si="3">B10*($D$2+$E$2)</f>
        <v>293.50276940225206</v>
      </c>
      <c r="D10">
        <f t="shared" ref="D10:D20" si="4">(B10/(6906/1000*60*24*365))^0.6*7538395</f>
        <v>576410.30212973163</v>
      </c>
      <c r="E10">
        <f t="shared" ref="E10:E20" si="5">(B10/(6906/1000*60*24*365))^0.6*224943</f>
        <v>17199.876444782771</v>
      </c>
      <c r="F10">
        <f t="shared" ref="F10:F20" si="6">(B10/(6906/1000*60*24*365))^0.6*29540</f>
        <v>2258.7248777640693</v>
      </c>
      <c r="G10">
        <f t="shared" ref="G10:G20" si="7">(C10/18044.8992)^0.6*859554.23</f>
        <v>72615.265189255209</v>
      </c>
      <c r="H10">
        <f t="shared" ref="H10:H20" si="8">(C10/18044.8992)^0.6*29230</f>
        <v>2469.3546112639451</v>
      </c>
      <c r="I10">
        <f t="shared" ref="I10:I20" si="9">(C10/18044.8992)^0.6*1344717</f>
        <v>113601.88589787952</v>
      </c>
      <c r="J10">
        <f t="shared" ref="J10:J20" si="10">(C10/18044.8992)^0.6*796836</f>
        <v>67316.820082829858</v>
      </c>
      <c r="K10">
        <f t="shared" ref="K10:K20" si="11">0.1*O10</f>
        <v>102395.04195386755</v>
      </c>
      <c r="L10">
        <f t="shared" ref="L10:L20" si="12">(C10/18044.8992)*(3.041940863+0.323383717)*24*365*4.184/55.6/0.7*35.314667*10/0.8+1.1*B10*1000*2.8*(35+273-280.5)/1000/55.6/0.7*35.314667*10/1000/0.8</f>
        <v>70788.450780731742</v>
      </c>
      <c r="M10">
        <f t="shared" ref="M10:M20" si="13">(B10/(6906/1000*60*24*365))*16840000</f>
        <v>231969.11251372533</v>
      </c>
      <c r="O10">
        <f t="shared" ref="O10:O20" si="14">1.202*(D10+E10+F10+G10+H10+I10+J10)</f>
        <v>1023950.4195386755</v>
      </c>
      <c r="P10">
        <f t="shared" ref="P10:P20" si="15">K10+L10+1.202*M10</f>
        <v>452010.36597609712</v>
      </c>
    </row>
    <row r="11" spans="1:16">
      <c r="A11" t="s">
        <v>2161</v>
      </c>
      <c r="B11">
        <v>150000</v>
      </c>
      <c r="C11">
        <f t="shared" si="3"/>
        <v>880.50830820675617</v>
      </c>
      <c r="D11">
        <f t="shared" si="4"/>
        <v>1114306.04659089</v>
      </c>
      <c r="E11">
        <f t="shared" si="5"/>
        <v>33250.492318098826</v>
      </c>
      <c r="F11">
        <f t="shared" si="6"/>
        <v>4366.526378134191</v>
      </c>
      <c r="G11">
        <f t="shared" si="7"/>
        <v>140378.52685182658</v>
      </c>
      <c r="H11">
        <f t="shared" si="8"/>
        <v>4773.7119970649101</v>
      </c>
      <c r="I11">
        <f t="shared" si="9"/>
        <v>219613.12608816745</v>
      </c>
      <c r="J11">
        <f t="shared" si="10"/>
        <v>130135.66790602857</v>
      </c>
      <c r="K11">
        <f t="shared" si="11"/>
        <v>197948.25659525135</v>
      </c>
      <c r="L11">
        <f t="shared" si="12"/>
        <v>212365.35234219526</v>
      </c>
      <c r="M11">
        <f t="shared" si="13"/>
        <v>695907.33754117601</v>
      </c>
      <c r="O11">
        <f t="shared" si="14"/>
        <v>1979482.5659525134</v>
      </c>
      <c r="P11">
        <f t="shared" si="15"/>
        <v>1246794.22866194</v>
      </c>
    </row>
    <row r="12" spans="1:16">
      <c r="A12" t="s">
        <v>2162</v>
      </c>
      <c r="B12">
        <v>250000</v>
      </c>
      <c r="C12">
        <f t="shared" si="3"/>
        <v>1467.5138470112604</v>
      </c>
      <c r="D12">
        <f t="shared" si="4"/>
        <v>1513957.6852885163</v>
      </c>
      <c r="E12">
        <f t="shared" si="5"/>
        <v>45175.953714531373</v>
      </c>
      <c r="F12">
        <f t="shared" si="6"/>
        <v>5932.6036939458299</v>
      </c>
      <c r="G12">
        <f t="shared" si="7"/>
        <v>190726.01304373174</v>
      </c>
      <c r="H12">
        <f t="shared" si="8"/>
        <v>6485.8285454174065</v>
      </c>
      <c r="I12">
        <f t="shared" si="9"/>
        <v>298378.51194348471</v>
      </c>
      <c r="J12">
        <f t="shared" si="10"/>
        <v>176809.49965159851</v>
      </c>
      <c r="K12">
        <f t="shared" si="11"/>
        <v>268943.42472492333</v>
      </c>
      <c r="L12">
        <f t="shared" si="12"/>
        <v>353942.25390365877</v>
      </c>
      <c r="M12">
        <f t="shared" si="13"/>
        <v>1159845.5625686266</v>
      </c>
      <c r="O12">
        <f t="shared" si="14"/>
        <v>2689434.2472492331</v>
      </c>
      <c r="P12">
        <f t="shared" si="15"/>
        <v>2017020.0448360711</v>
      </c>
    </row>
    <row r="13" spans="1:16">
      <c r="A13" t="s">
        <v>2163</v>
      </c>
      <c r="B13">
        <v>15000</v>
      </c>
      <c r="C13">
        <f>B13*($D$3+$E$3)</f>
        <v>104.02183448999254</v>
      </c>
      <c r="D13">
        <f t="shared" si="4"/>
        <v>279901.02389807376</v>
      </c>
      <c r="E13">
        <f t="shared" si="5"/>
        <v>8352.1460494845924</v>
      </c>
      <c r="F13">
        <f t="shared" si="6"/>
        <v>1096.821836206394</v>
      </c>
      <c r="G13">
        <f t="shared" si="7"/>
        <v>38970.440136036399</v>
      </c>
      <c r="H13">
        <f t="shared" si="8"/>
        <v>1325.2287353368549</v>
      </c>
      <c r="I13">
        <f t="shared" si="9"/>
        <v>60966.733126786501</v>
      </c>
      <c r="J13">
        <f t="shared" si="10"/>
        <v>36126.923179982143</v>
      </c>
      <c r="K13">
        <f t="shared" si="11"/>
        <v>51294.065898821173</v>
      </c>
      <c r="L13">
        <f t="shared" si="12"/>
        <v>22474.740895886658</v>
      </c>
      <c r="M13">
        <f t="shared" si="13"/>
        <v>69590.733754117609</v>
      </c>
      <c r="O13">
        <f t="shared" si="14"/>
        <v>512940.65898821171</v>
      </c>
      <c r="P13">
        <f t="shared" si="15"/>
        <v>157416.8687671572</v>
      </c>
    </row>
    <row r="14" spans="1:16">
      <c r="A14" t="s">
        <v>2164</v>
      </c>
      <c r="B14">
        <v>35000</v>
      </c>
      <c r="C14">
        <f t="shared" ref="C14:C16" si="16">B14*($D$3+$E$3)</f>
        <v>242.71761380998259</v>
      </c>
      <c r="D14">
        <f t="shared" si="4"/>
        <v>465361.61537431617</v>
      </c>
      <c r="E14">
        <f t="shared" si="5"/>
        <v>13886.223506083828</v>
      </c>
      <c r="F14">
        <f t="shared" si="6"/>
        <v>1823.5688257457057</v>
      </c>
      <c r="G14">
        <f t="shared" si="7"/>
        <v>64791.999403896349</v>
      </c>
      <c r="H14">
        <f t="shared" si="8"/>
        <v>2203.316645391752</v>
      </c>
      <c r="I14">
        <f t="shared" si="9"/>
        <v>101362.89255700515</v>
      </c>
      <c r="J14">
        <f t="shared" si="10"/>
        <v>60064.386672849199</v>
      </c>
      <c r="K14">
        <f t="shared" si="11"/>
        <v>85281.179158831641</v>
      </c>
      <c r="L14">
        <f t="shared" si="12"/>
        <v>52441.062090402193</v>
      </c>
      <c r="M14">
        <f t="shared" si="13"/>
        <v>162378.37875960773</v>
      </c>
      <c r="O14">
        <f t="shared" si="14"/>
        <v>852811.79158831632</v>
      </c>
      <c r="P14">
        <f t="shared" si="15"/>
        <v>332901.05251828232</v>
      </c>
    </row>
    <row r="15" spans="1:16">
      <c r="A15" t="s">
        <v>2165</v>
      </c>
      <c r="B15">
        <v>70000</v>
      </c>
      <c r="C15">
        <f t="shared" si="16"/>
        <v>485.43522761996519</v>
      </c>
      <c r="D15">
        <f t="shared" si="4"/>
        <v>705356.30984089104</v>
      </c>
      <c r="E15">
        <f t="shared" si="5"/>
        <v>21047.579014437364</v>
      </c>
      <c r="F15">
        <f t="shared" si="6"/>
        <v>2764.0134793546795</v>
      </c>
      <c r="G15">
        <f t="shared" si="7"/>
        <v>98206.306873817535</v>
      </c>
      <c r="H15">
        <f t="shared" si="8"/>
        <v>3339.6035406883948</v>
      </c>
      <c r="I15">
        <f t="shared" si="9"/>
        <v>153637.41547806625</v>
      </c>
      <c r="J15">
        <f t="shared" si="10"/>
        <v>91040.585937323907</v>
      </c>
      <c r="K15">
        <f t="shared" si="11"/>
        <v>129262.09606258244</v>
      </c>
      <c r="L15">
        <f t="shared" si="12"/>
        <v>104882.12418080439</v>
      </c>
      <c r="M15">
        <f t="shared" si="13"/>
        <v>324756.75751921546</v>
      </c>
      <c r="O15">
        <f t="shared" si="14"/>
        <v>1292620.9606258243</v>
      </c>
      <c r="P15">
        <f t="shared" si="15"/>
        <v>624501.84278148378</v>
      </c>
    </row>
    <row r="16" spans="1:16">
      <c r="A16" t="s">
        <v>2166</v>
      </c>
      <c r="B16">
        <v>100000</v>
      </c>
      <c r="C16">
        <f t="shared" si="16"/>
        <v>693.4788965999503</v>
      </c>
      <c r="D16">
        <f t="shared" si="4"/>
        <v>873674.6440452981</v>
      </c>
      <c r="E16">
        <f t="shared" si="5"/>
        <v>26070.137669289215</v>
      </c>
      <c r="F16">
        <f t="shared" si="6"/>
        <v>3423.5867164161741</v>
      </c>
      <c r="G16">
        <f t="shared" si="7"/>
        <v>121641.16065019689</v>
      </c>
      <c r="H16">
        <f t="shared" si="8"/>
        <v>4136.5291469803542</v>
      </c>
      <c r="I16">
        <f t="shared" si="9"/>
        <v>190299.72853027645</v>
      </c>
      <c r="J16">
        <f t="shared" si="10"/>
        <v>112765.49228064447</v>
      </c>
      <c r="K16">
        <f t="shared" si="11"/>
        <v>160107.75574050003</v>
      </c>
      <c r="L16">
        <f t="shared" si="12"/>
        <v>149831.6059725777</v>
      </c>
      <c r="M16">
        <f t="shared" si="13"/>
        <v>463938.22502745065</v>
      </c>
      <c r="O16">
        <f t="shared" si="14"/>
        <v>1601077.5574050001</v>
      </c>
      <c r="P16">
        <f t="shared" si="15"/>
        <v>867593.10819607344</v>
      </c>
    </row>
    <row r="17" spans="1:16">
      <c r="A17" t="s">
        <v>2167</v>
      </c>
      <c r="B17">
        <v>5000</v>
      </c>
      <c r="C17">
        <f>B17*($D$4+$E$4)</f>
        <v>55.219911634559153</v>
      </c>
      <c r="D17">
        <f t="shared" si="4"/>
        <v>144787.72169020106</v>
      </c>
      <c r="E17">
        <f t="shared" si="5"/>
        <v>4320.4136265291081</v>
      </c>
      <c r="F17">
        <f t="shared" si="6"/>
        <v>567.3660372968701</v>
      </c>
      <c r="G17">
        <f t="shared" si="7"/>
        <v>26651.27742325946</v>
      </c>
      <c r="H17">
        <f t="shared" si="8"/>
        <v>906.30330454179023</v>
      </c>
      <c r="I17">
        <f t="shared" si="9"/>
        <v>41694.19982119475</v>
      </c>
      <c r="J17">
        <f t="shared" si="10"/>
        <v>24706.640437148886</v>
      </c>
      <c r="K17">
        <f t="shared" si="11"/>
        <v>29284.797465288662</v>
      </c>
      <c r="L17">
        <f t="shared" si="12"/>
        <v>9084.4753319390366</v>
      </c>
      <c r="M17">
        <f t="shared" si="13"/>
        <v>23196.911251372534</v>
      </c>
      <c r="O17">
        <f t="shared" si="14"/>
        <v>292847.97465288662</v>
      </c>
      <c r="P17">
        <f t="shared" si="15"/>
        <v>66251.960121377488</v>
      </c>
    </row>
    <row r="18" spans="1:16">
      <c r="A18" t="s">
        <v>2168</v>
      </c>
      <c r="B18">
        <v>10000</v>
      </c>
      <c r="C18">
        <f t="shared" ref="C18:C20" si="17">B18*($D$4+$E$4)</f>
        <v>110.43982326911831</v>
      </c>
      <c r="D18">
        <f t="shared" si="4"/>
        <v>219457.14839313462</v>
      </c>
      <c r="E18">
        <f t="shared" si="5"/>
        <v>6548.5225079074371</v>
      </c>
      <c r="F18">
        <f t="shared" si="6"/>
        <v>859.9661020062224</v>
      </c>
      <c r="G18">
        <f t="shared" si="7"/>
        <v>40395.782709098923</v>
      </c>
      <c r="H18">
        <f t="shared" si="8"/>
        <v>1373.6989329771102</v>
      </c>
      <c r="I18">
        <f t="shared" si="9"/>
        <v>63196.589396379764</v>
      </c>
      <c r="J18">
        <f t="shared" si="10"/>
        <v>37448.264213402275</v>
      </c>
      <c r="K18">
        <f t="shared" si="11"/>
        <v>44387.452665039746</v>
      </c>
      <c r="L18">
        <f t="shared" si="12"/>
        <v>18168.950663878073</v>
      </c>
      <c r="M18">
        <f t="shared" si="13"/>
        <v>46393.822502745068</v>
      </c>
      <c r="O18">
        <f t="shared" si="14"/>
        <v>443874.52665039746</v>
      </c>
      <c r="P18">
        <f t="shared" si="15"/>
        <v>118321.7779772174</v>
      </c>
    </row>
    <row r="19" spans="1:16">
      <c r="A19" t="s">
        <v>2169</v>
      </c>
      <c r="B19">
        <v>20000</v>
      </c>
      <c r="C19">
        <f t="shared" si="17"/>
        <v>220.87964653823661</v>
      </c>
      <c r="D19">
        <f t="shared" si="4"/>
        <v>332634.83545860497</v>
      </c>
      <c r="E19">
        <f t="shared" si="5"/>
        <v>9925.7040514015225</v>
      </c>
      <c r="F19">
        <f t="shared" si="6"/>
        <v>1303.4648674482023</v>
      </c>
      <c r="G19">
        <f t="shared" si="7"/>
        <v>61228.557069335526</v>
      </c>
      <c r="H19">
        <f t="shared" si="8"/>
        <v>2082.138230111063</v>
      </c>
      <c r="I19">
        <f t="shared" si="9"/>
        <v>95788.117495048165</v>
      </c>
      <c r="J19">
        <f t="shared" si="10"/>
        <v>56760.954455312312</v>
      </c>
      <c r="K19">
        <f t="shared" si="11"/>
        <v>67278.797349596862</v>
      </c>
      <c r="L19">
        <f t="shared" si="12"/>
        <v>36337.901327756146</v>
      </c>
      <c r="M19">
        <f t="shared" si="13"/>
        <v>92787.645005490136</v>
      </c>
      <c r="O19">
        <f t="shared" si="14"/>
        <v>672787.97349596862</v>
      </c>
      <c r="P19">
        <f t="shared" si="15"/>
        <v>215147.44797395216</v>
      </c>
    </row>
    <row r="20" spans="1:16">
      <c r="A20" t="s">
        <v>2170</v>
      </c>
      <c r="B20">
        <v>30000</v>
      </c>
      <c r="C20">
        <f t="shared" si="17"/>
        <v>331.31946980735489</v>
      </c>
      <c r="D20">
        <f t="shared" si="4"/>
        <v>424250.61890553334</v>
      </c>
      <c r="E20">
        <f t="shared" si="5"/>
        <v>12659.486133118175</v>
      </c>
      <c r="F20">
        <f t="shared" si="6"/>
        <v>1662.4710276483859</v>
      </c>
      <c r="G20">
        <f t="shared" si="7"/>
        <v>78092.401824194996</v>
      </c>
      <c r="H20">
        <f t="shared" si="8"/>
        <v>2655.6101123732701</v>
      </c>
      <c r="I20">
        <f t="shared" si="9"/>
        <v>122170.51192200638</v>
      </c>
      <c r="J20">
        <f t="shared" si="10"/>
        <v>72394.31199120995</v>
      </c>
      <c r="K20">
        <f t="shared" si="11"/>
        <v>85809.026512313358</v>
      </c>
      <c r="L20">
        <f t="shared" si="12"/>
        <v>54506.851991634234</v>
      </c>
      <c r="M20">
        <f t="shared" si="13"/>
        <v>139181.46750823522</v>
      </c>
      <c r="O20">
        <f t="shared" si="14"/>
        <v>858090.26512313355</v>
      </c>
      <c r="P20">
        <f t="shared" si="15"/>
        <v>307612.0024488463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opLeftCell="A7" workbookViewId="0">
      <selection activeCell="C34" sqref="C34"/>
    </sheetView>
  </sheetViews>
  <sheetFormatPr defaultRowHeight="13.9"/>
  <cols>
    <col min="2" max="2" width="14.59765625" customWidth="1"/>
    <col min="4" max="4" width="12.46484375" customWidth="1"/>
    <col min="5" max="5" width="13.86328125" customWidth="1"/>
    <col min="6" max="6" width="12.46484375" customWidth="1"/>
    <col min="7" max="7" width="19.59765625" customWidth="1"/>
    <col min="8" max="8" width="20.6640625" customWidth="1"/>
    <col min="9" max="9" width="19.9296875" customWidth="1"/>
    <col min="10" max="10" width="17.73046875" customWidth="1"/>
  </cols>
  <sheetData>
    <row r="2" spans="1:10">
      <c r="G2" t="s">
        <v>1949</v>
      </c>
      <c r="H2">
        <v>0.65600000000000003</v>
      </c>
      <c r="I2" t="s">
        <v>1950</v>
      </c>
    </row>
    <row r="3" spans="1:10">
      <c r="G3" t="s">
        <v>1951</v>
      </c>
      <c r="H3">
        <v>1.1499999999999999</v>
      </c>
      <c r="I3" t="s">
        <v>1952</v>
      </c>
    </row>
    <row r="4" spans="1:10">
      <c r="G4" t="s">
        <v>1953</v>
      </c>
      <c r="H4">
        <v>51</v>
      </c>
      <c r="I4" t="s">
        <v>1954</v>
      </c>
      <c r="J4">
        <f>(H4*16/(H4*16+(100-H4)*44))</f>
        <v>0.27456258411843876</v>
      </c>
    </row>
    <row r="5" spans="1:10">
      <c r="H5" s="46" t="s">
        <v>1551</v>
      </c>
    </row>
    <row r="6" spans="1:10">
      <c r="G6" t="s">
        <v>1955</v>
      </c>
      <c r="H6" s="35">
        <v>0.1115</v>
      </c>
    </row>
    <row r="7" spans="1:10">
      <c r="G7" t="s">
        <v>1956</v>
      </c>
      <c r="H7" s="47">
        <v>0.08</v>
      </c>
    </row>
    <row r="9" spans="1:10">
      <c r="B9" s="48" t="s">
        <v>1957</v>
      </c>
    </row>
    <row r="10" spans="1:10">
      <c r="A10" t="s">
        <v>1958</v>
      </c>
      <c r="B10" t="s">
        <v>1959</v>
      </c>
      <c r="C10" t="s">
        <v>1960</v>
      </c>
      <c r="D10" t="s">
        <v>1961</v>
      </c>
      <c r="E10" t="s">
        <v>1572</v>
      </c>
      <c r="F10" t="s">
        <v>1962</v>
      </c>
      <c r="G10" t="s">
        <v>1963</v>
      </c>
      <c r="I10" t="s">
        <v>1964</v>
      </c>
    </row>
    <row r="11" spans="1:10">
      <c r="A11" t="s">
        <v>1965</v>
      </c>
      <c r="B11" t="s">
        <v>1966</v>
      </c>
      <c r="C11" t="s">
        <v>1967</v>
      </c>
      <c r="D11" t="s">
        <v>1968</v>
      </c>
      <c r="E11">
        <v>1</v>
      </c>
      <c r="F11" t="s">
        <v>1969</v>
      </c>
      <c r="G11" t="s">
        <v>1970</v>
      </c>
      <c r="I11" t="s">
        <v>1971</v>
      </c>
    </row>
    <row r="12" spans="1:10">
      <c r="A12" t="s">
        <v>1972</v>
      </c>
      <c r="B12">
        <v>0.24</v>
      </c>
      <c r="C12">
        <f>11.15/100*1000</f>
        <v>111.5</v>
      </c>
      <c r="D12">
        <v>28</v>
      </c>
      <c r="E12">
        <f>0.8+0.0016*2.71828182846^(0.06*C12)</f>
        <v>2.0869156034333947</v>
      </c>
      <c r="F12">
        <v>45</v>
      </c>
      <c r="G12">
        <f>0.013*F12-0.129</f>
        <v>0.45599999999999996</v>
      </c>
      <c r="I12">
        <f>(B12*C12/D12)*(1-E12/(D12*G12-1+E12))</f>
        <v>0.81175851489839645</v>
      </c>
    </row>
    <row r="13" spans="1:10">
      <c r="A13" t="s">
        <v>1956</v>
      </c>
      <c r="B13">
        <v>0.6</v>
      </c>
      <c r="C13">
        <v>80</v>
      </c>
      <c r="D13">
        <v>20</v>
      </c>
      <c r="E13">
        <f>0.8+0.0016*2.71828182846^(0.06*C13)</f>
        <v>0.9944166680303036</v>
      </c>
      <c r="F13">
        <v>45</v>
      </c>
      <c r="G13">
        <f>0.013*F13-0.129</f>
        <v>0.45599999999999996</v>
      </c>
      <c r="I13">
        <f>(B13*C13/D13)*(1-E13/(D13*G13-1+E13))</f>
        <v>2.1381510973001752</v>
      </c>
    </row>
    <row r="14" spans="1:10">
      <c r="B14" s="49"/>
    </row>
    <row r="15" spans="1:10">
      <c r="B15" s="44"/>
    </row>
    <row r="18" spans="1:9">
      <c r="A18" t="s">
        <v>1973</v>
      </c>
      <c r="B18" t="s">
        <v>1974</v>
      </c>
      <c r="C18" t="s">
        <v>1975</v>
      </c>
      <c r="D18" t="s">
        <v>1976</v>
      </c>
      <c r="E18" t="s">
        <v>1977</v>
      </c>
      <c r="F18" t="s">
        <v>1978</v>
      </c>
      <c r="G18" t="s">
        <v>1979</v>
      </c>
      <c r="H18" t="s">
        <v>1980</v>
      </c>
      <c r="I18" t="s">
        <v>1982</v>
      </c>
    </row>
    <row r="19" spans="1:9">
      <c r="B19" t="s">
        <v>1983</v>
      </c>
      <c r="C19" t="s">
        <v>1984</v>
      </c>
      <c r="D19" t="s">
        <v>1985</v>
      </c>
      <c r="E19" t="s">
        <v>1986</v>
      </c>
      <c r="F19" t="s">
        <v>1987</v>
      </c>
      <c r="G19" t="s">
        <v>1988</v>
      </c>
      <c r="H19" t="s">
        <v>1989</v>
      </c>
      <c r="I19" t="s">
        <v>1990</v>
      </c>
    </row>
    <row r="20" spans="1:9">
      <c r="A20" s="50" t="s">
        <v>1991</v>
      </c>
      <c r="B20">
        <f>I12</f>
        <v>0.81175851489839645</v>
      </c>
      <c r="C20">
        <v>11217129.218925452</v>
      </c>
      <c r="D20">
        <f>C20*1000*1000/365</f>
        <v>30731860873.76836</v>
      </c>
      <c r="E20">
        <f>D20*D12</f>
        <v>860492104465.51404</v>
      </c>
      <c r="F20">
        <f>B20*E20</f>
        <v>698511792802.72144</v>
      </c>
      <c r="G20">
        <f>F20/D20</f>
        <v>22.729238417155099</v>
      </c>
      <c r="H20">
        <f>G20*H2/1000</f>
        <v>1.4910380401653744E-2</v>
      </c>
      <c r="I20">
        <f>H20/J4</f>
        <v>5.4305944306023195E-2</v>
      </c>
    </row>
    <row r="21" spans="1:9">
      <c r="A21" s="50" t="s">
        <v>1992</v>
      </c>
      <c r="B21">
        <f>I13</f>
        <v>2.1381510973001752</v>
      </c>
      <c r="C21">
        <v>634847.06999999995</v>
      </c>
      <c r="D21">
        <f>C21*1000*1000/365</f>
        <v>1739307041.0958905</v>
      </c>
      <c r="E21">
        <f>D21*D13</f>
        <v>34786140821.917809</v>
      </c>
      <c r="F21">
        <f>B21*E21</f>
        <v>74378025169.221985</v>
      </c>
      <c r="G21">
        <f>F21/D21</f>
        <v>42.763021946003505</v>
      </c>
      <c r="H21">
        <f>G21*H2/1000</f>
        <v>2.8052542396578301E-2</v>
      </c>
      <c r="I21">
        <f>H21/J4</f>
        <v>0.10217175980714548</v>
      </c>
    </row>
    <row r="22" spans="1:9">
      <c r="C22" s="40"/>
    </row>
    <row r="24" spans="1:9">
      <c r="A24" s="50" t="s">
        <v>1993</v>
      </c>
      <c r="D24" t="s">
        <v>1994</v>
      </c>
      <c r="F24" t="s">
        <v>1995</v>
      </c>
    </row>
    <row r="25" spans="1:9">
      <c r="A25">
        <v>115000</v>
      </c>
      <c r="B25" t="s">
        <v>1996</v>
      </c>
      <c r="D25">
        <v>688000</v>
      </c>
      <c r="E25" t="s">
        <v>1997</v>
      </c>
      <c r="F25">
        <f>D25*0.6</f>
        <v>412800</v>
      </c>
      <c r="G25" t="s">
        <v>1998</v>
      </c>
    </row>
    <row r="26" spans="1:9">
      <c r="A26" t="s">
        <v>1999</v>
      </c>
      <c r="E26" t="s">
        <v>2000</v>
      </c>
      <c r="F26" t="s">
        <v>2001</v>
      </c>
    </row>
    <row r="27" spans="1:9">
      <c r="A27">
        <f>A25*3.785412</f>
        <v>435322.38</v>
      </c>
      <c r="B27" t="s">
        <v>2002</v>
      </c>
      <c r="F27">
        <f>F25*0.028317</f>
        <v>11689.257599999999</v>
      </c>
      <c r="G27" t="s">
        <v>2003</v>
      </c>
    </row>
    <row r="28" spans="1:9">
      <c r="F28" t="s">
        <v>1999</v>
      </c>
    </row>
    <row r="29" spans="1:9">
      <c r="F29">
        <f>F27*H2</f>
        <v>7668.1529855999997</v>
      </c>
      <c r="G29" t="s">
        <v>2004</v>
      </c>
    </row>
    <row r="31" spans="1:9">
      <c r="B31" t="s">
        <v>2005</v>
      </c>
      <c r="C31" t="s">
        <v>1981</v>
      </c>
    </row>
    <row r="32" spans="1:9">
      <c r="B32" t="s">
        <v>2006</v>
      </c>
      <c r="C32" t="s">
        <v>1990</v>
      </c>
    </row>
    <row r="33" spans="2:3">
      <c r="B33">
        <f>F29/A27</f>
        <v>1.7614883447067433E-2</v>
      </c>
      <c r="C33">
        <f>B33/J4</f>
        <v>6.4156168633191679E-2</v>
      </c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3" sqref="L3"/>
    </sheetView>
  </sheetViews>
  <sheetFormatPr defaultRowHeight="13.9"/>
  <sheetData>
    <row r="1" spans="1:12">
      <c r="A1" t="s">
        <v>2009</v>
      </c>
      <c r="E1" t="s">
        <v>2010</v>
      </c>
      <c r="G1" t="s">
        <v>2011</v>
      </c>
      <c r="I1" t="s">
        <v>2012</v>
      </c>
      <c r="L1" t="s">
        <v>2013</v>
      </c>
    </row>
    <row r="2" spans="1:12">
      <c r="A2">
        <v>6.3500000000000001E-2</v>
      </c>
      <c r="B2" t="s">
        <v>2014</v>
      </c>
      <c r="E2">
        <v>0.84</v>
      </c>
      <c r="F2" t="s">
        <v>2015</v>
      </c>
      <c r="G2">
        <v>2.8</v>
      </c>
      <c r="H2" t="s">
        <v>2016</v>
      </c>
      <c r="I2">
        <v>22.4</v>
      </c>
      <c r="J2" t="s">
        <v>2017</v>
      </c>
      <c r="L2">
        <v>0.35</v>
      </c>
    </row>
    <row r="3" spans="1:12">
      <c r="A3" s="51" t="s">
        <v>2018</v>
      </c>
      <c r="G3" t="s">
        <v>2019</v>
      </c>
      <c r="I3" t="s">
        <v>2020</v>
      </c>
      <c r="L3" s="48" t="s">
        <v>2021</v>
      </c>
    </row>
    <row r="4" spans="1:12">
      <c r="A4" s="51"/>
    </row>
    <row r="5" spans="1:12">
      <c r="A5" t="s">
        <v>2022</v>
      </c>
    </row>
    <row r="6" spans="1:12">
      <c r="A6" s="50">
        <f>A2/E2/3.785412*G2/L2</f>
        <v>0.15976118445281645</v>
      </c>
      <c r="B6" t="s">
        <v>2023</v>
      </c>
    </row>
    <row r="8" spans="1:12">
      <c r="A8" t="s">
        <v>2024</v>
      </c>
    </row>
    <row r="9" spans="1:12">
      <c r="A9" s="50">
        <f>A2/E2/3.785412*I2*0.453592</f>
        <v>0.20290590649930138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1" workbookViewId="0"/>
  </sheetViews>
  <sheetFormatPr defaultRowHeight="13.9"/>
  <sheetData>
    <row r="1" spans="1:12">
      <c r="A1" s="9" t="s">
        <v>2026</v>
      </c>
    </row>
    <row r="2" spans="1:12">
      <c r="A2" t="s">
        <v>2027</v>
      </c>
      <c r="C2" t="s">
        <v>2028</v>
      </c>
      <c r="F2" t="s">
        <v>2029</v>
      </c>
      <c r="I2" t="s">
        <v>2030</v>
      </c>
    </row>
    <row r="3" spans="1:12">
      <c r="A3">
        <v>55.6</v>
      </c>
      <c r="B3" t="s">
        <v>2031</v>
      </c>
      <c r="C3">
        <f>A3*B7/100</f>
        <v>15.265679676985195</v>
      </c>
      <c r="D3" t="s">
        <v>2032</v>
      </c>
      <c r="E3" t="s">
        <v>2033</v>
      </c>
      <c r="F3">
        <f>C3*1000*1000/3600</f>
        <v>4240.4665769403318</v>
      </c>
      <c r="G3" t="s">
        <v>2034</v>
      </c>
      <c r="H3" t="s">
        <v>2033</v>
      </c>
      <c r="I3">
        <f>F3*G7</f>
        <v>1272.1399730820995</v>
      </c>
      <c r="J3" t="s">
        <v>2035</v>
      </c>
      <c r="K3">
        <f>I3*E7</f>
        <v>101.77119784656796</v>
      </c>
      <c r="L3" t="s">
        <v>2036</v>
      </c>
    </row>
    <row r="4" spans="1:12">
      <c r="E4" t="s">
        <v>2033</v>
      </c>
      <c r="F4">
        <f>1/F3*1000</f>
        <v>0.23582310622090563</v>
      </c>
      <c r="G4" t="s">
        <v>2037</v>
      </c>
    </row>
    <row r="6" spans="1:12">
      <c r="A6" t="s">
        <v>2038</v>
      </c>
      <c r="B6">
        <f>0.51*100</f>
        <v>51</v>
      </c>
      <c r="C6" t="s">
        <v>2039</v>
      </c>
      <c r="E6" t="s">
        <v>2040</v>
      </c>
      <c r="G6" t="s">
        <v>2041</v>
      </c>
    </row>
    <row r="7" spans="1:12">
      <c r="A7" t="s">
        <v>2042</v>
      </c>
      <c r="B7">
        <f>(B6/100)*16/(B6/100*16+(1-B6/100)*44)*100</f>
        <v>27.456258411843876</v>
      </c>
      <c r="C7" t="s">
        <v>2043</v>
      </c>
      <c r="E7">
        <v>0.08</v>
      </c>
      <c r="F7" t="s">
        <v>2044</v>
      </c>
      <c r="G7">
        <v>0.3</v>
      </c>
    </row>
    <row r="11" spans="1:12">
      <c r="A11" s="9" t="s">
        <v>2045</v>
      </c>
    </row>
    <row r="12" spans="1:12">
      <c r="A12" t="s">
        <v>2046</v>
      </c>
      <c r="C12" t="s">
        <v>2047</v>
      </c>
      <c r="F12" t="s">
        <v>2048</v>
      </c>
      <c r="I12" t="s">
        <v>2049</v>
      </c>
    </row>
    <row r="13" spans="1:12">
      <c r="A13">
        <v>55.6</v>
      </c>
      <c r="B13" t="s">
        <v>2050</v>
      </c>
      <c r="C13">
        <f>A13*B17/100</f>
        <v>15.265679676985195</v>
      </c>
      <c r="D13" t="s">
        <v>2050</v>
      </c>
      <c r="E13" t="s">
        <v>2051</v>
      </c>
      <c r="F13">
        <f>C13*1000*1000/3600</f>
        <v>4240.4665769403318</v>
      </c>
      <c r="G13" t="s">
        <v>2052</v>
      </c>
      <c r="H13" t="s">
        <v>2051</v>
      </c>
      <c r="I13">
        <f>F13*G17</f>
        <v>1696.1866307761329</v>
      </c>
      <c r="J13" t="s">
        <v>2053</v>
      </c>
      <c r="K13">
        <f>I13*E17</f>
        <v>310.74139075818755</v>
      </c>
      <c r="L13" t="s">
        <v>2054</v>
      </c>
    </row>
    <row r="14" spans="1:12">
      <c r="E14" t="s">
        <v>2051</v>
      </c>
      <c r="F14">
        <f>1/F13*1000</f>
        <v>0.23582310622090563</v>
      </c>
      <c r="G14" t="s">
        <v>2055</v>
      </c>
    </row>
    <row r="16" spans="1:12">
      <c r="A16" t="s">
        <v>2056</v>
      </c>
      <c r="B16">
        <f>0.51*100</f>
        <v>51</v>
      </c>
      <c r="C16" t="s">
        <v>2057</v>
      </c>
      <c r="E16" t="s">
        <v>2058</v>
      </c>
      <c r="G16" t="s">
        <v>2059</v>
      </c>
    </row>
    <row r="17" spans="1:12">
      <c r="A17" t="s">
        <v>2060</v>
      </c>
      <c r="B17">
        <f>(B16/100)*16/(B16/100*16+(1-B16/100)*44)*100</f>
        <v>27.456258411843876</v>
      </c>
      <c r="C17" t="s">
        <v>2061</v>
      </c>
      <c r="E17">
        <v>0.1832</v>
      </c>
      <c r="F17" t="s">
        <v>2062</v>
      </c>
      <c r="G17">
        <v>0.4</v>
      </c>
    </row>
    <row r="20" spans="1:12">
      <c r="A20" s="9" t="s">
        <v>2063</v>
      </c>
    </row>
    <row r="21" spans="1:12">
      <c r="A21" t="s">
        <v>2046</v>
      </c>
      <c r="C21" t="s">
        <v>2047</v>
      </c>
      <c r="F21" t="s">
        <v>2048</v>
      </c>
      <c r="I21" t="s">
        <v>2049</v>
      </c>
    </row>
    <row r="22" spans="1:12">
      <c r="A22">
        <v>55.6</v>
      </c>
      <c r="B22" t="s">
        <v>2050</v>
      </c>
      <c r="C22">
        <f>A22*B26/100</f>
        <v>15.265679676985195</v>
      </c>
      <c r="D22" t="s">
        <v>2050</v>
      </c>
      <c r="E22" t="s">
        <v>2064</v>
      </c>
      <c r="F22">
        <f>C22*1000*1000/3600</f>
        <v>4240.4665769403318</v>
      </c>
      <c r="G22" t="s">
        <v>2052</v>
      </c>
      <c r="H22" t="s">
        <v>2051</v>
      </c>
      <c r="I22">
        <f>F22*G26</f>
        <v>1272.1399730820995</v>
      </c>
      <c r="J22" t="s">
        <v>2053</v>
      </c>
      <c r="K22">
        <f>I22*E26</f>
        <v>67.42341857335127</v>
      </c>
      <c r="L22" t="s">
        <v>2054</v>
      </c>
    </row>
    <row r="23" spans="1:12">
      <c r="E23" t="s">
        <v>2051</v>
      </c>
      <c r="F23">
        <f>1/F22*1000</f>
        <v>0.23582310622090563</v>
      </c>
      <c r="G23" t="s">
        <v>2055</v>
      </c>
    </row>
    <row r="25" spans="1:12">
      <c r="A25" t="s">
        <v>2056</v>
      </c>
      <c r="B25">
        <f>0.51*100</f>
        <v>51</v>
      </c>
      <c r="C25" t="s">
        <v>2065</v>
      </c>
      <c r="E25" t="s">
        <v>2066</v>
      </c>
      <c r="G25" t="s">
        <v>2059</v>
      </c>
    </row>
    <row r="26" spans="1:12">
      <c r="A26" t="s">
        <v>2060</v>
      </c>
      <c r="B26">
        <f>(B25/100)*16/(B25/100*16+(1-B25/100)*44)*100</f>
        <v>27.456258411843876</v>
      </c>
      <c r="C26" t="s">
        <v>2061</v>
      </c>
      <c r="E26">
        <v>5.2999999999999999E-2</v>
      </c>
      <c r="F26" t="s">
        <v>2062</v>
      </c>
      <c r="G26">
        <v>0.3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9"/>
  <sheetViews>
    <sheetView workbookViewId="0">
      <selection activeCell="I8" sqref="I8"/>
    </sheetView>
  </sheetViews>
  <sheetFormatPr defaultRowHeight="13.9"/>
  <cols>
    <col min="1" max="1" width="12.19921875" style="52" customWidth="1"/>
    <col min="2" max="2" width="13.19921875" style="53" customWidth="1"/>
    <col min="3" max="4" width="14.59765625" style="53" customWidth="1"/>
    <col min="5" max="5" width="30" style="54" customWidth="1"/>
    <col min="6" max="6" width="26.1328125" style="53" customWidth="1"/>
    <col min="7" max="7" width="12.1328125" style="53" customWidth="1"/>
    <col min="8" max="8" width="11.59765625" style="53" customWidth="1"/>
    <col min="9" max="9" width="20.06640625" style="54" customWidth="1"/>
    <col min="10" max="10" width="19.86328125" style="53" customWidth="1"/>
    <col min="11" max="11" width="13.19921875" style="53" customWidth="1"/>
    <col min="12" max="13" width="12.1328125" style="53" customWidth="1"/>
    <col min="14" max="14" width="12.06640625" style="53" customWidth="1"/>
    <col min="15" max="15" width="26.3984375" style="53" customWidth="1"/>
    <col min="16" max="16384" width="9.06640625" style="53"/>
  </cols>
  <sheetData>
    <row r="2" spans="1:15">
      <c r="A2" s="52" t="s">
        <v>2075</v>
      </c>
      <c r="D2" s="53">
        <f>0.1115*(1-0.37)</f>
        <v>7.0245000000000002E-2</v>
      </c>
      <c r="E2" s="54" t="s">
        <v>2076</v>
      </c>
      <c r="H2" s="53">
        <f>0.1115*0.37</f>
        <v>4.1255E-2</v>
      </c>
      <c r="I2" s="54" t="s">
        <v>2076</v>
      </c>
      <c r="K2" s="53" t="s">
        <v>2077</v>
      </c>
      <c r="M2" s="53">
        <v>0.1115</v>
      </c>
      <c r="N2" s="53" t="s">
        <v>2078</v>
      </c>
    </row>
    <row r="3" spans="1:15">
      <c r="A3" s="55" t="s">
        <v>2079</v>
      </c>
      <c r="B3" s="56" t="s">
        <v>2080</v>
      </c>
      <c r="C3" s="53" t="s">
        <v>2081</v>
      </c>
      <c r="D3" s="53" t="s">
        <v>2082</v>
      </c>
      <c r="E3" s="54" t="s">
        <v>2083</v>
      </c>
      <c r="G3" s="53" t="s">
        <v>2084</v>
      </c>
      <c r="H3" s="53" t="s">
        <v>2085</v>
      </c>
      <c r="I3" s="54" t="s">
        <v>2086</v>
      </c>
      <c r="K3" s="56" t="s">
        <v>2080</v>
      </c>
      <c r="L3" s="53" t="s">
        <v>2087</v>
      </c>
      <c r="M3" s="53" t="s">
        <v>2085</v>
      </c>
      <c r="N3" s="53" t="s">
        <v>2088</v>
      </c>
    </row>
    <row r="4" spans="1:15">
      <c r="A4" s="55">
        <v>1</v>
      </c>
      <c r="B4" s="57">
        <v>278.46111111111111</v>
      </c>
      <c r="C4" s="53">
        <f>$D$2*A4</f>
        <v>7.0245000000000002E-2</v>
      </c>
      <c r="D4" s="53">
        <f>3*E4</f>
        <v>1.2128957261655983E-5</v>
      </c>
      <c r="E4" s="54">
        <f t="shared" ref="E4:E67" si="0">(24*C4*(0.5)*1)/1000*EXP(43.33-112700/8.314/B4)+(24*C4*(0.5)*0.01)/1000*EXP(43.33-112700/8.314/B4)</f>
        <v>4.0429857538853277E-6</v>
      </c>
      <c r="F4" s="58">
        <f>SUM(E4:E369)</f>
        <v>0.60823217422529319</v>
      </c>
      <c r="G4" s="53">
        <f>$H$2*A4</f>
        <v>4.1255E-2</v>
      </c>
      <c r="H4" s="53">
        <f>3*I4</f>
        <v>8.0370193910999937E-7</v>
      </c>
      <c r="I4" s="54">
        <f>MAX(G4*0.24*0.67*(0.201*(B4-273)-0.29)/100/100*0.5,0)</f>
        <v>2.6790064636999979E-7</v>
      </c>
      <c r="J4" s="58">
        <f>SUM(I4:I369)</f>
        <v>1.941513601124021E-2</v>
      </c>
      <c r="K4" s="57">
        <v>278.46111111111111</v>
      </c>
      <c r="L4" s="53">
        <f>$M$2*A4</f>
        <v>0.1115</v>
      </c>
      <c r="M4" s="53">
        <f>3*N4</f>
        <v>1.9252313113739653E-5</v>
      </c>
      <c r="N4" s="53">
        <f t="shared" ref="N4:N67" si="1">(24*L4*(0.5)*1)/1000*EXP(43.33-112700/8.314/K4)+(24*L4*(0.5)*0.01)/1000*EXP(43.33-112700/8.314/K4)</f>
        <v>6.4174377045798848E-6</v>
      </c>
      <c r="O4" s="58">
        <f>SUM(N4:N369)</f>
        <v>0.96544789559570487</v>
      </c>
    </row>
    <row r="5" spans="1:15">
      <c r="A5" s="55">
        <v>2</v>
      </c>
      <c r="B5" s="59">
        <v>279.39999999999998</v>
      </c>
      <c r="C5" s="53">
        <f t="shared" ref="C5:C68" si="2">$D$2*A5-D4</f>
        <v>0.14047787104273834</v>
      </c>
      <c r="D5" s="53">
        <f>D4+3*E5</f>
        <v>4.069558609477375E-5</v>
      </c>
      <c r="E5" s="54">
        <f t="shared" si="0"/>
        <v>9.5222096110392544E-6</v>
      </c>
      <c r="F5" s="58" t="s">
        <v>2089</v>
      </c>
      <c r="G5" s="53">
        <f>$H$2*A5-H4</f>
        <v>8.2509196298060888E-2</v>
      </c>
      <c r="H5" s="53">
        <f>H4+3*I5</f>
        <v>2.7866593152862661E-6</v>
      </c>
      <c r="I5" s="54">
        <f t="shared" ref="I5:I68" si="3">MAX(G5*0.24*0.67*(0.201*(B5-273)-0.29)/100/100*0.5,0)</f>
        <v>6.6098579205875553E-7</v>
      </c>
      <c r="J5" s="58" t="s">
        <v>2090</v>
      </c>
      <c r="K5" s="59">
        <v>279.39999999999998</v>
      </c>
      <c r="L5" s="53">
        <f t="shared" ref="L5:L68" si="4">$M$2*A5-M4</f>
        <v>0.22298074768688628</v>
      </c>
      <c r="M5" s="53">
        <f>M4+N5*3</f>
        <v>6.4596168404402771E-5</v>
      </c>
      <c r="N5" s="53">
        <f t="shared" si="1"/>
        <v>1.5114618430221043E-5</v>
      </c>
      <c r="O5" s="58" t="s">
        <v>2089</v>
      </c>
    </row>
    <row r="6" spans="1:15">
      <c r="A6" s="55">
        <v>3</v>
      </c>
      <c r="B6" s="59">
        <v>278.39999999999998</v>
      </c>
      <c r="C6" s="53">
        <f t="shared" si="2"/>
        <v>0.21069430441390524</v>
      </c>
      <c r="D6" s="53">
        <f>D5+3*E6</f>
        <v>7.6688759006021033E-5</v>
      </c>
      <c r="E6" s="54">
        <f t="shared" si="0"/>
        <v>1.1997724303749094E-5</v>
      </c>
      <c r="F6" s="58"/>
      <c r="G6" s="53">
        <f t="shared" ref="G6:G69" si="5">$H$2*A6-H5</f>
        <v>0.12376221334068471</v>
      </c>
      <c r="H6" s="53">
        <f t="shared" ref="H6:H69" si="6">H5+3*I6</f>
        <v>5.1610433188135294E-6</v>
      </c>
      <c r="I6" s="54">
        <f t="shared" si="3"/>
        <v>7.9146133450908776E-7</v>
      </c>
      <c r="J6" s="58"/>
      <c r="K6" s="59">
        <v>278.39999999999998</v>
      </c>
      <c r="L6" s="53">
        <f t="shared" si="4"/>
        <v>0.33443540383159559</v>
      </c>
      <c r="M6" s="53">
        <f t="shared" ref="M6:M69" si="7">M5+N6*3</f>
        <v>1.2172818889844608E-4</v>
      </c>
      <c r="N6" s="53">
        <f t="shared" si="1"/>
        <v>1.9044006831347766E-5</v>
      </c>
      <c r="O6" s="58"/>
    </row>
    <row r="7" spans="1:15">
      <c r="A7" s="55">
        <v>4</v>
      </c>
      <c r="B7" s="59">
        <v>277.28888888888889</v>
      </c>
      <c r="C7" s="53">
        <f t="shared" si="2"/>
        <v>0.28090331124099399</v>
      </c>
      <c r="D7" s="53">
        <f t="shared" ref="D7:D70" si="8">D6+3*E7</f>
        <v>1.161700112887388E-4</v>
      </c>
      <c r="E7" s="54">
        <f t="shared" si="0"/>
        <v>1.3160417427572591E-5</v>
      </c>
      <c r="F7" s="60">
        <f>F4/D2/365</f>
        <v>2.3722535674075888E-2</v>
      </c>
      <c r="G7" s="53">
        <f t="shared" si="5"/>
        <v>0.16501483895668118</v>
      </c>
      <c r="H7" s="53">
        <f t="shared" si="6"/>
        <v>7.4379589904178798E-6</v>
      </c>
      <c r="I7" s="54">
        <f t="shared" si="3"/>
        <v>7.5897189053478341E-7</v>
      </c>
      <c r="J7" s="58">
        <f>J4/H2/365*1.4</f>
        <v>1.8050906517424233E-3</v>
      </c>
      <c r="K7" s="59">
        <v>277.28888888888889</v>
      </c>
      <c r="L7" s="53">
        <f t="shared" si="4"/>
        <v>0.44587827181110157</v>
      </c>
      <c r="M7" s="53">
        <f t="shared" si="7"/>
        <v>1.843968433154584E-4</v>
      </c>
      <c r="N7" s="53">
        <f t="shared" si="1"/>
        <v>2.0889551472337447E-5</v>
      </c>
      <c r="O7" s="58">
        <f>O4/365/M2</f>
        <v>2.3722535674075923E-2</v>
      </c>
    </row>
    <row r="8" spans="1:15">
      <c r="A8" s="55">
        <v>5</v>
      </c>
      <c r="B8" s="59">
        <v>277.35555555555555</v>
      </c>
      <c r="C8" s="53">
        <f t="shared" si="2"/>
        <v>0.35110882998871129</v>
      </c>
      <c r="D8" s="53">
        <f t="shared" si="8"/>
        <v>1.6610201036993701E-4</v>
      </c>
      <c r="E8" s="54">
        <f t="shared" si="0"/>
        <v>1.6643999693732729E-5</v>
      </c>
      <c r="F8" s="58" t="s">
        <v>2091</v>
      </c>
      <c r="G8" s="53">
        <f t="shared" si="5"/>
        <v>0.20626756204100957</v>
      </c>
      <c r="H8" s="53">
        <f t="shared" si="6"/>
        <v>1.0350757292007266E-5</v>
      </c>
      <c r="I8" s="54">
        <f t="shared" si="3"/>
        <v>9.7093276719646215E-7</v>
      </c>
      <c r="J8" s="58" t="s">
        <v>2091</v>
      </c>
      <c r="K8" s="59">
        <v>277.35555555555555</v>
      </c>
      <c r="L8" s="53">
        <f t="shared" si="4"/>
        <v>0.55731560315668449</v>
      </c>
      <c r="M8" s="53">
        <f t="shared" si="7"/>
        <v>2.6365398471418566E-4</v>
      </c>
      <c r="N8" s="53">
        <f t="shared" si="1"/>
        <v>2.6419047132909089E-5</v>
      </c>
      <c r="O8" s="58" t="s">
        <v>2091</v>
      </c>
    </row>
    <row r="9" spans="1:15">
      <c r="A9" s="55">
        <v>6</v>
      </c>
      <c r="B9" s="59">
        <v>277.02222222222224</v>
      </c>
      <c r="C9" s="53">
        <f t="shared" si="2"/>
        <v>0.42130389798963008</v>
      </c>
      <c r="D9" s="53">
        <f t="shared" si="8"/>
        <v>2.2259472055892864E-4</v>
      </c>
      <c r="E9" s="54">
        <f t="shared" si="0"/>
        <v>1.8830903396330542E-5</v>
      </c>
      <c r="G9" s="53">
        <f t="shared" si="5"/>
        <v>0.247519649242708</v>
      </c>
      <c r="H9" s="53">
        <f t="shared" si="6"/>
        <v>1.3446093473961437E-5</v>
      </c>
      <c r="I9" s="54">
        <f t="shared" si="3"/>
        <v>1.0317787273180565E-6</v>
      </c>
      <c r="K9" s="59">
        <v>277.02222222222224</v>
      </c>
      <c r="L9" s="53">
        <f t="shared" si="4"/>
        <v>0.66873634601528587</v>
      </c>
      <c r="M9" s="53">
        <f t="shared" si="7"/>
        <v>3.5332495326814066E-4</v>
      </c>
      <c r="N9" s="53">
        <f t="shared" si="1"/>
        <v>2.9890322851318328E-5</v>
      </c>
    </row>
    <row r="10" spans="1:15">
      <c r="A10" s="55">
        <v>7</v>
      </c>
      <c r="B10" s="59">
        <v>275.8</v>
      </c>
      <c r="C10" s="53">
        <f t="shared" si="2"/>
        <v>0.4914924052794411</v>
      </c>
      <c r="D10" s="53">
        <f t="shared" si="8"/>
        <v>2.7565113562153041E-4</v>
      </c>
      <c r="E10" s="54">
        <f t="shared" si="0"/>
        <v>1.7685471687533922E-5</v>
      </c>
      <c r="F10" s="58">
        <f>0.5*(SUM(E4:E186)/183 + SUM(E188:E369)/182)</f>
        <v>1.6621721136583151E-3</v>
      </c>
      <c r="G10" s="53">
        <f t="shared" si="5"/>
        <v>0.28877155390652604</v>
      </c>
      <c r="H10" s="53">
        <f t="shared" si="6"/>
        <v>1.5346191817286943E-5</v>
      </c>
      <c r="I10" s="54">
        <f t="shared" si="3"/>
        <v>6.3336611444183584E-7</v>
      </c>
      <c r="J10" s="58">
        <f>0.5*(SUM(I4:I186)/183 + SUM(I188:I369)/182)</f>
        <v>5.305804743814758E-5</v>
      </c>
      <c r="K10" s="59">
        <v>275.8</v>
      </c>
      <c r="L10" s="53">
        <f t="shared" si="4"/>
        <v>0.78014667504673185</v>
      </c>
      <c r="M10" s="53">
        <f t="shared" si="7"/>
        <v>4.3754148511354027E-4</v>
      </c>
      <c r="N10" s="53">
        <f t="shared" si="1"/>
        <v>2.8072177281799875E-5</v>
      </c>
      <c r="O10" s="58">
        <f>0.5*(SUM(N4:N186)/183 + SUM(N188:N369)/182)</f>
        <v>2.6383684343782806E-3</v>
      </c>
    </row>
    <row r="11" spans="1:15">
      <c r="A11" s="55">
        <v>8</v>
      </c>
      <c r="B11" s="59">
        <v>275.86666666666667</v>
      </c>
      <c r="C11" s="53">
        <f t="shared" si="2"/>
        <v>0.56168434886437846</v>
      </c>
      <c r="D11" s="53">
        <f t="shared" si="8"/>
        <v>3.3700922035019126E-4</v>
      </c>
      <c r="E11" s="54">
        <f t="shared" si="0"/>
        <v>2.0452694909553616E-5</v>
      </c>
      <c r="F11" s="58" t="s">
        <v>2092</v>
      </c>
      <c r="G11" s="53">
        <f t="shared" si="5"/>
        <v>0.33002465380818269</v>
      </c>
      <c r="H11" s="53">
        <f t="shared" si="6"/>
        <v>1.762439952607499E-5</v>
      </c>
      <c r="I11" s="54">
        <f t="shared" si="3"/>
        <v>7.5940256959601535E-7</v>
      </c>
      <c r="J11" s="58" t="s">
        <v>2092</v>
      </c>
      <c r="K11" s="59">
        <v>275.86666666666667</v>
      </c>
      <c r="L11" s="53">
        <f t="shared" si="4"/>
        <v>0.89156245851488647</v>
      </c>
      <c r="M11" s="53">
        <f t="shared" si="7"/>
        <v>5.349352703971289E-4</v>
      </c>
      <c r="N11" s="53">
        <f t="shared" si="1"/>
        <v>3.2464595094529555E-5</v>
      </c>
      <c r="O11" s="58" t="s">
        <v>2092</v>
      </c>
    </row>
    <row r="12" spans="1:15">
      <c r="A12" s="55">
        <v>9</v>
      </c>
      <c r="B12" s="59">
        <v>276.86666666666667</v>
      </c>
      <c r="C12" s="53">
        <f t="shared" si="2"/>
        <v>0.63186799077964984</v>
      </c>
      <c r="D12" s="53">
        <f t="shared" si="8"/>
        <v>4.1943886919093326E-4</v>
      </c>
      <c r="E12" s="54">
        <f t="shared" si="0"/>
        <v>2.747654961358068E-5</v>
      </c>
      <c r="G12" s="53">
        <f t="shared" si="5"/>
        <v>0.37127737560047391</v>
      </c>
      <c r="H12" s="53">
        <f t="shared" si="6"/>
        <v>2.1987377983983331E-5</v>
      </c>
      <c r="I12" s="54">
        <f t="shared" si="3"/>
        <v>1.4543261526361139E-6</v>
      </c>
      <c r="K12" s="59">
        <v>276.86666666666667</v>
      </c>
      <c r="L12" s="53">
        <f t="shared" si="4"/>
        <v>1.0029650647296029</v>
      </c>
      <c r="M12" s="53">
        <f t="shared" si="7"/>
        <v>6.6577598284275116E-4</v>
      </c>
      <c r="N12" s="53">
        <f t="shared" si="1"/>
        <v>4.3613570815207429E-5</v>
      </c>
    </row>
    <row r="13" spans="1:15">
      <c r="A13" s="55">
        <v>10</v>
      </c>
      <c r="B13" s="59">
        <v>279.9111111111111</v>
      </c>
      <c r="C13" s="53">
        <f t="shared" si="2"/>
        <v>0.70203056113080908</v>
      </c>
      <c r="D13" s="53">
        <f t="shared" si="8"/>
        <v>5.7542323176678137E-4</v>
      </c>
      <c r="E13" s="54">
        <f t="shared" si="0"/>
        <v>5.1994787525282688E-5</v>
      </c>
      <c r="F13" s="61"/>
      <c r="G13" s="53">
        <f t="shared" si="5"/>
        <v>0.41252801262201599</v>
      </c>
      <c r="H13" s="53">
        <f t="shared" si="6"/>
        <v>3.2923947729294778E-5</v>
      </c>
      <c r="I13" s="54">
        <f t="shared" si="3"/>
        <v>3.6455232484371504E-6</v>
      </c>
      <c r="K13" s="59">
        <v>279.9111111111111</v>
      </c>
      <c r="L13" s="53">
        <f t="shared" si="4"/>
        <v>1.1143342240171572</v>
      </c>
      <c r="M13" s="53">
        <f t="shared" si="7"/>
        <v>9.1337020915362101E-4</v>
      </c>
      <c r="N13" s="53">
        <f t="shared" si="1"/>
        <v>8.2531408770289969E-5</v>
      </c>
    </row>
    <row r="14" spans="1:15">
      <c r="A14" s="55">
        <v>11</v>
      </c>
      <c r="B14" s="59">
        <v>278.64444444444445</v>
      </c>
      <c r="C14" s="53">
        <f t="shared" si="2"/>
        <v>0.77211957676823328</v>
      </c>
      <c r="D14" s="53">
        <f t="shared" si="8"/>
        <v>7.1308157396047936E-4</v>
      </c>
      <c r="E14" s="54">
        <f t="shared" si="0"/>
        <v>4.5886114064566021E-5</v>
      </c>
      <c r="G14" s="53">
        <f t="shared" si="5"/>
        <v>0.45377207605227071</v>
      </c>
      <c r="H14" s="53">
        <f t="shared" si="6"/>
        <v>4.2167350261658488E-5</v>
      </c>
      <c r="I14" s="54">
        <f t="shared" si="3"/>
        <v>3.0811341774545694E-6</v>
      </c>
      <c r="K14" s="59">
        <v>278.64444444444445</v>
      </c>
      <c r="L14" s="53">
        <f t="shared" si="4"/>
        <v>1.2255866297908462</v>
      </c>
      <c r="M14" s="53">
        <f t="shared" si="7"/>
        <v>1.1318755142229828E-3</v>
      </c>
      <c r="N14" s="53">
        <f t="shared" si="1"/>
        <v>7.2835101689787304E-5</v>
      </c>
    </row>
    <row r="15" spans="1:15">
      <c r="A15" s="55">
        <v>12</v>
      </c>
      <c r="B15" s="59">
        <v>277.82222222222219</v>
      </c>
      <c r="C15" s="53">
        <f t="shared" si="2"/>
        <v>0.84222691842603958</v>
      </c>
      <c r="D15" s="53">
        <f t="shared" si="8"/>
        <v>8.4310444016383009E-4</v>
      </c>
      <c r="E15" s="54">
        <f t="shared" si="0"/>
        <v>4.3340955401116898E-5</v>
      </c>
      <c r="G15" s="53">
        <f t="shared" si="5"/>
        <v>0.49501783264973837</v>
      </c>
      <c r="H15" s="53">
        <f t="shared" si="6"/>
        <v>5.0277678870222468E-5</v>
      </c>
      <c r="I15" s="54">
        <f t="shared" si="3"/>
        <v>2.7034428695213253E-6</v>
      </c>
      <c r="K15" s="59">
        <v>277.82222222222219</v>
      </c>
      <c r="L15" s="53">
        <f t="shared" si="4"/>
        <v>1.3368681244857772</v>
      </c>
      <c r="M15" s="53">
        <f t="shared" si="7"/>
        <v>1.3382610161330633E-3</v>
      </c>
      <c r="N15" s="53">
        <f t="shared" si="1"/>
        <v>6.8795167303360152E-5</v>
      </c>
    </row>
    <row r="16" spans="1:15">
      <c r="A16" s="55">
        <v>13</v>
      </c>
      <c r="B16" s="59">
        <v>278.75555555555553</v>
      </c>
      <c r="C16" s="53">
        <f t="shared" si="2"/>
        <v>0.91234189555983625</v>
      </c>
      <c r="D16" s="53">
        <f t="shared" si="8"/>
        <v>1.008947362083869E-3</v>
      </c>
      <c r="E16" s="54">
        <f t="shared" si="0"/>
        <v>5.5280973973346303E-5</v>
      </c>
      <c r="G16" s="53">
        <f t="shared" si="5"/>
        <v>0.53626472232112976</v>
      </c>
      <c r="H16" s="53">
        <f t="shared" si="6"/>
        <v>6.1490343566643785E-5</v>
      </c>
      <c r="I16" s="54">
        <f t="shared" si="3"/>
        <v>3.7375548988071035E-6</v>
      </c>
      <c r="K16" s="59">
        <v>278.75555555555553</v>
      </c>
      <c r="L16" s="53">
        <f t="shared" si="4"/>
        <v>1.448161738983867</v>
      </c>
      <c r="M16" s="53">
        <f t="shared" si="7"/>
        <v>1.6015037493394744E-3</v>
      </c>
      <c r="N16" s="53">
        <f t="shared" si="1"/>
        <v>8.7747577735470316E-5</v>
      </c>
    </row>
    <row r="17" spans="1:14">
      <c r="A17" s="55">
        <v>14</v>
      </c>
      <c r="B17" s="59">
        <v>279.39999999999998</v>
      </c>
      <c r="C17" s="53">
        <f t="shared" si="2"/>
        <v>0.98242105263791613</v>
      </c>
      <c r="D17" s="53">
        <f t="shared" si="8"/>
        <v>1.2087258564490776E-3</v>
      </c>
      <c r="E17" s="54">
        <f t="shared" si="0"/>
        <v>6.6592831455069524E-5</v>
      </c>
      <c r="G17" s="53">
        <f t="shared" si="5"/>
        <v>0.57750850965643341</v>
      </c>
      <c r="H17" s="53">
        <f t="shared" si="6"/>
        <v>7.5369702600646408E-5</v>
      </c>
      <c r="I17" s="54">
        <f t="shared" si="3"/>
        <v>4.6264530113342074E-6</v>
      </c>
      <c r="K17" s="59">
        <v>279.39999999999998</v>
      </c>
      <c r="L17" s="53">
        <f t="shared" si="4"/>
        <v>1.5593984962506604</v>
      </c>
      <c r="M17" s="53">
        <f t="shared" si="7"/>
        <v>1.9186124705540912E-3</v>
      </c>
      <c r="N17" s="53">
        <f t="shared" si="1"/>
        <v>1.0570290707153893E-4</v>
      </c>
    </row>
    <row r="18" spans="1:14">
      <c r="A18" s="55">
        <v>15</v>
      </c>
      <c r="B18" s="59">
        <v>281.82222222222219</v>
      </c>
      <c r="C18" s="53">
        <f t="shared" si="2"/>
        <v>1.0524662741435511</v>
      </c>
      <c r="D18" s="53">
        <f t="shared" si="8"/>
        <v>1.5334809494180379E-3</v>
      </c>
      <c r="E18" s="54">
        <f t="shared" si="0"/>
        <v>1.0825169765632012E-4</v>
      </c>
      <c r="G18" s="53">
        <f t="shared" si="5"/>
        <v>0.61874963029739927</v>
      </c>
      <c r="H18" s="53">
        <f t="shared" si="6"/>
        <v>9.7506331924021158E-5</v>
      </c>
      <c r="I18" s="54">
        <f t="shared" si="3"/>
        <v>7.3788764411249164E-6</v>
      </c>
      <c r="K18" s="59">
        <v>281.82222222222219</v>
      </c>
      <c r="L18" s="53">
        <f t="shared" si="4"/>
        <v>1.670581387529446</v>
      </c>
      <c r="M18" s="53">
        <f t="shared" si="7"/>
        <v>2.4340967451079963E-3</v>
      </c>
      <c r="N18" s="53">
        <f t="shared" si="1"/>
        <v>1.718280915179684E-4</v>
      </c>
    </row>
    <row r="19" spans="1:14">
      <c r="A19" s="55">
        <v>16</v>
      </c>
      <c r="B19" s="59">
        <v>281.4666666666667</v>
      </c>
      <c r="C19" s="53">
        <f t="shared" si="2"/>
        <v>1.122386519050582</v>
      </c>
      <c r="D19" s="53">
        <f t="shared" si="8"/>
        <v>1.8593944920277002E-3</v>
      </c>
      <c r="E19" s="54">
        <f t="shared" si="0"/>
        <v>1.0863784753655412E-4</v>
      </c>
      <c r="G19" s="53">
        <f t="shared" si="5"/>
        <v>0.65998249366807593</v>
      </c>
      <c r="H19" s="53">
        <f t="shared" si="6"/>
        <v>1.1998046234762268E-4</v>
      </c>
      <c r="I19" s="54">
        <f t="shared" si="3"/>
        <v>7.4913768078671748E-6</v>
      </c>
      <c r="K19" s="59">
        <v>281.4666666666667</v>
      </c>
      <c r="L19" s="53">
        <f t="shared" si="4"/>
        <v>1.7815659032548921</v>
      </c>
      <c r="M19" s="53">
        <f t="shared" si="7"/>
        <v>2.951419828615397E-3</v>
      </c>
      <c r="N19" s="53">
        <f t="shared" si="1"/>
        <v>1.7244102783580019E-4</v>
      </c>
    </row>
    <row r="20" spans="1:14">
      <c r="A20" s="55">
        <v>17</v>
      </c>
      <c r="B20" s="59">
        <v>281.02222222222224</v>
      </c>
      <c r="C20" s="53">
        <f t="shared" si="2"/>
        <v>1.1923056055079722</v>
      </c>
      <c r="D20" s="53">
        <f t="shared" si="8"/>
        <v>2.1802199920140236E-3</v>
      </c>
      <c r="E20" s="54">
        <f t="shared" si="0"/>
        <v>1.0694183332877453E-4</v>
      </c>
      <c r="G20" s="53">
        <f t="shared" si="5"/>
        <v>0.70121501953765242</v>
      </c>
      <c r="H20" s="53">
        <f t="shared" si="6"/>
        <v>1.4234774611447275E-4</v>
      </c>
      <c r="I20" s="54">
        <f t="shared" si="3"/>
        <v>7.455761255616687E-6</v>
      </c>
      <c r="K20" s="59">
        <v>281.02222222222224</v>
      </c>
      <c r="L20" s="53">
        <f t="shared" si="4"/>
        <v>1.8925485801713846</v>
      </c>
      <c r="M20" s="53">
        <f t="shared" si="7"/>
        <v>3.4606666539905139E-3</v>
      </c>
      <c r="N20" s="53">
        <f t="shared" si="1"/>
        <v>1.697489417917056E-4</v>
      </c>
    </row>
    <row r="21" spans="1:14">
      <c r="A21" s="55">
        <v>18</v>
      </c>
      <c r="B21" s="59">
        <v>280.46666666666664</v>
      </c>
      <c r="C21" s="53">
        <f t="shared" si="2"/>
        <v>1.262229780007986</v>
      </c>
      <c r="D21" s="53">
        <f t="shared" si="8"/>
        <v>2.4889109797551412E-3</v>
      </c>
      <c r="E21" s="54">
        <f t="shared" si="0"/>
        <v>1.028969959137059E-4</v>
      </c>
      <c r="G21" s="53">
        <f t="shared" si="5"/>
        <v>0.74244765225388554</v>
      </c>
      <c r="H21" s="53">
        <f t="shared" si="6"/>
        <v>1.6403055560493065E-4</v>
      </c>
      <c r="I21" s="54">
        <f t="shared" si="3"/>
        <v>7.2276031634859654E-6</v>
      </c>
      <c r="K21" s="59">
        <v>280.46666666666664</v>
      </c>
      <c r="L21" s="53">
        <f t="shared" si="4"/>
        <v>2.0035393333460094</v>
      </c>
      <c r="M21" s="53">
        <f t="shared" si="7"/>
        <v>3.9506523488176846E-3</v>
      </c>
      <c r="N21" s="53">
        <f t="shared" si="1"/>
        <v>1.6332856494239031E-4</v>
      </c>
    </row>
    <row r="22" spans="1:14">
      <c r="A22" s="55">
        <v>19</v>
      </c>
      <c r="B22" s="59">
        <v>279.86666666666667</v>
      </c>
      <c r="C22" s="53">
        <f t="shared" si="2"/>
        <v>1.3321660890202449</v>
      </c>
      <c r="D22" s="53">
        <f t="shared" si="8"/>
        <v>2.7826376854281831E-3</v>
      </c>
      <c r="E22" s="54">
        <f t="shared" si="0"/>
        <v>9.790890189101395E-5</v>
      </c>
      <c r="G22" s="53">
        <f t="shared" si="5"/>
        <v>0.78368096944439514</v>
      </c>
      <c r="H22" s="53">
        <f t="shared" si="6"/>
        <v>1.8463793571339598E-4</v>
      </c>
      <c r="I22" s="54">
        <f t="shared" si="3"/>
        <v>6.8691267028217792E-6</v>
      </c>
      <c r="K22" s="59">
        <v>279.86666666666667</v>
      </c>
      <c r="L22" s="53">
        <f t="shared" si="4"/>
        <v>2.1145493476511823</v>
      </c>
      <c r="M22" s="53">
        <f t="shared" si="7"/>
        <v>4.4168852149653699E-3</v>
      </c>
      <c r="N22" s="53">
        <f t="shared" si="1"/>
        <v>1.554109553825618E-4</v>
      </c>
    </row>
    <row r="23" spans="1:14">
      <c r="A23" s="55">
        <v>20</v>
      </c>
      <c r="B23" s="59">
        <v>280.95555555555558</v>
      </c>
      <c r="C23" s="53">
        <f t="shared" si="2"/>
        <v>1.402117362314572</v>
      </c>
      <c r="D23" s="53">
        <f t="shared" si="8"/>
        <v>3.1556256634485587E-3</v>
      </c>
      <c r="E23" s="54">
        <f t="shared" si="0"/>
        <v>1.2432932600679188E-4</v>
      </c>
      <c r="G23" s="53">
        <f t="shared" si="5"/>
        <v>0.82491536206428651</v>
      </c>
      <c r="H23" s="53">
        <f t="shared" si="6"/>
        <v>2.1068438089698294E-4</v>
      </c>
      <c r="I23" s="54">
        <f t="shared" si="3"/>
        <v>8.6821483945289893E-6</v>
      </c>
      <c r="K23" s="59">
        <v>280.95555555555558</v>
      </c>
      <c r="L23" s="53">
        <f t="shared" si="4"/>
        <v>2.2255831147850347</v>
      </c>
      <c r="M23" s="53">
        <f t="shared" si="7"/>
        <v>5.0089296245215218E-3</v>
      </c>
      <c r="N23" s="53">
        <f t="shared" si="1"/>
        <v>1.9734813651871722E-4</v>
      </c>
    </row>
    <row r="24" spans="1:14">
      <c r="A24" s="55">
        <v>21</v>
      </c>
      <c r="B24" s="59">
        <v>281.71111111111111</v>
      </c>
      <c r="C24" s="53">
        <f t="shared" si="2"/>
        <v>1.4719893743365513</v>
      </c>
      <c r="D24" s="53">
        <f t="shared" si="8"/>
        <v>3.6012956832276672E-3</v>
      </c>
      <c r="E24" s="54">
        <f t="shared" si="0"/>
        <v>1.4855667325970284E-4</v>
      </c>
      <c r="G24" s="53">
        <f t="shared" si="5"/>
        <v>0.86614431561910299</v>
      </c>
      <c r="H24" s="53">
        <f t="shared" si="6"/>
        <v>2.41205324841206E-4</v>
      </c>
      <c r="I24" s="54">
        <f t="shared" si="3"/>
        <v>1.0173647981407683E-5</v>
      </c>
      <c r="K24" s="59">
        <v>281.71111111111111</v>
      </c>
      <c r="L24" s="53">
        <f t="shared" si="4"/>
        <v>2.3364910703754784</v>
      </c>
      <c r="M24" s="53">
        <f t="shared" si="7"/>
        <v>5.7163423543296309E-3</v>
      </c>
      <c r="N24" s="53">
        <f t="shared" si="1"/>
        <v>2.3580424326936962E-4</v>
      </c>
    </row>
    <row r="25" spans="1:14">
      <c r="A25" s="55">
        <v>22</v>
      </c>
      <c r="B25" s="59">
        <v>282.31111111111113</v>
      </c>
      <c r="C25" s="53">
        <f t="shared" si="2"/>
        <v>1.5417887043167724</v>
      </c>
      <c r="D25" s="53">
        <f t="shared" si="8"/>
        <v>4.1183633261932884E-3</v>
      </c>
      <c r="E25" s="54">
        <f t="shared" si="0"/>
        <v>1.7235588098854046E-4</v>
      </c>
      <c r="G25" s="53">
        <f t="shared" si="5"/>
        <v>0.90736879467515885</v>
      </c>
      <c r="H25" s="53">
        <f t="shared" si="6"/>
        <v>2.7581834478626079E-4</v>
      </c>
      <c r="I25" s="54">
        <f t="shared" si="3"/>
        <v>1.1537673315018266E-5</v>
      </c>
      <c r="K25" s="59">
        <v>282.31111111111113</v>
      </c>
      <c r="L25" s="53">
        <f t="shared" si="4"/>
        <v>2.44728365764567</v>
      </c>
      <c r="M25" s="53">
        <f t="shared" si="7"/>
        <v>6.5370846447512518E-3</v>
      </c>
      <c r="N25" s="53">
        <f t="shared" si="1"/>
        <v>2.7358076347387369E-4</v>
      </c>
    </row>
    <row r="26" spans="1:14">
      <c r="A26" s="55">
        <v>23</v>
      </c>
      <c r="B26" s="59">
        <v>283.33333333333331</v>
      </c>
      <c r="C26" s="53">
        <f t="shared" si="2"/>
        <v>1.611516636673807</v>
      </c>
      <c r="D26" s="53">
        <f t="shared" si="8"/>
        <v>4.7610391180571993E-3</v>
      </c>
      <c r="E26" s="54">
        <f t="shared" si="0"/>
        <v>2.1422526395463692E-4</v>
      </c>
      <c r="G26" s="53">
        <f t="shared" si="5"/>
        <v>0.94858918165521366</v>
      </c>
      <c r="H26" s="53">
        <f t="shared" si="6"/>
        <v>3.1670485307320367E-4</v>
      </c>
      <c r="I26" s="54">
        <f t="shared" si="3"/>
        <v>1.3628836095647622E-5</v>
      </c>
      <c r="K26" s="59">
        <v>283.33333333333331</v>
      </c>
      <c r="L26" s="53">
        <f t="shared" si="4"/>
        <v>2.5579629153552488</v>
      </c>
      <c r="M26" s="53">
        <f t="shared" si="7"/>
        <v>7.5572049492971423E-3</v>
      </c>
      <c r="N26" s="53">
        <f t="shared" si="1"/>
        <v>3.4004010151529666E-4</v>
      </c>
    </row>
    <row r="27" spans="1:14">
      <c r="A27" s="55">
        <v>24</v>
      </c>
      <c r="B27" s="59">
        <v>284.74444444444447</v>
      </c>
      <c r="C27" s="53">
        <f t="shared" si="2"/>
        <v>1.6811189608819428</v>
      </c>
      <c r="D27" s="53">
        <f t="shared" si="8"/>
        <v>5.6108545100424963E-3</v>
      </c>
      <c r="E27" s="54">
        <f t="shared" si="0"/>
        <v>2.8327179732843248E-4</v>
      </c>
      <c r="G27" s="53">
        <f t="shared" si="5"/>
        <v>0.98980329514692678</v>
      </c>
      <c r="H27" s="53">
        <f t="shared" si="6"/>
        <v>3.6613926814975427E-4</v>
      </c>
      <c r="I27" s="54">
        <f t="shared" si="3"/>
        <v>1.6478138358850199E-5</v>
      </c>
      <c r="K27" s="59">
        <v>284.74444444444447</v>
      </c>
      <c r="L27" s="53">
        <f t="shared" si="4"/>
        <v>2.6684427950507028</v>
      </c>
      <c r="M27" s="53">
        <f t="shared" si="7"/>
        <v>8.9061182699087249E-3</v>
      </c>
      <c r="N27" s="53">
        <f t="shared" si="1"/>
        <v>4.4963777353719433E-4</v>
      </c>
    </row>
    <row r="28" spans="1:14">
      <c r="A28" s="55">
        <v>25</v>
      </c>
      <c r="B28" s="59">
        <v>282.97777777777776</v>
      </c>
      <c r="C28" s="53">
        <f t="shared" si="2"/>
        <v>1.7505141454899575</v>
      </c>
      <c r="D28" s="53">
        <f t="shared" si="8"/>
        <v>6.2682335463798491E-3</v>
      </c>
      <c r="E28" s="54">
        <f t="shared" si="0"/>
        <v>2.1912634544578419E-4</v>
      </c>
      <c r="G28" s="53">
        <f t="shared" si="5"/>
        <v>1.0310088607318502</v>
      </c>
      <c r="H28" s="53">
        <f t="shared" si="6"/>
        <v>4.0880103737900021E-4</v>
      </c>
      <c r="I28" s="54">
        <f t="shared" si="3"/>
        <v>1.4220589743081978E-5</v>
      </c>
      <c r="K28" s="59">
        <v>282.97777777777776</v>
      </c>
      <c r="L28" s="53">
        <f t="shared" si="4"/>
        <v>2.7785938817300915</v>
      </c>
      <c r="M28" s="53">
        <f t="shared" si="7"/>
        <v>9.9495770577457919E-3</v>
      </c>
      <c r="N28" s="53">
        <f t="shared" si="1"/>
        <v>3.4781959594568925E-4</v>
      </c>
    </row>
    <row r="29" spans="1:14">
      <c r="A29" s="55">
        <v>26</v>
      </c>
      <c r="B29" s="59">
        <v>280.42222222222222</v>
      </c>
      <c r="C29" s="53">
        <f t="shared" si="2"/>
        <v>1.8201017664536201</v>
      </c>
      <c r="D29" s="53">
        <f t="shared" si="8"/>
        <v>6.7099610440788287E-3</v>
      </c>
      <c r="E29" s="54">
        <f t="shared" si="0"/>
        <v>1.4724249923299315E-4</v>
      </c>
      <c r="G29" s="53">
        <f t="shared" si="5"/>
        <v>1.0722211989626209</v>
      </c>
      <c r="H29" s="53">
        <f t="shared" si="6"/>
        <v>4.3988368344903637E-4</v>
      </c>
      <c r="I29" s="54">
        <f t="shared" si="3"/>
        <v>1.0360882023345392E-5</v>
      </c>
      <c r="K29" s="59">
        <v>280.42222222222222</v>
      </c>
      <c r="L29" s="53">
        <f t="shared" si="4"/>
        <v>2.8890504229422542</v>
      </c>
      <c r="M29" s="53">
        <f t="shared" si="7"/>
        <v>1.0650731815998141E-2</v>
      </c>
      <c r="N29" s="53">
        <f t="shared" si="1"/>
        <v>2.3371825275078279E-4</v>
      </c>
    </row>
    <row r="30" spans="1:14">
      <c r="A30" s="55">
        <v>27</v>
      </c>
      <c r="B30" s="59">
        <v>280.71111111111111</v>
      </c>
      <c r="C30" s="53">
        <f t="shared" si="2"/>
        <v>1.8899050389559213</v>
      </c>
      <c r="D30" s="53">
        <f t="shared" si="8"/>
        <v>7.1920241376534147E-3</v>
      </c>
      <c r="E30" s="54">
        <f t="shared" si="0"/>
        <v>1.6068769785819526E-4</v>
      </c>
      <c r="G30" s="53">
        <f t="shared" si="5"/>
        <v>1.1134451163165511</v>
      </c>
      <c r="H30" s="53">
        <f t="shared" si="6"/>
        <v>4.7372082624828887E-4</v>
      </c>
      <c r="I30" s="54">
        <f t="shared" si="3"/>
        <v>1.127904759975084E-5</v>
      </c>
      <c r="K30" s="59">
        <v>280.71111111111111</v>
      </c>
      <c r="L30" s="53">
        <f t="shared" si="4"/>
        <v>2.9998492681840019</v>
      </c>
      <c r="M30" s="53">
        <f t="shared" si="7"/>
        <v>1.1415911329608595E-2</v>
      </c>
      <c r="N30" s="53">
        <f t="shared" si="1"/>
        <v>2.5505983787015122E-4</v>
      </c>
    </row>
    <row r="31" spans="1:14">
      <c r="A31" s="55">
        <v>28</v>
      </c>
      <c r="B31" s="59">
        <v>280.13333333333333</v>
      </c>
      <c r="C31" s="53">
        <f t="shared" si="2"/>
        <v>1.9596679758623465</v>
      </c>
      <c r="D31" s="53">
        <f t="shared" si="8"/>
        <v>7.6444959844225498E-3</v>
      </c>
      <c r="E31" s="54">
        <f t="shared" si="0"/>
        <v>1.5082394892304511E-4</v>
      </c>
      <c r="G31" s="53">
        <f t="shared" si="5"/>
        <v>1.1546662791737519</v>
      </c>
      <c r="H31" s="53">
        <f t="shared" si="6"/>
        <v>5.0557628608595764E-4</v>
      </c>
      <c r="I31" s="54">
        <f t="shared" si="3"/>
        <v>1.0618486612556245E-5</v>
      </c>
      <c r="K31" s="59">
        <v>280.13333333333333</v>
      </c>
      <c r="L31" s="53">
        <f t="shared" si="4"/>
        <v>3.1105840886703913</v>
      </c>
      <c r="M31" s="53">
        <f t="shared" si="7"/>
        <v>1.2134120610194523E-2</v>
      </c>
      <c r="N31" s="53">
        <f t="shared" si="1"/>
        <v>2.3940309352864307E-4</v>
      </c>
    </row>
    <row r="32" spans="1:14">
      <c r="A32" s="55">
        <v>29</v>
      </c>
      <c r="B32" s="59">
        <v>283.06666666666666</v>
      </c>
      <c r="C32" s="53">
        <f t="shared" si="2"/>
        <v>2.0294605040155775</v>
      </c>
      <c r="D32" s="53">
        <f t="shared" si="8"/>
        <v>8.4181801503845129E-3</v>
      </c>
      <c r="E32" s="54">
        <f t="shared" si="0"/>
        <v>2.5789472198732111E-4</v>
      </c>
      <c r="G32" s="53">
        <f t="shared" si="5"/>
        <v>1.1958894237139142</v>
      </c>
      <c r="H32" s="53">
        <f t="shared" si="6"/>
        <v>5.5557595410278223E-4</v>
      </c>
      <c r="I32" s="54">
        <f t="shared" si="3"/>
        <v>1.6666556005608212E-5</v>
      </c>
      <c r="K32" s="59">
        <v>283.06666666666666</v>
      </c>
      <c r="L32" s="53">
        <f t="shared" si="4"/>
        <v>3.2213658793898059</v>
      </c>
      <c r="M32" s="53">
        <f t="shared" si="7"/>
        <v>1.3362190714896053E-2</v>
      </c>
      <c r="N32" s="53">
        <f t="shared" si="1"/>
        <v>4.0935670156717647E-4</v>
      </c>
    </row>
    <row r="33" spans="1:14">
      <c r="A33" s="55">
        <v>30</v>
      </c>
      <c r="B33" s="59">
        <v>284.64444444444445</v>
      </c>
      <c r="C33" s="53">
        <f t="shared" si="2"/>
        <v>2.0989318198496156</v>
      </c>
      <c r="D33" s="53">
        <f t="shared" si="8"/>
        <v>9.4616047546136409E-3</v>
      </c>
      <c r="E33" s="54">
        <f t="shared" si="0"/>
        <v>3.4780820140970924E-4</v>
      </c>
      <c r="G33" s="53">
        <f t="shared" si="5"/>
        <v>1.2370944240458972</v>
      </c>
      <c r="H33" s="53">
        <f t="shared" si="6"/>
        <v>6.1676123897682657E-4</v>
      </c>
      <c r="I33" s="54">
        <f t="shared" si="3"/>
        <v>2.039509495801479E-5</v>
      </c>
      <c r="K33" s="59">
        <v>284.64444444444445</v>
      </c>
      <c r="L33" s="53">
        <f t="shared" si="4"/>
        <v>3.331637809285104</v>
      </c>
      <c r="M33" s="53">
        <f t="shared" si="7"/>
        <v>1.5018420245418478E-2</v>
      </c>
      <c r="N33" s="53">
        <f t="shared" si="1"/>
        <v>5.5207651017414173E-4</v>
      </c>
    </row>
    <row r="34" spans="1:14">
      <c r="A34" s="55">
        <v>31</v>
      </c>
      <c r="B34" s="62">
        <v>284.15555555555557</v>
      </c>
      <c r="C34" s="53">
        <f t="shared" si="2"/>
        <v>2.1681333952453867</v>
      </c>
      <c r="D34" s="53">
        <f t="shared" si="8"/>
        <v>1.0454641161872783E-2</v>
      </c>
      <c r="E34" s="54">
        <f t="shared" si="0"/>
        <v>3.3101213575304747E-4</v>
      </c>
      <c r="G34" s="53">
        <f t="shared" si="5"/>
        <v>1.278288238761023</v>
      </c>
      <c r="H34" s="53">
        <f t="shared" si="6"/>
        <v>6.7695413457330217E-4</v>
      </c>
      <c r="I34" s="54">
        <f t="shared" si="3"/>
        <v>2.0064298532158524E-5</v>
      </c>
      <c r="K34" s="62">
        <v>284.15555555555557</v>
      </c>
      <c r="L34" s="53">
        <f t="shared" si="4"/>
        <v>3.4414815797545817</v>
      </c>
      <c r="M34" s="53">
        <f t="shared" si="7"/>
        <v>1.6594668510909179E-2</v>
      </c>
      <c r="N34" s="53">
        <f t="shared" si="1"/>
        <v>5.2541608849690058E-4</v>
      </c>
    </row>
    <row r="35" spans="1:14">
      <c r="A35" s="55">
        <v>32</v>
      </c>
      <c r="B35" s="59">
        <v>282.55555555555554</v>
      </c>
      <c r="C35" s="53">
        <f t="shared" si="2"/>
        <v>2.2373853588381274</v>
      </c>
      <c r="D35" s="53">
        <f t="shared" si="8"/>
        <v>1.1236815764037896E-2</v>
      </c>
      <c r="E35" s="54">
        <f t="shared" si="0"/>
        <v>2.6072486738837087E-4</v>
      </c>
      <c r="G35" s="53">
        <f t="shared" si="5"/>
        <v>1.3194830458654268</v>
      </c>
      <c r="H35" s="53">
        <f t="shared" si="6"/>
        <v>7.2885161949870643E-4</v>
      </c>
      <c r="I35" s="54">
        <f t="shared" si="3"/>
        <v>1.7299161641801406E-5</v>
      </c>
      <c r="K35" s="59">
        <v>282.55555555555554</v>
      </c>
      <c r="L35" s="53">
        <f t="shared" si="4"/>
        <v>3.5514053314890908</v>
      </c>
      <c r="M35" s="53">
        <f t="shared" si="7"/>
        <v>1.7836215498472849E-2</v>
      </c>
      <c r="N35" s="53">
        <f t="shared" si="1"/>
        <v>4.1384899585455683E-4</v>
      </c>
    </row>
    <row r="36" spans="1:14">
      <c r="A36" s="55">
        <v>33</v>
      </c>
      <c r="B36" s="59">
        <v>282.66666666666669</v>
      </c>
      <c r="C36" s="53">
        <f t="shared" si="2"/>
        <v>2.3068481842359621</v>
      </c>
      <c r="D36" s="53">
        <f t="shared" si="8"/>
        <v>1.2058626493139293E-2</v>
      </c>
      <c r="E36" s="54">
        <f t="shared" si="0"/>
        <v>2.7393690970046542E-4</v>
      </c>
      <c r="G36" s="53">
        <f t="shared" si="5"/>
        <v>1.3606861483805013</v>
      </c>
      <c r="H36" s="53">
        <f t="shared" si="6"/>
        <v>7.8310266608165059E-4</v>
      </c>
      <c r="I36" s="54">
        <f t="shared" si="3"/>
        <v>1.808368219431471E-5</v>
      </c>
      <c r="K36" s="59">
        <v>282.66666666666669</v>
      </c>
      <c r="L36" s="53">
        <f t="shared" si="4"/>
        <v>3.6616637845015272</v>
      </c>
      <c r="M36" s="53">
        <f t="shared" si="7"/>
        <v>1.9140676973236969E-2</v>
      </c>
      <c r="N36" s="53">
        <f t="shared" si="1"/>
        <v>4.3482049158804034E-4</v>
      </c>
    </row>
    <row r="37" spans="1:14">
      <c r="A37" s="55">
        <v>34</v>
      </c>
      <c r="B37" s="59">
        <v>284.02222222222224</v>
      </c>
      <c r="C37" s="53">
        <f t="shared" si="2"/>
        <v>2.3762713735068606</v>
      </c>
      <c r="D37" s="53">
        <f t="shared" si="8"/>
        <v>1.3122890410732139E-2</v>
      </c>
      <c r="E37" s="54">
        <f t="shared" si="0"/>
        <v>3.5475463919761572E-4</v>
      </c>
      <c r="G37" s="53">
        <f t="shared" si="5"/>
        <v>1.4018868973339185</v>
      </c>
      <c r="H37" s="53">
        <f t="shared" si="6"/>
        <v>8.4820945625067824E-4</v>
      </c>
      <c r="I37" s="54">
        <f t="shared" si="3"/>
        <v>2.1702263389675897E-5</v>
      </c>
      <c r="K37" s="59">
        <v>284.02222222222224</v>
      </c>
      <c r="L37" s="53">
        <f t="shared" si="4"/>
        <v>3.7718593230267627</v>
      </c>
      <c r="M37" s="53">
        <f t="shared" si="7"/>
        <v>2.0829984778939901E-2</v>
      </c>
      <c r="N37" s="53">
        <f t="shared" si="1"/>
        <v>5.6310260190097731E-4</v>
      </c>
    </row>
    <row r="38" spans="1:14">
      <c r="A38" s="55">
        <v>35</v>
      </c>
      <c r="B38" s="59">
        <v>284.75555555555553</v>
      </c>
      <c r="C38" s="53">
        <f t="shared" si="2"/>
        <v>2.4454521095892678</v>
      </c>
      <c r="D38" s="53">
        <f t="shared" si="8"/>
        <v>1.4361379082879058E-2</v>
      </c>
      <c r="E38" s="54">
        <f t="shared" si="0"/>
        <v>4.1282955738230657E-4</v>
      </c>
      <c r="G38" s="53">
        <f t="shared" si="5"/>
        <v>1.4430767905437492</v>
      </c>
      <c r="H38" s="53">
        <f t="shared" si="6"/>
        <v>9.2035975158126797E-4</v>
      </c>
      <c r="I38" s="54">
        <f t="shared" si="3"/>
        <v>2.4050098443529904E-5</v>
      </c>
      <c r="K38" s="59">
        <v>284.75555555555553</v>
      </c>
      <c r="L38" s="53">
        <f t="shared" si="4"/>
        <v>3.8816700152210601</v>
      </c>
      <c r="M38" s="53">
        <f t="shared" si="7"/>
        <v>2.2795839814093742E-2</v>
      </c>
      <c r="N38" s="53">
        <f t="shared" si="1"/>
        <v>6.5528501171794695E-4</v>
      </c>
    </row>
    <row r="39" spans="1:14">
      <c r="A39" s="55">
        <v>36</v>
      </c>
      <c r="B39" s="59">
        <v>284.93333333333334</v>
      </c>
      <c r="C39" s="53">
        <f t="shared" si="2"/>
        <v>2.5144586209171211</v>
      </c>
      <c r="D39" s="53">
        <f t="shared" si="8"/>
        <v>1.5673205865751043E-2</v>
      </c>
      <c r="E39" s="54">
        <f t="shared" si="0"/>
        <v>4.3727559429066208E-4</v>
      </c>
      <c r="G39" s="53">
        <f t="shared" si="5"/>
        <v>1.4842596402484187</v>
      </c>
      <c r="H39" s="53">
        <f t="shared" si="6"/>
        <v>9.9584835382482699E-4</v>
      </c>
      <c r="I39" s="54">
        <f t="shared" si="3"/>
        <v>2.5162867414519644E-5</v>
      </c>
      <c r="K39" s="59">
        <v>284.93333333333334</v>
      </c>
      <c r="L39" s="53">
        <f t="shared" si="4"/>
        <v>3.9912041601859065</v>
      </c>
      <c r="M39" s="53">
        <f t="shared" si="7"/>
        <v>2.4878104548811182E-2</v>
      </c>
      <c r="N39" s="53">
        <f t="shared" si="1"/>
        <v>6.9408824490581279E-4</v>
      </c>
    </row>
    <row r="40" spans="1:14">
      <c r="A40" s="55">
        <v>37</v>
      </c>
      <c r="B40" s="59">
        <v>285.17777777777781</v>
      </c>
      <c r="C40" s="53">
        <f t="shared" si="2"/>
        <v>2.5833917941342488</v>
      </c>
      <c r="D40" s="53">
        <f t="shared" si="8"/>
        <v>1.7077093381105718E-2</v>
      </c>
      <c r="E40" s="54">
        <f t="shared" si="0"/>
        <v>4.6796250511822485E-4</v>
      </c>
      <c r="G40" s="53">
        <f t="shared" si="5"/>
        <v>1.5254391516461752</v>
      </c>
      <c r="H40" s="53">
        <f t="shared" si="6"/>
        <v>1.0752391144649728E-3</v>
      </c>
      <c r="I40" s="54">
        <f t="shared" si="3"/>
        <v>2.6463586880048611E-5</v>
      </c>
      <c r="K40" s="59">
        <v>285.17777777777781</v>
      </c>
      <c r="L40" s="53">
        <f t="shared" si="4"/>
        <v>4.1006218954511882</v>
      </c>
      <c r="M40" s="53">
        <f t="shared" si="7"/>
        <v>2.7106497430326539E-2</v>
      </c>
      <c r="N40" s="53">
        <f t="shared" si="1"/>
        <v>7.4279762717178544E-4</v>
      </c>
    </row>
    <row r="41" spans="1:14">
      <c r="A41" s="55">
        <v>38</v>
      </c>
      <c r="B41" s="59">
        <v>284.97777777777776</v>
      </c>
      <c r="C41" s="53">
        <f t="shared" si="2"/>
        <v>2.6522329066188948</v>
      </c>
      <c r="D41" s="53">
        <f t="shared" si="8"/>
        <v>1.8471103498553944E-2</v>
      </c>
      <c r="E41" s="54">
        <f t="shared" si="0"/>
        <v>4.646700391494082E-4</v>
      </c>
      <c r="G41" s="53">
        <f t="shared" si="5"/>
        <v>1.566614760885535</v>
      </c>
      <c r="H41" s="53">
        <f t="shared" si="6"/>
        <v>1.1552538129821844E-3</v>
      </c>
      <c r="I41" s="54">
        <f t="shared" si="3"/>
        <v>2.6671566172403837E-5</v>
      </c>
      <c r="K41" s="59">
        <v>284.97777777777776</v>
      </c>
      <c r="L41" s="53">
        <f t="shared" si="4"/>
        <v>4.209893502569674</v>
      </c>
      <c r="M41" s="53">
        <f t="shared" si="7"/>
        <v>2.9319211902466578E-2</v>
      </c>
      <c r="N41" s="53">
        <f t="shared" si="1"/>
        <v>7.3757149071334628E-4</v>
      </c>
    </row>
    <row r="42" spans="1:14">
      <c r="A42" s="55">
        <v>39</v>
      </c>
      <c r="B42" s="59">
        <v>283.97777777777776</v>
      </c>
      <c r="C42" s="53">
        <f t="shared" si="2"/>
        <v>2.7210838965014461</v>
      </c>
      <c r="D42" s="53">
        <f t="shared" si="8"/>
        <v>1.9680729874102128E-2</v>
      </c>
      <c r="E42" s="54">
        <f t="shared" si="0"/>
        <v>4.0320879184939525E-4</v>
      </c>
      <c r="G42" s="53">
        <f t="shared" si="5"/>
        <v>1.6077897461870179</v>
      </c>
      <c r="H42" s="53">
        <f t="shared" si="6"/>
        <v>1.2295767622965863E-3</v>
      </c>
      <c r="I42" s="54">
        <f t="shared" si="3"/>
        <v>2.4774316438133987E-5</v>
      </c>
      <c r="K42" s="59">
        <v>283.97777777777776</v>
      </c>
      <c r="L42" s="53">
        <f t="shared" si="4"/>
        <v>4.3191807880975341</v>
      </c>
      <c r="M42" s="53">
        <f t="shared" si="7"/>
        <v>3.1239253768416079E-2</v>
      </c>
      <c r="N42" s="53">
        <f t="shared" si="1"/>
        <v>6.4001395531650064E-4</v>
      </c>
    </row>
    <row r="43" spans="1:14">
      <c r="A43" s="55">
        <v>40</v>
      </c>
      <c r="B43" s="59">
        <v>284.43333333333334</v>
      </c>
      <c r="C43" s="53">
        <f t="shared" si="2"/>
        <v>2.7901192701258979</v>
      </c>
      <c r="D43" s="53">
        <f t="shared" si="8"/>
        <v>2.1019589003165626E-2</v>
      </c>
      <c r="E43" s="54">
        <f t="shared" si="0"/>
        <v>4.4628637635449943E-4</v>
      </c>
      <c r="G43" s="53">
        <f t="shared" si="5"/>
        <v>1.6489704232377034</v>
      </c>
      <c r="H43" s="53">
        <f t="shared" si="6"/>
        <v>1.309445258163102E-3</v>
      </c>
      <c r="I43" s="54">
        <f t="shared" si="3"/>
        <v>2.6622831955505213E-5</v>
      </c>
      <c r="K43" s="59">
        <v>284.43333333333334</v>
      </c>
      <c r="L43" s="53">
        <f t="shared" si="4"/>
        <v>4.4287607462315837</v>
      </c>
      <c r="M43" s="53">
        <f t="shared" si="7"/>
        <v>3.3364426989151791E-2</v>
      </c>
      <c r="N43" s="53">
        <f t="shared" si="1"/>
        <v>7.0839107357857048E-4</v>
      </c>
    </row>
    <row r="44" spans="1:14">
      <c r="A44" s="55">
        <v>41</v>
      </c>
      <c r="B44" s="59">
        <v>284.15555555555557</v>
      </c>
      <c r="C44" s="53">
        <f t="shared" si="2"/>
        <v>2.8590254109968343</v>
      </c>
      <c r="D44" s="53">
        <f t="shared" si="8"/>
        <v>2.2329063931518713E-2</v>
      </c>
      <c r="E44" s="54">
        <f t="shared" si="0"/>
        <v>4.3649164278436253E-4</v>
      </c>
      <c r="G44" s="53">
        <f t="shared" si="5"/>
        <v>1.6901455547418369</v>
      </c>
      <c r="H44" s="53">
        <f t="shared" si="6"/>
        <v>1.3890319678225985E-3</v>
      </c>
      <c r="I44" s="54">
        <f t="shared" si="3"/>
        <v>2.6528903219832166E-5</v>
      </c>
      <c r="K44" s="59">
        <v>284.15555555555557</v>
      </c>
      <c r="L44" s="53">
        <f t="shared" si="4"/>
        <v>4.5381355730108481</v>
      </c>
      <c r="M44" s="53">
        <f t="shared" si="7"/>
        <v>3.5442958621458277E-2</v>
      </c>
      <c r="N44" s="53">
        <f t="shared" si="1"/>
        <v>6.9284387743549607E-4</v>
      </c>
    </row>
    <row r="45" spans="1:14">
      <c r="A45" s="55">
        <v>42</v>
      </c>
      <c r="B45" s="59">
        <v>284.88888888888891</v>
      </c>
      <c r="C45" s="53">
        <f t="shared" si="2"/>
        <v>2.9279609360684811</v>
      </c>
      <c r="D45" s="53">
        <f t="shared" si="8"/>
        <v>2.3845325079097614E-2</v>
      </c>
      <c r="E45" s="54">
        <f t="shared" si="0"/>
        <v>5.0542038252630037E-4</v>
      </c>
      <c r="G45" s="53">
        <f t="shared" si="5"/>
        <v>1.7313209680321773</v>
      </c>
      <c r="H45" s="53">
        <f t="shared" si="6"/>
        <v>1.4767129176747817E-3</v>
      </c>
      <c r="I45" s="54">
        <f t="shared" si="3"/>
        <v>2.9226983284061027E-5</v>
      </c>
      <c r="K45" s="59">
        <v>284.88888888888891</v>
      </c>
      <c r="L45" s="53">
        <f t="shared" si="4"/>
        <v>4.6475570413785414</v>
      </c>
      <c r="M45" s="53">
        <f t="shared" si="7"/>
        <v>3.7849722347773992E-2</v>
      </c>
      <c r="N45" s="53">
        <f t="shared" si="1"/>
        <v>8.0225457543857208E-4</v>
      </c>
    </row>
    <row r="46" spans="1:14">
      <c r="A46" s="55">
        <v>43</v>
      </c>
      <c r="B46" s="59">
        <v>284.44444444444446</v>
      </c>
      <c r="C46" s="53">
        <f t="shared" si="2"/>
        <v>2.9966896749209027</v>
      </c>
      <c r="D46" s="53">
        <f t="shared" si="8"/>
        <v>2.5285988013939466E-2</v>
      </c>
      <c r="E46" s="54">
        <f t="shared" si="0"/>
        <v>4.8022097828061689E-4</v>
      </c>
      <c r="G46" s="53">
        <f t="shared" si="5"/>
        <v>1.7724882870823253</v>
      </c>
      <c r="H46" s="53">
        <f t="shared" si="6"/>
        <v>1.5626595276243057E-3</v>
      </c>
      <c r="I46" s="54">
        <f t="shared" si="3"/>
        <v>2.8648869983174636E-5</v>
      </c>
      <c r="K46" s="59">
        <v>284.44444444444446</v>
      </c>
      <c r="L46" s="53">
        <f t="shared" si="4"/>
        <v>4.7566502776522261</v>
      </c>
      <c r="M46" s="53">
        <f t="shared" si="7"/>
        <v>4.0136488911015025E-2</v>
      </c>
      <c r="N46" s="53">
        <f t="shared" si="1"/>
        <v>7.6225552108034422E-4</v>
      </c>
    </row>
    <row r="47" spans="1:14">
      <c r="A47" s="55">
        <v>44</v>
      </c>
      <c r="B47" s="59">
        <v>285.57777777777778</v>
      </c>
      <c r="C47" s="53">
        <f t="shared" si="2"/>
        <v>3.0654940119860608</v>
      </c>
      <c r="D47" s="53">
        <f t="shared" si="8"/>
        <v>2.7066550296405797E-2</v>
      </c>
      <c r="E47" s="54">
        <f t="shared" si="0"/>
        <v>5.9352076082211033E-4</v>
      </c>
      <c r="G47" s="53">
        <f t="shared" si="5"/>
        <v>1.8136573404723757</v>
      </c>
      <c r="H47" s="53">
        <f t="shared" si="6"/>
        <v>1.6605675992331223E-3</v>
      </c>
      <c r="I47" s="54">
        <f t="shared" si="3"/>
        <v>3.2636023869605508E-5</v>
      </c>
      <c r="K47" s="59">
        <v>285.57777777777778</v>
      </c>
      <c r="L47" s="53">
        <f t="shared" si="4"/>
        <v>4.8658635110889845</v>
      </c>
      <c r="M47" s="53">
        <f t="shared" si="7"/>
        <v>4.2962778248263167E-2</v>
      </c>
      <c r="N47" s="53">
        <f t="shared" si="1"/>
        <v>9.4209644574938143E-4</v>
      </c>
    </row>
    <row r="48" spans="1:14">
      <c r="A48" s="55">
        <v>45</v>
      </c>
      <c r="B48" s="59">
        <v>284.77777777777777</v>
      </c>
      <c r="C48" s="53">
        <f t="shared" si="2"/>
        <v>3.1339584497035942</v>
      </c>
      <c r="D48" s="53">
        <f t="shared" si="8"/>
        <v>2.8659636886357427E-2</v>
      </c>
      <c r="E48" s="54">
        <f t="shared" si="0"/>
        <v>5.3102886331720951E-4</v>
      </c>
      <c r="G48" s="53">
        <f t="shared" si="5"/>
        <v>1.8548144324007669</v>
      </c>
      <c r="H48" s="53">
        <f t="shared" si="6"/>
        <v>1.7535035957166037E-3</v>
      </c>
      <c r="I48" s="54">
        <f t="shared" si="3"/>
        <v>3.0978665494493816E-5</v>
      </c>
      <c r="K48" s="59">
        <v>284.77777777777777</v>
      </c>
      <c r="L48" s="53">
        <f t="shared" si="4"/>
        <v>4.9745372217517367</v>
      </c>
      <c r="M48" s="53">
        <f t="shared" si="7"/>
        <v>4.5491487121202261E-2</v>
      </c>
      <c r="N48" s="53">
        <f t="shared" si="1"/>
        <v>8.4290295764636431E-4</v>
      </c>
    </row>
    <row r="49" spans="1:14">
      <c r="A49" s="55">
        <v>46</v>
      </c>
      <c r="B49" s="59">
        <v>283.28888888888889</v>
      </c>
      <c r="C49" s="53">
        <f t="shared" si="2"/>
        <v>3.2026103631136427</v>
      </c>
      <c r="D49" s="53">
        <f t="shared" si="8"/>
        <v>2.9927293046459955E-2</v>
      </c>
      <c r="E49" s="54">
        <f t="shared" si="0"/>
        <v>4.2255205336750928E-4</v>
      </c>
      <c r="G49" s="53">
        <f t="shared" si="5"/>
        <v>1.8959764964042833</v>
      </c>
      <c r="H49" s="53">
        <f t="shared" si="6"/>
        <v>1.8348162790466462E-3</v>
      </c>
      <c r="I49" s="54">
        <f t="shared" si="3"/>
        <v>2.7104227776680879E-5</v>
      </c>
      <c r="K49" s="59">
        <v>283.28888888888889</v>
      </c>
      <c r="L49" s="53">
        <f t="shared" si="4"/>
        <v>5.0835085128787982</v>
      </c>
      <c r="M49" s="53">
        <f t="shared" si="7"/>
        <v>4.7503639756285639E-2</v>
      </c>
      <c r="N49" s="53">
        <f t="shared" si="1"/>
        <v>6.7071754502779247E-4</v>
      </c>
    </row>
    <row r="50" spans="1:14">
      <c r="A50" s="55">
        <v>47</v>
      </c>
      <c r="B50" s="59">
        <v>284.39999999999998</v>
      </c>
      <c r="C50" s="53">
        <f t="shared" si="2"/>
        <v>3.2715877069535404</v>
      </c>
      <c r="D50" s="53">
        <f t="shared" si="8"/>
        <v>3.1488443706120917E-2</v>
      </c>
      <c r="E50" s="54">
        <f t="shared" si="0"/>
        <v>5.2038355322032016E-4</v>
      </c>
      <c r="G50" s="53">
        <f t="shared" si="5"/>
        <v>1.9371501837209533</v>
      </c>
      <c r="H50" s="53">
        <f t="shared" si="6"/>
        <v>1.9283298175967487E-3</v>
      </c>
      <c r="I50" s="54">
        <f t="shared" si="3"/>
        <v>3.1171179516700825E-5</v>
      </c>
      <c r="K50" s="59">
        <v>284.39999999999998</v>
      </c>
      <c r="L50" s="53">
        <f t="shared" si="4"/>
        <v>5.1929963602437139</v>
      </c>
      <c r="M50" s="53">
        <f t="shared" si="7"/>
        <v>4.9981656676382401E-2</v>
      </c>
      <c r="N50" s="53">
        <f t="shared" si="1"/>
        <v>8.2600564003225386E-4</v>
      </c>
    </row>
    <row r="51" spans="1:14">
      <c r="A51" s="55">
        <v>48</v>
      </c>
      <c r="B51" s="59">
        <v>285.02222222222224</v>
      </c>
      <c r="C51" s="53">
        <f t="shared" si="2"/>
        <v>3.340271556293879</v>
      </c>
      <c r="D51" s="53">
        <f t="shared" si="8"/>
        <v>3.325715644386433E-2</v>
      </c>
      <c r="E51" s="54">
        <f t="shared" si="0"/>
        <v>5.8957091258113803E-4</v>
      </c>
      <c r="G51" s="53">
        <f t="shared" si="5"/>
        <v>1.9783116701824033</v>
      </c>
      <c r="H51" s="53">
        <f t="shared" si="6"/>
        <v>2.0297981670055923E-3</v>
      </c>
      <c r="I51" s="54">
        <f t="shared" si="3"/>
        <v>3.3822783136281216E-5</v>
      </c>
      <c r="K51" s="59">
        <v>285.02222222222224</v>
      </c>
      <c r="L51" s="53">
        <f t="shared" si="4"/>
        <v>5.3020183433236179</v>
      </c>
      <c r="M51" s="53">
        <f t="shared" si="7"/>
        <v>5.2789137212483059E-2</v>
      </c>
      <c r="N51" s="53">
        <f t="shared" si="1"/>
        <v>9.3582684536688593E-4</v>
      </c>
    </row>
    <row r="52" spans="1:14">
      <c r="A52" s="55">
        <v>49</v>
      </c>
      <c r="B52" s="59">
        <v>287.68888888888887</v>
      </c>
      <c r="C52" s="53">
        <f t="shared" si="2"/>
        <v>3.4087478435561356</v>
      </c>
      <c r="D52" s="53">
        <f t="shared" si="8"/>
        <v>3.6062103743647322E-2</v>
      </c>
      <c r="E52" s="54">
        <f t="shared" si="0"/>
        <v>9.3498243326099826E-4</v>
      </c>
      <c r="G52" s="53">
        <f t="shared" si="5"/>
        <v>2.0194652018329942</v>
      </c>
      <c r="H52" s="53">
        <f t="shared" si="6"/>
        <v>2.1594855888846837E-3</v>
      </c>
      <c r="I52" s="54">
        <f t="shared" si="3"/>
        <v>4.3229140626363828E-5</v>
      </c>
      <c r="K52" s="59">
        <v>287.68888888888887</v>
      </c>
      <c r="L52" s="53">
        <f t="shared" si="4"/>
        <v>5.4107108627875169</v>
      </c>
      <c r="M52" s="53">
        <f t="shared" si="7"/>
        <v>5.7241434513725903E-2</v>
      </c>
      <c r="N52" s="53">
        <f t="shared" si="1"/>
        <v>1.4840991004142826E-3</v>
      </c>
    </row>
    <row r="53" spans="1:14">
      <c r="A53" s="55">
        <v>50</v>
      </c>
      <c r="B53" s="59">
        <v>288.02222222222224</v>
      </c>
      <c r="C53" s="53">
        <f t="shared" si="2"/>
        <v>3.4761878962563526</v>
      </c>
      <c r="D53" s="53">
        <f t="shared" si="8"/>
        <v>3.9082859351214728E-2</v>
      </c>
      <c r="E53" s="54">
        <f t="shared" si="0"/>
        <v>1.0069185358558025E-3</v>
      </c>
      <c r="G53" s="53">
        <f t="shared" si="5"/>
        <v>2.060590514411115</v>
      </c>
      <c r="H53" s="53">
        <f t="shared" si="6"/>
        <v>2.2951440214050438E-3</v>
      </c>
      <c r="I53" s="54">
        <f t="shared" si="3"/>
        <v>4.5219477506786711E-5</v>
      </c>
      <c r="K53" s="59">
        <v>288.02222222222224</v>
      </c>
      <c r="L53" s="53">
        <f t="shared" si="4"/>
        <v>5.5177585654862744</v>
      </c>
      <c r="M53" s="53">
        <f t="shared" si="7"/>
        <v>6.203628468446782E-2</v>
      </c>
      <c r="N53" s="53">
        <f t="shared" si="1"/>
        <v>1.5982833902473059E-3</v>
      </c>
    </row>
    <row r="54" spans="1:14">
      <c r="A54" s="55">
        <v>51</v>
      </c>
      <c r="B54" s="59">
        <v>286</v>
      </c>
      <c r="C54" s="53">
        <f t="shared" si="2"/>
        <v>3.5434121406487855</v>
      </c>
      <c r="D54" s="53">
        <f t="shared" si="8"/>
        <v>4.129041496075711E-2</v>
      </c>
      <c r="E54" s="54">
        <f t="shared" si="0"/>
        <v>7.358518698474594E-4</v>
      </c>
      <c r="G54" s="53">
        <f t="shared" si="5"/>
        <v>2.1017098559785947</v>
      </c>
      <c r="H54" s="53">
        <f t="shared" si="6"/>
        <v>2.4129044219350151E-3</v>
      </c>
      <c r="I54" s="54">
        <f t="shared" si="3"/>
        <v>3.9253466843323742E-5</v>
      </c>
      <c r="K54" s="59">
        <v>286</v>
      </c>
      <c r="L54" s="53">
        <f t="shared" si="4"/>
        <v>5.6244637153155317</v>
      </c>
      <c r="M54" s="53">
        <f t="shared" si="7"/>
        <v>6.5540341207550964E-2</v>
      </c>
      <c r="N54" s="53">
        <f t="shared" si="1"/>
        <v>1.1680188410277132E-3</v>
      </c>
    </row>
    <row r="55" spans="1:14">
      <c r="A55" s="55">
        <v>52</v>
      </c>
      <c r="B55" s="59">
        <v>288.71111111111111</v>
      </c>
      <c r="C55" s="53">
        <f t="shared" si="2"/>
        <v>3.6114495850392432</v>
      </c>
      <c r="D55" s="53">
        <f t="shared" si="8"/>
        <v>4.4801687020731881E-2</v>
      </c>
      <c r="E55" s="54">
        <f t="shared" si="0"/>
        <v>1.17042401999159E-3</v>
      </c>
      <c r="G55" s="53">
        <f t="shared" si="5"/>
        <v>2.1428470955780647</v>
      </c>
      <c r="H55" s="53">
        <f t="shared" si="6"/>
        <v>2.5611349097761291E-3</v>
      </c>
      <c r="I55" s="54">
        <f t="shared" si="3"/>
        <v>4.9410162613704589E-5</v>
      </c>
      <c r="K55" s="59">
        <v>288.71111111111111</v>
      </c>
      <c r="L55" s="53">
        <f t="shared" si="4"/>
        <v>5.7324596587924495</v>
      </c>
      <c r="M55" s="53">
        <f t="shared" si="7"/>
        <v>7.1113788921796622E-2</v>
      </c>
      <c r="N55" s="53">
        <f t="shared" si="1"/>
        <v>1.8578159047485548E-3</v>
      </c>
    </row>
    <row r="56" spans="1:14">
      <c r="A56" s="55">
        <v>53</v>
      </c>
      <c r="B56" s="59">
        <v>290.64444444444445</v>
      </c>
      <c r="C56" s="53">
        <f t="shared" si="2"/>
        <v>3.678183312979268</v>
      </c>
      <c r="D56" s="53">
        <f t="shared" si="8"/>
        <v>4.9688814674861054E-2</v>
      </c>
      <c r="E56" s="54">
        <f t="shared" si="0"/>
        <v>1.6290425513763903E-3</v>
      </c>
      <c r="G56" s="53">
        <f t="shared" si="5"/>
        <v>2.1839538650902237</v>
      </c>
      <c r="H56" s="53">
        <f t="shared" si="6"/>
        <v>2.7326792094464281E-3</v>
      </c>
      <c r="I56" s="54">
        <f t="shared" si="3"/>
        <v>5.7181433223433025E-5</v>
      </c>
      <c r="K56" s="59">
        <v>290.64444444444445</v>
      </c>
      <c r="L56" s="53">
        <f t="shared" si="4"/>
        <v>5.8383862110782037</v>
      </c>
      <c r="M56" s="53">
        <f t="shared" si="7"/>
        <v>7.887113440454134E-2</v>
      </c>
      <c r="N56" s="53">
        <f t="shared" si="1"/>
        <v>2.5857818275815728E-3</v>
      </c>
    </row>
    <row r="57" spans="1:14">
      <c r="A57" s="55">
        <v>54</v>
      </c>
      <c r="B57" s="59">
        <v>289.62222222222221</v>
      </c>
      <c r="C57" s="53">
        <f t="shared" si="2"/>
        <v>3.7435411853251392</v>
      </c>
      <c r="D57" s="53">
        <f t="shared" si="8"/>
        <v>5.3907840829173014E-2</v>
      </c>
      <c r="E57" s="54">
        <f t="shared" si="0"/>
        <v>1.4063420514373196E-3</v>
      </c>
      <c r="G57" s="53">
        <f t="shared" si="5"/>
        <v>2.2250373207905536</v>
      </c>
      <c r="H57" s="53">
        <f t="shared" si="6"/>
        <v>2.8964235507478952E-3</v>
      </c>
      <c r="I57" s="54">
        <f t="shared" si="3"/>
        <v>5.4581447100488995E-5</v>
      </c>
      <c r="K57" s="59">
        <v>289.62222222222221</v>
      </c>
      <c r="L57" s="53">
        <f t="shared" si="4"/>
        <v>5.9421288655954587</v>
      </c>
      <c r="M57" s="53">
        <f t="shared" si="7"/>
        <v>8.5568001316147627E-2</v>
      </c>
      <c r="N57" s="53">
        <f t="shared" si="1"/>
        <v>2.2322889705354279E-3</v>
      </c>
    </row>
    <row r="58" spans="1:14">
      <c r="A58" s="55">
        <v>55</v>
      </c>
      <c r="B58" s="59">
        <v>287.77777777777777</v>
      </c>
      <c r="C58" s="53">
        <f t="shared" si="2"/>
        <v>3.8095671591708271</v>
      </c>
      <c r="D58" s="53">
        <f t="shared" si="8"/>
        <v>5.7088566151364692E-2</v>
      </c>
      <c r="E58" s="54">
        <f t="shared" si="0"/>
        <v>1.0602417740638939E-3</v>
      </c>
      <c r="G58" s="53">
        <f t="shared" si="5"/>
        <v>2.266128576449252</v>
      </c>
      <c r="H58" s="53">
        <f t="shared" si="6"/>
        <v>3.0429279474090518E-3</v>
      </c>
      <c r="I58" s="54">
        <f t="shared" si="3"/>
        <v>4.8834798887052181E-5</v>
      </c>
      <c r="K58" s="59">
        <v>287.77777777777777</v>
      </c>
      <c r="L58" s="53">
        <f t="shared" si="4"/>
        <v>6.0469319986838528</v>
      </c>
      <c r="M58" s="53">
        <f t="shared" si="7"/>
        <v>9.0616771668832835E-2</v>
      </c>
      <c r="N58" s="53">
        <f t="shared" si="1"/>
        <v>1.6829234508950696E-3</v>
      </c>
    </row>
    <row r="59" spans="1:14">
      <c r="A59" s="55">
        <v>56</v>
      </c>
      <c r="B59" s="59">
        <v>287.15555555555557</v>
      </c>
      <c r="C59" s="53">
        <f t="shared" si="2"/>
        <v>3.8766314338486354</v>
      </c>
      <c r="D59" s="53">
        <f t="shared" si="8"/>
        <v>6.0011223841161074E-2</v>
      </c>
      <c r="E59" s="54">
        <f t="shared" si="0"/>
        <v>9.7421922993212815E-4</v>
      </c>
      <c r="G59" s="53">
        <f t="shared" si="5"/>
        <v>2.3072370720525912</v>
      </c>
      <c r="H59" s="53">
        <f t="shared" si="6"/>
        <v>3.1851299637024556E-3</v>
      </c>
      <c r="I59" s="54">
        <f t="shared" si="3"/>
        <v>4.7400672097801269E-5</v>
      </c>
      <c r="K59" s="59">
        <v>287.15555555555557</v>
      </c>
      <c r="L59" s="53">
        <f t="shared" si="4"/>
        <v>6.1533832283311671</v>
      </c>
      <c r="M59" s="53">
        <f t="shared" si="7"/>
        <v>9.5255910858985826E-2</v>
      </c>
      <c r="N59" s="53">
        <f t="shared" si="1"/>
        <v>1.5463797300509969E-3</v>
      </c>
    </row>
    <row r="60" spans="1:14">
      <c r="A60" s="55">
        <v>57</v>
      </c>
      <c r="B60" s="59">
        <v>285.28888888888889</v>
      </c>
      <c r="C60" s="53">
        <f t="shared" si="2"/>
        <v>3.943953776158839</v>
      </c>
      <c r="D60" s="53">
        <f t="shared" si="8"/>
        <v>6.2194525958721963E-2</v>
      </c>
      <c r="E60" s="54">
        <f t="shared" si="0"/>
        <v>7.2776737252029579E-4</v>
      </c>
      <c r="G60" s="53">
        <f t="shared" si="5"/>
        <v>2.3483498700362979</v>
      </c>
      <c r="H60" s="53">
        <f t="shared" si="6"/>
        <v>3.3086137333753472E-3</v>
      </c>
      <c r="I60" s="54">
        <f t="shared" si="3"/>
        <v>4.1161256557630549E-5</v>
      </c>
      <c r="K60" s="59">
        <v>285.28888888888889</v>
      </c>
      <c r="L60" s="53">
        <f t="shared" si="4"/>
        <v>6.2602440891410147</v>
      </c>
      <c r="M60" s="53">
        <f t="shared" si="7"/>
        <v>9.8721469775749138E-2</v>
      </c>
      <c r="N60" s="53">
        <f t="shared" si="1"/>
        <v>1.1551863055877711E-3</v>
      </c>
    </row>
    <row r="61" spans="1:14">
      <c r="A61" s="55">
        <v>58</v>
      </c>
      <c r="B61" s="59">
        <v>287.64444444444445</v>
      </c>
      <c r="C61" s="53">
        <f t="shared" si="2"/>
        <v>4.0120154740412781</v>
      </c>
      <c r="D61" s="53">
        <f t="shared" si="8"/>
        <v>6.5471934740578525E-2</v>
      </c>
      <c r="E61" s="54">
        <f t="shared" si="0"/>
        <v>1.0924695939521871E-3</v>
      </c>
      <c r="G61" s="53">
        <f t="shared" si="5"/>
        <v>2.3894813862666249</v>
      </c>
      <c r="H61" s="53">
        <f t="shared" si="6"/>
        <v>3.4615482457844007E-3</v>
      </c>
      <c r="I61" s="54">
        <f t="shared" si="3"/>
        <v>5.0978170803017785E-5</v>
      </c>
      <c r="K61" s="59">
        <v>287.64444444444445</v>
      </c>
      <c r="L61" s="53">
        <f t="shared" si="4"/>
        <v>6.3682785302242513</v>
      </c>
      <c r="M61" s="53">
        <f t="shared" si="7"/>
        <v>0.10392370593742623</v>
      </c>
      <c r="N61" s="53">
        <f t="shared" si="1"/>
        <v>1.734078720559027E-3</v>
      </c>
    </row>
    <row r="62" spans="1:14">
      <c r="A62" s="55">
        <v>59</v>
      </c>
      <c r="B62" s="59">
        <v>289.75555555555553</v>
      </c>
      <c r="C62" s="53">
        <f t="shared" si="2"/>
        <v>4.078983065259421</v>
      </c>
      <c r="D62" s="53">
        <f t="shared" si="8"/>
        <v>7.0169090760905412E-2</v>
      </c>
      <c r="E62" s="54">
        <f t="shared" si="0"/>
        <v>1.5657186734422941E-3</v>
      </c>
      <c r="G62" s="53">
        <f t="shared" si="5"/>
        <v>2.4305834517542153</v>
      </c>
      <c r="H62" s="53">
        <f t="shared" si="6"/>
        <v>3.6419902500797467E-3</v>
      </c>
      <c r="I62" s="54">
        <f t="shared" si="3"/>
        <v>6.0147334765115401E-5</v>
      </c>
      <c r="K62" s="59">
        <v>289.75555555555553</v>
      </c>
      <c r="L62" s="53">
        <f t="shared" si="4"/>
        <v>6.4745762940625742</v>
      </c>
      <c r="M62" s="53">
        <f t="shared" si="7"/>
        <v>0.1113795091442943</v>
      </c>
      <c r="N62" s="53">
        <f t="shared" si="1"/>
        <v>2.4852677356226901E-3</v>
      </c>
    </row>
    <row r="63" spans="1:14">
      <c r="A63" s="55">
        <v>60</v>
      </c>
      <c r="B63" s="59">
        <v>292</v>
      </c>
      <c r="C63" s="53">
        <f t="shared" si="2"/>
        <v>4.1445309092390952</v>
      </c>
      <c r="D63" s="53">
        <f t="shared" si="8"/>
        <v>7.7007051593218967E-2</v>
      </c>
      <c r="E63" s="54">
        <f t="shared" si="0"/>
        <v>2.2793202774378514E-3</v>
      </c>
      <c r="G63" s="53">
        <f t="shared" si="5"/>
        <v>2.4716580097499201</v>
      </c>
      <c r="H63" s="53">
        <f t="shared" si="6"/>
        <v>3.852376494607495E-3</v>
      </c>
      <c r="I63" s="54">
        <f t="shared" si="3"/>
        <v>7.0128748175916054E-5</v>
      </c>
      <c r="K63" s="59">
        <v>292</v>
      </c>
      <c r="L63" s="53">
        <f t="shared" si="4"/>
        <v>6.5786204908557062</v>
      </c>
      <c r="M63" s="53">
        <f t="shared" si="7"/>
        <v>0.12223341522733169</v>
      </c>
      <c r="N63" s="53">
        <f t="shared" si="1"/>
        <v>3.6179686943457958E-3</v>
      </c>
    </row>
    <row r="64" spans="1:14">
      <c r="A64" s="55">
        <v>61</v>
      </c>
      <c r="B64" s="59">
        <v>291.13333333333333</v>
      </c>
      <c r="C64" s="53">
        <f t="shared" si="2"/>
        <v>4.2079379484067818</v>
      </c>
      <c r="D64" s="53">
        <f t="shared" si="8"/>
        <v>8.3053542199585551E-2</v>
      </c>
      <c r="E64" s="54">
        <f t="shared" si="0"/>
        <v>2.0154968687888589E-3</v>
      </c>
      <c r="G64" s="53">
        <f t="shared" si="5"/>
        <v>2.5127026235053922</v>
      </c>
      <c r="H64" s="53">
        <f t="shared" si="6"/>
        <v>4.0556988026509162E-3</v>
      </c>
      <c r="I64" s="54">
        <f t="shared" si="3"/>
        <v>6.7774102681140532E-5</v>
      </c>
      <c r="K64" s="59">
        <v>291.13333333333333</v>
      </c>
      <c r="L64" s="53">
        <f t="shared" si="4"/>
        <v>6.6792665847726678</v>
      </c>
      <c r="M64" s="53">
        <f t="shared" si="7"/>
        <v>0.13183101936442149</v>
      </c>
      <c r="N64" s="53">
        <f t="shared" si="1"/>
        <v>3.1992013790299333E-3</v>
      </c>
    </row>
    <row r="65" spans="1:14">
      <c r="A65" s="55">
        <v>62</v>
      </c>
      <c r="B65" s="62">
        <v>290.26666666666665</v>
      </c>
      <c r="C65" s="53">
        <f t="shared" si="2"/>
        <v>4.2721364578004151</v>
      </c>
      <c r="D65" s="53">
        <f t="shared" si="8"/>
        <v>8.8395538803469065E-2</v>
      </c>
      <c r="E65" s="54">
        <f t="shared" si="0"/>
        <v>1.7806655346278375E-3</v>
      </c>
      <c r="G65" s="53">
        <f t="shared" si="5"/>
        <v>2.5537543011973489</v>
      </c>
      <c r="H65" s="53">
        <f t="shared" si="6"/>
        <v>4.2516128014918816E-3</v>
      </c>
      <c r="I65" s="54">
        <f t="shared" si="3"/>
        <v>6.5304666280321778E-5</v>
      </c>
      <c r="K65" s="62">
        <v>290.26666666666665</v>
      </c>
      <c r="L65" s="53">
        <f t="shared" si="4"/>
        <v>6.781168980635579</v>
      </c>
      <c r="M65" s="53">
        <f t="shared" si="7"/>
        <v>0.14031037905312546</v>
      </c>
      <c r="N65" s="53">
        <f t="shared" si="1"/>
        <v>2.8264532295679953E-3</v>
      </c>
    </row>
    <row r="66" spans="1:14">
      <c r="A66" s="55">
        <v>63</v>
      </c>
      <c r="B66" s="59">
        <v>289.06111111111113</v>
      </c>
      <c r="C66" s="53">
        <f t="shared" si="2"/>
        <v>4.3370394611965315</v>
      </c>
      <c r="D66" s="53">
        <f t="shared" si="8"/>
        <v>9.2858939149351089E-2</v>
      </c>
      <c r="E66" s="54">
        <f t="shared" si="0"/>
        <v>1.4878001152940101E-3</v>
      </c>
      <c r="G66" s="53">
        <f t="shared" si="5"/>
        <v>2.5948133871985082</v>
      </c>
      <c r="H66" s="53">
        <f t="shared" si="6"/>
        <v>4.4355108434125023E-3</v>
      </c>
      <c r="I66" s="54">
        <f t="shared" si="3"/>
        <v>6.129934730687343E-5</v>
      </c>
      <c r="K66" s="59">
        <v>289.06111111111113</v>
      </c>
      <c r="L66" s="53">
        <f t="shared" si="4"/>
        <v>6.8841896209468745</v>
      </c>
      <c r="M66" s="53">
        <f t="shared" si="7"/>
        <v>0.14739514150690647</v>
      </c>
      <c r="N66" s="53">
        <f t="shared" si="1"/>
        <v>2.3615874845936665E-3</v>
      </c>
    </row>
    <row r="67" spans="1:14">
      <c r="A67" s="55">
        <v>64</v>
      </c>
      <c r="B67" s="59">
        <v>288.89999999999998</v>
      </c>
      <c r="C67" s="53">
        <f t="shared" si="2"/>
        <v>4.4028210608506493</v>
      </c>
      <c r="D67" s="53">
        <f t="shared" si="8"/>
        <v>9.7273077148716192E-2</v>
      </c>
      <c r="E67" s="54">
        <f t="shared" si="0"/>
        <v>1.4713793331217018E-3</v>
      </c>
      <c r="G67" s="53">
        <f t="shared" si="5"/>
        <v>2.6358844891565876</v>
      </c>
      <c r="H67" s="53">
        <f t="shared" si="6"/>
        <v>4.6202607991099095E-3</v>
      </c>
      <c r="I67" s="54">
        <f t="shared" si="3"/>
        <v>6.1583318565802518E-5</v>
      </c>
      <c r="K67" s="59">
        <v>288.89999999999998</v>
      </c>
      <c r="L67" s="53">
        <f t="shared" si="4"/>
        <v>6.988604858493094</v>
      </c>
      <c r="M67" s="53">
        <f t="shared" si="7"/>
        <v>0.15440170975986695</v>
      </c>
      <c r="N67" s="53">
        <f t="shared" si="1"/>
        <v>2.3355227509868279E-3</v>
      </c>
    </row>
    <row r="68" spans="1:14">
      <c r="A68" s="55">
        <v>65</v>
      </c>
      <c r="B68" s="59">
        <v>290.32222222222219</v>
      </c>
      <c r="C68" s="53">
        <f t="shared" si="2"/>
        <v>4.4686519228512838</v>
      </c>
      <c r="D68" s="53">
        <f t="shared" si="8"/>
        <v>0.10291096016322096</v>
      </c>
      <c r="E68" s="54">
        <f t="shared" ref="E68:E131" si="9">(24*C68*(0.5)*1)/1000*EXP(43.33-112700/8.314/B68)+(24*C68*(0.5)*0.01)/1000*EXP(43.33-112700/8.314/B68)</f>
        <v>1.8792943381682565E-3</v>
      </c>
      <c r="G68" s="53">
        <f t="shared" si="5"/>
        <v>2.6769547392008901</v>
      </c>
      <c r="H68" s="53">
        <f t="shared" si="6"/>
        <v>4.8263472626126425E-3</v>
      </c>
      <c r="I68" s="54">
        <f t="shared" si="3"/>
        <v>6.8695487834244252E-5</v>
      </c>
      <c r="K68" s="59">
        <v>290.32222222222219</v>
      </c>
      <c r="L68" s="53">
        <f t="shared" si="4"/>
        <v>7.0930982902401336</v>
      </c>
      <c r="M68" s="53">
        <f t="shared" si="7"/>
        <v>0.16335073041781104</v>
      </c>
      <c r="N68" s="53">
        <f t="shared" ref="N68:N131" si="10">(24*L68*(0.5)*1)/1000*EXP(43.33-112700/8.314/K68)+(24*L68*(0.5)*0.01)/1000*EXP(43.33-112700/8.314/K68)</f>
        <v>2.9830068859813597E-3</v>
      </c>
    </row>
    <row r="69" spans="1:14">
      <c r="A69" s="55">
        <v>66</v>
      </c>
      <c r="B69" s="59">
        <v>289.82222222222219</v>
      </c>
      <c r="C69" s="53">
        <f t="shared" ref="C69:C132" si="11">$D$2*A69-D68</f>
        <v>4.5332590398367794</v>
      </c>
      <c r="D69" s="53">
        <f t="shared" si="8"/>
        <v>0.10818771762974246</v>
      </c>
      <c r="E69" s="54">
        <f t="shared" si="9"/>
        <v>1.7589191555071665E-3</v>
      </c>
      <c r="G69" s="53">
        <f t="shared" si="5"/>
        <v>2.7180036527373876</v>
      </c>
      <c r="H69" s="53">
        <f t="shared" si="6"/>
        <v>5.0290052897016806E-3</v>
      </c>
      <c r="I69" s="54">
        <f t="shared" ref="I69:I132" si="12">MAX(G69*0.24*0.67*(0.201*(B69-273)-0.29)/100/100*0.5,0)</f>
        <v>6.7552675696345914E-5</v>
      </c>
      <c r="K69" s="59">
        <v>289.82222222222219</v>
      </c>
      <c r="L69" s="53">
        <f t="shared" ref="L69:L132" si="13">$M$2*A69-M68</f>
        <v>7.195649269582189</v>
      </c>
      <c r="M69" s="53">
        <f t="shared" si="7"/>
        <v>0.1717265359202261</v>
      </c>
      <c r="N69" s="53">
        <f t="shared" si="10"/>
        <v>2.7919351674716921E-3</v>
      </c>
    </row>
    <row r="70" spans="1:14">
      <c r="A70" s="55">
        <v>67</v>
      </c>
      <c r="B70" s="59">
        <v>289.32777777777778</v>
      </c>
      <c r="C70" s="53">
        <f t="shared" si="11"/>
        <v>4.5982272823702575</v>
      </c>
      <c r="D70" s="53">
        <f t="shared" si="8"/>
        <v>0.11312893422483428</v>
      </c>
      <c r="E70" s="54">
        <f t="shared" si="9"/>
        <v>1.6470721983639399E-3</v>
      </c>
      <c r="G70" s="53">
        <f t="shared" ref="G70:G133" si="14">$H$2*A70-H69</f>
        <v>2.7590559947102986</v>
      </c>
      <c r="H70" s="53">
        <f t="shared" ref="H70:H133" si="15">H69+3*I70</f>
        <v>5.2281104300506099E-3</v>
      </c>
      <c r="I70" s="54">
        <f t="shared" si="12"/>
        <v>6.636838011630963E-5</v>
      </c>
      <c r="K70" s="59">
        <v>289.32777777777778</v>
      </c>
      <c r="L70" s="53">
        <f t="shared" si="13"/>
        <v>7.2987734640797743</v>
      </c>
      <c r="M70" s="53">
        <f t="shared" ref="M70:M133" si="16">M69+N70*3</f>
        <v>0.17956973686481628</v>
      </c>
      <c r="N70" s="53">
        <f t="shared" si="10"/>
        <v>2.6144003148633964E-3</v>
      </c>
    </row>
    <row r="71" spans="1:14">
      <c r="A71" s="55">
        <v>68</v>
      </c>
      <c r="B71" s="59">
        <v>291.87222222222221</v>
      </c>
      <c r="C71" s="53">
        <f t="shared" si="11"/>
        <v>4.6635310657751656</v>
      </c>
      <c r="D71" s="53">
        <f t="shared" ref="D71:D134" si="17">D70+3*E71</f>
        <v>0.12066838683200103</v>
      </c>
      <c r="E71" s="54">
        <f t="shared" si="9"/>
        <v>2.5131508690555819E-3</v>
      </c>
      <c r="G71" s="53">
        <f t="shared" si="14"/>
        <v>2.8001118895699495</v>
      </c>
      <c r="H71" s="53">
        <f t="shared" si="15"/>
        <v>5.4647198791190465E-3</v>
      </c>
      <c r="I71" s="54">
        <f t="shared" si="12"/>
        <v>7.8869816356145586E-5</v>
      </c>
      <c r="K71" s="59">
        <v>291.87222222222221</v>
      </c>
      <c r="L71" s="53">
        <f t="shared" si="13"/>
        <v>7.4024302631351837</v>
      </c>
      <c r="M71" s="53">
        <f t="shared" si="16"/>
        <v>0.19153712195555714</v>
      </c>
      <c r="N71" s="53">
        <f t="shared" si="10"/>
        <v>3.9891283635802889E-3</v>
      </c>
    </row>
    <row r="72" spans="1:14">
      <c r="A72" s="55">
        <v>69</v>
      </c>
      <c r="B72" s="59">
        <v>290.60555555555555</v>
      </c>
      <c r="C72" s="53">
        <f t="shared" si="11"/>
        <v>4.7262366131679991</v>
      </c>
      <c r="D72" s="53">
        <f t="shared" si="17"/>
        <v>0.12690897065920004</v>
      </c>
      <c r="E72" s="54">
        <f t="shared" si="9"/>
        <v>2.080194609066333E-3</v>
      </c>
      <c r="G72" s="53">
        <f t="shared" si="14"/>
        <v>2.8411302801208813</v>
      </c>
      <c r="H72" s="53">
        <f t="shared" si="15"/>
        <v>5.6873481374310319E-3</v>
      </c>
      <c r="I72" s="54">
        <f t="shared" si="12"/>
        <v>7.4209419437328342E-5</v>
      </c>
      <c r="K72" s="59">
        <v>290.60555555555555</v>
      </c>
      <c r="L72" s="53">
        <f t="shared" si="13"/>
        <v>7.5019628780444432</v>
      </c>
      <c r="M72" s="53">
        <f t="shared" si="16"/>
        <v>0.20144281057015873</v>
      </c>
      <c r="N72" s="53">
        <f t="shared" si="10"/>
        <v>3.3018962048671956E-3</v>
      </c>
    </row>
    <row r="73" spans="1:14">
      <c r="A73" s="55">
        <v>70</v>
      </c>
      <c r="B73" s="59">
        <v>289.18888888888887</v>
      </c>
      <c r="C73" s="53">
        <f t="shared" si="11"/>
        <v>4.7902410293408</v>
      </c>
      <c r="D73" s="53">
        <f t="shared" si="17"/>
        <v>0.13194198985767477</v>
      </c>
      <c r="E73" s="54">
        <f t="shared" si="9"/>
        <v>1.6776730661582466E-3</v>
      </c>
      <c r="G73" s="53">
        <f t="shared" si="14"/>
        <v>2.8821626518625689</v>
      </c>
      <c r="H73" s="53">
        <f t="shared" si="15"/>
        <v>5.89339647018717E-3</v>
      </c>
      <c r="I73" s="54">
        <f t="shared" si="12"/>
        <v>6.8682777585379282E-5</v>
      </c>
      <c r="K73" s="59">
        <v>289.18888888888887</v>
      </c>
      <c r="L73" s="53">
        <f t="shared" si="13"/>
        <v>7.603557189429841</v>
      </c>
      <c r="M73" s="53">
        <f t="shared" si="16"/>
        <v>0.20943172993281703</v>
      </c>
      <c r="N73" s="53">
        <f t="shared" si="10"/>
        <v>2.6629731208861053E-3</v>
      </c>
    </row>
    <row r="74" spans="1:14">
      <c r="A74" s="55">
        <v>71</v>
      </c>
      <c r="B74" s="59">
        <v>288.72222222222223</v>
      </c>
      <c r="C74" s="53">
        <f t="shared" si="11"/>
        <v>4.8554530101423259</v>
      </c>
      <c r="D74" s="53">
        <f t="shared" si="17"/>
        <v>0.13667129563577421</v>
      </c>
      <c r="E74" s="54">
        <f t="shared" si="9"/>
        <v>1.5764352593664816E-3</v>
      </c>
      <c r="G74" s="53">
        <f t="shared" si="14"/>
        <v>2.9232116035298126</v>
      </c>
      <c r="H74" s="53">
        <f t="shared" si="15"/>
        <v>6.0957657908252052E-3</v>
      </c>
      <c r="I74" s="54">
        <f t="shared" si="12"/>
        <v>6.7456440212678483E-5</v>
      </c>
      <c r="K74" s="59">
        <v>288.72222222222223</v>
      </c>
      <c r="L74" s="53">
        <f t="shared" si="13"/>
        <v>7.7070682700671833</v>
      </c>
      <c r="M74" s="53">
        <f t="shared" si="16"/>
        <v>0.21693856450122884</v>
      </c>
      <c r="N74" s="53">
        <f t="shared" si="10"/>
        <v>2.502278189470606E-3</v>
      </c>
    </row>
    <row r="75" spans="1:14">
      <c r="A75" s="55">
        <v>72</v>
      </c>
      <c r="B75" s="59">
        <v>289.03333333333336</v>
      </c>
      <c r="C75" s="53">
        <f t="shared" si="11"/>
        <v>4.9209687043642258</v>
      </c>
      <c r="D75" s="53">
        <f t="shared" si="17"/>
        <v>0.14171286525742896</v>
      </c>
      <c r="E75" s="54">
        <f t="shared" si="9"/>
        <v>1.6805232072182529E-3</v>
      </c>
      <c r="G75" s="53">
        <f t="shared" si="14"/>
        <v>2.9642642342091747</v>
      </c>
      <c r="H75" s="53">
        <f t="shared" si="15"/>
        <v>6.3054481318235312E-3</v>
      </c>
      <c r="I75" s="54">
        <f t="shared" si="12"/>
        <v>6.9894113666108717E-5</v>
      </c>
      <c r="K75" s="59">
        <v>289.03333333333336</v>
      </c>
      <c r="L75" s="53">
        <f t="shared" si="13"/>
        <v>7.8110614354987717</v>
      </c>
      <c r="M75" s="53">
        <f t="shared" si="16"/>
        <v>0.22494105596417291</v>
      </c>
      <c r="N75" s="53">
        <f t="shared" si="10"/>
        <v>2.6674971543146873E-3</v>
      </c>
    </row>
    <row r="76" spans="1:14">
      <c r="A76" s="55">
        <v>73</v>
      </c>
      <c r="B76" s="59">
        <v>290.22777777777776</v>
      </c>
      <c r="C76" s="53">
        <f t="shared" si="11"/>
        <v>4.9861721347425707</v>
      </c>
      <c r="D76" s="53">
        <f t="shared" si="17"/>
        <v>0.14790881870073735</v>
      </c>
      <c r="E76" s="54">
        <f t="shared" si="9"/>
        <v>2.0653178144361319E-3</v>
      </c>
      <c r="G76" s="53">
        <f t="shared" si="14"/>
        <v>3.0053095518681765</v>
      </c>
      <c r="H76" s="53">
        <f t="shared" si="15"/>
        <v>6.5354370607346472E-3</v>
      </c>
      <c r="I76" s="54">
        <f t="shared" si="12"/>
        <v>7.6662976303705461E-5</v>
      </c>
      <c r="K76" s="59">
        <v>290.22777777777776</v>
      </c>
      <c r="L76" s="53">
        <f t="shared" si="13"/>
        <v>7.9145589440358268</v>
      </c>
      <c r="M76" s="53">
        <f t="shared" si="16"/>
        <v>0.23477590269958307</v>
      </c>
      <c r="N76" s="53">
        <f t="shared" si="10"/>
        <v>3.2782822451367178E-3</v>
      </c>
    </row>
    <row r="77" spans="1:14">
      <c r="A77" s="55">
        <v>74</v>
      </c>
      <c r="B77" s="59">
        <v>291.2833333333333</v>
      </c>
      <c r="C77" s="53">
        <f t="shared" si="11"/>
        <v>5.0502211812992623</v>
      </c>
      <c r="D77" s="53">
        <f t="shared" si="17"/>
        <v>0.15534170687765722</v>
      </c>
      <c r="E77" s="54">
        <f t="shared" si="9"/>
        <v>2.4776293923066198E-3</v>
      </c>
      <c r="G77" s="53">
        <f t="shared" si="14"/>
        <v>3.0463345629392653</v>
      </c>
      <c r="H77" s="53">
        <f t="shared" si="15"/>
        <v>6.7841550278478161E-3</v>
      </c>
      <c r="I77" s="54">
        <f t="shared" si="12"/>
        <v>8.2905989037722848E-5</v>
      </c>
      <c r="K77" s="59">
        <v>291.2833333333333</v>
      </c>
      <c r="L77" s="53">
        <f t="shared" si="13"/>
        <v>8.016224097300416</v>
      </c>
      <c r="M77" s="53">
        <f t="shared" si="16"/>
        <v>0.24657413790104316</v>
      </c>
      <c r="N77" s="53">
        <f t="shared" si="10"/>
        <v>3.932745067153365E-3</v>
      </c>
    </row>
    <row r="78" spans="1:14">
      <c r="A78" s="55">
        <v>75</v>
      </c>
      <c r="B78" s="59">
        <v>291.94444444444446</v>
      </c>
      <c r="C78" s="53">
        <f t="shared" si="11"/>
        <v>5.113033293122343</v>
      </c>
      <c r="D78" s="53">
        <f t="shared" si="17"/>
        <v>0.16370338182835753</v>
      </c>
      <c r="E78" s="54">
        <f t="shared" si="9"/>
        <v>2.7872249835667671E-3</v>
      </c>
      <c r="G78" s="53">
        <f t="shared" si="14"/>
        <v>3.087340844972152</v>
      </c>
      <c r="H78" s="53">
        <f t="shared" si="15"/>
        <v>7.0461163307714214E-3</v>
      </c>
      <c r="I78" s="54">
        <f t="shared" si="12"/>
        <v>8.7320434307868529E-5</v>
      </c>
      <c r="K78" s="59">
        <v>291.94444444444446</v>
      </c>
      <c r="L78" s="53">
        <f t="shared" si="13"/>
        <v>8.1159258620989583</v>
      </c>
      <c r="M78" s="53">
        <f t="shared" si="16"/>
        <v>0.25984663782278966</v>
      </c>
      <c r="N78" s="53">
        <f t="shared" si="10"/>
        <v>4.4241666405821691E-3</v>
      </c>
    </row>
    <row r="79" spans="1:14">
      <c r="A79" s="55">
        <v>76</v>
      </c>
      <c r="B79" s="59">
        <v>291.43333333333334</v>
      </c>
      <c r="C79" s="53">
        <f t="shared" si="11"/>
        <v>5.1749166181716433</v>
      </c>
      <c r="D79" s="53">
        <f t="shared" si="17"/>
        <v>0.17150443040025226</v>
      </c>
      <c r="E79" s="54">
        <f t="shared" si="9"/>
        <v>2.6003495239649071E-3</v>
      </c>
      <c r="G79" s="53">
        <f t="shared" si="14"/>
        <v>3.1283338836692285</v>
      </c>
      <c r="H79" s="53">
        <f t="shared" si="15"/>
        <v>7.3038041126438063E-3</v>
      </c>
      <c r="I79" s="54">
        <f t="shared" si="12"/>
        <v>8.5895927290795029E-5</v>
      </c>
      <c r="K79" s="59">
        <v>291.43333333333334</v>
      </c>
      <c r="L79" s="53">
        <f t="shared" si="13"/>
        <v>8.2141533621772105</v>
      </c>
      <c r="M79" s="53">
        <f t="shared" si="16"/>
        <v>0.27222925460357494</v>
      </c>
      <c r="N79" s="53">
        <f t="shared" si="10"/>
        <v>4.1275389269284238E-3</v>
      </c>
    </row>
    <row r="80" spans="1:14">
      <c r="A80" s="55">
        <v>77</v>
      </c>
      <c r="B80" s="59">
        <v>291.92222222222222</v>
      </c>
      <c r="C80" s="53">
        <f t="shared" si="11"/>
        <v>5.2373605695997485</v>
      </c>
      <c r="D80" s="53">
        <f t="shared" si="17"/>
        <v>0.18003920585164268</v>
      </c>
      <c r="E80" s="54">
        <f t="shared" si="9"/>
        <v>2.8449251504634714E-3</v>
      </c>
      <c r="G80" s="53">
        <f t="shared" si="14"/>
        <v>3.1693311958873562</v>
      </c>
      <c r="H80" s="53">
        <f t="shared" si="15"/>
        <v>7.5723808572554958E-3</v>
      </c>
      <c r="I80" s="54">
        <f t="shared" si="12"/>
        <v>8.952558153722981E-5</v>
      </c>
      <c r="K80" s="59">
        <v>291.92222222222222</v>
      </c>
      <c r="L80" s="53">
        <f t="shared" si="13"/>
        <v>8.3132707453964247</v>
      </c>
      <c r="M80" s="53">
        <f t="shared" si="16"/>
        <v>0.28577651722482955</v>
      </c>
      <c r="N80" s="53">
        <f t="shared" si="10"/>
        <v>4.5157542070848739E-3</v>
      </c>
    </row>
    <row r="81" spans="1:14">
      <c r="A81" s="55">
        <v>78</v>
      </c>
      <c r="B81" s="59">
        <v>292.66666666666669</v>
      </c>
      <c r="C81" s="53">
        <f t="shared" si="11"/>
        <v>5.2990707941483581</v>
      </c>
      <c r="D81" s="53">
        <f t="shared" si="17"/>
        <v>0.1897571886103108</v>
      </c>
      <c r="E81" s="54">
        <f t="shared" si="9"/>
        <v>3.2393275862227021E-3</v>
      </c>
      <c r="G81" s="53">
        <f t="shared" si="14"/>
        <v>3.2103176191427445</v>
      </c>
      <c r="H81" s="53">
        <f t="shared" si="15"/>
        <v>7.8560174270022442E-3</v>
      </c>
      <c r="I81" s="54">
        <f t="shared" si="12"/>
        <v>9.4545523248915872E-5</v>
      </c>
      <c r="K81" s="59">
        <v>292.66666666666669</v>
      </c>
      <c r="L81" s="53">
        <f t="shared" si="13"/>
        <v>8.4112234827751706</v>
      </c>
      <c r="M81" s="53">
        <f t="shared" si="16"/>
        <v>0.30120188668303288</v>
      </c>
      <c r="N81" s="53">
        <f t="shared" si="10"/>
        <v>5.1417898194011137E-3</v>
      </c>
    </row>
    <row r="82" spans="1:14">
      <c r="A82" s="55">
        <v>79</v>
      </c>
      <c r="B82" s="59">
        <v>293.39444444444445</v>
      </c>
      <c r="C82" s="53">
        <f t="shared" si="11"/>
        <v>5.3595978113896896</v>
      </c>
      <c r="D82" s="53">
        <f t="shared" si="17"/>
        <v>0.20078286665668515</v>
      </c>
      <c r="E82" s="54">
        <f t="shared" si="9"/>
        <v>3.6752260154581176E-3</v>
      </c>
      <c r="G82" s="53">
        <f t="shared" si="14"/>
        <v>3.2512889825729978</v>
      </c>
      <c r="H82" s="53">
        <f t="shared" si="15"/>
        <v>8.1547455791101987E-3</v>
      </c>
      <c r="I82" s="54">
        <f t="shared" si="12"/>
        <v>9.9576050702651533E-5</v>
      </c>
      <c r="K82" s="59">
        <v>293.39444444444445</v>
      </c>
      <c r="L82" s="53">
        <f t="shared" si="13"/>
        <v>8.5072981133169669</v>
      </c>
      <c r="M82" s="53">
        <f t="shared" si="16"/>
        <v>0.31870296294711914</v>
      </c>
      <c r="N82" s="53">
        <f t="shared" si="10"/>
        <v>5.8336920880287585E-3</v>
      </c>
    </row>
    <row r="83" spans="1:14">
      <c r="A83" s="55">
        <v>80</v>
      </c>
      <c r="B83" s="59">
        <v>292.49444444444447</v>
      </c>
      <c r="C83" s="53">
        <f t="shared" si="11"/>
        <v>5.4188171333433148</v>
      </c>
      <c r="D83" s="53">
        <f t="shared" si="17"/>
        <v>0.21045309990129302</v>
      </c>
      <c r="E83" s="54">
        <f t="shared" si="9"/>
        <v>3.223411081535954E-3</v>
      </c>
      <c r="G83" s="53">
        <f t="shared" si="14"/>
        <v>3.2922452544208896</v>
      </c>
      <c r="H83" s="53">
        <f t="shared" si="15"/>
        <v>8.4428717098967224E-3</v>
      </c>
      <c r="I83" s="54">
        <f t="shared" si="12"/>
        <v>9.604204359550771E-5</v>
      </c>
      <c r="K83" s="59">
        <v>292.49444444444447</v>
      </c>
      <c r="L83" s="53">
        <f t="shared" si="13"/>
        <v>8.6012970370528805</v>
      </c>
      <c r="M83" s="53">
        <f t="shared" si="16"/>
        <v>0.33405253952586178</v>
      </c>
      <c r="N83" s="53">
        <f t="shared" si="10"/>
        <v>5.1165255262475458E-3</v>
      </c>
    </row>
    <row r="84" spans="1:14">
      <c r="A84" s="55">
        <v>81</v>
      </c>
      <c r="B84" s="59">
        <v>293.47777777777776</v>
      </c>
      <c r="C84" s="53">
        <f t="shared" si="11"/>
        <v>5.4793919000987072</v>
      </c>
      <c r="D84" s="53">
        <f t="shared" si="17"/>
        <v>0.22187407123531003</v>
      </c>
      <c r="E84" s="54">
        <f t="shared" si="9"/>
        <v>3.806990444672336E-3</v>
      </c>
      <c r="G84" s="53">
        <f t="shared" si="14"/>
        <v>3.333212128290103</v>
      </c>
      <c r="H84" s="53">
        <f t="shared" si="15"/>
        <v>8.750473604619724E-3</v>
      </c>
      <c r="I84" s="54">
        <f t="shared" si="12"/>
        <v>1.0253396490766729E-4</v>
      </c>
      <c r="K84" s="59">
        <v>293.47777777777776</v>
      </c>
      <c r="L84" s="53">
        <f t="shared" si="13"/>
        <v>8.6974474604741374</v>
      </c>
      <c r="M84" s="53">
        <f t="shared" si="16"/>
        <v>0.35218106545287292</v>
      </c>
      <c r="N84" s="53">
        <f t="shared" si="10"/>
        <v>6.0428419756703728E-3</v>
      </c>
    </row>
    <row r="85" spans="1:14">
      <c r="A85" s="55">
        <v>82</v>
      </c>
      <c r="B85" s="59">
        <v>293.28333333333336</v>
      </c>
      <c r="C85" s="53">
        <f t="shared" si="11"/>
        <v>5.5382159287646902</v>
      </c>
      <c r="D85" s="53">
        <f t="shared" si="17"/>
        <v>0.23306951184097116</v>
      </c>
      <c r="E85" s="54">
        <f t="shared" si="9"/>
        <v>3.7318135352203755E-3</v>
      </c>
      <c r="G85" s="53">
        <f t="shared" si="14"/>
        <v>3.3741595263953803</v>
      </c>
      <c r="H85" s="53">
        <f t="shared" si="15"/>
        <v>9.0586734994735334E-3</v>
      </c>
      <c r="I85" s="54">
        <f t="shared" si="12"/>
        <v>1.0273329828460336E-4</v>
      </c>
      <c r="K85" s="59">
        <v>293.28333333333336</v>
      </c>
      <c r="L85" s="53">
        <f t="shared" si="13"/>
        <v>8.7908189345471275</v>
      </c>
      <c r="M85" s="53">
        <f t="shared" si="16"/>
        <v>0.36995160609677946</v>
      </c>
      <c r="N85" s="53">
        <f t="shared" si="10"/>
        <v>5.92351354796885E-3</v>
      </c>
    </row>
    <row r="86" spans="1:14">
      <c r="A86" s="55">
        <v>83</v>
      </c>
      <c r="B86" s="59">
        <v>293.04444444444442</v>
      </c>
      <c r="C86" s="53">
        <f t="shared" si="11"/>
        <v>5.5972654881590289</v>
      </c>
      <c r="D86" s="53">
        <f t="shared" si="17"/>
        <v>0.24396593153839644</v>
      </c>
      <c r="E86" s="54">
        <f t="shared" si="9"/>
        <v>3.6321398991417545E-3</v>
      </c>
      <c r="G86" s="53">
        <f t="shared" si="14"/>
        <v>3.4151063265005264</v>
      </c>
      <c r="H86" s="53">
        <f t="shared" si="15"/>
        <v>9.3666582792039862E-3</v>
      </c>
      <c r="I86" s="54">
        <f t="shared" si="12"/>
        <v>1.0266159324348404E-4</v>
      </c>
      <c r="K86" s="59">
        <v>293.04444444444442</v>
      </c>
      <c r="L86" s="53">
        <f t="shared" si="13"/>
        <v>8.8845483939032199</v>
      </c>
      <c r="M86" s="53">
        <f t="shared" si="16"/>
        <v>0.38724751037840688</v>
      </c>
      <c r="N86" s="53">
        <f t="shared" si="10"/>
        <v>5.765301427209134E-3</v>
      </c>
    </row>
    <row r="87" spans="1:14">
      <c r="A87" s="55">
        <v>84</v>
      </c>
      <c r="B87" s="59">
        <v>293.32777777777778</v>
      </c>
      <c r="C87" s="53">
        <f t="shared" si="11"/>
        <v>5.6566140684616029</v>
      </c>
      <c r="D87" s="53">
        <f t="shared" si="17"/>
        <v>0.25548107269847942</v>
      </c>
      <c r="E87" s="54">
        <f t="shared" si="9"/>
        <v>3.8383803866943343E-3</v>
      </c>
      <c r="G87" s="53">
        <f t="shared" si="14"/>
        <v>3.4560533417207959</v>
      </c>
      <c r="H87" s="53">
        <f t="shared" si="15"/>
        <v>9.6830831389322341E-3</v>
      </c>
      <c r="I87" s="54">
        <f t="shared" si="12"/>
        <v>1.0547495324274951E-4</v>
      </c>
      <c r="K87" s="59">
        <v>293.32777777777778</v>
      </c>
      <c r="L87" s="53">
        <f t="shared" si="13"/>
        <v>8.9787524896215931</v>
      </c>
      <c r="M87" s="53">
        <f t="shared" si="16"/>
        <v>0.40552551221980848</v>
      </c>
      <c r="N87" s="53">
        <f t="shared" si="10"/>
        <v>6.0926672804671993E-3</v>
      </c>
    </row>
    <row r="88" spans="1:14">
      <c r="A88" s="55">
        <v>85</v>
      </c>
      <c r="B88" s="59">
        <v>293.76111111111112</v>
      </c>
      <c r="C88" s="53">
        <f t="shared" si="11"/>
        <v>5.7153439273015207</v>
      </c>
      <c r="D88" s="53">
        <f t="shared" si="17"/>
        <v>0.26793655688061274</v>
      </c>
      <c r="E88" s="54">
        <f t="shared" si="9"/>
        <v>4.151828060711106E-3</v>
      </c>
      <c r="G88" s="53">
        <f t="shared" si="14"/>
        <v>3.4969919168610679</v>
      </c>
      <c r="H88" s="53">
        <f t="shared" si="15"/>
        <v>1.0010602862211181E-2</v>
      </c>
      <c r="I88" s="54">
        <f t="shared" si="12"/>
        <v>1.0917324109298228E-4</v>
      </c>
      <c r="K88" s="59">
        <v>293.76111111111112</v>
      </c>
      <c r="L88" s="53">
        <f t="shared" si="13"/>
        <v>9.0719744877801922</v>
      </c>
      <c r="M88" s="53">
        <f t="shared" si="16"/>
        <v>0.42529612203271849</v>
      </c>
      <c r="N88" s="53">
        <f t="shared" si="10"/>
        <v>6.5902032709700105E-3</v>
      </c>
    </row>
    <row r="89" spans="1:14">
      <c r="A89" s="55">
        <v>86</v>
      </c>
      <c r="B89" s="59">
        <v>294.82777777777778</v>
      </c>
      <c r="C89" s="53">
        <f t="shared" si="11"/>
        <v>5.7731334431193879</v>
      </c>
      <c r="D89" s="53">
        <f t="shared" si="17"/>
        <v>0.28280392924190306</v>
      </c>
      <c r="E89" s="54">
        <f t="shared" si="9"/>
        <v>4.9557907870967696E-3</v>
      </c>
      <c r="G89" s="53">
        <f t="shared" si="14"/>
        <v>3.5379193971377889</v>
      </c>
      <c r="H89" s="53">
        <f t="shared" si="15"/>
        <v>1.03602514949881E-2</v>
      </c>
      <c r="I89" s="54">
        <f t="shared" si="12"/>
        <v>1.1654954425897315E-4</v>
      </c>
      <c r="K89" s="59">
        <v>294.82777777777778</v>
      </c>
      <c r="L89" s="53">
        <f t="shared" si="13"/>
        <v>9.1637038779672828</v>
      </c>
      <c r="M89" s="53">
        <f t="shared" si="16"/>
        <v>0.44889512578079838</v>
      </c>
      <c r="N89" s="53">
        <f t="shared" si="10"/>
        <v>7.8663345826932851E-3</v>
      </c>
    </row>
    <row r="90" spans="1:14">
      <c r="A90" s="55">
        <v>87</v>
      </c>
      <c r="B90" s="59">
        <v>295.46111111111111</v>
      </c>
      <c r="C90" s="53">
        <f t="shared" si="11"/>
        <v>5.8285110707580969</v>
      </c>
      <c r="D90" s="53">
        <f t="shared" si="17"/>
        <v>0.29936857024303259</v>
      </c>
      <c r="E90" s="54">
        <f t="shared" si="9"/>
        <v>5.521547000376513E-3</v>
      </c>
      <c r="G90" s="53">
        <f t="shared" si="14"/>
        <v>3.5788247485050118</v>
      </c>
      <c r="H90" s="53">
        <f t="shared" si="15"/>
        <v>1.0724931453570572E-2</v>
      </c>
      <c r="I90" s="54">
        <f t="shared" si="12"/>
        <v>1.2155998619415704E-4</v>
      </c>
      <c r="K90" s="59">
        <v>295.46111111111111</v>
      </c>
      <c r="L90" s="53">
        <f t="shared" si="13"/>
        <v>9.2516048742192023</v>
      </c>
      <c r="M90" s="53">
        <f t="shared" si="16"/>
        <v>0.47518820673497225</v>
      </c>
      <c r="N90" s="53">
        <f t="shared" si="10"/>
        <v>8.764360318057959E-3</v>
      </c>
    </row>
    <row r="91" spans="1:14">
      <c r="A91" s="55">
        <v>88</v>
      </c>
      <c r="B91" s="59">
        <v>294.73888888888888</v>
      </c>
      <c r="C91" s="53">
        <f t="shared" si="11"/>
        <v>5.8821914297569675</v>
      </c>
      <c r="D91" s="53">
        <f t="shared" si="17"/>
        <v>0.31430819843708796</v>
      </c>
      <c r="E91" s="54">
        <f t="shared" si="9"/>
        <v>4.9798760646851169E-3</v>
      </c>
      <c r="G91" s="53">
        <f t="shared" si="14"/>
        <v>3.6197150685464297</v>
      </c>
      <c r="H91" s="53">
        <f t="shared" si="15"/>
        <v>1.1081103966941929E-2</v>
      </c>
      <c r="I91" s="54">
        <f t="shared" si="12"/>
        <v>1.1872417112378582E-4</v>
      </c>
      <c r="K91" s="59">
        <v>294.73888888888888</v>
      </c>
      <c r="L91" s="53">
        <f t="shared" si="13"/>
        <v>9.3368117932650279</v>
      </c>
      <c r="M91" s="53">
        <f t="shared" si="16"/>
        <v>0.49890190228109188</v>
      </c>
      <c r="N91" s="53">
        <f t="shared" si="10"/>
        <v>7.9045651820398698E-3</v>
      </c>
    </row>
    <row r="92" spans="1:14">
      <c r="A92" s="55">
        <v>89</v>
      </c>
      <c r="B92" s="59">
        <v>292.07222222222219</v>
      </c>
      <c r="C92" s="53">
        <f t="shared" si="11"/>
        <v>5.9374968015629124</v>
      </c>
      <c r="D92" s="53">
        <f t="shared" si="17"/>
        <v>0.32421742978830492</v>
      </c>
      <c r="E92" s="54">
        <f t="shared" si="9"/>
        <v>3.3030771170723225E-3</v>
      </c>
      <c r="G92" s="53">
        <f t="shared" si="14"/>
        <v>3.6606138960330581</v>
      </c>
      <c r="H92" s="53">
        <f t="shared" si="15"/>
        <v>1.1393975252923821E-2</v>
      </c>
      <c r="I92" s="54">
        <f t="shared" si="12"/>
        <v>1.0429042866063079E-4</v>
      </c>
      <c r="K92" s="59">
        <v>292.07222222222219</v>
      </c>
      <c r="L92" s="53">
        <f t="shared" si="13"/>
        <v>9.4245980977189081</v>
      </c>
      <c r="M92" s="53">
        <f t="shared" si="16"/>
        <v>0.51463084093381728</v>
      </c>
      <c r="N92" s="53">
        <f t="shared" si="10"/>
        <v>5.2429795509084491E-3</v>
      </c>
    </row>
    <row r="93" spans="1:14">
      <c r="A93" s="55">
        <v>90</v>
      </c>
      <c r="B93" s="59">
        <v>290.51111111111112</v>
      </c>
      <c r="C93" s="53">
        <f t="shared" si="11"/>
        <v>5.9978325702116955</v>
      </c>
      <c r="D93" s="53">
        <f t="shared" si="17"/>
        <v>0.33201785555042074</v>
      </c>
      <c r="E93" s="54">
        <f t="shared" si="9"/>
        <v>2.6001419207052662E-3</v>
      </c>
      <c r="G93" s="53">
        <f t="shared" si="14"/>
        <v>3.7015560247470765</v>
      </c>
      <c r="H93" s="53">
        <f t="shared" si="15"/>
        <v>1.1682330790669056E-2</v>
      </c>
      <c r="I93" s="54">
        <f t="shared" si="12"/>
        <v>9.6118512581744794E-5</v>
      </c>
      <c r="K93" s="59">
        <v>290.51111111111112</v>
      </c>
      <c r="L93" s="53">
        <f t="shared" si="13"/>
        <v>9.520369159066183</v>
      </c>
      <c r="M93" s="53">
        <f t="shared" si="16"/>
        <v>0.52701246912765187</v>
      </c>
      <c r="N93" s="53">
        <f t="shared" si="10"/>
        <v>4.127209397944866E-3</v>
      </c>
    </row>
    <row r="94" spans="1:14">
      <c r="A94" s="55">
        <v>91</v>
      </c>
      <c r="B94" s="59">
        <v>291.12222222222221</v>
      </c>
      <c r="C94" s="53">
        <f t="shared" si="11"/>
        <v>6.0602771444495787</v>
      </c>
      <c r="D94" s="53">
        <f t="shared" si="17"/>
        <v>0.34071055712133286</v>
      </c>
      <c r="E94" s="54">
        <f t="shared" si="9"/>
        <v>2.8975671903040331E-3</v>
      </c>
      <c r="G94" s="53">
        <f t="shared" si="14"/>
        <v>3.7425226692093307</v>
      </c>
      <c r="H94" s="53">
        <f t="shared" si="15"/>
        <v>1.1984965799479913E-2</v>
      </c>
      <c r="I94" s="54">
        <f t="shared" si="12"/>
        <v>1.0087833627028581E-4</v>
      </c>
      <c r="K94" s="59">
        <v>291.12222222222221</v>
      </c>
      <c r="L94" s="53">
        <f t="shared" si="13"/>
        <v>9.6194875308723482</v>
      </c>
      <c r="M94" s="53">
        <f t="shared" si="16"/>
        <v>0.54081040812909964</v>
      </c>
      <c r="N94" s="53">
        <f t="shared" si="10"/>
        <v>4.5993130004825921E-3</v>
      </c>
    </row>
    <row r="95" spans="1:14">
      <c r="A95" s="55">
        <v>92</v>
      </c>
      <c r="B95" s="62">
        <v>292.23888888888888</v>
      </c>
      <c r="C95" s="53">
        <f t="shared" si="11"/>
        <v>6.1218294428786679</v>
      </c>
      <c r="D95" s="53">
        <f t="shared" si="17"/>
        <v>0.35120146473087849</v>
      </c>
      <c r="E95" s="54">
        <f t="shared" si="9"/>
        <v>3.4969692031818801E-3</v>
      </c>
      <c r="G95" s="53">
        <f t="shared" si="14"/>
        <v>3.7834750342005199</v>
      </c>
      <c r="H95" s="53">
        <f t="shared" si="15"/>
        <v>1.2311395103996602E-2</v>
      </c>
      <c r="I95" s="54">
        <f t="shared" si="12"/>
        <v>1.0880976817223003E-4</v>
      </c>
      <c r="K95" s="62">
        <v>292.23888888888888</v>
      </c>
      <c r="L95" s="53">
        <f t="shared" si="13"/>
        <v>9.7171895918709019</v>
      </c>
      <c r="M95" s="53">
        <f t="shared" si="16"/>
        <v>0.55746264242996579</v>
      </c>
      <c r="N95" s="53">
        <f t="shared" si="10"/>
        <v>5.5507447669553654E-3</v>
      </c>
    </row>
    <row r="96" spans="1:14">
      <c r="A96" s="55">
        <v>93</v>
      </c>
      <c r="B96" s="59">
        <v>293.19444444444446</v>
      </c>
      <c r="C96" s="53">
        <f t="shared" si="11"/>
        <v>6.1815835352691222</v>
      </c>
      <c r="D96" s="53">
        <f t="shared" si="17"/>
        <v>0.36352358547507774</v>
      </c>
      <c r="E96" s="54">
        <f t="shared" si="9"/>
        <v>4.1073735813997531E-3</v>
      </c>
      <c r="G96" s="53">
        <f t="shared" si="14"/>
        <v>3.8244036048960033</v>
      </c>
      <c r="H96" s="53">
        <f t="shared" si="15"/>
        <v>1.2659072744794744E-2</v>
      </c>
      <c r="I96" s="54">
        <f t="shared" si="12"/>
        <v>1.1589254693271378E-4</v>
      </c>
      <c r="K96" s="59">
        <v>293.19444444444446</v>
      </c>
      <c r="L96" s="53">
        <f t="shared" si="13"/>
        <v>9.8120373575700341</v>
      </c>
      <c r="M96" s="53">
        <f t="shared" si="16"/>
        <v>0.57702156424615514</v>
      </c>
      <c r="N96" s="53">
        <f t="shared" si="10"/>
        <v>6.5196406053964328E-3</v>
      </c>
    </row>
    <row r="97" spans="1:14">
      <c r="A97" s="55">
        <v>94</v>
      </c>
      <c r="B97" s="59">
        <v>293.27777777777777</v>
      </c>
      <c r="C97" s="53">
        <f t="shared" si="11"/>
        <v>6.2395064145249224</v>
      </c>
      <c r="D97" s="53">
        <f t="shared" si="17"/>
        <v>0.37612563842955188</v>
      </c>
      <c r="E97" s="54">
        <f t="shared" si="9"/>
        <v>4.2006843181580499E-3</v>
      </c>
      <c r="G97" s="53">
        <f t="shared" si="14"/>
        <v>3.8653109272552051</v>
      </c>
      <c r="H97" s="53">
        <f t="shared" si="15"/>
        <v>1.3012030906399404E-2</v>
      </c>
      <c r="I97" s="54">
        <f t="shared" si="12"/>
        <v>1.1765272053488662E-4</v>
      </c>
      <c r="K97" s="59">
        <v>293.27777777777777</v>
      </c>
      <c r="L97" s="53">
        <f t="shared" si="13"/>
        <v>9.9039784357538441</v>
      </c>
      <c r="M97" s="53">
        <f t="shared" si="16"/>
        <v>0.59702482290405057</v>
      </c>
      <c r="N97" s="53">
        <f t="shared" si="10"/>
        <v>6.6677528859651596E-3</v>
      </c>
    </row>
    <row r="98" spans="1:14">
      <c r="A98" s="55">
        <v>95</v>
      </c>
      <c r="B98" s="59">
        <v>293.89999999999998</v>
      </c>
      <c r="C98" s="53">
        <f t="shared" si="11"/>
        <v>6.2971493615704484</v>
      </c>
      <c r="D98" s="53">
        <f t="shared" si="17"/>
        <v>0.39015160229125545</v>
      </c>
      <c r="E98" s="54">
        <f t="shared" si="9"/>
        <v>4.675321287234524E-3</v>
      </c>
      <c r="G98" s="53">
        <f t="shared" si="14"/>
        <v>3.9062129690936005</v>
      </c>
      <c r="H98" s="53">
        <f t="shared" si="15"/>
        <v>1.338050752261538E-2</v>
      </c>
      <c r="I98" s="54">
        <f t="shared" si="12"/>
        <v>1.2282553873865828E-4</v>
      </c>
      <c r="K98" s="59">
        <v>293.89999999999998</v>
      </c>
      <c r="L98" s="53">
        <f t="shared" si="13"/>
        <v>9.9954751770959493</v>
      </c>
      <c r="M98" s="53">
        <f t="shared" si="16"/>
        <v>0.61928825760516737</v>
      </c>
      <c r="N98" s="53">
        <f t="shared" si="10"/>
        <v>7.4211449003722596E-3</v>
      </c>
    </row>
    <row r="99" spans="1:14">
      <c r="A99" s="55">
        <v>96</v>
      </c>
      <c r="B99" s="59">
        <v>294.10555555555555</v>
      </c>
      <c r="C99" s="53">
        <f t="shared" si="11"/>
        <v>6.3533683977087447</v>
      </c>
      <c r="D99" s="53">
        <f t="shared" si="17"/>
        <v>0.40476639464391007</v>
      </c>
      <c r="E99" s="54">
        <f t="shared" si="9"/>
        <v>4.8715974508848738E-3</v>
      </c>
      <c r="G99" s="53">
        <f t="shared" si="14"/>
        <v>3.9470994924773848</v>
      </c>
      <c r="H99" s="53">
        <f t="shared" si="15"/>
        <v>1.3756774515283135E-2</v>
      </c>
      <c r="I99" s="54">
        <f t="shared" si="12"/>
        <v>1.2542233088925171E-4</v>
      </c>
      <c r="K99" s="59">
        <v>294.10555555555555</v>
      </c>
      <c r="L99" s="53">
        <f t="shared" si="13"/>
        <v>10.084711742394834</v>
      </c>
      <c r="M99" s="53">
        <f t="shared" si="16"/>
        <v>0.64248634070461919</v>
      </c>
      <c r="N99" s="53">
        <f t="shared" si="10"/>
        <v>7.7326943664839274E-3</v>
      </c>
    </row>
    <row r="100" spans="1:14">
      <c r="A100" s="55">
        <v>97</v>
      </c>
      <c r="B100" s="59">
        <v>294.89999999999998</v>
      </c>
      <c r="C100" s="53">
        <f t="shared" si="11"/>
        <v>6.4089986053560901</v>
      </c>
      <c r="D100" s="53">
        <f t="shared" si="17"/>
        <v>0.42145818768590715</v>
      </c>
      <c r="E100" s="54">
        <f t="shared" si="9"/>
        <v>5.5639310139990201E-3</v>
      </c>
      <c r="G100" s="53">
        <f t="shared" si="14"/>
        <v>3.9879782254847167</v>
      </c>
      <c r="H100" s="53">
        <f t="shared" si="15"/>
        <v>1.4152298319371873E-2</v>
      </c>
      <c r="I100" s="54">
        <f t="shared" si="12"/>
        <v>1.3184126802957954E-4</v>
      </c>
      <c r="K100" s="59">
        <v>294.89999999999998</v>
      </c>
      <c r="L100" s="53">
        <f t="shared" si="13"/>
        <v>10.17301365929538</v>
      </c>
      <c r="M100" s="53">
        <f t="shared" si="16"/>
        <v>0.6689812502950907</v>
      </c>
      <c r="N100" s="53">
        <f t="shared" si="10"/>
        <v>8.8316365301571737E-3</v>
      </c>
    </row>
    <row r="101" spans="1:14">
      <c r="A101" s="55">
        <v>98</v>
      </c>
      <c r="B101" s="59">
        <v>294.17777777777781</v>
      </c>
      <c r="C101" s="53">
        <f t="shared" si="11"/>
        <v>6.4625518123140928</v>
      </c>
      <c r="D101" s="53">
        <f t="shared" si="17"/>
        <v>0.43649330718674362</v>
      </c>
      <c r="E101" s="54">
        <f t="shared" si="9"/>
        <v>5.0117065002788317E-3</v>
      </c>
      <c r="G101" s="53">
        <f t="shared" si="14"/>
        <v>4.0288377016806276</v>
      </c>
      <c r="H101" s="53">
        <f t="shared" si="15"/>
        <v>1.4537767873688894E-2</v>
      </c>
      <c r="I101" s="54">
        <f t="shared" si="12"/>
        <v>1.2848985143900686E-4</v>
      </c>
      <c r="K101" s="59">
        <v>294.17777777777781</v>
      </c>
      <c r="L101" s="53">
        <f t="shared" si="13"/>
        <v>10.25801874970491</v>
      </c>
      <c r="M101" s="53">
        <f t="shared" si="16"/>
        <v>0.69284651934403751</v>
      </c>
      <c r="N101" s="53">
        <f t="shared" si="10"/>
        <v>7.9550896829822752E-3</v>
      </c>
    </row>
    <row r="102" spans="1:14">
      <c r="A102" s="55">
        <v>99</v>
      </c>
      <c r="B102" s="59">
        <v>295.45</v>
      </c>
      <c r="C102" s="53">
        <f t="shared" si="11"/>
        <v>6.5177616928132558</v>
      </c>
      <c r="D102" s="53">
        <f t="shared" si="17"/>
        <v>0.45498486726089338</v>
      </c>
      <c r="E102" s="54">
        <f t="shared" si="9"/>
        <v>6.1638533580499208E-3</v>
      </c>
      <c r="G102" s="53">
        <f t="shared" si="14"/>
        <v>4.0697072321263112</v>
      </c>
      <c r="H102" s="53">
        <f t="shared" si="15"/>
        <v>1.495224921718017E-2</v>
      </c>
      <c r="I102" s="54">
        <f t="shared" si="12"/>
        <v>1.3816044783042551E-4</v>
      </c>
      <c r="K102" s="59">
        <v>295.45</v>
      </c>
      <c r="L102" s="53">
        <f t="shared" si="13"/>
        <v>10.345653480655963</v>
      </c>
      <c r="M102" s="53">
        <f t="shared" si="16"/>
        <v>0.72219820200141804</v>
      </c>
      <c r="N102" s="53">
        <f t="shared" si="10"/>
        <v>9.7838942191268586E-3</v>
      </c>
    </row>
    <row r="103" spans="1:14">
      <c r="A103" s="55">
        <v>100</v>
      </c>
      <c r="B103" s="59">
        <v>294.76111111111112</v>
      </c>
      <c r="C103" s="53">
        <f t="shared" si="11"/>
        <v>6.5695151327391059</v>
      </c>
      <c r="D103" s="53">
        <f t="shared" si="17"/>
        <v>0.47172811833955869</v>
      </c>
      <c r="E103" s="54">
        <f t="shared" si="9"/>
        <v>5.5810836928884312E-3</v>
      </c>
      <c r="G103" s="53">
        <f t="shared" si="14"/>
        <v>4.1105477507828194</v>
      </c>
      <c r="H103" s="53">
        <f t="shared" si="15"/>
        <v>1.5357161510322407E-2</v>
      </c>
      <c r="I103" s="54">
        <f t="shared" si="12"/>
        <v>1.3497076438074559E-4</v>
      </c>
      <c r="K103" s="59">
        <v>294.76111111111112</v>
      </c>
      <c r="L103" s="53">
        <f t="shared" si="13"/>
        <v>10.427801797998582</v>
      </c>
      <c r="M103" s="53">
        <f t="shared" si="16"/>
        <v>0.74877479101517253</v>
      </c>
      <c r="N103" s="53">
        <f t="shared" si="10"/>
        <v>8.8588630045848132E-3</v>
      </c>
    </row>
    <row r="104" spans="1:14">
      <c r="A104" s="55">
        <v>101</v>
      </c>
      <c r="B104" s="59">
        <v>295.75</v>
      </c>
      <c r="C104" s="53">
        <f t="shared" si="11"/>
        <v>6.6230168816604422</v>
      </c>
      <c r="D104" s="53">
        <f t="shared" si="17"/>
        <v>0.49141346212245307</v>
      </c>
      <c r="E104" s="54">
        <f t="shared" si="9"/>
        <v>6.5617812609647941E-3</v>
      </c>
      <c r="G104" s="53">
        <f t="shared" si="14"/>
        <v>4.1513978384896779</v>
      </c>
      <c r="H104" s="53">
        <f t="shared" si="15"/>
        <v>1.5786000616440542E-2</v>
      </c>
      <c r="I104" s="54">
        <f t="shared" si="12"/>
        <v>1.4294636870604502E-4</v>
      </c>
      <c r="K104" s="59">
        <v>295.75</v>
      </c>
      <c r="L104" s="53">
        <f t="shared" si="13"/>
        <v>10.512725208984827</v>
      </c>
      <c r="M104" s="53">
        <f t="shared" si="16"/>
        <v>0.78002136844833825</v>
      </c>
      <c r="N104" s="53">
        <f t="shared" si="10"/>
        <v>1.0415525811055227E-2</v>
      </c>
    </row>
    <row r="105" spans="1:14">
      <c r="A105" s="55">
        <v>102</v>
      </c>
      <c r="B105" s="59">
        <v>294.17222222222222</v>
      </c>
      <c r="C105" s="53">
        <f t="shared" si="11"/>
        <v>6.6735765378775476</v>
      </c>
      <c r="D105" s="53">
        <f t="shared" si="17"/>
        <v>0.50692602516615515</v>
      </c>
      <c r="E105" s="54">
        <f t="shared" si="9"/>
        <v>5.170854347900696E-3</v>
      </c>
      <c r="G105" s="53">
        <f t="shared" si="14"/>
        <v>4.1922239993835593</v>
      </c>
      <c r="H105" s="53">
        <f t="shared" si="15"/>
        <v>1.6186989667540556E-2</v>
      </c>
      <c r="I105" s="54">
        <f t="shared" si="12"/>
        <v>1.3366301703333764E-4</v>
      </c>
      <c r="K105" s="59">
        <v>294.17222222222222</v>
      </c>
      <c r="L105" s="53">
        <f t="shared" si="13"/>
        <v>10.592978631551661</v>
      </c>
      <c r="M105" s="53">
        <f t="shared" si="16"/>
        <v>0.80464448439072256</v>
      </c>
      <c r="N105" s="53">
        <f t="shared" si="10"/>
        <v>8.207705314128089E-3</v>
      </c>
    </row>
    <row r="106" spans="1:14">
      <c r="A106" s="55">
        <v>103</v>
      </c>
      <c r="B106" s="59">
        <v>292.69444444444446</v>
      </c>
      <c r="C106" s="53">
        <f t="shared" si="11"/>
        <v>6.7283089748338449</v>
      </c>
      <c r="D106" s="53">
        <f t="shared" si="17"/>
        <v>0.5193194500341598</v>
      </c>
      <c r="E106" s="54">
        <f t="shared" si="9"/>
        <v>4.1311416226682135E-3</v>
      </c>
      <c r="G106" s="53">
        <f t="shared" si="14"/>
        <v>4.2330780103324601</v>
      </c>
      <c r="H106" s="53">
        <f t="shared" si="15"/>
        <v>1.6561558781970777E-2</v>
      </c>
      <c r="I106" s="54">
        <f t="shared" si="12"/>
        <v>1.2485637147674025E-4</v>
      </c>
      <c r="K106" s="59">
        <v>292.69444444444446</v>
      </c>
      <c r="L106" s="53">
        <f t="shared" si="13"/>
        <v>10.679855515609278</v>
      </c>
      <c r="M106" s="53">
        <f t="shared" si="16"/>
        <v>0.82431658735580926</v>
      </c>
      <c r="N106" s="53">
        <f t="shared" si="10"/>
        <v>6.5573676550289102E-3</v>
      </c>
    </row>
    <row r="107" spans="1:14">
      <c r="A107" s="55">
        <v>104</v>
      </c>
      <c r="B107" s="59">
        <v>292.02222222222224</v>
      </c>
      <c r="C107" s="53">
        <f t="shared" si="11"/>
        <v>6.7861605499658406</v>
      </c>
      <c r="D107" s="53">
        <f t="shared" si="17"/>
        <v>0.53055539423173492</v>
      </c>
      <c r="E107" s="54">
        <f t="shared" si="9"/>
        <v>3.7453147325250237E-3</v>
      </c>
      <c r="G107" s="53">
        <f t="shared" si="14"/>
        <v>4.2739584412180287</v>
      </c>
      <c r="H107" s="53">
        <f t="shared" si="15"/>
        <v>1.6925816361215488E-2</v>
      </c>
      <c r="I107" s="54">
        <f t="shared" si="12"/>
        <v>1.214191930815709E-4</v>
      </c>
      <c r="K107" s="59">
        <v>292.02222222222224</v>
      </c>
      <c r="L107" s="53">
        <f t="shared" si="13"/>
        <v>10.77168341264419</v>
      </c>
      <c r="M107" s="53">
        <f t="shared" si="16"/>
        <v>0.84215141941545224</v>
      </c>
      <c r="N107" s="53">
        <f t="shared" si="10"/>
        <v>5.9449440198809898E-3</v>
      </c>
    </row>
    <row r="108" spans="1:14">
      <c r="A108" s="55">
        <v>105</v>
      </c>
      <c r="B108" s="59">
        <v>292.85000000000002</v>
      </c>
      <c r="C108" s="53">
        <f t="shared" si="11"/>
        <v>6.8451696057682652</v>
      </c>
      <c r="D108" s="53">
        <f t="shared" si="17"/>
        <v>0.54347809780704892</v>
      </c>
      <c r="E108" s="54">
        <f t="shared" si="9"/>
        <v>4.3075678584379891E-3</v>
      </c>
      <c r="G108" s="53">
        <f t="shared" si="14"/>
        <v>4.3148491836387848</v>
      </c>
      <c r="H108" s="53">
        <f t="shared" si="15"/>
        <v>1.7310875150635802E-2</v>
      </c>
      <c r="I108" s="54">
        <f t="shared" si="12"/>
        <v>1.2835292980677127E-4</v>
      </c>
      <c r="K108" s="59">
        <v>292.85000000000002</v>
      </c>
      <c r="L108" s="53">
        <f t="shared" si="13"/>
        <v>10.865348580584547</v>
      </c>
      <c r="M108" s="53">
        <f t="shared" si="16"/>
        <v>0.86266364731277601</v>
      </c>
      <c r="N108" s="53">
        <f t="shared" si="10"/>
        <v>6.837409299107919E-3</v>
      </c>
    </row>
    <row r="109" spans="1:14">
      <c r="A109" s="55">
        <v>106</v>
      </c>
      <c r="B109" s="59">
        <v>294.55</v>
      </c>
      <c r="C109" s="53">
        <f t="shared" si="11"/>
        <v>6.9024919021929509</v>
      </c>
      <c r="D109" s="53">
        <f t="shared" si="17"/>
        <v>0.56049959469226274</v>
      </c>
      <c r="E109" s="54">
        <f t="shared" si="9"/>
        <v>5.6738322950712593E-3</v>
      </c>
      <c r="G109" s="53">
        <f t="shared" si="14"/>
        <v>4.3557191248493643</v>
      </c>
      <c r="H109" s="53">
        <f t="shared" si="15"/>
        <v>1.7735480172528125E-2</v>
      </c>
      <c r="I109" s="54">
        <f t="shared" si="12"/>
        <v>1.4153500729744106E-4</v>
      </c>
      <c r="K109" s="59">
        <v>294.55</v>
      </c>
      <c r="L109" s="53">
        <f t="shared" si="13"/>
        <v>10.956336352687225</v>
      </c>
      <c r="M109" s="53">
        <f t="shared" si="16"/>
        <v>0.88968189633692485</v>
      </c>
      <c r="N109" s="53">
        <f t="shared" si="10"/>
        <v>9.0060830080496198E-3</v>
      </c>
    </row>
    <row r="110" spans="1:14">
      <c r="A110" s="55">
        <v>107</v>
      </c>
      <c r="B110" s="59">
        <v>294.6611111111111</v>
      </c>
      <c r="C110" s="53">
        <f t="shared" si="11"/>
        <v>6.9557154053077372</v>
      </c>
      <c r="D110" s="53">
        <f t="shared" si="17"/>
        <v>0.57795259997818016</v>
      </c>
      <c r="E110" s="54">
        <f t="shared" si="9"/>
        <v>5.8176684286391292E-3</v>
      </c>
      <c r="G110" s="53">
        <f t="shared" si="14"/>
        <v>4.3965495198274711</v>
      </c>
      <c r="H110" s="53">
        <f t="shared" si="15"/>
        <v>1.8166433763873498E-2</v>
      </c>
      <c r="I110" s="54">
        <f t="shared" si="12"/>
        <v>1.436511971151242E-4</v>
      </c>
      <c r="K110" s="59">
        <v>294.6611111111111</v>
      </c>
      <c r="L110" s="53">
        <f t="shared" si="13"/>
        <v>11.040818103663076</v>
      </c>
      <c r="M110" s="53">
        <f t="shared" si="16"/>
        <v>0.91738507933044455</v>
      </c>
      <c r="N110" s="53">
        <f t="shared" si="10"/>
        <v>9.2343943311732225E-3</v>
      </c>
    </row>
    <row r="111" spans="1:14">
      <c r="A111" s="55">
        <v>108</v>
      </c>
      <c r="B111" s="59">
        <v>295.10000000000002</v>
      </c>
      <c r="C111" s="53">
        <f t="shared" si="11"/>
        <v>7.0085074000218208</v>
      </c>
      <c r="D111" s="53">
        <f t="shared" si="17"/>
        <v>0.59678336341619076</v>
      </c>
      <c r="E111" s="54">
        <f t="shared" si="9"/>
        <v>6.2769211460035525E-3</v>
      </c>
      <c r="G111" s="53">
        <f t="shared" si="14"/>
        <v>4.4373735662361264</v>
      </c>
      <c r="H111" s="53">
        <f t="shared" si="15"/>
        <v>1.861083074495248E-2</v>
      </c>
      <c r="I111" s="54">
        <f t="shared" si="12"/>
        <v>1.4813232702632714E-4</v>
      </c>
      <c r="K111" s="59">
        <v>295.10000000000002</v>
      </c>
      <c r="L111" s="53">
        <f t="shared" si="13"/>
        <v>11.124614920669556</v>
      </c>
      <c r="M111" s="53">
        <f t="shared" si="16"/>
        <v>0.94727518002569955</v>
      </c>
      <c r="N111" s="53">
        <f t="shared" si="10"/>
        <v>9.9633668984183358E-3</v>
      </c>
    </row>
    <row r="112" spans="1:14">
      <c r="A112" s="55">
        <v>109</v>
      </c>
      <c r="B112" s="59">
        <v>295.51111111111112</v>
      </c>
      <c r="C112" s="53">
        <f t="shared" si="11"/>
        <v>7.0599216365838098</v>
      </c>
      <c r="D112" s="53">
        <f t="shared" si="17"/>
        <v>0.61700403413280813</v>
      </c>
      <c r="E112" s="54">
        <f t="shared" si="9"/>
        <v>6.7402235722057785E-3</v>
      </c>
      <c r="G112" s="53">
        <f t="shared" si="14"/>
        <v>4.478184169255047</v>
      </c>
      <c r="H112" s="53">
        <f t="shared" si="15"/>
        <v>1.9068240393429803E-2</v>
      </c>
      <c r="I112" s="54">
        <f t="shared" si="12"/>
        <v>1.5246988282577401E-4</v>
      </c>
      <c r="K112" s="59">
        <v>295.51111111111112</v>
      </c>
      <c r="L112" s="53">
        <f t="shared" si="13"/>
        <v>11.206224819974302</v>
      </c>
      <c r="M112" s="53">
        <f t="shared" si="16"/>
        <v>0.97937148275048891</v>
      </c>
      <c r="N112" s="53">
        <f t="shared" si="10"/>
        <v>1.0698767574929807E-2</v>
      </c>
    </row>
    <row r="113" spans="1:14">
      <c r="A113" s="55">
        <v>110</v>
      </c>
      <c r="B113" s="59">
        <v>294.11111111111109</v>
      </c>
      <c r="C113" s="53">
        <f t="shared" si="11"/>
        <v>7.1099459658671922</v>
      </c>
      <c r="D113" s="53">
        <f t="shared" si="17"/>
        <v>0.63337344369201098</v>
      </c>
      <c r="E113" s="54">
        <f t="shared" si="9"/>
        <v>5.4564698530676081E-3</v>
      </c>
      <c r="G113" s="53">
        <f t="shared" si="14"/>
        <v>4.5189817596065707</v>
      </c>
      <c r="H113" s="53">
        <f t="shared" si="15"/>
        <v>1.949914518772803E-2</v>
      </c>
      <c r="I113" s="54">
        <f t="shared" si="12"/>
        <v>1.4363493143274277E-4</v>
      </c>
      <c r="K113" s="59">
        <v>294.11111111111109</v>
      </c>
      <c r="L113" s="53">
        <f t="shared" si="13"/>
        <v>11.285628517249512</v>
      </c>
      <c r="M113" s="53">
        <f t="shared" si="16"/>
        <v>1.0053546725270013</v>
      </c>
      <c r="N113" s="53">
        <f t="shared" si="10"/>
        <v>8.6610632588374724E-3</v>
      </c>
    </row>
    <row r="114" spans="1:14">
      <c r="A114" s="55">
        <v>111</v>
      </c>
      <c r="B114" s="59">
        <v>294.28888888888889</v>
      </c>
      <c r="C114" s="53">
        <f t="shared" si="11"/>
        <v>7.1638215563079894</v>
      </c>
      <c r="D114" s="53">
        <f t="shared" si="17"/>
        <v>0.65033256154240449</v>
      </c>
      <c r="E114" s="54">
        <f t="shared" si="9"/>
        <v>5.6530392834644944E-3</v>
      </c>
      <c r="G114" s="53">
        <f t="shared" si="14"/>
        <v>4.5598058548122715</v>
      </c>
      <c r="H114" s="53">
        <f t="shared" si="15"/>
        <v>1.9937872781078735E-2</v>
      </c>
      <c r="I114" s="54">
        <f t="shared" si="12"/>
        <v>1.4624253111690123E-4</v>
      </c>
      <c r="K114" s="59">
        <v>294.28888888888889</v>
      </c>
      <c r="L114" s="53">
        <f t="shared" si="13"/>
        <v>11.371145327472998</v>
      </c>
      <c r="M114" s="53">
        <f t="shared" si="16"/>
        <v>1.0322739072101654</v>
      </c>
      <c r="N114" s="53">
        <f t="shared" si="10"/>
        <v>8.9730782277214188E-3</v>
      </c>
    </row>
    <row r="115" spans="1:14">
      <c r="A115" s="55">
        <v>112</v>
      </c>
      <c r="B115" s="59">
        <v>293.97777777777776</v>
      </c>
      <c r="C115" s="53">
        <f t="shared" si="11"/>
        <v>7.2171074384575959</v>
      </c>
      <c r="D115" s="53">
        <f t="shared" si="17"/>
        <v>0.66660495548658516</v>
      </c>
      <c r="E115" s="54">
        <f t="shared" si="9"/>
        <v>5.4241313147269004E-3</v>
      </c>
      <c r="G115" s="53">
        <f t="shared" si="14"/>
        <v>4.6006221272189212</v>
      </c>
      <c r="H115" s="53">
        <f t="shared" si="15"/>
        <v>2.0373588427893431E-2</v>
      </c>
      <c r="I115" s="54">
        <f t="shared" si="12"/>
        <v>1.4523854893823174E-4</v>
      </c>
      <c r="K115" s="59">
        <v>293.97777777777776</v>
      </c>
      <c r="L115" s="53">
        <f t="shared" si="13"/>
        <v>11.455726092789835</v>
      </c>
      <c r="M115" s="53">
        <f t="shared" si="16"/>
        <v>1.0581031039469602</v>
      </c>
      <c r="N115" s="53">
        <f t="shared" si="10"/>
        <v>8.6097322455982554E-3</v>
      </c>
    </row>
    <row r="116" spans="1:14">
      <c r="A116" s="55">
        <v>113</v>
      </c>
      <c r="B116" s="59">
        <v>293.35555555555555</v>
      </c>
      <c r="C116" s="53">
        <f t="shared" si="11"/>
        <v>7.2710800445134147</v>
      </c>
      <c r="D116" s="53">
        <f t="shared" si="17"/>
        <v>0.68147156917742036</v>
      </c>
      <c r="E116" s="54">
        <f t="shared" si="9"/>
        <v>4.9555378969450775E-3</v>
      </c>
      <c r="G116" s="53">
        <f t="shared" si="14"/>
        <v>4.6414414115721065</v>
      </c>
      <c r="H116" s="53">
        <f t="shared" si="15"/>
        <v>2.079916857754386E-2</v>
      </c>
      <c r="I116" s="54">
        <f t="shared" si="12"/>
        <v>1.4186004988347626E-4</v>
      </c>
      <c r="K116" s="59">
        <v>293.35555555555555</v>
      </c>
      <c r="L116" s="53">
        <f t="shared" si="13"/>
        <v>11.54139689605304</v>
      </c>
      <c r="M116" s="53">
        <f t="shared" si="16"/>
        <v>1.0817009034562224</v>
      </c>
      <c r="N116" s="53">
        <f t="shared" si="10"/>
        <v>7.8659331697540913E-3</v>
      </c>
    </row>
    <row r="117" spans="1:14">
      <c r="A117" s="55">
        <v>114</v>
      </c>
      <c r="B117" s="59">
        <v>294.26666666666665</v>
      </c>
      <c r="C117" s="53">
        <f t="shared" si="11"/>
        <v>7.32645843082258</v>
      </c>
      <c r="D117" s="53">
        <f t="shared" si="17"/>
        <v>0.69875547592547238</v>
      </c>
      <c r="E117" s="54">
        <f t="shared" si="9"/>
        <v>5.7613022493506654E-3</v>
      </c>
      <c r="G117" s="53">
        <f t="shared" si="14"/>
        <v>4.6822708314224561</v>
      </c>
      <c r="H117" s="53">
        <f t="shared" si="15"/>
        <v>2.1249174847223707E-2</v>
      </c>
      <c r="I117" s="54">
        <f t="shared" si="12"/>
        <v>1.5000208989328267E-4</v>
      </c>
      <c r="K117" s="59">
        <v>294.26666666666665</v>
      </c>
      <c r="L117" s="53">
        <f t="shared" si="13"/>
        <v>11.629299096543779</v>
      </c>
      <c r="M117" s="53">
        <f t="shared" si="16"/>
        <v>1.109135676072178</v>
      </c>
      <c r="N117" s="53">
        <f t="shared" si="10"/>
        <v>9.1449242053185179E-3</v>
      </c>
    </row>
    <row r="118" spans="1:14">
      <c r="A118" s="55">
        <v>115</v>
      </c>
      <c r="B118" s="59">
        <v>294.73333333333335</v>
      </c>
      <c r="C118" s="53">
        <f t="shared" si="11"/>
        <v>7.3794195240745273</v>
      </c>
      <c r="D118" s="53">
        <f t="shared" si="17"/>
        <v>0.71748153293764849</v>
      </c>
      <c r="E118" s="54">
        <f t="shared" si="9"/>
        <v>6.2420190040587123E-3</v>
      </c>
      <c r="G118" s="53">
        <f t="shared" si="14"/>
        <v>4.723075825152776</v>
      </c>
      <c r="H118" s="53">
        <f t="shared" si="15"/>
        <v>2.1713788577004418E-2</v>
      </c>
      <c r="I118" s="54">
        <f t="shared" si="12"/>
        <v>1.5487124326023688E-4</v>
      </c>
      <c r="K118" s="59">
        <v>294.73333333333335</v>
      </c>
      <c r="L118" s="53">
        <f t="shared" si="13"/>
        <v>11.713364323927822</v>
      </c>
      <c r="M118" s="53">
        <f t="shared" si="16"/>
        <v>1.1388595760915052</v>
      </c>
      <c r="N118" s="53">
        <f t="shared" si="10"/>
        <v>9.9079666731090674E-3</v>
      </c>
    </row>
    <row r="119" spans="1:14">
      <c r="A119" s="55">
        <v>116</v>
      </c>
      <c r="B119" s="59">
        <v>294.68888888888887</v>
      </c>
      <c r="C119" s="53">
        <f t="shared" si="11"/>
        <v>7.4309384670623508</v>
      </c>
      <c r="D119" s="53">
        <f t="shared" si="17"/>
        <v>0.73620797778445424</v>
      </c>
      <c r="E119" s="54">
        <f t="shared" si="9"/>
        <v>6.2421482822685665E-3</v>
      </c>
      <c r="G119" s="53">
        <f t="shared" si="14"/>
        <v>4.7638662114229957</v>
      </c>
      <c r="H119" s="53">
        <f t="shared" si="15"/>
        <v>2.2181388418418931E-2</v>
      </c>
      <c r="I119" s="54">
        <f t="shared" si="12"/>
        <v>1.5586661380483766E-4</v>
      </c>
      <c r="K119" s="59">
        <v>294.68888888888887</v>
      </c>
      <c r="L119" s="53">
        <f t="shared" si="13"/>
        <v>11.795140423908496</v>
      </c>
      <c r="M119" s="53">
        <f t="shared" si="16"/>
        <v>1.1685840917213555</v>
      </c>
      <c r="N119" s="53">
        <f t="shared" si="10"/>
        <v>9.908171876616776E-3</v>
      </c>
    </row>
    <row r="120" spans="1:14">
      <c r="A120" s="55">
        <v>117</v>
      </c>
      <c r="B120" s="59">
        <v>294.73333333333335</v>
      </c>
      <c r="C120" s="53">
        <f t="shared" si="11"/>
        <v>7.4824570222155451</v>
      </c>
      <c r="D120" s="53">
        <f t="shared" si="17"/>
        <v>0.75519550333874075</v>
      </c>
      <c r="E120" s="54">
        <f t="shared" si="9"/>
        <v>6.3291751847621746E-3</v>
      </c>
      <c r="G120" s="53">
        <f t="shared" si="14"/>
        <v>4.804653611581581</v>
      </c>
      <c r="H120" s="53">
        <f t="shared" si="15"/>
        <v>2.2654027037281053E-2</v>
      </c>
      <c r="I120" s="54">
        <f t="shared" si="12"/>
        <v>1.5754620628737366E-4</v>
      </c>
      <c r="K120" s="59">
        <v>294.73333333333335</v>
      </c>
      <c r="L120" s="53">
        <f t="shared" si="13"/>
        <v>11.876915908278646</v>
      </c>
      <c r="M120" s="53">
        <f t="shared" si="16"/>
        <v>1.1987230211726039</v>
      </c>
      <c r="N120" s="53">
        <f t="shared" si="10"/>
        <v>1.0046309817082818E-2</v>
      </c>
    </row>
    <row r="121" spans="1:14">
      <c r="A121" s="55">
        <v>118</v>
      </c>
      <c r="B121" s="59">
        <v>295</v>
      </c>
      <c r="C121" s="53">
        <f t="shared" si="11"/>
        <v>7.5337144966612586</v>
      </c>
      <c r="D121" s="53">
        <f t="shared" si="17"/>
        <v>0.77512466608734298</v>
      </c>
      <c r="E121" s="54">
        <f t="shared" si="9"/>
        <v>6.6430542495340755E-3</v>
      </c>
      <c r="G121" s="53">
        <f t="shared" si="14"/>
        <v>4.8454359729627186</v>
      </c>
      <c r="H121" s="53">
        <f t="shared" si="15"/>
        <v>2.3136941792820654E-2</v>
      </c>
      <c r="I121" s="54">
        <f t="shared" si="12"/>
        <v>1.6097158517986695E-4</v>
      </c>
      <c r="K121" s="59">
        <v>295</v>
      </c>
      <c r="L121" s="53">
        <f t="shared" si="13"/>
        <v>11.958276978827396</v>
      </c>
      <c r="M121" s="53">
        <f t="shared" si="16"/>
        <v>1.2303566128370518</v>
      </c>
      <c r="N121" s="53">
        <f t="shared" si="10"/>
        <v>1.0544530554815995E-2</v>
      </c>
    </row>
    <row r="122" spans="1:14">
      <c r="A122" s="55">
        <v>119</v>
      </c>
      <c r="B122" s="59">
        <v>294.84444444444443</v>
      </c>
      <c r="C122" s="53">
        <f t="shared" si="11"/>
        <v>7.584030333912656</v>
      </c>
      <c r="D122" s="53">
        <f t="shared" si="17"/>
        <v>0.79470641161213051</v>
      </c>
      <c r="E122" s="54">
        <f t="shared" si="9"/>
        <v>6.5272485082624974E-3</v>
      </c>
      <c r="G122" s="53">
        <f t="shared" si="14"/>
        <v>4.8862080582071794</v>
      </c>
      <c r="H122" s="53">
        <f t="shared" si="15"/>
        <v>2.3620235107361012E-2</v>
      </c>
      <c r="I122" s="54">
        <f t="shared" si="12"/>
        <v>1.6109777151345259E-4</v>
      </c>
      <c r="K122" s="59">
        <v>294.84444444444443</v>
      </c>
      <c r="L122" s="53">
        <f t="shared" si="13"/>
        <v>12.038143387162947</v>
      </c>
      <c r="M122" s="53">
        <f t="shared" si="16"/>
        <v>1.2614387485906826</v>
      </c>
      <c r="N122" s="53">
        <f t="shared" si="10"/>
        <v>1.0360711917876981E-2</v>
      </c>
    </row>
    <row r="123" spans="1:14">
      <c r="A123" s="55">
        <v>120</v>
      </c>
      <c r="B123" s="59">
        <v>294.86666666666667</v>
      </c>
      <c r="C123" s="53">
        <f t="shared" si="11"/>
        <v>7.6346935883878704</v>
      </c>
      <c r="D123" s="53">
        <f t="shared" si="17"/>
        <v>0.81448738743391191</v>
      </c>
      <c r="E123" s="54">
        <f t="shared" si="9"/>
        <v>6.5936586072604768E-3</v>
      </c>
      <c r="G123" s="53">
        <f t="shared" si="14"/>
        <v>4.9269797648926383</v>
      </c>
      <c r="H123" s="53">
        <f t="shared" si="15"/>
        <v>2.4108091951780809E-2</v>
      </c>
      <c r="I123" s="54">
        <f t="shared" si="12"/>
        <v>1.6261894813993165E-4</v>
      </c>
      <c r="K123" s="59">
        <v>294.86666666666667</v>
      </c>
      <c r="L123" s="53">
        <f t="shared" si="13"/>
        <v>12.118561251409318</v>
      </c>
      <c r="M123" s="53">
        <f t="shared" si="16"/>
        <v>1.2928371229109705</v>
      </c>
      <c r="N123" s="53">
        <f t="shared" si="10"/>
        <v>1.0466124773429326E-2</v>
      </c>
    </row>
    <row r="124" spans="1:14">
      <c r="A124" s="55">
        <v>121</v>
      </c>
      <c r="B124" s="59">
        <v>295.17222222222222</v>
      </c>
      <c r="C124" s="53">
        <f t="shared" si="11"/>
        <v>7.6851576125660888</v>
      </c>
      <c r="D124" s="53">
        <f t="shared" si="17"/>
        <v>0.8353695919514974</v>
      </c>
      <c r="E124" s="54">
        <f t="shared" si="9"/>
        <v>6.9607348391951531E-3</v>
      </c>
      <c r="G124" s="53">
        <f t="shared" si="14"/>
        <v>4.9677469080482197</v>
      </c>
      <c r="H124" s="53">
        <f t="shared" si="15"/>
        <v>2.4607344524936882E-2</v>
      </c>
      <c r="I124" s="54">
        <f t="shared" si="12"/>
        <v>1.6641752438535833E-4</v>
      </c>
      <c r="K124" s="59">
        <v>295.17222222222222</v>
      </c>
      <c r="L124" s="53">
        <f t="shared" si="13"/>
        <v>12.19866287708903</v>
      </c>
      <c r="M124" s="53">
        <f t="shared" si="16"/>
        <v>1.3259834792880902</v>
      </c>
      <c r="N124" s="53">
        <f t="shared" si="10"/>
        <v>1.1048785459039924E-2</v>
      </c>
    </row>
    <row r="125" spans="1:14">
      <c r="A125" s="55">
        <v>122</v>
      </c>
      <c r="B125" s="59">
        <v>295.57777777777778</v>
      </c>
      <c r="C125" s="53">
        <f t="shared" si="11"/>
        <v>7.7345204080485033</v>
      </c>
      <c r="D125" s="53">
        <f t="shared" si="17"/>
        <v>0.85775279962456852</v>
      </c>
      <c r="E125" s="54">
        <f t="shared" si="9"/>
        <v>7.4610692243570389E-3</v>
      </c>
      <c r="G125" s="53">
        <f t="shared" si="14"/>
        <v>5.0085026554750627</v>
      </c>
      <c r="H125" s="53">
        <f t="shared" si="15"/>
        <v>2.5120540629326071E-2</v>
      </c>
      <c r="I125" s="54">
        <f t="shared" si="12"/>
        <v>1.7106536812972956E-4</v>
      </c>
      <c r="K125" s="59">
        <v>295.57777777777778</v>
      </c>
      <c r="L125" s="53">
        <f t="shared" si="13"/>
        <v>12.277016520711909</v>
      </c>
      <c r="M125" s="53">
        <f t="shared" si="16"/>
        <v>1.3615123803564571</v>
      </c>
      <c r="N125" s="53">
        <f t="shared" si="10"/>
        <v>1.1842967022788949E-2</v>
      </c>
    </row>
    <row r="126" spans="1:14">
      <c r="A126" s="55">
        <v>123</v>
      </c>
      <c r="B126" s="62">
        <v>295.61111111111109</v>
      </c>
      <c r="C126" s="53">
        <f t="shared" si="11"/>
        <v>7.7823822003754319</v>
      </c>
      <c r="D126" s="53">
        <f t="shared" si="17"/>
        <v>0.88039128458109273</v>
      </c>
      <c r="E126" s="54">
        <f t="shared" si="9"/>
        <v>7.5461616521747214E-3</v>
      </c>
      <c r="G126" s="53">
        <f t="shared" si="14"/>
        <v>5.0492444593706738</v>
      </c>
      <c r="H126" s="53">
        <f t="shared" si="15"/>
        <v>2.5638727319775231E-2</v>
      </c>
      <c r="I126" s="54">
        <f t="shared" si="12"/>
        <v>1.7272889681638689E-4</v>
      </c>
      <c r="K126" s="62">
        <v>295.61111111111109</v>
      </c>
      <c r="L126" s="53">
        <f t="shared" si="13"/>
        <v>12.352987619643544</v>
      </c>
      <c r="M126" s="53">
        <f t="shared" si="16"/>
        <v>1.397446483462051</v>
      </c>
      <c r="N126" s="53">
        <f t="shared" si="10"/>
        <v>1.1978034368531306E-2</v>
      </c>
    </row>
    <row r="127" spans="1:14">
      <c r="A127" s="55">
        <v>124</v>
      </c>
      <c r="B127" s="59">
        <v>294.30555555555554</v>
      </c>
      <c r="C127" s="53">
        <f t="shared" si="11"/>
        <v>7.8299887154189083</v>
      </c>
      <c r="D127" s="53">
        <f t="shared" si="17"/>
        <v>0.89897585344935016</v>
      </c>
      <c r="E127" s="54">
        <f t="shared" si="9"/>
        <v>6.1948562894191418E-3</v>
      </c>
      <c r="G127" s="53">
        <f t="shared" si="14"/>
        <v>5.0899812726802249</v>
      </c>
      <c r="H127" s="53">
        <f t="shared" si="15"/>
        <v>2.6128877704488834E-2</v>
      </c>
      <c r="I127" s="54">
        <f t="shared" si="12"/>
        <v>1.6338346157120063E-4</v>
      </c>
      <c r="K127" s="59">
        <v>294.30555555555554</v>
      </c>
      <c r="L127" s="53">
        <f t="shared" si="13"/>
        <v>12.428553516537949</v>
      </c>
      <c r="M127" s="53">
        <f t="shared" si="16"/>
        <v>1.4269457991259518</v>
      </c>
      <c r="N127" s="53">
        <f t="shared" si="10"/>
        <v>9.8331052213002246E-3</v>
      </c>
    </row>
    <row r="128" spans="1:14">
      <c r="A128" s="55">
        <v>125</v>
      </c>
      <c r="B128" s="59">
        <v>296.18333333333334</v>
      </c>
      <c r="C128" s="53">
        <f t="shared" si="11"/>
        <v>7.8816491465506502</v>
      </c>
      <c r="D128" s="53">
        <f t="shared" si="17"/>
        <v>0.92402697424154401</v>
      </c>
      <c r="E128" s="54">
        <f t="shared" si="9"/>
        <v>8.3503735973979327E-3</v>
      </c>
      <c r="G128" s="53">
        <f t="shared" si="14"/>
        <v>5.1307461222955117</v>
      </c>
      <c r="H128" s="53">
        <f t="shared" si="15"/>
        <v>2.6669662358022247E-2</v>
      </c>
      <c r="I128" s="54">
        <f t="shared" si="12"/>
        <v>1.8026155117780492E-4</v>
      </c>
      <c r="K128" s="59">
        <v>296.18333333333334</v>
      </c>
      <c r="L128" s="53">
        <f t="shared" si="13"/>
        <v>12.510554200874049</v>
      </c>
      <c r="M128" s="53">
        <f t="shared" si="16"/>
        <v>1.4667094829230849</v>
      </c>
      <c r="N128" s="53">
        <f t="shared" si="10"/>
        <v>1.3254561265711007E-2</v>
      </c>
    </row>
    <row r="129" spans="1:14">
      <c r="A129" s="55">
        <v>126</v>
      </c>
      <c r="B129" s="59">
        <v>294.75</v>
      </c>
      <c r="C129" s="53">
        <f t="shared" si="11"/>
        <v>7.9268430257584566</v>
      </c>
      <c r="D129" s="53">
        <f t="shared" si="17"/>
        <v>0.94419455665016749</v>
      </c>
      <c r="E129" s="54">
        <f t="shared" si="9"/>
        <v>6.7225274695411705E-3</v>
      </c>
      <c r="G129" s="53">
        <f t="shared" si="14"/>
        <v>5.1714603376419781</v>
      </c>
      <c r="H129" s="53">
        <f t="shared" si="15"/>
        <v>2.717880198860631E-2</v>
      </c>
      <c r="I129" s="54">
        <f t="shared" si="12"/>
        <v>1.6971321019468798E-4</v>
      </c>
      <c r="K129" s="59">
        <v>294.75</v>
      </c>
      <c r="L129" s="53">
        <f t="shared" si="13"/>
        <v>12.582290517076915</v>
      </c>
      <c r="M129" s="53">
        <f t="shared" si="16"/>
        <v>1.4987215184923286</v>
      </c>
      <c r="N129" s="53">
        <f t="shared" si="10"/>
        <v>1.0670678523081225E-2</v>
      </c>
    </row>
    <row r="130" spans="1:14">
      <c r="A130" s="55">
        <v>127</v>
      </c>
      <c r="B130" s="59">
        <v>294.2</v>
      </c>
      <c r="C130" s="53">
        <f t="shared" si="11"/>
        <v>7.9769204433498331</v>
      </c>
      <c r="D130" s="53">
        <f t="shared" si="17"/>
        <v>0.96281755882687858</v>
      </c>
      <c r="E130" s="54">
        <f t="shared" si="9"/>
        <v>6.2076673922370398E-3</v>
      </c>
      <c r="G130" s="53">
        <f t="shared" si="14"/>
        <v>5.2122061980113941</v>
      </c>
      <c r="H130" s="53">
        <f t="shared" si="15"/>
        <v>2.7678054952281764E-2</v>
      </c>
      <c r="I130" s="54">
        <f t="shared" si="12"/>
        <v>1.6641765455848443E-4</v>
      </c>
      <c r="K130" s="59">
        <v>294.2</v>
      </c>
      <c r="L130" s="53">
        <f t="shared" si="13"/>
        <v>12.661778481507673</v>
      </c>
      <c r="M130" s="53">
        <f t="shared" si="16"/>
        <v>1.5282818394077431</v>
      </c>
      <c r="N130" s="53">
        <f t="shared" si="10"/>
        <v>9.8534403051381593E-3</v>
      </c>
    </row>
    <row r="131" spans="1:14">
      <c r="A131" s="55">
        <v>128</v>
      </c>
      <c r="B131" s="59">
        <v>294.38333333333333</v>
      </c>
      <c r="C131" s="53">
        <f t="shared" si="11"/>
        <v>8.028542441173121</v>
      </c>
      <c r="D131" s="53">
        <f t="shared" si="17"/>
        <v>0.98210670598223027</v>
      </c>
      <c r="E131" s="54">
        <f t="shared" si="9"/>
        <v>6.4297157184505568E-3</v>
      </c>
      <c r="G131" s="53">
        <f t="shared" si="14"/>
        <v>5.2529619450477183</v>
      </c>
      <c r="H131" s="53">
        <f t="shared" si="15"/>
        <v>2.8185880667348992E-2</v>
      </c>
      <c r="I131" s="54">
        <f t="shared" si="12"/>
        <v>1.6927523835574197E-4</v>
      </c>
      <c r="K131" s="59">
        <v>294.38333333333333</v>
      </c>
      <c r="L131" s="53">
        <f t="shared" si="13"/>
        <v>12.743718160592257</v>
      </c>
      <c r="M131" s="53">
        <f t="shared" si="16"/>
        <v>1.5588995333051268</v>
      </c>
      <c r="N131" s="53">
        <f t="shared" si="10"/>
        <v>1.0205897965794537E-2</v>
      </c>
    </row>
    <row r="132" spans="1:14">
      <c r="A132" s="55">
        <v>129</v>
      </c>
      <c r="B132" s="59">
        <v>294.57222222222219</v>
      </c>
      <c r="C132" s="53">
        <f t="shared" si="11"/>
        <v>8.0794982940177693</v>
      </c>
      <c r="D132" s="53">
        <f t="shared" si="17"/>
        <v>1.0020999840701195</v>
      </c>
      <c r="E132" s="54">
        <f t="shared" ref="E132:E186" si="18">(24*C132*(0.5)*1)/1000*EXP(43.33-112700/8.314/B132)+(24*C132*(0.5)*0.01)/1000*EXP(43.33-112700/8.314/B132)</f>
        <v>6.6644260292964014E-3</v>
      </c>
      <c r="G132" s="53">
        <f t="shared" si="14"/>
        <v>5.2937091193326502</v>
      </c>
      <c r="H132" s="53">
        <f t="shared" si="15"/>
        <v>2.8702493327395353E-2</v>
      </c>
      <c r="I132" s="54">
        <f t="shared" si="12"/>
        <v>1.7220422001545377E-4</v>
      </c>
      <c r="K132" s="59">
        <v>294.57222222222219</v>
      </c>
      <c r="L132" s="53">
        <f t="shared" si="13"/>
        <v>12.824600466694873</v>
      </c>
      <c r="M132" s="53">
        <f t="shared" si="16"/>
        <v>1.5906348953493954</v>
      </c>
      <c r="N132" s="53">
        <f t="shared" ref="N132:N186" si="19">(24*L132*(0.5)*1)/1000*EXP(43.33-112700/8.314/K132)+(24*L132*(0.5)*0.01)/1000*EXP(43.33-112700/8.314/K132)</f>
        <v>1.0578454014756196E-2</v>
      </c>
    </row>
    <row r="133" spans="1:14">
      <c r="A133" s="55">
        <v>130</v>
      </c>
      <c r="B133" s="59">
        <v>294.92777777777781</v>
      </c>
      <c r="C133" s="53">
        <f t="shared" ref="C133:C186" si="20">$D$2*A133-D132</f>
        <v>8.129750015929881</v>
      </c>
      <c r="D133" s="53">
        <f t="shared" si="17"/>
        <v>1.0233652202758317</v>
      </c>
      <c r="E133" s="54">
        <f t="shared" si="18"/>
        <v>7.0884120685707442E-3</v>
      </c>
      <c r="G133" s="53">
        <f t="shared" si="14"/>
        <v>5.3344475066726051</v>
      </c>
      <c r="H133" s="53">
        <f t="shared" si="15"/>
        <v>2.9232277036069891E-2</v>
      </c>
      <c r="I133" s="54">
        <f t="shared" ref="I133:I196" si="21">MAX(G133*0.24*0.67*(0.201*(B133-273)-0.29)/100/100*0.5,0)</f>
        <v>1.7659456955817894E-4</v>
      </c>
      <c r="K133" s="59">
        <v>294.92777777777781</v>
      </c>
      <c r="L133" s="53">
        <f t="shared" ref="L133:L186" si="22">$M$2*A133-M132</f>
        <v>12.904365104650605</v>
      </c>
      <c r="M133" s="53">
        <f t="shared" si="16"/>
        <v>1.6243892385330656</v>
      </c>
      <c r="N133" s="53">
        <f t="shared" si="19"/>
        <v>1.1251447727890071E-2</v>
      </c>
    </row>
    <row r="134" spans="1:14">
      <c r="A134" s="55">
        <v>131</v>
      </c>
      <c r="B134" s="59">
        <v>295.8</v>
      </c>
      <c r="C134" s="53">
        <f t="shared" si="20"/>
        <v>8.1787297797241685</v>
      </c>
      <c r="D134" s="53">
        <f t="shared" si="17"/>
        <v>1.0478636186778896</v>
      </c>
      <c r="E134" s="54">
        <f t="shared" si="18"/>
        <v>8.1661328006859789E-3</v>
      </c>
      <c r="G134" s="53">
        <f t="shared" ref="G134:G186" si="23">$H$2*A134-H133</f>
        <v>5.3751727229639297</v>
      </c>
      <c r="H134" s="53">
        <f t="shared" ref="H134:H186" si="24">H133+3*I134</f>
        <v>2.9788834976209058E-2</v>
      </c>
      <c r="I134" s="54">
        <f t="shared" si="21"/>
        <v>1.8551931337972217E-4</v>
      </c>
      <c r="K134" s="59">
        <v>295.8</v>
      </c>
      <c r="L134" s="53">
        <f t="shared" si="22"/>
        <v>12.982110761466934</v>
      </c>
      <c r="M134" s="53">
        <f t="shared" ref="M134:M186" si="25">M133+N134*3</f>
        <v>1.6632755852029988</v>
      </c>
      <c r="N134" s="53">
        <f t="shared" si="19"/>
        <v>1.2962115556644411E-2</v>
      </c>
    </row>
    <row r="135" spans="1:14">
      <c r="A135" s="55">
        <v>132</v>
      </c>
      <c r="B135" s="59">
        <v>294.53333333333336</v>
      </c>
      <c r="C135" s="53">
        <f t="shared" si="20"/>
        <v>8.2244763813221109</v>
      </c>
      <c r="D135" s="53">
        <f t="shared" ref="D135:D186" si="26">D134+3*E135</f>
        <v>1.0680923723221531</v>
      </c>
      <c r="E135" s="54">
        <f t="shared" si="18"/>
        <v>6.7429178814212261E-3</v>
      </c>
      <c r="G135" s="53">
        <f t="shared" si="23"/>
        <v>5.4158711650237912</v>
      </c>
      <c r="H135" s="53">
        <f t="shared" si="24"/>
        <v>3.0316348323248067E-2</v>
      </c>
      <c r="I135" s="54">
        <f t="shared" si="21"/>
        <v>1.7583778234633678E-4</v>
      </c>
      <c r="K135" s="59">
        <v>294.53333333333336</v>
      </c>
      <c r="L135" s="53">
        <f t="shared" si="22"/>
        <v>13.054724414797001</v>
      </c>
      <c r="M135" s="53">
        <f t="shared" si="25"/>
        <v>1.6953847179716712</v>
      </c>
      <c r="N135" s="53">
        <f t="shared" si="19"/>
        <v>1.0703044256224169E-2</v>
      </c>
    </row>
    <row r="136" spans="1:14">
      <c r="A136" s="55">
        <v>133</v>
      </c>
      <c r="B136" s="59">
        <v>294.56666666666666</v>
      </c>
      <c r="C136" s="53">
        <f t="shared" si="20"/>
        <v>8.2744926276778461</v>
      </c>
      <c r="D136" s="53">
        <f t="shared" si="26"/>
        <v>1.0885504143024147</v>
      </c>
      <c r="E136" s="54">
        <f t="shared" si="18"/>
        <v>6.8193473267538444E-3</v>
      </c>
      <c r="G136" s="53">
        <f t="shared" si="23"/>
        <v>5.4565986516767513</v>
      </c>
      <c r="H136" s="53">
        <f t="shared" si="24"/>
        <v>3.0848710392022423E-2</v>
      </c>
      <c r="I136" s="54">
        <f t="shared" si="21"/>
        <v>1.7745402292478499E-4</v>
      </c>
      <c r="K136" s="59">
        <v>294.56666666666666</v>
      </c>
      <c r="L136" s="53">
        <f t="shared" si="22"/>
        <v>13.134115282028329</v>
      </c>
      <c r="M136" s="53">
        <f t="shared" si="25"/>
        <v>1.7278578004800229</v>
      </c>
      <c r="N136" s="53">
        <f t="shared" si="19"/>
        <v>1.0824360836117214E-2</v>
      </c>
    </row>
    <row r="137" spans="1:14">
      <c r="A137" s="55">
        <v>134</v>
      </c>
      <c r="B137" s="59">
        <v>294.7166666666667</v>
      </c>
      <c r="C137" s="53">
        <f t="shared" si="20"/>
        <v>8.3242795856975853</v>
      </c>
      <c r="D137" s="53">
        <f t="shared" si="26"/>
        <v>1.1096192836047385</v>
      </c>
      <c r="E137" s="54">
        <f t="shared" si="18"/>
        <v>7.0229564341079088E-3</v>
      </c>
      <c r="G137" s="53">
        <f t="shared" si="23"/>
        <v>5.4973212896079779</v>
      </c>
      <c r="H137" s="53">
        <f t="shared" si="24"/>
        <v>3.1389043234026179E-2</v>
      </c>
      <c r="I137" s="54">
        <f t="shared" si="21"/>
        <v>1.8011094733458486E-4</v>
      </c>
      <c r="K137" s="59">
        <v>294.7166666666667</v>
      </c>
      <c r="L137" s="53">
        <f t="shared" si="22"/>
        <v>13.213142199519979</v>
      </c>
      <c r="M137" s="53">
        <f t="shared" si="25"/>
        <v>1.761300450166251</v>
      </c>
      <c r="N137" s="53">
        <f t="shared" si="19"/>
        <v>1.114754989540938E-2</v>
      </c>
    </row>
    <row r="138" spans="1:14">
      <c r="A138" s="55">
        <v>135</v>
      </c>
      <c r="B138" s="59">
        <v>294.56111111111113</v>
      </c>
      <c r="C138" s="53">
        <f t="shared" si="20"/>
        <v>8.3734557163952612</v>
      </c>
      <c r="D138" s="53">
        <f t="shared" si="26"/>
        <v>1.1303040435340439</v>
      </c>
      <c r="E138" s="54">
        <f t="shared" si="18"/>
        <v>6.8949199764351352E-3</v>
      </c>
      <c r="G138" s="53">
        <f t="shared" si="23"/>
        <v>5.5380359567659738</v>
      </c>
      <c r="H138" s="53">
        <f t="shared" si="24"/>
        <v>3.1929201408159247E-2</v>
      </c>
      <c r="I138" s="54">
        <f t="shared" si="21"/>
        <v>1.8005272471102274E-4</v>
      </c>
      <c r="K138" s="59">
        <v>294.56111111111113</v>
      </c>
      <c r="L138" s="53">
        <f t="shared" si="22"/>
        <v>13.291199549833749</v>
      </c>
      <c r="M138" s="53">
        <f t="shared" si="25"/>
        <v>1.7941334024349898</v>
      </c>
      <c r="N138" s="53">
        <f t="shared" si="19"/>
        <v>1.0944317422912915E-2</v>
      </c>
    </row>
    <row r="139" spans="1:14">
      <c r="A139" s="55">
        <v>136</v>
      </c>
      <c r="B139" s="59">
        <v>295.18888888888887</v>
      </c>
      <c r="C139" s="53">
        <f t="shared" si="20"/>
        <v>8.4230159564659548</v>
      </c>
      <c r="D139" s="53">
        <f t="shared" si="26"/>
        <v>1.1532505870053096</v>
      </c>
      <c r="E139" s="54">
        <f t="shared" si="18"/>
        <v>7.6488478237551998E-3</v>
      </c>
      <c r="G139" s="53">
        <f t="shared" si="23"/>
        <v>5.578750798591841</v>
      </c>
      <c r="H139" s="53">
        <f t="shared" si="24"/>
        <v>3.2490309909666289E-2</v>
      </c>
      <c r="I139" s="54">
        <f t="shared" si="21"/>
        <v>1.8703616716901476E-4</v>
      </c>
      <c r="K139" s="59">
        <v>295.18888888888887</v>
      </c>
      <c r="L139" s="53">
        <f t="shared" si="22"/>
        <v>13.369866597565011</v>
      </c>
      <c r="M139" s="53">
        <f t="shared" si="25"/>
        <v>1.8305564873100146</v>
      </c>
      <c r="N139" s="53">
        <f t="shared" si="19"/>
        <v>1.2141028291674924E-2</v>
      </c>
    </row>
    <row r="140" spans="1:14">
      <c r="A140" s="55">
        <v>137</v>
      </c>
      <c r="B140" s="59">
        <v>294.22777777777776</v>
      </c>
      <c r="C140" s="53">
        <f t="shared" si="20"/>
        <v>8.470314412994691</v>
      </c>
      <c r="D140" s="53">
        <f t="shared" si="26"/>
        <v>1.1731116792014213</v>
      </c>
      <c r="E140" s="54">
        <f t="shared" si="18"/>
        <v>6.6203640653705832E-3</v>
      </c>
      <c r="G140" s="53">
        <f t="shared" si="23"/>
        <v>5.6194446900903339</v>
      </c>
      <c r="H140" s="53">
        <f t="shared" si="24"/>
        <v>3.302932712301198E-2</v>
      </c>
      <c r="I140" s="54">
        <f t="shared" si="21"/>
        <v>1.7967240444856334E-4</v>
      </c>
      <c r="K140" s="59">
        <v>294.22777777777776</v>
      </c>
      <c r="L140" s="53">
        <f t="shared" si="22"/>
        <v>13.444943512689987</v>
      </c>
      <c r="M140" s="53">
        <f t="shared" si="25"/>
        <v>1.862082030478446</v>
      </c>
      <c r="N140" s="53">
        <f t="shared" si="19"/>
        <v>1.0508514389477117E-2</v>
      </c>
    </row>
    <row r="141" spans="1:14">
      <c r="A141" s="55">
        <v>138</v>
      </c>
      <c r="B141" s="59">
        <v>294.17222222222222</v>
      </c>
      <c r="C141" s="53">
        <f t="shared" si="20"/>
        <v>8.52069832079858</v>
      </c>
      <c r="D141" s="53">
        <f t="shared" si="26"/>
        <v>1.1929178309893789</v>
      </c>
      <c r="E141" s="54">
        <f t="shared" si="18"/>
        <v>6.6020505959858283E-3</v>
      </c>
      <c r="G141" s="53">
        <f t="shared" si="23"/>
        <v>5.6601606728769882</v>
      </c>
      <c r="H141" s="53">
        <f t="shared" si="24"/>
        <v>3.3570725306320957E-2</v>
      </c>
      <c r="I141" s="54">
        <f t="shared" si="21"/>
        <v>1.8046606110299246E-4</v>
      </c>
      <c r="K141" s="59">
        <v>294.17222222222222</v>
      </c>
      <c r="L141" s="53">
        <f t="shared" si="22"/>
        <v>13.524917969521555</v>
      </c>
      <c r="M141" s="53">
        <f t="shared" si="25"/>
        <v>1.8935203666498071</v>
      </c>
      <c r="N141" s="53">
        <f t="shared" si="19"/>
        <v>1.0479445390453696E-2</v>
      </c>
    </row>
    <row r="142" spans="1:14">
      <c r="A142" s="55">
        <v>139</v>
      </c>
      <c r="B142" s="59">
        <v>293.54814814814813</v>
      </c>
      <c r="C142" s="53">
        <f t="shared" si="20"/>
        <v>8.5711371690106226</v>
      </c>
      <c r="D142" s="53">
        <f t="shared" si="26"/>
        <v>1.2109819958302286</v>
      </c>
      <c r="E142" s="54">
        <f t="shared" si="18"/>
        <v>6.0213882802832635E-3</v>
      </c>
      <c r="G142" s="53">
        <f t="shared" si="23"/>
        <v>5.7008742746936791</v>
      </c>
      <c r="H142" s="53">
        <f t="shared" si="24"/>
        <v>3.4098769287691393E-2</v>
      </c>
      <c r="I142" s="54">
        <f t="shared" si="21"/>
        <v>1.7601466045681261E-4</v>
      </c>
      <c r="K142" s="59">
        <v>293.54814814814813</v>
      </c>
      <c r="L142" s="53">
        <f t="shared" si="22"/>
        <v>13.604979633350194</v>
      </c>
      <c r="M142" s="53">
        <f t="shared" si="25"/>
        <v>1.9221936441749654</v>
      </c>
      <c r="N142" s="53">
        <f t="shared" si="19"/>
        <v>9.5577591750527977E-3</v>
      </c>
    </row>
    <row r="143" spans="1:14">
      <c r="A143" s="55">
        <v>140</v>
      </c>
      <c r="B143" s="59">
        <v>292.19444444444446</v>
      </c>
      <c r="C143" s="53">
        <f t="shared" si="20"/>
        <v>8.6233180041697715</v>
      </c>
      <c r="D143" s="53">
        <f t="shared" si="26"/>
        <v>1.2256557797263734</v>
      </c>
      <c r="E143" s="54">
        <f t="shared" si="18"/>
        <v>4.8912612987149174E-3</v>
      </c>
      <c r="G143" s="53">
        <f t="shared" si="23"/>
        <v>5.7416012307123081</v>
      </c>
      <c r="H143" s="53">
        <f t="shared" si="24"/>
        <v>3.4592903948881162E-2</v>
      </c>
      <c r="I143" s="54">
        <f t="shared" si="21"/>
        <v>1.6471155372992408E-4</v>
      </c>
      <c r="K143" s="59">
        <v>292.19444444444446</v>
      </c>
      <c r="L143" s="53">
        <f t="shared" si="22"/>
        <v>13.687806355825034</v>
      </c>
      <c r="M143" s="53">
        <f t="shared" si="25"/>
        <v>1.9454853646450365</v>
      </c>
      <c r="N143" s="53">
        <f t="shared" si="19"/>
        <v>7.763906823357012E-3</v>
      </c>
    </row>
    <row r="144" spans="1:14">
      <c r="A144" s="55">
        <v>141</v>
      </c>
      <c r="B144" s="59">
        <v>292.68888888888887</v>
      </c>
      <c r="C144" s="53">
        <f t="shared" si="20"/>
        <v>8.6788892202736267</v>
      </c>
      <c r="D144" s="53">
        <f t="shared" si="26"/>
        <v>1.2416280916778559</v>
      </c>
      <c r="E144" s="54">
        <f t="shared" si="18"/>
        <v>5.3241039838274823E-3</v>
      </c>
      <c r="G144" s="53">
        <f t="shared" si="23"/>
        <v>5.7823620960511191</v>
      </c>
      <c r="H144" s="53">
        <f t="shared" si="24"/>
        <v>3.5104407629114931E-2</v>
      </c>
      <c r="I144" s="54">
        <f t="shared" si="21"/>
        <v>1.7050122674458864E-4</v>
      </c>
      <c r="K144" s="59">
        <v>292.68888888888887</v>
      </c>
      <c r="L144" s="53">
        <f t="shared" si="22"/>
        <v>13.776014635354965</v>
      </c>
      <c r="M144" s="53">
        <f t="shared" si="25"/>
        <v>1.9708382407585008</v>
      </c>
      <c r="N144" s="53">
        <f t="shared" si="19"/>
        <v>8.4509587044880683E-3</v>
      </c>
    </row>
    <row r="145" spans="1:14">
      <c r="A145" s="55">
        <v>142</v>
      </c>
      <c r="B145" s="59">
        <v>293.11111111111109</v>
      </c>
      <c r="C145" s="53">
        <f t="shared" si="20"/>
        <v>8.7331619083221455</v>
      </c>
      <c r="D145" s="53">
        <f t="shared" si="26"/>
        <v>1.2588090996075414</v>
      </c>
      <c r="E145" s="54">
        <f t="shared" si="18"/>
        <v>5.7270026432284567E-3</v>
      </c>
      <c r="G145" s="53">
        <f t="shared" si="23"/>
        <v>5.8231055923708848</v>
      </c>
      <c r="H145" s="53">
        <f t="shared" si="24"/>
        <v>3.5631435254327617E-2</v>
      </c>
      <c r="I145" s="54">
        <f t="shared" si="21"/>
        <v>1.7567587507089482E-4</v>
      </c>
      <c r="K145" s="59">
        <v>293.11111111111109</v>
      </c>
      <c r="L145" s="53">
        <f t="shared" si="22"/>
        <v>13.862161759241499</v>
      </c>
      <c r="M145" s="53">
        <f t="shared" si="25"/>
        <v>1.9981096819167314</v>
      </c>
      <c r="N145" s="53">
        <f t="shared" si="19"/>
        <v>9.0904803860769132E-3</v>
      </c>
    </row>
    <row r="146" spans="1:14">
      <c r="A146" s="55">
        <v>143</v>
      </c>
      <c r="B146" s="59">
        <v>292.55555555555554</v>
      </c>
      <c r="C146" s="53">
        <f t="shared" si="20"/>
        <v>8.7862259003924592</v>
      </c>
      <c r="D146" s="53">
        <f t="shared" si="26"/>
        <v>1.274641220838638</v>
      </c>
      <c r="E146" s="54">
        <f t="shared" si="18"/>
        <v>5.2773737436988847E-3</v>
      </c>
      <c r="G146" s="53">
        <f t="shared" si="23"/>
        <v>5.863833564745673</v>
      </c>
      <c r="H146" s="53">
        <f t="shared" si="24"/>
        <v>3.61463553674886E-2</v>
      </c>
      <c r="I146" s="54">
        <f t="shared" si="21"/>
        <v>1.7164003772032792E-4</v>
      </c>
      <c r="K146" s="59">
        <v>292.55555555555554</v>
      </c>
      <c r="L146" s="53">
        <f t="shared" si="22"/>
        <v>13.946390318083267</v>
      </c>
      <c r="M146" s="53">
        <f t="shared" si="25"/>
        <v>2.0232400330772022</v>
      </c>
      <c r="N146" s="53">
        <f t="shared" si="19"/>
        <v>8.3767837201569589E-3</v>
      </c>
    </row>
    <row r="147" spans="1:14">
      <c r="A147" s="55">
        <v>144</v>
      </c>
      <c r="B147" s="59">
        <v>293.4666666666667</v>
      </c>
      <c r="C147" s="53">
        <f t="shared" si="20"/>
        <v>8.8406387791613632</v>
      </c>
      <c r="D147" s="53">
        <f t="shared" si="26"/>
        <v>1.2930360108635008</v>
      </c>
      <c r="E147" s="54">
        <f t="shared" si="18"/>
        <v>6.1315966749543099E-3</v>
      </c>
      <c r="G147" s="53">
        <f t="shared" si="23"/>
        <v>5.904573644632511</v>
      </c>
      <c r="H147" s="53">
        <f t="shared" si="24"/>
        <v>3.6690934525389185E-2</v>
      </c>
      <c r="I147" s="54">
        <f t="shared" si="21"/>
        <v>1.8152638596686047E-4</v>
      </c>
      <c r="K147" s="59">
        <v>293.4666666666667</v>
      </c>
      <c r="L147" s="53">
        <f t="shared" si="22"/>
        <v>14.032759966922798</v>
      </c>
      <c r="M147" s="53">
        <f t="shared" si="25"/>
        <v>2.0524381124817466</v>
      </c>
      <c r="N147" s="53">
        <f t="shared" si="19"/>
        <v>9.7326931348481124E-3</v>
      </c>
    </row>
    <row r="148" spans="1:14">
      <c r="A148" s="55">
        <v>145</v>
      </c>
      <c r="B148" s="59">
        <v>293.68333333333334</v>
      </c>
      <c r="C148" s="53">
        <f t="shared" si="20"/>
        <v>8.8924889891364991</v>
      </c>
      <c r="D148" s="53">
        <f t="shared" si="26"/>
        <v>1.3121800776877097</v>
      </c>
      <c r="E148" s="54">
        <f t="shared" si="18"/>
        <v>6.381355608069619E-3</v>
      </c>
      <c r="G148" s="53">
        <f t="shared" si="23"/>
        <v>5.9452840654746115</v>
      </c>
      <c r="H148" s="53">
        <f t="shared" si="24"/>
        <v>3.7245513488643578E-2</v>
      </c>
      <c r="I148" s="54">
        <f t="shared" si="21"/>
        <v>1.8485965441813053E-4</v>
      </c>
      <c r="K148" s="59">
        <v>293.68333333333334</v>
      </c>
      <c r="L148" s="53">
        <f t="shared" si="22"/>
        <v>14.115061887518253</v>
      </c>
      <c r="M148" s="53">
        <f t="shared" si="25"/>
        <v>2.0828255201392212</v>
      </c>
      <c r="N148" s="53">
        <f t="shared" si="19"/>
        <v>1.0129135885824795E-2</v>
      </c>
    </row>
    <row r="149" spans="1:14">
      <c r="A149" s="55">
        <v>146</v>
      </c>
      <c r="B149" s="59">
        <v>293.29444444444442</v>
      </c>
      <c r="C149" s="53">
        <f t="shared" si="20"/>
        <v>8.9435899223122899</v>
      </c>
      <c r="D149" s="53">
        <f t="shared" si="26"/>
        <v>1.330291127412573</v>
      </c>
      <c r="E149" s="54">
        <f t="shared" si="18"/>
        <v>6.0370165749544765E-3</v>
      </c>
      <c r="G149" s="53">
        <f t="shared" si="23"/>
        <v>5.9859844865113558</v>
      </c>
      <c r="H149" s="53">
        <f t="shared" si="24"/>
        <v>3.7792603151358697E-2</v>
      </c>
      <c r="I149" s="54">
        <f t="shared" si="21"/>
        <v>1.8236322090504079E-4</v>
      </c>
      <c r="K149" s="59">
        <v>293.29444444444442</v>
      </c>
      <c r="L149" s="53">
        <f t="shared" si="22"/>
        <v>14.19617447986078</v>
      </c>
      <c r="M149" s="53">
        <f t="shared" si="25"/>
        <v>2.1115732181151947</v>
      </c>
      <c r="N149" s="53">
        <f t="shared" si="19"/>
        <v>9.5825659919912317E-3</v>
      </c>
    </row>
    <row r="150" spans="1:14">
      <c r="A150" s="55">
        <v>147</v>
      </c>
      <c r="B150" s="59">
        <v>290.57222222222219</v>
      </c>
      <c r="C150" s="53">
        <f t="shared" si="20"/>
        <v>8.9957238725874262</v>
      </c>
      <c r="D150" s="53">
        <f t="shared" si="26"/>
        <v>1.34210580756959</v>
      </c>
      <c r="E150" s="54">
        <f t="shared" si="18"/>
        <v>3.9382267190056193E-3</v>
      </c>
      <c r="G150" s="53">
        <f t="shared" si="23"/>
        <v>6.0266923968486417</v>
      </c>
      <c r="H150" s="53">
        <f t="shared" si="24"/>
        <v>3.8263875080513106E-2</v>
      </c>
      <c r="I150" s="54">
        <f t="shared" si="21"/>
        <v>1.5709064305147061E-4</v>
      </c>
      <c r="K150" s="59">
        <v>290.57222222222219</v>
      </c>
      <c r="L150" s="53">
        <f t="shared" si="22"/>
        <v>14.278926781884804</v>
      </c>
      <c r="M150" s="53">
        <f t="shared" si="25"/>
        <v>2.1303266786818882</v>
      </c>
      <c r="N150" s="53">
        <f t="shared" si="19"/>
        <v>6.2511535222311418E-3</v>
      </c>
    </row>
    <row r="151" spans="1:14">
      <c r="A151" s="55">
        <v>148</v>
      </c>
      <c r="B151" s="59">
        <v>290.36666666666667</v>
      </c>
      <c r="C151" s="53">
        <f t="shared" si="20"/>
        <v>9.0541541924304099</v>
      </c>
      <c r="D151" s="53">
        <f t="shared" si="26"/>
        <v>1.3536109283596245</v>
      </c>
      <c r="E151" s="54">
        <f t="shared" si="18"/>
        <v>3.835040263344859E-3</v>
      </c>
      <c r="G151" s="53">
        <f t="shared" si="23"/>
        <v>6.0674761249194864</v>
      </c>
      <c r="H151" s="53">
        <f t="shared" si="24"/>
        <v>3.8732289601005783E-2</v>
      </c>
      <c r="I151" s="54">
        <f t="shared" si="21"/>
        <v>1.5613817349755966E-4</v>
      </c>
      <c r="K151" s="59">
        <v>290.36666666666667</v>
      </c>
      <c r="L151" s="53">
        <f t="shared" si="22"/>
        <v>14.371673321318111</v>
      </c>
      <c r="M151" s="53">
        <f t="shared" si="25"/>
        <v>2.1485887751740065</v>
      </c>
      <c r="N151" s="53">
        <f t="shared" si="19"/>
        <v>6.0873654973727914E-3</v>
      </c>
    </row>
    <row r="152" spans="1:14">
      <c r="A152" s="55">
        <v>149</v>
      </c>
      <c r="B152" s="59">
        <v>291.76111111111112</v>
      </c>
      <c r="C152" s="53">
        <f t="shared" si="20"/>
        <v>9.1128940716403761</v>
      </c>
      <c r="D152" s="53">
        <f t="shared" si="26"/>
        <v>1.3680853076679105</v>
      </c>
      <c r="E152" s="54">
        <f t="shared" si="18"/>
        <v>4.8247931027619864E-3</v>
      </c>
      <c r="G152" s="53">
        <f t="shared" si="23"/>
        <v>6.1082627103989946</v>
      </c>
      <c r="H152" s="53">
        <f t="shared" si="24"/>
        <v>3.9245147388861132E-2</v>
      </c>
      <c r="I152" s="54">
        <f t="shared" si="21"/>
        <v>1.7095259595178408E-4</v>
      </c>
      <c r="K152" s="59">
        <v>291.76111111111112</v>
      </c>
      <c r="L152" s="53">
        <f t="shared" si="22"/>
        <v>14.464911224825995</v>
      </c>
      <c r="M152" s="53">
        <f t="shared" si="25"/>
        <v>2.1715639804252542</v>
      </c>
      <c r="N152" s="53">
        <f t="shared" si="19"/>
        <v>7.6584017504158514E-3</v>
      </c>
    </row>
    <row r="153" spans="1:14">
      <c r="A153" s="55">
        <v>150</v>
      </c>
      <c r="B153" s="59">
        <v>292.95</v>
      </c>
      <c r="C153" s="53">
        <f t="shared" si="20"/>
        <v>9.16866469233209</v>
      </c>
      <c r="D153" s="53">
        <f t="shared" si="26"/>
        <v>1.385670106241875</v>
      </c>
      <c r="E153" s="54">
        <f t="shared" si="18"/>
        <v>5.8615995246548242E-3</v>
      </c>
      <c r="G153" s="53">
        <f t="shared" si="23"/>
        <v>6.1490048526111387</v>
      </c>
      <c r="H153" s="53">
        <f t="shared" si="24"/>
        <v>3.9796868042168608E-2</v>
      </c>
      <c r="I153" s="54">
        <f t="shared" si="21"/>
        <v>1.8390688443582521E-4</v>
      </c>
      <c r="K153" s="59">
        <v>292.95</v>
      </c>
      <c r="L153" s="53">
        <f t="shared" si="22"/>
        <v>14.553436019574747</v>
      </c>
      <c r="M153" s="53">
        <f t="shared" si="25"/>
        <v>2.1994763591140867</v>
      </c>
      <c r="N153" s="53">
        <f t="shared" si="19"/>
        <v>9.3041262296108332E-3</v>
      </c>
    </row>
    <row r="154" spans="1:14">
      <c r="A154" s="55">
        <v>151</v>
      </c>
      <c r="B154" s="59">
        <v>291.10000000000002</v>
      </c>
      <c r="C154" s="53">
        <f t="shared" si="20"/>
        <v>9.2213248937581245</v>
      </c>
      <c r="D154" s="53">
        <f t="shared" si="26"/>
        <v>1.3988499994031516</v>
      </c>
      <c r="E154" s="54">
        <f t="shared" si="18"/>
        <v>4.3932977204255283E-3</v>
      </c>
      <c r="G154" s="53">
        <f t="shared" si="23"/>
        <v>6.1897081319578309</v>
      </c>
      <c r="H154" s="53">
        <f t="shared" si="24"/>
        <v>4.0296725176702797E-2</v>
      </c>
      <c r="I154" s="54">
        <f t="shared" si="21"/>
        <v>1.6661904484472869E-4</v>
      </c>
      <c r="K154" s="59">
        <v>291.10000000000002</v>
      </c>
      <c r="L154" s="53">
        <f t="shared" si="22"/>
        <v>14.637023640885914</v>
      </c>
      <c r="M154" s="53">
        <f t="shared" si="25"/>
        <v>2.2203968244494465</v>
      </c>
      <c r="N154" s="53">
        <f t="shared" si="19"/>
        <v>6.9734884451198879E-3</v>
      </c>
    </row>
    <row r="155" spans="1:14">
      <c r="A155" s="55">
        <v>152</v>
      </c>
      <c r="B155" s="59">
        <v>291.13888888888891</v>
      </c>
      <c r="C155" s="53">
        <f t="shared" si="20"/>
        <v>9.2783900005968505</v>
      </c>
      <c r="D155" s="53">
        <f t="shared" si="26"/>
        <v>1.412194199397875</v>
      </c>
      <c r="E155" s="54">
        <f t="shared" si="18"/>
        <v>4.4480666649077925E-3</v>
      </c>
      <c r="G155" s="53">
        <f t="shared" si="23"/>
        <v>6.2304632748232969</v>
      </c>
      <c r="H155" s="53">
        <f t="shared" si="24"/>
        <v>4.0801048219649021E-2</v>
      </c>
      <c r="I155" s="54">
        <f t="shared" si="21"/>
        <v>1.6810768098207427E-4</v>
      </c>
      <c r="K155" s="59">
        <v>291.13888888888891</v>
      </c>
      <c r="L155" s="53">
        <f t="shared" si="22"/>
        <v>14.727603175550554</v>
      </c>
      <c r="M155" s="53">
        <f t="shared" si="25"/>
        <v>2.2415780942823407</v>
      </c>
      <c r="N155" s="53">
        <f t="shared" si="19"/>
        <v>7.0604232776314158E-3</v>
      </c>
    </row>
    <row r="156" spans="1:14">
      <c r="A156" s="55">
        <v>153</v>
      </c>
      <c r="B156" s="59">
        <v>292.13333333333333</v>
      </c>
      <c r="C156" s="53">
        <f t="shared" si="20"/>
        <v>9.3352908006021256</v>
      </c>
      <c r="D156" s="53">
        <f t="shared" si="26"/>
        <v>1.4279260886705991</v>
      </c>
      <c r="E156" s="54">
        <f t="shared" si="18"/>
        <v>5.2439630909080406E-3</v>
      </c>
      <c r="G156" s="53">
        <f t="shared" si="23"/>
        <v>6.2712139517803509</v>
      </c>
      <c r="H156" s="53">
        <f t="shared" si="24"/>
        <v>4.1338904503231161E-2</v>
      </c>
      <c r="I156" s="54">
        <f t="shared" si="21"/>
        <v>1.7928542786071412E-4</v>
      </c>
      <c r="K156" s="59">
        <v>292.13333333333333</v>
      </c>
      <c r="L156" s="53">
        <f t="shared" si="22"/>
        <v>14.817921905717659</v>
      </c>
      <c r="M156" s="53">
        <f t="shared" si="25"/>
        <v>2.2665493470961886</v>
      </c>
      <c r="N156" s="53">
        <f t="shared" si="19"/>
        <v>8.3237509379492682E-3</v>
      </c>
    </row>
    <row r="157" spans="1:14">
      <c r="A157" s="55">
        <v>154</v>
      </c>
      <c r="B157" s="62">
        <v>292.83333333333331</v>
      </c>
      <c r="C157" s="53">
        <f t="shared" si="20"/>
        <v>9.3898039113294018</v>
      </c>
      <c r="D157" s="53">
        <f t="shared" si="26"/>
        <v>1.4456060596043565</v>
      </c>
      <c r="E157" s="54">
        <f t="shared" si="18"/>
        <v>5.893323644585776E-3</v>
      </c>
      <c r="G157" s="53">
        <f t="shared" si="23"/>
        <v>6.3119310954967691</v>
      </c>
      <c r="H157" s="53">
        <f t="shared" si="24"/>
        <v>4.190167362869459E-2</v>
      </c>
      <c r="I157" s="54">
        <f t="shared" si="21"/>
        <v>1.8758970848781046E-4</v>
      </c>
      <c r="K157" s="62">
        <v>292.83333333333331</v>
      </c>
      <c r="L157" s="53">
        <f t="shared" si="22"/>
        <v>14.904450652903812</v>
      </c>
      <c r="M157" s="53">
        <f t="shared" si="25"/>
        <v>2.2946127930227878</v>
      </c>
      <c r="N157" s="53">
        <f t="shared" si="19"/>
        <v>9.3544819755329769E-3</v>
      </c>
    </row>
    <row r="158" spans="1:14">
      <c r="A158" s="55">
        <v>155</v>
      </c>
      <c r="B158" s="59">
        <v>293.11111111111109</v>
      </c>
      <c r="C158" s="53">
        <f t="shared" si="20"/>
        <v>9.4423689403956441</v>
      </c>
      <c r="D158" s="53">
        <f t="shared" si="26"/>
        <v>1.4641823115212433</v>
      </c>
      <c r="E158" s="54">
        <f t="shared" si="18"/>
        <v>6.1920839722956148E-3</v>
      </c>
      <c r="G158" s="53">
        <f t="shared" si="23"/>
        <v>6.3526233263713054</v>
      </c>
      <c r="H158" s="53">
        <f t="shared" si="24"/>
        <v>4.2476625934205682E-2</v>
      </c>
      <c r="I158" s="54">
        <f t="shared" si="21"/>
        <v>1.9165076850369733E-4</v>
      </c>
      <c r="K158" s="59">
        <v>293.11111111111109</v>
      </c>
      <c r="L158" s="53">
        <f t="shared" si="22"/>
        <v>14.987887206977211</v>
      </c>
      <c r="M158" s="53">
        <f t="shared" si="25"/>
        <v>2.3240989071765763</v>
      </c>
      <c r="N158" s="53">
        <f t="shared" si="19"/>
        <v>9.8287047179295463E-3</v>
      </c>
    </row>
    <row r="159" spans="1:14">
      <c r="A159" s="55">
        <v>156</v>
      </c>
      <c r="B159" s="59">
        <v>290.22777777777776</v>
      </c>
      <c r="C159" s="53">
        <f t="shared" si="20"/>
        <v>9.4940376884787572</v>
      </c>
      <c r="D159" s="53">
        <f t="shared" si="26"/>
        <v>1.4759798616092061</v>
      </c>
      <c r="E159" s="54">
        <f t="shared" si="18"/>
        <v>3.9325166959875849E-3</v>
      </c>
      <c r="G159" s="53">
        <f t="shared" si="23"/>
        <v>6.3933033740657947</v>
      </c>
      <c r="H159" s="53">
        <f t="shared" si="24"/>
        <v>4.2965889675536814E-2</v>
      </c>
      <c r="I159" s="54">
        <f t="shared" si="21"/>
        <v>1.6308791377704475E-4</v>
      </c>
      <c r="K159" s="59">
        <v>290.22777777777776</v>
      </c>
      <c r="L159" s="53">
        <f t="shared" si="22"/>
        <v>15.069901092823425</v>
      </c>
      <c r="M159" s="53">
        <f t="shared" si="25"/>
        <v>2.3428251771574695</v>
      </c>
      <c r="N159" s="53">
        <f t="shared" si="19"/>
        <v>6.2420899936310855E-3</v>
      </c>
    </row>
    <row r="160" spans="1:14">
      <c r="A160" s="55">
        <v>157</v>
      </c>
      <c r="B160" s="59">
        <v>288.99444444444447</v>
      </c>
      <c r="C160" s="53">
        <f t="shared" si="20"/>
        <v>9.5524851383907947</v>
      </c>
      <c r="D160" s="53">
        <f t="shared" si="26"/>
        <v>1.4857048855685071</v>
      </c>
      <c r="E160" s="54">
        <f t="shared" si="18"/>
        <v>3.2416746531003225E-3</v>
      </c>
      <c r="G160" s="53">
        <f t="shared" si="23"/>
        <v>6.4340691103244634</v>
      </c>
      <c r="H160" s="53">
        <f t="shared" si="24"/>
        <v>4.3419801579868841E-2</v>
      </c>
      <c r="I160" s="54">
        <f t="shared" si="21"/>
        <v>1.5130396811067516E-4</v>
      </c>
      <c r="K160" s="59">
        <v>288.99444444444447</v>
      </c>
      <c r="L160" s="53">
        <f t="shared" si="22"/>
        <v>15.162674822842533</v>
      </c>
      <c r="M160" s="53">
        <f t="shared" si="25"/>
        <v>2.3582617231246141</v>
      </c>
      <c r="N160" s="53">
        <f t="shared" si="19"/>
        <v>5.1455153223814651E-3</v>
      </c>
    </row>
    <row r="161" spans="1:14">
      <c r="A161" s="55">
        <v>158</v>
      </c>
      <c r="B161" s="59">
        <v>290.04444444444442</v>
      </c>
      <c r="C161" s="53">
        <f t="shared" si="20"/>
        <v>9.613005114431493</v>
      </c>
      <c r="D161" s="53">
        <f t="shared" si="26"/>
        <v>1.4973027661373877</v>
      </c>
      <c r="E161" s="54">
        <f t="shared" si="18"/>
        <v>3.8659601896268809E-3</v>
      </c>
      <c r="G161" s="53">
        <f t="shared" si="23"/>
        <v>6.4748701984201311</v>
      </c>
      <c r="H161" s="53">
        <f t="shared" si="24"/>
        <v>4.3909552422044522E-2</v>
      </c>
      <c r="I161" s="54">
        <f t="shared" si="21"/>
        <v>1.632502807252275E-4</v>
      </c>
      <c r="K161" s="59">
        <v>290.04444444444442</v>
      </c>
      <c r="L161" s="53">
        <f t="shared" si="22"/>
        <v>15.258738276875388</v>
      </c>
      <c r="M161" s="53">
        <f t="shared" si="25"/>
        <v>2.3766710573609324</v>
      </c>
      <c r="N161" s="53">
        <f t="shared" si="19"/>
        <v>6.1364447454394944E-3</v>
      </c>
    </row>
    <row r="162" spans="1:14">
      <c r="A162" s="55">
        <v>159</v>
      </c>
      <c r="B162" s="59">
        <v>291.11111111111109</v>
      </c>
      <c r="C162" s="53">
        <f t="shared" si="20"/>
        <v>9.6716522338626127</v>
      </c>
      <c r="D162" s="53">
        <f t="shared" si="26"/>
        <v>1.511150895979829</v>
      </c>
      <c r="E162" s="54">
        <f t="shared" si="18"/>
        <v>4.6160432808137553E-3</v>
      </c>
      <c r="G162" s="53">
        <f t="shared" si="23"/>
        <v>6.5156354475779557</v>
      </c>
      <c r="H162" s="53">
        <f t="shared" si="24"/>
        <v>4.4436081183188716E-2</v>
      </c>
      <c r="I162" s="54">
        <f t="shared" si="21"/>
        <v>1.7550958704806396E-4</v>
      </c>
      <c r="K162" s="59">
        <v>291.11111111111109</v>
      </c>
      <c r="L162" s="53">
        <f t="shared" si="22"/>
        <v>15.351828942639068</v>
      </c>
      <c r="M162" s="53">
        <f t="shared" si="25"/>
        <v>2.3986522158409977</v>
      </c>
      <c r="N162" s="53">
        <f t="shared" si="19"/>
        <v>7.3270528266885003E-3</v>
      </c>
    </row>
    <row r="163" spans="1:14">
      <c r="A163" s="55">
        <v>160</v>
      </c>
      <c r="B163" s="59">
        <v>290.11111111111109</v>
      </c>
      <c r="C163" s="53">
        <f t="shared" si="20"/>
        <v>9.7280491040201706</v>
      </c>
      <c r="D163" s="53">
        <f t="shared" si="26"/>
        <v>1.5230143027673477</v>
      </c>
      <c r="E163" s="54">
        <f t="shared" si="18"/>
        <v>3.9544689291729097E-3</v>
      </c>
      <c r="G163" s="53">
        <f t="shared" si="23"/>
        <v>6.5563639188168112</v>
      </c>
      <c r="H163" s="53">
        <f t="shared" si="24"/>
        <v>4.4934115174680767E-2</v>
      </c>
      <c r="I163" s="54">
        <f t="shared" si="21"/>
        <v>1.6601133049734941E-4</v>
      </c>
      <c r="K163" s="59">
        <v>290.11111111111109</v>
      </c>
      <c r="L163" s="53">
        <f t="shared" si="22"/>
        <v>15.441347784159003</v>
      </c>
      <c r="M163" s="53">
        <f t="shared" si="25"/>
        <v>2.4174830202656308</v>
      </c>
      <c r="N163" s="53">
        <f t="shared" si="19"/>
        <v>6.2769348082109683E-3</v>
      </c>
    </row>
    <row r="164" spans="1:14">
      <c r="A164" s="55">
        <v>161</v>
      </c>
      <c r="B164" s="59">
        <v>288.95555555555558</v>
      </c>
      <c r="C164" s="53">
        <f t="shared" si="20"/>
        <v>9.7864306972326531</v>
      </c>
      <c r="D164" s="53">
        <f t="shared" si="26"/>
        <v>1.5329148007561439</v>
      </c>
      <c r="E164" s="54">
        <f t="shared" si="18"/>
        <v>3.3001659962653904E-3</v>
      </c>
      <c r="G164" s="53">
        <f t="shared" si="23"/>
        <v>6.5971208848253191</v>
      </c>
      <c r="H164" s="53">
        <f t="shared" si="24"/>
        <v>4.5398286277950527E-2</v>
      </c>
      <c r="I164" s="54">
        <f t="shared" si="21"/>
        <v>1.547237010899196E-4</v>
      </c>
      <c r="K164" s="59">
        <v>288.95555555555558</v>
      </c>
      <c r="L164" s="53">
        <f t="shared" si="22"/>
        <v>15.534016979734368</v>
      </c>
      <c r="M164" s="53">
        <f t="shared" si="25"/>
        <v>2.4331980964383231</v>
      </c>
      <c r="N164" s="53">
        <f t="shared" si="19"/>
        <v>5.2383587242307763E-3</v>
      </c>
    </row>
    <row r="165" spans="1:14">
      <c r="A165" s="55">
        <v>162</v>
      </c>
      <c r="B165" s="59">
        <v>288.88888888888891</v>
      </c>
      <c r="C165" s="53">
        <f t="shared" si="20"/>
        <v>9.8467751992438561</v>
      </c>
      <c r="D165" s="53">
        <f t="shared" si="26"/>
        <v>1.5427690863501653</v>
      </c>
      <c r="E165" s="54">
        <f t="shared" si="18"/>
        <v>3.2847618646738067E-3</v>
      </c>
      <c r="G165" s="53">
        <f t="shared" si="23"/>
        <v>6.6379117137220494</v>
      </c>
      <c r="H165" s="53">
        <f t="shared" si="24"/>
        <v>4.5863181983413916E-2</v>
      </c>
      <c r="I165" s="54">
        <f t="shared" si="21"/>
        <v>1.5496523515446412E-4</v>
      </c>
      <c r="K165" s="59">
        <v>288.88888888888891</v>
      </c>
      <c r="L165" s="53">
        <f t="shared" si="22"/>
        <v>15.629801903561676</v>
      </c>
      <c r="M165" s="53">
        <f t="shared" si="25"/>
        <v>2.4488398196034362</v>
      </c>
      <c r="N165" s="53">
        <f t="shared" si="19"/>
        <v>5.2139077217044551E-3</v>
      </c>
    </row>
    <row r="166" spans="1:14">
      <c r="A166" s="55">
        <v>163</v>
      </c>
      <c r="B166" s="59">
        <v>289.31111111111113</v>
      </c>
      <c r="C166" s="53">
        <f t="shared" si="20"/>
        <v>9.907165913649834</v>
      </c>
      <c r="D166" s="53">
        <f t="shared" si="26"/>
        <v>1.5533865484782303</v>
      </c>
      <c r="E166" s="54">
        <f t="shared" si="18"/>
        <v>3.5391540426883386E-3</v>
      </c>
      <c r="G166" s="53">
        <f t="shared" si="23"/>
        <v>6.6787018180165862</v>
      </c>
      <c r="H166" s="53">
        <f t="shared" si="24"/>
        <v>4.6344605678331575E-2</v>
      </c>
      <c r="I166" s="54">
        <f t="shared" si="21"/>
        <v>1.6047456497255373E-4</v>
      </c>
      <c r="K166" s="59">
        <v>289.31111111111113</v>
      </c>
      <c r="L166" s="53">
        <f t="shared" si="22"/>
        <v>15.725660180396567</v>
      </c>
      <c r="M166" s="53">
        <f t="shared" si="25"/>
        <v>2.4656929340924285</v>
      </c>
      <c r="N166" s="53">
        <f t="shared" si="19"/>
        <v>5.6177048296640305E-3</v>
      </c>
    </row>
    <row r="167" spans="1:14">
      <c r="A167" s="55">
        <v>164</v>
      </c>
      <c r="B167" s="59">
        <v>290.39999999999998</v>
      </c>
      <c r="C167" s="53">
        <f t="shared" si="20"/>
        <v>9.9667934515217702</v>
      </c>
      <c r="D167" s="53">
        <f t="shared" si="26"/>
        <v>1.5661194081814345</v>
      </c>
      <c r="E167" s="54">
        <f t="shared" si="18"/>
        <v>4.2442865677346951E-3</v>
      </c>
      <c r="G167" s="53">
        <f t="shared" si="23"/>
        <v>6.7194753943216678</v>
      </c>
      <c r="H167" s="53">
        <f t="shared" si="24"/>
        <v>4.6864441012891077E-2</v>
      </c>
      <c r="I167" s="54">
        <f t="shared" si="21"/>
        <v>1.7327844485316821E-4</v>
      </c>
      <c r="K167" s="59">
        <v>290.39999999999998</v>
      </c>
      <c r="L167" s="53">
        <f t="shared" si="22"/>
        <v>15.820307065907572</v>
      </c>
      <c r="M167" s="53">
        <f t="shared" si="25"/>
        <v>2.4859038225102128</v>
      </c>
      <c r="N167" s="53">
        <f t="shared" si="19"/>
        <v>6.7369628059280873E-3</v>
      </c>
    </row>
    <row r="168" spans="1:14">
      <c r="A168" s="55">
        <v>165</v>
      </c>
      <c r="B168" s="59">
        <v>290.57222222222219</v>
      </c>
      <c r="C168" s="53">
        <f t="shared" si="20"/>
        <v>10.024305591818566</v>
      </c>
      <c r="D168" s="53">
        <f t="shared" si="26"/>
        <v>1.5792849928571084</v>
      </c>
      <c r="E168" s="54">
        <f t="shared" si="18"/>
        <v>4.3885282252246714E-3</v>
      </c>
      <c r="G168" s="53">
        <f t="shared" si="23"/>
        <v>6.7602105589871089</v>
      </c>
      <c r="H168" s="53">
        <f t="shared" si="24"/>
        <v>4.7393072185985256E-2</v>
      </c>
      <c r="I168" s="54">
        <f t="shared" si="21"/>
        <v>1.762103910313937E-4</v>
      </c>
      <c r="K168" s="59">
        <v>290.57222222222219</v>
      </c>
      <c r="L168" s="53">
        <f t="shared" si="22"/>
        <v>15.911596177489788</v>
      </c>
      <c r="M168" s="53">
        <f t="shared" si="25"/>
        <v>2.5068015759636637</v>
      </c>
      <c r="N168" s="53">
        <f t="shared" si="19"/>
        <v>6.9659178178169403E-3</v>
      </c>
    </row>
    <row r="169" spans="1:14">
      <c r="A169" s="55">
        <v>166</v>
      </c>
      <c r="B169" s="59">
        <v>290.07222222222219</v>
      </c>
      <c r="C169" s="53">
        <f t="shared" si="20"/>
        <v>10.081385007142892</v>
      </c>
      <c r="D169" s="53">
        <f t="shared" si="26"/>
        <v>1.5915025207913287</v>
      </c>
      <c r="E169" s="54">
        <f t="shared" si="18"/>
        <v>4.0725093114067513E-3</v>
      </c>
      <c r="G169" s="53">
        <f t="shared" si="23"/>
        <v>6.8009369278140142</v>
      </c>
      <c r="H169" s="53">
        <f t="shared" si="24"/>
        <v>4.7908402177774416E-2</v>
      </c>
      <c r="I169" s="54">
        <f t="shared" si="21"/>
        <v>1.7177666392971893E-4</v>
      </c>
      <c r="K169" s="59">
        <v>290.07222222222219</v>
      </c>
      <c r="L169" s="53">
        <f t="shared" si="22"/>
        <v>16.002198424036337</v>
      </c>
      <c r="M169" s="53">
        <f t="shared" si="25"/>
        <v>2.5261944774465528</v>
      </c>
      <c r="N169" s="53">
        <f t="shared" si="19"/>
        <v>6.4643004942964303E-3</v>
      </c>
    </row>
    <row r="170" spans="1:14">
      <c r="A170" s="55">
        <v>167</v>
      </c>
      <c r="B170" s="59">
        <v>286.9111111111111</v>
      </c>
      <c r="C170" s="53">
        <f t="shared" si="20"/>
        <v>10.139412479208671</v>
      </c>
      <c r="D170" s="53">
        <f t="shared" si="26"/>
        <v>1.5988454512069057</v>
      </c>
      <c r="E170" s="54">
        <f t="shared" si="18"/>
        <v>2.447643471859013E-3</v>
      </c>
      <c r="G170" s="53">
        <f t="shared" si="23"/>
        <v>6.841676597822226</v>
      </c>
      <c r="H170" s="53">
        <f t="shared" si="24"/>
        <v>4.832196740689227E-2</v>
      </c>
      <c r="I170" s="54">
        <f t="shared" si="21"/>
        <v>1.3785507637261842E-4</v>
      </c>
      <c r="K170" s="59">
        <v>286.9111111111111</v>
      </c>
      <c r="L170" s="53">
        <f t="shared" si="22"/>
        <v>16.094305522553448</v>
      </c>
      <c r="M170" s="53">
        <f t="shared" si="25"/>
        <v>2.5378499225506435</v>
      </c>
      <c r="N170" s="53">
        <f t="shared" si="19"/>
        <v>3.8851483680301794E-3</v>
      </c>
    </row>
    <row r="171" spans="1:14">
      <c r="A171" s="55">
        <v>168</v>
      </c>
      <c r="B171" s="59">
        <v>285.57777777777778</v>
      </c>
      <c r="C171" s="53">
        <f t="shared" si="20"/>
        <v>10.202314548793094</v>
      </c>
      <c r="D171" s="53">
        <f t="shared" si="26"/>
        <v>1.604771366054043</v>
      </c>
      <c r="E171" s="54">
        <f t="shared" si="18"/>
        <v>1.9753049490457454E-3</v>
      </c>
      <c r="G171" s="53">
        <f t="shared" si="23"/>
        <v>6.8825180325931079</v>
      </c>
      <c r="H171" s="53">
        <f t="shared" si="24"/>
        <v>4.8693511718679736E-2</v>
      </c>
      <c r="I171" s="54">
        <f t="shared" si="21"/>
        <v>1.2384810392915575E-4</v>
      </c>
      <c r="K171" s="59">
        <v>285.57777777777778</v>
      </c>
      <c r="L171" s="53">
        <f t="shared" si="22"/>
        <v>16.194150077449358</v>
      </c>
      <c r="M171" s="53">
        <f t="shared" si="25"/>
        <v>2.5472561365937185</v>
      </c>
      <c r="N171" s="53">
        <f t="shared" si="19"/>
        <v>3.135404681024993E-3</v>
      </c>
    </row>
    <row r="172" spans="1:14">
      <c r="A172" s="55">
        <v>169</v>
      </c>
      <c r="B172" s="59">
        <v>287.11111111111109</v>
      </c>
      <c r="C172" s="53">
        <f t="shared" si="20"/>
        <v>10.266633633945958</v>
      </c>
      <c r="D172" s="53">
        <f t="shared" si="26"/>
        <v>1.6124551992989631</v>
      </c>
      <c r="E172" s="54">
        <f t="shared" si="18"/>
        <v>2.5612777483067111E-3</v>
      </c>
      <c r="G172" s="53">
        <f t="shared" si="23"/>
        <v>6.9234014882813204</v>
      </c>
      <c r="H172" s="53">
        <f t="shared" si="24"/>
        <v>4.9118730144990345E-2</v>
      </c>
      <c r="I172" s="54">
        <f t="shared" si="21"/>
        <v>1.4173947543686882E-4</v>
      </c>
      <c r="K172" s="59">
        <v>287.11111111111109</v>
      </c>
      <c r="L172" s="53">
        <f t="shared" si="22"/>
        <v>16.296243863406282</v>
      </c>
      <c r="M172" s="53">
        <f t="shared" si="25"/>
        <v>2.5594526972999407</v>
      </c>
      <c r="N172" s="53">
        <f t="shared" si="19"/>
        <v>4.0655202354074778E-3</v>
      </c>
    </row>
    <row r="173" spans="1:14">
      <c r="A173" s="55">
        <v>170</v>
      </c>
      <c r="B173" s="59">
        <v>288.48888888888888</v>
      </c>
      <c r="C173" s="53">
        <f t="shared" si="20"/>
        <v>10.329194800701037</v>
      </c>
      <c r="D173" s="53">
        <f t="shared" si="26"/>
        <v>1.622141153186337</v>
      </c>
      <c r="E173" s="54">
        <f t="shared" si="18"/>
        <v>3.2286512957913258E-3</v>
      </c>
      <c r="G173" s="53">
        <f t="shared" si="23"/>
        <v>6.9642312698550093</v>
      </c>
      <c r="H173" s="53">
        <f t="shared" si="24"/>
        <v>4.9592974738906066E-2</v>
      </c>
      <c r="I173" s="54">
        <f t="shared" si="21"/>
        <v>1.5808153130524006E-4</v>
      </c>
      <c r="K173" s="59">
        <v>288.48888888888888</v>
      </c>
      <c r="L173" s="53">
        <f t="shared" si="22"/>
        <v>16.395547302700059</v>
      </c>
      <c r="M173" s="53">
        <f t="shared" si="25"/>
        <v>2.5748272272798993</v>
      </c>
      <c r="N173" s="53">
        <f t="shared" si="19"/>
        <v>5.1248433266528988E-3</v>
      </c>
    </row>
    <row r="174" spans="1:14">
      <c r="A174" s="55">
        <v>171</v>
      </c>
      <c r="B174" s="59">
        <v>289.57777777777778</v>
      </c>
      <c r="C174" s="53">
        <f t="shared" si="20"/>
        <v>10.389753846813663</v>
      </c>
      <c r="D174" s="53">
        <f t="shared" si="26"/>
        <v>1.6337667463104697</v>
      </c>
      <c r="E174" s="54">
        <f t="shared" si="18"/>
        <v>3.8751977080442443E-3</v>
      </c>
      <c r="G174" s="53">
        <f t="shared" si="23"/>
        <v>7.0050120252610935</v>
      </c>
      <c r="H174" s="53">
        <f t="shared" si="24"/>
        <v>5.0106976294554705E-2</v>
      </c>
      <c r="I174" s="54">
        <f t="shared" si="21"/>
        <v>1.713338518828789E-4</v>
      </c>
      <c r="K174" s="59">
        <v>289.57777777777778</v>
      </c>
      <c r="L174" s="53">
        <f t="shared" si="22"/>
        <v>16.491672772720101</v>
      </c>
      <c r="M174" s="53">
        <f t="shared" si="25"/>
        <v>2.5932805496991578</v>
      </c>
      <c r="N174" s="53">
        <f t="shared" si="19"/>
        <v>6.1511074730861018E-3</v>
      </c>
    </row>
    <row r="175" spans="1:14">
      <c r="A175" s="55">
        <v>172</v>
      </c>
      <c r="B175" s="59">
        <v>289.84444444444443</v>
      </c>
      <c r="C175" s="53">
        <f t="shared" si="20"/>
        <v>10.448373253689532</v>
      </c>
      <c r="D175" s="53">
        <f t="shared" si="26"/>
        <v>1.6459724447518465</v>
      </c>
      <c r="E175" s="54">
        <f t="shared" si="18"/>
        <v>4.0685661471255895E-3</v>
      </c>
      <c r="G175" s="53">
        <f t="shared" si="23"/>
        <v>7.0457530237054451</v>
      </c>
      <c r="H175" s="53">
        <f t="shared" si="24"/>
        <v>5.0633076247108035E-2</v>
      </c>
      <c r="I175" s="54">
        <f t="shared" si="21"/>
        <v>1.7536665085110924E-4</v>
      </c>
      <c r="K175" s="59">
        <v>289.84444444444443</v>
      </c>
      <c r="L175" s="53">
        <f t="shared" si="22"/>
        <v>16.584719450300842</v>
      </c>
      <c r="M175" s="53">
        <f t="shared" si="25"/>
        <v>2.6126546742092795</v>
      </c>
      <c r="N175" s="53">
        <f t="shared" si="19"/>
        <v>6.4580415033739513E-3</v>
      </c>
    </row>
    <row r="176" spans="1:14">
      <c r="A176" s="55">
        <v>173</v>
      </c>
      <c r="B176" s="59">
        <v>289.35555555555555</v>
      </c>
      <c r="C176" s="53">
        <f t="shared" si="20"/>
        <v>10.506412555248154</v>
      </c>
      <c r="D176" s="53">
        <f t="shared" si="26"/>
        <v>1.6573134415877342</v>
      </c>
      <c r="E176" s="54">
        <f t="shared" si="18"/>
        <v>3.7803322786292407E-3</v>
      </c>
      <c r="G176" s="53">
        <f t="shared" si="23"/>
        <v>7.086481923752892</v>
      </c>
      <c r="H176" s="53">
        <f t="shared" si="24"/>
        <v>5.1145421066719328E-2</v>
      </c>
      <c r="I176" s="54">
        <f t="shared" si="21"/>
        <v>1.7078160653709676E-4</v>
      </c>
      <c r="K176" s="59">
        <v>289.35555555555555</v>
      </c>
      <c r="L176" s="53">
        <f t="shared" si="22"/>
        <v>16.676845325790723</v>
      </c>
      <c r="M176" s="53">
        <f t="shared" si="25"/>
        <v>2.6306562564884666</v>
      </c>
      <c r="N176" s="53">
        <f t="shared" si="19"/>
        <v>6.0005274263956205E-3</v>
      </c>
    </row>
    <row r="177" spans="1:15">
      <c r="A177" s="55">
        <v>174</v>
      </c>
      <c r="B177" s="59">
        <v>291.15555555555557</v>
      </c>
      <c r="C177" s="53">
        <f t="shared" si="20"/>
        <v>10.565316558412267</v>
      </c>
      <c r="D177" s="53">
        <f t="shared" si="26"/>
        <v>1.6725490546575605</v>
      </c>
      <c r="E177" s="54">
        <f t="shared" si="18"/>
        <v>5.0785376899421357E-3</v>
      </c>
      <c r="G177" s="53">
        <f t="shared" si="23"/>
        <v>7.1272245789332809</v>
      </c>
      <c r="H177" s="53">
        <f t="shared" si="24"/>
        <v>5.1722908087366383E-2</v>
      </c>
      <c r="I177" s="54">
        <f t="shared" si="21"/>
        <v>1.9249567354901793E-4</v>
      </c>
      <c r="K177" s="59">
        <v>291.15555555555557</v>
      </c>
      <c r="L177" s="53">
        <f t="shared" si="22"/>
        <v>16.770343743511532</v>
      </c>
      <c r="M177" s="53">
        <f t="shared" si="25"/>
        <v>2.6548397692977148</v>
      </c>
      <c r="N177" s="53">
        <f t="shared" si="19"/>
        <v>8.0611709364160882E-3</v>
      </c>
    </row>
    <row r="178" spans="1:15">
      <c r="A178" s="55">
        <v>175</v>
      </c>
      <c r="B178" s="59">
        <v>288.39999999999998</v>
      </c>
      <c r="C178" s="53">
        <f t="shared" si="20"/>
        <v>10.62032594534244</v>
      </c>
      <c r="D178" s="53">
        <f t="shared" si="26"/>
        <v>1.6823648207203798</v>
      </c>
      <c r="E178" s="54">
        <f t="shared" si="18"/>
        <v>3.2719220209397816E-3</v>
      </c>
      <c r="G178" s="53">
        <f t="shared" si="23"/>
        <v>7.1679020919126337</v>
      </c>
      <c r="H178" s="53">
        <f t="shared" si="24"/>
        <v>5.2207933127957462E-2</v>
      </c>
      <c r="I178" s="54">
        <f t="shared" si="21"/>
        <v>1.6167501353035941E-4</v>
      </c>
      <c r="K178" s="59">
        <v>288.39999999999998</v>
      </c>
      <c r="L178" s="53">
        <f t="shared" si="22"/>
        <v>16.857660230702283</v>
      </c>
      <c r="M178" s="53">
        <f t="shared" si="25"/>
        <v>2.6704203503498092</v>
      </c>
      <c r="N178" s="53">
        <f t="shared" si="19"/>
        <v>5.1935270173647328E-3</v>
      </c>
    </row>
    <row r="179" spans="1:15">
      <c r="A179" s="55">
        <v>176</v>
      </c>
      <c r="B179" s="59">
        <v>290.53333333333336</v>
      </c>
      <c r="C179" s="53">
        <f t="shared" si="20"/>
        <v>10.68075517927962</v>
      </c>
      <c r="D179" s="53">
        <f t="shared" si="26"/>
        <v>1.6963052424801865</v>
      </c>
      <c r="E179" s="54">
        <f t="shared" si="18"/>
        <v>4.6468072532688739E-3</v>
      </c>
      <c r="G179" s="53">
        <f t="shared" si="23"/>
        <v>7.208672066872043</v>
      </c>
      <c r="H179" s="53">
        <f t="shared" si="24"/>
        <v>5.2770273735189568E-2</v>
      </c>
      <c r="I179" s="54">
        <f t="shared" si="21"/>
        <v>1.8744686907736787E-4</v>
      </c>
      <c r="K179" s="59">
        <v>290.53333333333336</v>
      </c>
      <c r="L179" s="53">
        <f t="shared" si="22"/>
        <v>16.953579649650191</v>
      </c>
      <c r="M179" s="53">
        <f t="shared" si="25"/>
        <v>2.6925480039368037</v>
      </c>
      <c r="N179" s="53">
        <f t="shared" si="19"/>
        <v>7.3758845289982125E-3</v>
      </c>
    </row>
    <row r="180" spans="1:15">
      <c r="A180" s="55">
        <v>177</v>
      </c>
      <c r="B180" s="59">
        <v>290.28888888888889</v>
      </c>
      <c r="C180" s="53">
        <f t="shared" si="20"/>
        <v>10.737059757519814</v>
      </c>
      <c r="D180" s="53">
        <f t="shared" si="26"/>
        <v>1.7097792397912861</v>
      </c>
      <c r="E180" s="54">
        <f t="shared" si="18"/>
        <v>4.4913324370331967E-3</v>
      </c>
      <c r="G180" s="53">
        <f t="shared" si="23"/>
        <v>7.24936472626481</v>
      </c>
      <c r="H180" s="53">
        <f t="shared" si="24"/>
        <v>5.3327197539042109E-2</v>
      </c>
      <c r="I180" s="54">
        <f t="shared" si="21"/>
        <v>1.8564126795084682E-4</v>
      </c>
      <c r="K180" s="59">
        <v>290.28888888888889</v>
      </c>
      <c r="L180" s="53">
        <f t="shared" si="22"/>
        <v>17.042951996063199</v>
      </c>
      <c r="M180" s="53">
        <f t="shared" si="25"/>
        <v>2.7139353012560092</v>
      </c>
      <c r="N180" s="53">
        <f t="shared" si="19"/>
        <v>7.1290991064019019E-3</v>
      </c>
    </row>
    <row r="181" spans="1:15">
      <c r="A181" s="55">
        <v>178</v>
      </c>
      <c r="B181" s="59">
        <v>287.93333333333334</v>
      </c>
      <c r="C181" s="53">
        <f t="shared" si="20"/>
        <v>10.793830760208714</v>
      </c>
      <c r="D181" s="53">
        <f t="shared" si="26"/>
        <v>1.719023623746571</v>
      </c>
      <c r="E181" s="54">
        <f t="shared" si="18"/>
        <v>3.0814613184283212E-3</v>
      </c>
      <c r="G181" s="53">
        <f t="shared" si="23"/>
        <v>7.2900628024609579</v>
      </c>
      <c r="H181" s="53">
        <f t="shared" si="24"/>
        <v>5.3803995290241206E-2</v>
      </c>
      <c r="I181" s="54">
        <f t="shared" si="21"/>
        <v>1.5893258373303126E-4</v>
      </c>
      <c r="K181" s="59">
        <v>287.93333333333334</v>
      </c>
      <c r="L181" s="53">
        <f t="shared" si="22"/>
        <v>17.133064698743993</v>
      </c>
      <c r="M181" s="53">
        <f t="shared" si="25"/>
        <v>2.7286089265818583</v>
      </c>
      <c r="N181" s="53">
        <f t="shared" si="19"/>
        <v>4.8912084419497183E-3</v>
      </c>
    </row>
    <row r="182" spans="1:15">
      <c r="A182" s="55">
        <v>179</v>
      </c>
      <c r="B182" s="59">
        <v>287.66666666666669</v>
      </c>
      <c r="C182" s="53">
        <f t="shared" si="20"/>
        <v>10.854831376253429</v>
      </c>
      <c r="D182" s="53">
        <f t="shared" si="26"/>
        <v>1.727923257309284</v>
      </c>
      <c r="E182" s="54">
        <f t="shared" si="18"/>
        <v>2.9665445209043225E-3</v>
      </c>
      <c r="G182" s="53">
        <f t="shared" si="23"/>
        <v>7.3308410047097583</v>
      </c>
      <c r="H182" s="53">
        <f t="shared" si="24"/>
        <v>5.4273982544660516E-2</v>
      </c>
      <c r="I182" s="54">
        <f t="shared" si="21"/>
        <v>1.5666241813976929E-4</v>
      </c>
      <c r="K182" s="59">
        <v>287.66666666666669</v>
      </c>
      <c r="L182" s="53">
        <f t="shared" si="22"/>
        <v>17.229891073418141</v>
      </c>
      <c r="M182" s="53">
        <f t="shared" si="25"/>
        <v>2.7427353290623548</v>
      </c>
      <c r="N182" s="53">
        <f t="shared" si="19"/>
        <v>4.7088008268322571E-3</v>
      </c>
    </row>
    <row r="183" spans="1:15">
      <c r="A183" s="55">
        <v>180</v>
      </c>
      <c r="B183" s="59">
        <v>287.77777777777777</v>
      </c>
      <c r="C183" s="53">
        <f t="shared" si="20"/>
        <v>10.916176742690716</v>
      </c>
      <c r="D183" s="53">
        <f t="shared" si="26"/>
        <v>1.7370375105397096</v>
      </c>
      <c r="E183" s="54">
        <f t="shared" si="18"/>
        <v>3.0380844101418913E-3</v>
      </c>
      <c r="G183" s="53">
        <f t="shared" si="23"/>
        <v>7.3716260174553403</v>
      </c>
      <c r="H183" s="53">
        <f t="shared" si="24"/>
        <v>5.4750555512903636E-2</v>
      </c>
      <c r="I183" s="54">
        <f t="shared" si="21"/>
        <v>1.5885765608104042E-4</v>
      </c>
      <c r="K183" s="59">
        <v>287.77777777777777</v>
      </c>
      <c r="L183" s="53">
        <f t="shared" si="22"/>
        <v>17.327264670937645</v>
      </c>
      <c r="M183" s="53">
        <f t="shared" si="25"/>
        <v>2.7572023976820783</v>
      </c>
      <c r="N183" s="53">
        <f t="shared" si="19"/>
        <v>4.822356206574431E-3</v>
      </c>
    </row>
    <row r="184" spans="1:15">
      <c r="A184" s="55">
        <v>181</v>
      </c>
      <c r="B184" s="59">
        <v>286.04444444444442</v>
      </c>
      <c r="C184" s="53">
        <f t="shared" si="20"/>
        <v>10.977307489460291</v>
      </c>
      <c r="D184" s="53">
        <f t="shared" si="26"/>
        <v>1.7439269532121293</v>
      </c>
      <c r="E184" s="54">
        <f t="shared" si="18"/>
        <v>2.2964808908066147E-3</v>
      </c>
      <c r="G184" s="53">
        <f t="shared" si="23"/>
        <v>7.4124044444870965</v>
      </c>
      <c r="H184" s="53">
        <f t="shared" si="24"/>
        <v>5.5167475332966086E-2</v>
      </c>
      <c r="I184" s="54">
        <f t="shared" si="21"/>
        <v>1.3897327335415054E-4</v>
      </c>
      <c r="K184" s="59">
        <v>286.04444444444442</v>
      </c>
      <c r="L184" s="53">
        <f t="shared" si="22"/>
        <v>17.424297602317921</v>
      </c>
      <c r="M184" s="53">
        <f t="shared" si="25"/>
        <v>2.7681380209716338</v>
      </c>
      <c r="N184" s="53">
        <f t="shared" si="19"/>
        <v>3.6452077631851021E-3</v>
      </c>
    </row>
    <row r="185" spans="1:15">
      <c r="A185" s="55">
        <v>182</v>
      </c>
      <c r="B185" s="59">
        <v>286.26666666666665</v>
      </c>
      <c r="C185" s="53">
        <f t="shared" si="20"/>
        <v>11.04066304678787</v>
      </c>
      <c r="D185" s="53">
        <f t="shared" si="26"/>
        <v>1.7511158112540759</v>
      </c>
      <c r="E185" s="54">
        <f t="shared" si="18"/>
        <v>2.3962860139822273E-3</v>
      </c>
      <c r="G185" s="53">
        <f t="shared" si="23"/>
        <v>7.4532425246670337</v>
      </c>
      <c r="H185" s="53">
        <f t="shared" si="24"/>
        <v>5.559472196652715E-2</v>
      </c>
      <c r="I185" s="54">
        <f t="shared" si="21"/>
        <v>1.4241554452035416E-4</v>
      </c>
      <c r="K185" s="59">
        <v>286.26666666666665</v>
      </c>
      <c r="L185" s="53">
        <f t="shared" si="22"/>
        <v>17.524861979028366</v>
      </c>
      <c r="M185" s="53">
        <f t="shared" si="25"/>
        <v>2.7795489067525017</v>
      </c>
      <c r="N185" s="53">
        <f t="shared" si="19"/>
        <v>3.8036285936225837E-3</v>
      </c>
    </row>
    <row r="186" spans="1:15">
      <c r="A186" s="55">
        <v>183</v>
      </c>
      <c r="B186" s="59">
        <v>285.64444444444445</v>
      </c>
      <c r="C186" s="53">
        <f t="shared" si="20"/>
        <v>11.103719188745924</v>
      </c>
      <c r="D186" s="53">
        <f t="shared" si="26"/>
        <v>1.7576371446628467</v>
      </c>
      <c r="E186" s="54">
        <f t="shared" si="18"/>
        <v>2.1737778029236347E-3</v>
      </c>
      <c r="G186" s="53">
        <f t="shared" si="23"/>
        <v>7.4940702780334725</v>
      </c>
      <c r="H186" s="53">
        <f t="shared" si="24"/>
        <v>5.600170232121119E-2</v>
      </c>
      <c r="I186" s="54">
        <f t="shared" si="21"/>
        <v>1.3566011822801314E-4</v>
      </c>
      <c r="K186" s="59">
        <v>285.64444444444445</v>
      </c>
      <c r="L186" s="53">
        <f t="shared" si="22"/>
        <v>17.624951093247496</v>
      </c>
      <c r="M186" s="53">
        <f t="shared" si="25"/>
        <v>2.7899002296235667</v>
      </c>
      <c r="N186" s="53">
        <f t="shared" si="19"/>
        <v>3.4504409570216424E-3</v>
      </c>
      <c r="O186" s="63"/>
    </row>
    <row r="187" spans="1:15">
      <c r="B187" s="59"/>
      <c r="F187" s="64"/>
      <c r="K187" s="59"/>
    </row>
    <row r="188" spans="1:15">
      <c r="A188" s="55">
        <v>1</v>
      </c>
      <c r="B188" s="65">
        <v>283.89999999999998</v>
      </c>
      <c r="C188" s="53">
        <f>D2</f>
        <v>7.0245000000000002E-2</v>
      </c>
      <c r="D188" s="53">
        <f>3*E188</f>
        <v>3.0820899729256267E-5</v>
      </c>
      <c r="E188" s="54">
        <f t="shared" ref="E188:E251" si="27">(24*C188*(0.5)*1)/1000*EXP(43.33-112700/8.314/B188)+(24*C188*(0.5)*0.01)/1000*EXP(43.33-112700/8.314/B188)</f>
        <v>1.0273633243085423E-5</v>
      </c>
      <c r="G188" s="53">
        <f t="shared" ref="G188" si="28">$H$2*A188</f>
        <v>4.1255E-2</v>
      </c>
      <c r="H188" s="53">
        <f>3*I188</f>
        <v>1.8915297035399952E-6</v>
      </c>
      <c r="I188" s="54">
        <f t="shared" si="21"/>
        <v>6.3050990117999838E-7</v>
      </c>
      <c r="K188" s="65">
        <v>283.89999999999998</v>
      </c>
      <c r="L188" s="53">
        <f>$M$2</f>
        <v>0.1115</v>
      </c>
      <c r="M188" s="53">
        <f>N188*3</f>
        <v>4.8922063062311534E-5</v>
      </c>
      <c r="N188" s="53">
        <f>(24*L188*(0.5)*1)/1000*EXP(43.33-112700/8.314/K188)+(24*L188*(0.5)*0.01)/1000*EXP(43.33-112700/8.314/K188)</f>
        <v>1.6307354354103845E-5</v>
      </c>
    </row>
    <row r="189" spans="1:15">
      <c r="A189" s="55">
        <v>2</v>
      </c>
      <c r="B189" s="59">
        <v>283.61111111111109</v>
      </c>
      <c r="C189" s="53">
        <f>$D$2*A189-D188</f>
        <v>0.14045917910027075</v>
      </c>
      <c r="D189" s="53">
        <f>D188+3*E189</f>
        <v>8.9523556938861149E-5</v>
      </c>
      <c r="E189" s="54">
        <f t="shared" si="27"/>
        <v>1.9567552403201626E-5</v>
      </c>
      <c r="G189" s="53">
        <f>$H$2*A189-H188</f>
        <v>8.2508108470296465E-2</v>
      </c>
      <c r="H189" s="53">
        <f t="shared" ref="H189:H252" si="29">H188+3*I189</f>
        <v>5.5589441680713782E-6</v>
      </c>
      <c r="I189" s="54">
        <f t="shared" si="21"/>
        <v>1.2224714881771278E-6</v>
      </c>
      <c r="K189" s="59">
        <v>283.61111111111109</v>
      </c>
      <c r="L189" s="53">
        <f t="shared" ref="L189:L252" si="30">$M$2*A189-M188</f>
        <v>0.22295107793693769</v>
      </c>
      <c r="M189" s="53">
        <f t="shared" ref="M189" si="31">M188+N189*3</f>
        <v>1.4210088402993827E-4</v>
      </c>
      <c r="N189" s="53">
        <f>(24*L189*(0.5)*1)/1000*EXP(43.33-112700/8.314/K189)+(24*L189*(0.5)*0.01)/1000*EXP(43.33-112700/8.314/K189)</f>
        <v>3.1059606989208918E-5</v>
      </c>
    </row>
    <row r="190" spans="1:15">
      <c r="A190" s="55">
        <v>3</v>
      </c>
      <c r="B190" s="59">
        <v>283.66666666666669</v>
      </c>
      <c r="C190" s="53">
        <f t="shared" ref="C190:C253" si="32">$D$2*A190-D189</f>
        <v>0.21064547644306114</v>
      </c>
      <c r="D190" s="53">
        <f>D189+3*E190</f>
        <v>1.7838739899048059E-4</v>
      </c>
      <c r="E190" s="54">
        <f t="shared" si="27"/>
        <v>2.9621280683873144E-5</v>
      </c>
      <c r="G190" s="53">
        <f t="shared" ref="G190:G253" si="33">$H$2*A190-H189</f>
        <v>0.12375944105583193</v>
      </c>
      <c r="H190" s="53">
        <f t="shared" si="29"/>
        <v>1.1093278257737788E-5</v>
      </c>
      <c r="I190" s="54">
        <f t="shared" si="21"/>
        <v>1.8447780298888037E-6</v>
      </c>
      <c r="K190" s="59">
        <v>283.66666666666669</v>
      </c>
      <c r="L190" s="53">
        <f t="shared" si="30"/>
        <v>0.33435789911597008</v>
      </c>
      <c r="M190" s="53">
        <f>M189+3*N190</f>
        <v>2.8315460157219135E-4</v>
      </c>
      <c r="N190" s="53">
        <f>(24*L190*(0.5)*1)/1000*EXP(43.33-112700/8.314/K190)+(24*L190*(0.5)*0.01)/1000*EXP(43.33-112700/8.314/K190)</f>
        <v>4.70179058474177E-5</v>
      </c>
    </row>
    <row r="191" spans="1:15">
      <c r="A191" s="55">
        <v>4</v>
      </c>
      <c r="B191" s="59">
        <v>284.78888888888889</v>
      </c>
      <c r="C191" s="53">
        <f t="shared" si="32"/>
        <v>0.28080161260100955</v>
      </c>
      <c r="D191" s="53">
        <f t="shared" ref="D191:D254" si="34">D190+3*E191</f>
        <v>3.2139274937242733E-4</v>
      </c>
      <c r="E191" s="54">
        <f t="shared" si="27"/>
        <v>4.766845012731558E-5</v>
      </c>
      <c r="G191" s="53">
        <f t="shared" si="33"/>
        <v>0.16500890672174226</v>
      </c>
      <c r="H191" s="53">
        <f t="shared" si="29"/>
        <v>1.9369984431311856E-5</v>
      </c>
      <c r="I191" s="54">
        <f t="shared" si="21"/>
        <v>2.7589020578580225E-6</v>
      </c>
      <c r="K191" s="59">
        <v>284.78888888888889</v>
      </c>
      <c r="L191" s="53">
        <f t="shared" si="30"/>
        <v>0.44571684539842782</v>
      </c>
      <c r="M191" s="53">
        <f t="shared" ref="M191:M254" si="35">M190+3*N191</f>
        <v>5.1014722122607508E-4</v>
      </c>
      <c r="N191" s="53">
        <f t="shared" ref="N191:N254" si="36">(24*L191*(0.5)*1)/1000*EXP(43.33-112700/8.314/K191)+(24*L191*(0.5)*0.01)/1000*EXP(43.33-112700/8.314/K191)</f>
        <v>7.5664206551294568E-5</v>
      </c>
    </row>
    <row r="192" spans="1:15">
      <c r="A192" s="55">
        <v>5</v>
      </c>
      <c r="B192" s="59">
        <v>286.27777777777777</v>
      </c>
      <c r="C192" s="53">
        <f t="shared" si="32"/>
        <v>0.35090360725062758</v>
      </c>
      <c r="D192" s="53">
        <f t="shared" si="34"/>
        <v>5.5029536651090747E-4</v>
      </c>
      <c r="E192" s="54">
        <f t="shared" si="27"/>
        <v>7.6300872379493363E-5</v>
      </c>
      <c r="G192" s="53">
        <f t="shared" si="33"/>
        <v>0.20625563001556868</v>
      </c>
      <c r="H192" s="53">
        <f t="shared" si="29"/>
        <v>3.1204408592304943E-5</v>
      </c>
      <c r="I192" s="54">
        <f t="shared" si="21"/>
        <v>3.944808053664362E-6</v>
      </c>
      <c r="K192" s="59">
        <v>286.27777777777777</v>
      </c>
      <c r="L192" s="53">
        <f t="shared" si="30"/>
        <v>0.55698985277877389</v>
      </c>
      <c r="M192" s="53">
        <f t="shared" si="35"/>
        <v>8.7348470874747206E-4</v>
      </c>
      <c r="N192" s="53">
        <f t="shared" si="36"/>
        <v>1.2111249584046564E-4</v>
      </c>
    </row>
    <row r="193" spans="1:14">
      <c r="A193" s="55">
        <v>6</v>
      </c>
      <c r="B193" s="59">
        <v>288.27777777777777</v>
      </c>
      <c r="C193" s="53">
        <f t="shared" si="32"/>
        <v>0.4209197046334891</v>
      </c>
      <c r="D193" s="53">
        <f t="shared" si="34"/>
        <v>9.3165182957907788E-4</v>
      </c>
      <c r="E193" s="54">
        <f t="shared" si="27"/>
        <v>1.2711882102272345E-4</v>
      </c>
      <c r="G193" s="53">
        <f t="shared" si="33"/>
        <v>0.24749879559140769</v>
      </c>
      <c r="H193" s="53">
        <f t="shared" si="29"/>
        <v>4.7805068558164334E-5</v>
      </c>
      <c r="I193" s="54">
        <f t="shared" si="21"/>
        <v>5.5335533219531317E-6</v>
      </c>
      <c r="K193" s="59">
        <v>288.27777777777777</v>
      </c>
      <c r="L193" s="53">
        <f t="shared" si="30"/>
        <v>0.66812651529125255</v>
      </c>
      <c r="M193" s="53">
        <f t="shared" si="35"/>
        <v>1.4788124279032982E-3</v>
      </c>
      <c r="N193" s="53">
        <f t="shared" si="36"/>
        <v>2.0177590638527536E-4</v>
      </c>
    </row>
    <row r="194" spans="1:14">
      <c r="A194" s="55">
        <v>7</v>
      </c>
      <c r="B194" s="59">
        <v>288.76666666666665</v>
      </c>
      <c r="C194" s="53">
        <f t="shared" si="32"/>
        <v>0.49078334817042091</v>
      </c>
      <c r="D194" s="53">
        <f t="shared" si="34"/>
        <v>1.4131511900644083E-3</v>
      </c>
      <c r="E194" s="54">
        <f t="shared" si="27"/>
        <v>1.6049978682844347E-4</v>
      </c>
      <c r="G194" s="53">
        <f t="shared" si="33"/>
        <v>0.28873719493144184</v>
      </c>
      <c r="H194" s="53">
        <f t="shared" si="29"/>
        <v>6.7856103139366306E-5</v>
      </c>
      <c r="I194" s="54">
        <f t="shared" si="21"/>
        <v>6.6836781937339914E-6</v>
      </c>
      <c r="K194" s="59">
        <v>288.76666666666665</v>
      </c>
      <c r="L194" s="53">
        <f t="shared" si="30"/>
        <v>0.77902118757209671</v>
      </c>
      <c r="M194" s="53">
        <f t="shared" si="35"/>
        <v>2.2430971270863626E-3</v>
      </c>
      <c r="N194" s="53">
        <f t="shared" si="36"/>
        <v>2.547615663943547E-4</v>
      </c>
    </row>
    <row r="195" spans="1:14">
      <c r="A195" s="55">
        <v>8</v>
      </c>
      <c r="B195" s="59">
        <v>288.80555555555554</v>
      </c>
      <c r="C195" s="53">
        <f t="shared" si="32"/>
        <v>0.56054684880993566</v>
      </c>
      <c r="D195" s="53">
        <f t="shared" si="34"/>
        <v>1.966581566728659E-3</v>
      </c>
      <c r="E195" s="54">
        <f t="shared" si="27"/>
        <v>1.8447679222141685E-4</v>
      </c>
      <c r="G195" s="53">
        <f t="shared" si="33"/>
        <v>0.32997214389686064</v>
      </c>
      <c r="H195" s="53">
        <f t="shared" si="29"/>
        <v>9.0832865351214365E-5</v>
      </c>
      <c r="I195" s="54">
        <f t="shared" si="21"/>
        <v>7.6589207372826869E-6</v>
      </c>
      <c r="K195" s="59">
        <v>288.80555555555554</v>
      </c>
      <c r="L195" s="53">
        <f t="shared" si="30"/>
        <v>0.88975690287291365</v>
      </c>
      <c r="M195" s="53">
        <f t="shared" si="35"/>
        <v>3.1215580424264425E-3</v>
      </c>
      <c r="N195" s="53">
        <f t="shared" si="36"/>
        <v>2.9282030511336004E-4</v>
      </c>
    </row>
    <row r="196" spans="1:14">
      <c r="A196" s="55">
        <v>9</v>
      </c>
      <c r="B196" s="59">
        <v>286.51666666666665</v>
      </c>
      <c r="C196" s="53">
        <f t="shared" si="32"/>
        <v>0.63023841843327133</v>
      </c>
      <c r="D196" s="53">
        <f t="shared" si="34"/>
        <v>2.3942562620983296E-3</v>
      </c>
      <c r="E196" s="54">
        <f t="shared" si="27"/>
        <v>1.4255823178989022E-4</v>
      </c>
      <c r="G196" s="53">
        <f t="shared" si="33"/>
        <v>0.37120416713464877</v>
      </c>
      <c r="H196" s="53">
        <f t="shared" si="29"/>
        <v>1.1256153216343296E-4</v>
      </c>
      <c r="I196" s="54">
        <f t="shared" si="21"/>
        <v>7.2428889374062003E-6</v>
      </c>
      <c r="K196" s="59">
        <v>286.51666666666665</v>
      </c>
      <c r="L196" s="53">
        <f t="shared" si="30"/>
        <v>1.0003784419575736</v>
      </c>
      <c r="M196" s="53">
        <f t="shared" si="35"/>
        <v>3.8004067652354437E-3</v>
      </c>
      <c r="N196" s="53">
        <f t="shared" si="36"/>
        <v>2.2628290760300036E-4</v>
      </c>
    </row>
    <row r="197" spans="1:14">
      <c r="A197" s="55">
        <v>10</v>
      </c>
      <c r="B197" s="59">
        <v>284.54444444444442</v>
      </c>
      <c r="C197" s="53">
        <f t="shared" si="32"/>
        <v>0.70005574373790169</v>
      </c>
      <c r="D197" s="53">
        <f t="shared" si="34"/>
        <v>2.736493179219748E-3</v>
      </c>
      <c r="E197" s="54">
        <f t="shared" si="27"/>
        <v>1.1407897237380619E-4</v>
      </c>
      <c r="G197" s="53">
        <f t="shared" si="33"/>
        <v>0.41243743846783654</v>
      </c>
      <c r="H197" s="53">
        <f t="shared" si="29"/>
        <v>1.3276026472170354E-4</v>
      </c>
      <c r="I197" s="54">
        <f t="shared" ref="I197:I260" si="37">MAX(G197*0.24*0.67*(0.201*(B197-273)-0.29)/100/100*0.5,0)</f>
        <v>6.7329108527568616E-6</v>
      </c>
      <c r="K197" s="59">
        <v>284.54444444444442</v>
      </c>
      <c r="L197" s="53">
        <f t="shared" si="30"/>
        <v>1.1111995932347645</v>
      </c>
      <c r="M197" s="53">
        <f t="shared" si="35"/>
        <v>4.3436399670154727E-3</v>
      </c>
      <c r="N197" s="53">
        <f t="shared" si="36"/>
        <v>1.8107773392667651E-4</v>
      </c>
    </row>
    <row r="198" spans="1:14">
      <c r="A198" s="55">
        <v>11</v>
      </c>
      <c r="B198" s="59">
        <v>284.57777777777778</v>
      </c>
      <c r="C198" s="53">
        <f t="shared" si="32"/>
        <v>0.76995850682078026</v>
      </c>
      <c r="D198" s="53">
        <f t="shared" si="34"/>
        <v>3.1150098030198171E-3</v>
      </c>
      <c r="E198" s="54">
        <f t="shared" si="27"/>
        <v>1.261722079333564E-4</v>
      </c>
      <c r="G198" s="53">
        <f t="shared" si="33"/>
        <v>0.45367223973527832</v>
      </c>
      <c r="H198" s="53">
        <f t="shared" si="29"/>
        <v>1.5505174783008572E-4</v>
      </c>
      <c r="I198" s="54">
        <f t="shared" si="37"/>
        <v>7.4304943694607271E-6</v>
      </c>
      <c r="K198" s="59">
        <v>284.57777777777778</v>
      </c>
      <c r="L198" s="53">
        <f t="shared" si="30"/>
        <v>1.2221563600329846</v>
      </c>
      <c r="M198" s="53">
        <f t="shared" si="35"/>
        <v>4.9444600047933605E-3</v>
      </c>
      <c r="N198" s="53">
        <f t="shared" si="36"/>
        <v>2.0027334592596254E-4</v>
      </c>
    </row>
    <row r="199" spans="1:14">
      <c r="A199" s="55">
        <v>12</v>
      </c>
      <c r="B199" s="59">
        <v>285.04444444444442</v>
      </c>
      <c r="C199" s="53">
        <f t="shared" si="32"/>
        <v>0.8398249901969802</v>
      </c>
      <c r="D199" s="53">
        <f t="shared" si="34"/>
        <v>3.561358812845208E-3</v>
      </c>
      <c r="E199" s="54">
        <f t="shared" si="27"/>
        <v>1.4878300327513034E-4</v>
      </c>
      <c r="G199" s="53">
        <f t="shared" si="33"/>
        <v>0.49490494825216991</v>
      </c>
      <c r="H199" s="53">
        <f t="shared" si="29"/>
        <v>1.804889277897049E-4</v>
      </c>
      <c r="I199" s="54">
        <f t="shared" si="37"/>
        <v>8.4790599865397287E-6</v>
      </c>
      <c r="K199" s="59">
        <v>285.04444444444442</v>
      </c>
      <c r="L199" s="53">
        <f t="shared" si="30"/>
        <v>1.3330555399952067</v>
      </c>
      <c r="M199" s="53">
        <f t="shared" si="35"/>
        <v>5.6529504965796952E-3</v>
      </c>
      <c r="N199" s="53">
        <f t="shared" si="36"/>
        <v>2.3616349726211168E-4</v>
      </c>
    </row>
    <row r="200" spans="1:14">
      <c r="A200" s="55">
        <v>13</v>
      </c>
      <c r="B200" s="59">
        <v>284.0888888888889</v>
      </c>
      <c r="C200" s="53">
        <f t="shared" si="32"/>
        <v>0.90962364118715477</v>
      </c>
      <c r="D200" s="53">
        <f t="shared" si="34"/>
        <v>3.9733416437929764E-3</v>
      </c>
      <c r="E200" s="54">
        <f t="shared" si="27"/>
        <v>1.3732761031592274E-4</v>
      </c>
      <c r="G200" s="53">
        <f t="shared" si="33"/>
        <v>0.53613451107221033</v>
      </c>
      <c r="H200" s="53">
        <f t="shared" si="29"/>
        <v>2.0556150696640998E-4</v>
      </c>
      <c r="I200" s="54">
        <f t="shared" si="37"/>
        <v>8.3575263922350288E-6</v>
      </c>
      <c r="K200" s="59">
        <v>284.0888888888889</v>
      </c>
      <c r="L200" s="53">
        <f t="shared" si="30"/>
        <v>1.4438470495034204</v>
      </c>
      <c r="M200" s="53">
        <f t="shared" si="35"/>
        <v>6.3068914980840898E-3</v>
      </c>
      <c r="N200" s="53">
        <f t="shared" si="36"/>
        <v>2.1798033383479805E-4</v>
      </c>
    </row>
    <row r="201" spans="1:14">
      <c r="A201" s="55">
        <v>14</v>
      </c>
      <c r="B201" s="59">
        <v>281</v>
      </c>
      <c r="C201" s="53">
        <f t="shared" si="32"/>
        <v>0.9794566583562071</v>
      </c>
      <c r="D201" s="53">
        <f t="shared" si="34"/>
        <v>4.2358903222623305E-3</v>
      </c>
      <c r="E201" s="54">
        <f t="shared" si="27"/>
        <v>8.7516226156451226E-5</v>
      </c>
      <c r="G201" s="53">
        <f t="shared" si="33"/>
        <v>0.57736443849303365</v>
      </c>
      <c r="H201" s="53">
        <f t="shared" si="29"/>
        <v>2.2391601484441368E-4</v>
      </c>
      <c r="I201" s="54">
        <f t="shared" si="37"/>
        <v>6.1181692926679009E-6</v>
      </c>
      <c r="K201" s="59">
        <v>281</v>
      </c>
      <c r="L201" s="53">
        <f t="shared" si="30"/>
        <v>1.5546931085019158</v>
      </c>
      <c r="M201" s="53">
        <f t="shared" si="35"/>
        <v>6.7236354321624295E-3</v>
      </c>
      <c r="N201" s="53">
        <f t="shared" si="36"/>
        <v>1.3891464469277973E-4</v>
      </c>
    </row>
    <row r="202" spans="1:14">
      <c r="A202" s="55">
        <v>15</v>
      </c>
      <c r="B202" s="59">
        <v>280.80555555555554</v>
      </c>
      <c r="C202" s="53">
        <f t="shared" si="32"/>
        <v>1.0494391096777378</v>
      </c>
      <c r="D202" s="53">
        <f t="shared" si="34"/>
        <v>4.5079566039597646E-3</v>
      </c>
      <c r="E202" s="54">
        <f t="shared" si="27"/>
        <v>9.0688760565811228E-5</v>
      </c>
      <c r="G202" s="53">
        <f t="shared" si="33"/>
        <v>0.61860108398515556</v>
      </c>
      <c r="H202" s="53">
        <f t="shared" si="29"/>
        <v>2.429982932246132E-4</v>
      </c>
      <c r="I202" s="54">
        <f t="shared" si="37"/>
        <v>6.3607594600665099E-6</v>
      </c>
      <c r="K202" s="59">
        <v>280.80555555555554</v>
      </c>
      <c r="L202" s="53">
        <f t="shared" si="30"/>
        <v>1.6657763645678376</v>
      </c>
      <c r="M202" s="53">
        <f t="shared" si="35"/>
        <v>7.1554866729520066E-3</v>
      </c>
      <c r="N202" s="53">
        <f t="shared" si="36"/>
        <v>1.4395041359652574E-4</v>
      </c>
    </row>
    <row r="203" spans="1:14">
      <c r="A203" s="55">
        <v>16</v>
      </c>
      <c r="B203" s="59">
        <v>281.95555555555558</v>
      </c>
      <c r="C203" s="53">
        <f t="shared" si="32"/>
        <v>1.1194120433960402</v>
      </c>
      <c r="D203" s="53">
        <f t="shared" si="34"/>
        <v>4.861315501558907E-3</v>
      </c>
      <c r="E203" s="54">
        <f t="shared" si="27"/>
        <v>1.1778629919971408E-4</v>
      </c>
      <c r="G203" s="53">
        <f t="shared" si="33"/>
        <v>0.65983700170677539</v>
      </c>
      <c r="H203" s="53">
        <f t="shared" si="29"/>
        <v>2.6703140964907485E-4</v>
      </c>
      <c r="I203" s="54">
        <f t="shared" si="37"/>
        <v>8.0110388081538748E-6</v>
      </c>
      <c r="K203" s="59">
        <v>281.95555555555558</v>
      </c>
      <c r="L203" s="53">
        <f t="shared" si="30"/>
        <v>1.7768445133270481</v>
      </c>
      <c r="M203" s="53">
        <f t="shared" si="35"/>
        <v>7.7163738119982641E-3</v>
      </c>
      <c r="N203" s="53">
        <f t="shared" si="36"/>
        <v>1.8696237968208586E-4</v>
      </c>
    </row>
    <row r="204" spans="1:14">
      <c r="A204" s="55">
        <v>17</v>
      </c>
      <c r="B204" s="59">
        <v>281.21111111111111</v>
      </c>
      <c r="C204" s="53">
        <f t="shared" si="32"/>
        <v>1.189303684498441</v>
      </c>
      <c r="D204" s="53">
        <f t="shared" si="34"/>
        <v>5.1918716727511419E-3</v>
      </c>
      <c r="E204" s="54">
        <f t="shared" si="27"/>
        <v>1.1018539039741159E-4</v>
      </c>
      <c r="G204" s="53">
        <f t="shared" si="33"/>
        <v>0.70106796859035092</v>
      </c>
      <c r="H204" s="53">
        <f t="shared" si="29"/>
        <v>2.9003600999874556E-4</v>
      </c>
      <c r="I204" s="54">
        <f t="shared" si="37"/>
        <v>7.668200116556901E-6</v>
      </c>
      <c r="K204" s="59">
        <v>281.21111111111111</v>
      </c>
      <c r="L204" s="53">
        <f t="shared" si="30"/>
        <v>1.8877836261880017</v>
      </c>
      <c r="M204" s="53">
        <f t="shared" si="35"/>
        <v>8.2410661472240333E-3</v>
      </c>
      <c r="N204" s="53">
        <f t="shared" si="36"/>
        <v>1.7489744507525649E-4</v>
      </c>
    </row>
    <row r="205" spans="1:14">
      <c r="A205" s="55">
        <v>18</v>
      </c>
      <c r="B205" s="59">
        <v>282.33333333333331</v>
      </c>
      <c r="C205" s="53">
        <f t="shared" si="32"/>
        <v>1.259218128327249</v>
      </c>
      <c r="D205" s="53">
        <f t="shared" si="34"/>
        <v>5.6157730210227869E-3</v>
      </c>
      <c r="E205" s="54">
        <f t="shared" si="27"/>
        <v>1.4130044942388157E-4</v>
      </c>
      <c r="G205" s="53">
        <f t="shared" si="33"/>
        <v>0.7422999639900012</v>
      </c>
      <c r="H205" s="53">
        <f t="shared" si="29"/>
        <v>3.1843219035720748E-4</v>
      </c>
      <c r="I205" s="54">
        <f t="shared" si="37"/>
        <v>9.4653934528206407E-6</v>
      </c>
      <c r="K205" s="59">
        <v>282.33333333333331</v>
      </c>
      <c r="L205" s="53">
        <f t="shared" si="30"/>
        <v>1.998758933852776</v>
      </c>
      <c r="M205" s="53">
        <f t="shared" si="35"/>
        <v>8.9139254301948984E-3</v>
      </c>
      <c r="N205" s="53">
        <f t="shared" si="36"/>
        <v>2.2428642765695483E-4</v>
      </c>
    </row>
    <row r="206" spans="1:14">
      <c r="A206" s="55">
        <v>19</v>
      </c>
      <c r="B206" s="59">
        <v>282.93333333333334</v>
      </c>
      <c r="C206" s="53">
        <f t="shared" si="32"/>
        <v>1.3290392269789773</v>
      </c>
      <c r="D206" s="53">
        <f t="shared" si="34"/>
        <v>6.1111320079178678E-3</v>
      </c>
      <c r="E206" s="54">
        <f t="shared" si="27"/>
        <v>1.6511966229836012E-4</v>
      </c>
      <c r="G206" s="53">
        <f t="shared" si="33"/>
        <v>0.7835265678096428</v>
      </c>
      <c r="H206" s="53">
        <f t="shared" si="29"/>
        <v>3.5068464490505685E-4</v>
      </c>
      <c r="I206" s="54">
        <f t="shared" si="37"/>
        <v>1.0750818182616454E-5</v>
      </c>
      <c r="K206" s="59">
        <v>282.93333333333334</v>
      </c>
      <c r="L206" s="53">
        <f t="shared" si="30"/>
        <v>2.1095860745698052</v>
      </c>
      <c r="M206" s="53">
        <f t="shared" si="35"/>
        <v>9.7002095363775652E-3</v>
      </c>
      <c r="N206" s="53">
        <f t="shared" si="36"/>
        <v>2.6209470206088912E-4</v>
      </c>
    </row>
    <row r="207" spans="1:14">
      <c r="A207" s="55">
        <v>20</v>
      </c>
      <c r="B207" s="59">
        <v>282.73333333333335</v>
      </c>
      <c r="C207" s="53">
        <f t="shared" si="32"/>
        <v>1.3987888679920821</v>
      </c>
      <c r="D207" s="53">
        <f t="shared" si="34"/>
        <v>6.6151149007844167E-3</v>
      </c>
      <c r="E207" s="54">
        <f t="shared" si="27"/>
        <v>1.679942976221829E-4</v>
      </c>
      <c r="G207" s="53">
        <f t="shared" si="33"/>
        <v>0.82474931535509488</v>
      </c>
      <c r="H207" s="53">
        <f t="shared" si="29"/>
        <v>3.8383426259473534E-4</v>
      </c>
      <c r="I207" s="54">
        <f t="shared" si="37"/>
        <v>1.1049872563226173E-5</v>
      </c>
      <c r="K207" s="59">
        <v>282.73333333333335</v>
      </c>
      <c r="L207" s="53">
        <f t="shared" si="30"/>
        <v>2.2202997904636224</v>
      </c>
      <c r="M207" s="53">
        <f t="shared" si="35"/>
        <v>1.0500182382197484E-2</v>
      </c>
      <c r="N207" s="53">
        <f t="shared" si="36"/>
        <v>2.6665761527330621E-4</v>
      </c>
    </row>
    <row r="208" spans="1:14">
      <c r="A208" s="55">
        <v>21</v>
      </c>
      <c r="B208" s="59">
        <v>281.97777777777776</v>
      </c>
      <c r="C208" s="53">
        <f t="shared" si="32"/>
        <v>1.4685298850992154</v>
      </c>
      <c r="D208" s="53">
        <f t="shared" si="34"/>
        <v>7.0804376828832319E-3</v>
      </c>
      <c r="E208" s="54">
        <f t="shared" si="27"/>
        <v>1.5510759403293851E-4</v>
      </c>
      <c r="G208" s="53">
        <f t="shared" si="33"/>
        <v>0.86597116573740529</v>
      </c>
      <c r="H208" s="53">
        <f t="shared" si="29"/>
        <v>4.1546866036743684E-4</v>
      </c>
      <c r="I208" s="54">
        <f t="shared" si="37"/>
        <v>1.0544799257567171E-5</v>
      </c>
      <c r="K208" s="59">
        <v>281.97777777777776</v>
      </c>
      <c r="L208" s="53">
        <f t="shared" si="30"/>
        <v>2.3309998176178026</v>
      </c>
      <c r="M208" s="53">
        <f t="shared" si="35"/>
        <v>1.1238789972830525E-2</v>
      </c>
      <c r="N208" s="53">
        <f t="shared" si="36"/>
        <v>2.4620253021101355E-4</v>
      </c>
    </row>
    <row r="209" spans="1:14">
      <c r="A209" s="55">
        <v>22</v>
      </c>
      <c r="B209" s="59">
        <v>280.71111111111111</v>
      </c>
      <c r="C209" s="53">
        <f t="shared" si="32"/>
        <v>1.5383095623171168</v>
      </c>
      <c r="D209" s="53">
        <f t="shared" si="34"/>
        <v>7.4728183851938794E-3</v>
      </c>
      <c r="E209" s="54">
        <f t="shared" si="27"/>
        <v>1.3079356743688256E-4</v>
      </c>
      <c r="G209" s="53">
        <f t="shared" si="33"/>
        <v>0.90719453133963257</v>
      </c>
      <c r="H209" s="53">
        <f t="shared" si="29"/>
        <v>4.4303793203947947E-4</v>
      </c>
      <c r="I209" s="54">
        <f t="shared" si="37"/>
        <v>9.1897572240142127E-6</v>
      </c>
      <c r="K209" s="59">
        <v>280.71111111111111</v>
      </c>
      <c r="L209" s="53">
        <f t="shared" si="30"/>
        <v>2.4417612100271695</v>
      </c>
      <c r="M209" s="53">
        <f t="shared" si="35"/>
        <v>1.1861616484434729E-2</v>
      </c>
      <c r="N209" s="53">
        <f t="shared" si="36"/>
        <v>2.0760883720140092E-4</v>
      </c>
    </row>
    <row r="210" spans="1:14">
      <c r="A210" s="55">
        <v>23</v>
      </c>
      <c r="B210" s="59">
        <v>281.24444444444447</v>
      </c>
      <c r="C210" s="53">
        <f t="shared" si="32"/>
        <v>1.6081621816148062</v>
      </c>
      <c r="D210" s="53">
        <f t="shared" si="34"/>
        <v>7.9223534183250986E-3</v>
      </c>
      <c r="E210" s="54">
        <f t="shared" si="27"/>
        <v>1.4984501104373945E-4</v>
      </c>
      <c r="G210" s="53">
        <f t="shared" si="33"/>
        <v>0.94842196206796048</v>
      </c>
      <c r="H210" s="53">
        <f t="shared" si="29"/>
        <v>4.7431238903469287E-4</v>
      </c>
      <c r="I210" s="54">
        <f t="shared" si="37"/>
        <v>1.0424818998404465E-5</v>
      </c>
      <c r="K210" s="59">
        <v>281.24444444444447</v>
      </c>
      <c r="L210" s="53">
        <f t="shared" si="30"/>
        <v>2.5526383835155655</v>
      </c>
      <c r="M210" s="53">
        <f t="shared" si="35"/>
        <v>1.2575164156071583E-2</v>
      </c>
      <c r="N210" s="53">
        <f t="shared" si="36"/>
        <v>2.378492238789515E-4</v>
      </c>
    </row>
    <row r="211" spans="1:14">
      <c r="A211" s="55">
        <v>24</v>
      </c>
      <c r="B211" s="59">
        <v>281.64444444444445</v>
      </c>
      <c r="C211" s="53">
        <f t="shared" si="32"/>
        <v>1.677957646581675</v>
      </c>
      <c r="D211" s="53">
        <f t="shared" si="34"/>
        <v>8.4246303085366778E-3</v>
      </c>
      <c r="E211" s="54">
        <f t="shared" si="27"/>
        <v>1.6742563007052623E-4</v>
      </c>
      <c r="G211" s="53">
        <f t="shared" si="33"/>
        <v>0.98964568761096527</v>
      </c>
      <c r="H211" s="53">
        <f t="shared" si="29"/>
        <v>5.0886537735336866E-4</v>
      </c>
      <c r="I211" s="54">
        <f t="shared" si="37"/>
        <v>1.1517662772891936E-5</v>
      </c>
      <c r="K211" s="59">
        <v>281.64444444444445</v>
      </c>
      <c r="L211" s="53">
        <f t="shared" si="30"/>
        <v>2.6634248358439288</v>
      </c>
      <c r="M211" s="53">
        <f t="shared" si="35"/>
        <v>1.3372429061169326E-2</v>
      </c>
      <c r="N211" s="53">
        <f t="shared" si="36"/>
        <v>2.6575496836591457E-4</v>
      </c>
    </row>
    <row r="212" spans="1:14">
      <c r="A212" s="55">
        <v>25</v>
      </c>
      <c r="B212" s="59">
        <v>282.31111111111113</v>
      </c>
      <c r="C212" s="53">
        <f t="shared" si="32"/>
        <v>1.7477003696914633</v>
      </c>
      <c r="D212" s="53">
        <f t="shared" si="34"/>
        <v>9.01075427496369E-3</v>
      </c>
      <c r="E212" s="54">
        <f t="shared" si="27"/>
        <v>1.9537465547567063E-4</v>
      </c>
      <c r="G212" s="53">
        <f t="shared" si="33"/>
        <v>1.0308661346226466</v>
      </c>
      <c r="H212" s="53">
        <f t="shared" si="29"/>
        <v>5.4818939895050689E-4</v>
      </c>
      <c r="I212" s="54">
        <f t="shared" si="37"/>
        <v>1.3108007199046068E-5</v>
      </c>
      <c r="K212" s="59">
        <v>282.31111111111113</v>
      </c>
      <c r="L212" s="53">
        <f t="shared" si="30"/>
        <v>2.7741275709388309</v>
      </c>
      <c r="M212" s="53">
        <f t="shared" si="35"/>
        <v>1.4302784563434425E-2</v>
      </c>
      <c r="N212" s="53">
        <f t="shared" si="36"/>
        <v>3.1011850075503272E-4</v>
      </c>
    </row>
    <row r="213" spans="1:14">
      <c r="A213" s="55">
        <v>26</v>
      </c>
      <c r="B213" s="59">
        <v>280.24444444444447</v>
      </c>
      <c r="C213" s="53">
        <f t="shared" si="32"/>
        <v>1.8173592457250363</v>
      </c>
      <c r="D213" s="53">
        <f t="shared" si="34"/>
        <v>9.4384963188155514E-3</v>
      </c>
      <c r="E213" s="54">
        <f t="shared" si="27"/>
        <v>1.4258068128395379E-4</v>
      </c>
      <c r="G213" s="53">
        <f t="shared" si="33"/>
        <v>1.0720818106010495</v>
      </c>
      <c r="H213" s="53">
        <f t="shared" si="29"/>
        <v>5.7834398984040901E-4</v>
      </c>
      <c r="I213" s="54">
        <f t="shared" si="37"/>
        <v>1.0051530296634027E-5</v>
      </c>
      <c r="K213" s="59">
        <v>280.24444444444447</v>
      </c>
      <c r="L213" s="53">
        <f t="shared" si="30"/>
        <v>2.8846972154365655</v>
      </c>
      <c r="M213" s="53">
        <f t="shared" si="35"/>
        <v>1.498174018859611E-2</v>
      </c>
      <c r="N213" s="53">
        <f t="shared" si="36"/>
        <v>2.2631854172056154E-4</v>
      </c>
    </row>
    <row r="214" spans="1:14">
      <c r="A214" s="55">
        <v>27</v>
      </c>
      <c r="B214" s="59">
        <v>278.15555555555557</v>
      </c>
      <c r="C214" s="53">
        <f t="shared" si="32"/>
        <v>1.8871765036811845</v>
      </c>
      <c r="D214" s="53">
        <f t="shared" si="34"/>
        <v>9.7473811767099794E-3</v>
      </c>
      <c r="E214" s="54">
        <f t="shared" si="27"/>
        <v>1.0296161929814263E-4</v>
      </c>
      <c r="G214" s="53">
        <f t="shared" si="33"/>
        <v>1.1133066560101597</v>
      </c>
      <c r="H214" s="53">
        <f t="shared" si="29"/>
        <v>5.9838345620987247E-4</v>
      </c>
      <c r="I214" s="54">
        <f t="shared" si="37"/>
        <v>6.67982212315448E-6</v>
      </c>
      <c r="K214" s="59">
        <v>278.15555555555557</v>
      </c>
      <c r="L214" s="53">
        <f t="shared" si="30"/>
        <v>2.9955182598114036</v>
      </c>
      <c r="M214" s="53">
        <f t="shared" si="35"/>
        <v>1.547203361382536E-2</v>
      </c>
      <c r="N214" s="53">
        <f t="shared" si="36"/>
        <v>1.6343114174308351E-4</v>
      </c>
    </row>
    <row r="215" spans="1:14">
      <c r="A215" s="55">
        <v>28</v>
      </c>
      <c r="B215" s="59">
        <v>276.93333333333334</v>
      </c>
      <c r="C215" s="53">
        <f t="shared" si="32"/>
        <v>1.9571126188232901</v>
      </c>
      <c r="D215" s="53">
        <f t="shared" si="34"/>
        <v>1.0005721160236764E-2</v>
      </c>
      <c r="E215" s="54">
        <f t="shared" si="27"/>
        <v>8.6113327842261321E-5</v>
      </c>
      <c r="G215" s="53">
        <f t="shared" si="33"/>
        <v>1.1545416165437903</v>
      </c>
      <c r="H215" s="53">
        <f t="shared" si="29"/>
        <v>6.1232393663166525E-4</v>
      </c>
      <c r="I215" s="54">
        <f t="shared" si="37"/>
        <v>4.6468268072642519E-6</v>
      </c>
      <c r="K215" s="59">
        <v>276.93333333333334</v>
      </c>
      <c r="L215" s="53">
        <f t="shared" si="30"/>
        <v>3.1065279663861745</v>
      </c>
      <c r="M215" s="53">
        <f t="shared" si="35"/>
        <v>1.5882097079740889E-2</v>
      </c>
      <c r="N215" s="53">
        <f t="shared" si="36"/>
        <v>1.3668782197184335E-4</v>
      </c>
    </row>
    <row r="216" spans="1:14">
      <c r="A216" s="55">
        <v>29</v>
      </c>
      <c r="B216" s="59">
        <v>278.35555555555555</v>
      </c>
      <c r="C216" s="53">
        <f t="shared" si="32"/>
        <v>2.027099278839763</v>
      </c>
      <c r="D216" s="53">
        <f t="shared" si="34"/>
        <v>1.0349331333221029E-2</v>
      </c>
      <c r="E216" s="54">
        <f t="shared" si="27"/>
        <v>1.1453672432808829E-4</v>
      </c>
      <c r="G216" s="53">
        <f t="shared" si="33"/>
        <v>1.1957826760633685</v>
      </c>
      <c r="H216" s="53">
        <f t="shared" si="29"/>
        <v>6.3500742698473266E-4</v>
      </c>
      <c r="I216" s="54">
        <f t="shared" si="37"/>
        <v>7.5611634510224813E-6</v>
      </c>
      <c r="K216" s="59">
        <v>278.35555555555555</v>
      </c>
      <c r="L216" s="53">
        <f t="shared" si="30"/>
        <v>3.2176179029202592</v>
      </c>
      <c r="M216" s="53">
        <f t="shared" si="35"/>
        <v>1.6427510052731787E-2</v>
      </c>
      <c r="N216" s="53">
        <f t="shared" si="36"/>
        <v>1.818043243302989E-4</v>
      </c>
    </row>
    <row r="217" spans="1:14">
      <c r="A217" s="55">
        <v>30</v>
      </c>
      <c r="B217" s="59">
        <v>281.04444444444442</v>
      </c>
      <c r="C217" s="53">
        <f t="shared" si="32"/>
        <v>2.0970006686667793</v>
      </c>
      <c r="D217" s="53">
        <f t="shared" si="34"/>
        <v>1.091574833559409E-2</v>
      </c>
      <c r="E217" s="54">
        <f t="shared" si="27"/>
        <v>1.8880566745768686E-4</v>
      </c>
      <c r="G217" s="53">
        <f t="shared" si="33"/>
        <v>1.2370149925730152</v>
      </c>
      <c r="H217" s="53">
        <f t="shared" si="29"/>
        <v>6.7459887361550719E-4</v>
      </c>
      <c r="I217" s="54">
        <f t="shared" si="37"/>
        <v>1.3197148876924844E-5</v>
      </c>
      <c r="K217" s="59">
        <v>281.04444444444442</v>
      </c>
      <c r="L217" s="53">
        <f t="shared" si="30"/>
        <v>3.3285724899472684</v>
      </c>
      <c r="M217" s="53">
        <f t="shared" si="35"/>
        <v>1.7326584659673152E-2</v>
      </c>
      <c r="N217" s="53">
        <f t="shared" si="36"/>
        <v>2.9969153564712197E-4</v>
      </c>
    </row>
    <row r="218" spans="1:14">
      <c r="A218" s="55">
        <v>31</v>
      </c>
      <c r="B218" s="59">
        <v>279.8</v>
      </c>
      <c r="C218" s="53">
        <f t="shared" si="32"/>
        <v>2.166679251664406</v>
      </c>
      <c r="D218" s="53">
        <f t="shared" si="34"/>
        <v>1.1387993717102567E-2</v>
      </c>
      <c r="E218" s="54">
        <f t="shared" si="27"/>
        <v>1.5741512716949257E-4</v>
      </c>
      <c r="G218" s="53">
        <f t="shared" si="33"/>
        <v>1.2782304011263845</v>
      </c>
      <c r="H218" s="53">
        <f t="shared" si="29"/>
        <v>7.0779760533740859E-4</v>
      </c>
      <c r="I218" s="54">
        <f t="shared" si="37"/>
        <v>1.106624390730047E-5</v>
      </c>
      <c r="K218" s="59">
        <v>279.8</v>
      </c>
      <c r="L218" s="53">
        <f t="shared" si="30"/>
        <v>3.4391734153403268</v>
      </c>
      <c r="M218" s="53">
        <f t="shared" si="35"/>
        <v>1.8076180503337404E-2</v>
      </c>
      <c r="N218" s="53">
        <f t="shared" si="36"/>
        <v>2.4986528122141675E-4</v>
      </c>
    </row>
    <row r="219" spans="1:14">
      <c r="A219" s="55">
        <v>32</v>
      </c>
      <c r="B219" s="62">
        <v>278.0888888888889</v>
      </c>
      <c r="C219" s="53">
        <f t="shared" si="32"/>
        <v>2.2364520062828976</v>
      </c>
      <c r="D219" s="53">
        <f t="shared" si="34"/>
        <v>1.1749794793752811E-2</v>
      </c>
      <c r="E219" s="54">
        <f t="shared" si="27"/>
        <v>1.2060035888341466E-4</v>
      </c>
      <c r="G219" s="53">
        <f t="shared" si="33"/>
        <v>1.3194522023946627</v>
      </c>
      <c r="H219" s="53">
        <f t="shared" si="29"/>
        <v>7.311212241393753E-4</v>
      </c>
      <c r="I219" s="54">
        <f t="shared" si="37"/>
        <v>7.7745396006555759E-6</v>
      </c>
      <c r="K219" s="62">
        <v>278.0888888888889</v>
      </c>
      <c r="L219" s="53">
        <f t="shared" si="30"/>
        <v>3.5499238194966627</v>
      </c>
      <c r="M219" s="53">
        <f t="shared" si="35"/>
        <v>1.8650467926591759E-2</v>
      </c>
      <c r="N219" s="53">
        <f t="shared" si="36"/>
        <v>1.9142914108478514E-4</v>
      </c>
    </row>
    <row r="220" spans="1:14">
      <c r="A220" s="55">
        <v>33</v>
      </c>
      <c r="B220" s="59">
        <v>279.49444444444447</v>
      </c>
      <c r="C220" s="53">
        <f t="shared" si="32"/>
        <v>2.3063352052062474</v>
      </c>
      <c r="D220" s="53">
        <f t="shared" si="34"/>
        <v>1.2226547780389384E-2</v>
      </c>
      <c r="E220" s="54">
        <f t="shared" si="27"/>
        <v>1.5891766221219099E-4</v>
      </c>
      <c r="G220" s="53">
        <f t="shared" si="33"/>
        <v>1.3606838787758606</v>
      </c>
      <c r="H220" s="53">
        <f t="shared" si="29"/>
        <v>7.6444579560593345E-4</v>
      </c>
      <c r="I220" s="54">
        <f t="shared" si="37"/>
        <v>1.1108190488852728E-5</v>
      </c>
      <c r="K220" s="59">
        <v>279.49444444444447</v>
      </c>
      <c r="L220" s="53">
        <f t="shared" si="30"/>
        <v>3.6608495320734082</v>
      </c>
      <c r="M220" s="53">
        <f t="shared" si="35"/>
        <v>1.9407218699030764E-2</v>
      </c>
      <c r="N220" s="53">
        <f t="shared" si="36"/>
        <v>2.5225025747966826E-4</v>
      </c>
    </row>
    <row r="221" spans="1:14">
      <c r="A221" s="55">
        <v>34</v>
      </c>
      <c r="B221" s="59">
        <v>279.19444444444446</v>
      </c>
      <c r="C221" s="53">
        <f t="shared" si="32"/>
        <v>2.3761034522196103</v>
      </c>
      <c r="D221" s="53">
        <f t="shared" si="34"/>
        <v>1.2692781280495941E-2</v>
      </c>
      <c r="E221" s="54">
        <f t="shared" si="27"/>
        <v>1.5541116670218536E-4</v>
      </c>
      <c r="G221" s="53">
        <f t="shared" si="33"/>
        <v>1.4019055542043941</v>
      </c>
      <c r="H221" s="53">
        <f t="shared" si="29"/>
        <v>7.96740947114974E-4</v>
      </c>
      <c r="I221" s="54">
        <f t="shared" si="37"/>
        <v>1.0765050503013524E-5</v>
      </c>
      <c r="K221" s="59">
        <v>279.19444444444446</v>
      </c>
      <c r="L221" s="53">
        <f t="shared" si="30"/>
        <v>3.7715927813009693</v>
      </c>
      <c r="M221" s="53">
        <f t="shared" si="35"/>
        <v>2.0147271873803076E-2</v>
      </c>
      <c r="N221" s="53">
        <f t="shared" si="36"/>
        <v>2.4668439159077044E-4</v>
      </c>
    </row>
    <row r="222" spans="1:14">
      <c r="A222" s="55">
        <v>35</v>
      </c>
      <c r="B222" s="59">
        <v>279.38888888888891</v>
      </c>
      <c r="C222" s="53">
        <f t="shared" si="32"/>
        <v>2.4458822187195044</v>
      </c>
      <c r="D222" s="53">
        <f t="shared" si="34"/>
        <v>1.318920058411162E-2</v>
      </c>
      <c r="E222" s="54">
        <f t="shared" si="27"/>
        <v>1.6547310120522665E-4</v>
      </c>
      <c r="G222" s="53">
        <f t="shared" si="33"/>
        <v>1.4431282590528849</v>
      </c>
      <c r="H222" s="53">
        <f t="shared" si="29"/>
        <v>8.3134615257728106E-4</v>
      </c>
      <c r="I222" s="54">
        <f t="shared" si="37"/>
        <v>1.1535068487435675E-5</v>
      </c>
      <c r="K222" s="59">
        <v>279.38888888888891</v>
      </c>
      <c r="L222" s="53">
        <f t="shared" si="30"/>
        <v>3.8823527281261967</v>
      </c>
      <c r="M222" s="53">
        <f t="shared" si="35"/>
        <v>2.0935239022399393E-2</v>
      </c>
      <c r="N222" s="53">
        <f t="shared" si="36"/>
        <v>2.6265571619877236E-4</v>
      </c>
    </row>
    <row r="223" spans="1:14">
      <c r="A223" s="55">
        <v>36</v>
      </c>
      <c r="B223" s="59">
        <v>278.73888888888888</v>
      </c>
      <c r="C223" s="53">
        <f t="shared" si="32"/>
        <v>2.5156307994158884</v>
      </c>
      <c r="D223" s="53">
        <f t="shared" si="34"/>
        <v>1.3645157125689851E-2</v>
      </c>
      <c r="E223" s="54">
        <f t="shared" si="27"/>
        <v>1.5198551385941036E-4</v>
      </c>
      <c r="G223" s="53">
        <f t="shared" si="33"/>
        <v>1.4843486538474226</v>
      </c>
      <c r="H223" s="53">
        <f t="shared" si="29"/>
        <v>8.6226219899528545E-4</v>
      </c>
      <c r="I223" s="54">
        <f t="shared" si="37"/>
        <v>1.0305348806001481E-5</v>
      </c>
      <c r="K223" s="59">
        <v>278.73888888888888</v>
      </c>
      <c r="L223" s="53">
        <f t="shared" si="30"/>
        <v>3.9930647609776009</v>
      </c>
      <c r="M223" s="53">
        <f t="shared" si="35"/>
        <v>2.1658979564587059E-2</v>
      </c>
      <c r="N223" s="53">
        <f t="shared" si="36"/>
        <v>2.4124684739588949E-4</v>
      </c>
    </row>
    <row r="224" spans="1:14">
      <c r="A224" s="55">
        <v>37</v>
      </c>
      <c r="B224" s="59">
        <v>279.10555555555555</v>
      </c>
      <c r="C224" s="53">
        <f t="shared" si="32"/>
        <v>2.5854198428743103</v>
      </c>
      <c r="D224" s="53">
        <f t="shared" si="34"/>
        <v>1.4144678217204842E-2</v>
      </c>
      <c r="E224" s="54">
        <f t="shared" si="27"/>
        <v>1.6650703050499681E-4</v>
      </c>
      <c r="G224" s="53">
        <f t="shared" si="33"/>
        <v>1.5255727378010047</v>
      </c>
      <c r="H224" s="53">
        <f t="shared" si="29"/>
        <v>8.9674878676472048E-4</v>
      </c>
      <c r="I224" s="54">
        <f t="shared" si="37"/>
        <v>1.1495529256478357E-5</v>
      </c>
      <c r="K224" s="59">
        <v>279.10555555555555</v>
      </c>
      <c r="L224" s="53">
        <f t="shared" si="30"/>
        <v>4.1038410204354125</v>
      </c>
      <c r="M224" s="53">
        <f t="shared" si="35"/>
        <v>2.2451870186039426E-2</v>
      </c>
      <c r="N224" s="53">
        <f t="shared" si="36"/>
        <v>2.6429687381745521E-4</v>
      </c>
    </row>
    <row r="225" spans="1:14">
      <c r="A225" s="55">
        <v>38</v>
      </c>
      <c r="B225" s="59">
        <v>279.04444444444442</v>
      </c>
      <c r="C225" s="53">
        <f t="shared" si="32"/>
        <v>2.6551653217827953</v>
      </c>
      <c r="D225" s="53">
        <f t="shared" si="34"/>
        <v>1.4652247131503773E-2</v>
      </c>
      <c r="E225" s="54">
        <f t="shared" si="27"/>
        <v>1.6918963809964396E-4</v>
      </c>
      <c r="G225" s="53">
        <f t="shared" si="33"/>
        <v>1.5667932512132352</v>
      </c>
      <c r="H225" s="53">
        <f t="shared" si="29"/>
        <v>9.3170299158899089E-4</v>
      </c>
      <c r="I225" s="54">
        <f t="shared" si="37"/>
        <v>1.1651401608090122E-5</v>
      </c>
      <c r="K225" s="59">
        <v>279.04444444444442</v>
      </c>
      <c r="L225" s="53">
        <f t="shared" si="30"/>
        <v>4.2145481298139611</v>
      </c>
      <c r="M225" s="53">
        <f t="shared" si="35"/>
        <v>2.3257535129371065E-2</v>
      </c>
      <c r="N225" s="53">
        <f t="shared" si="36"/>
        <v>2.6855498111054605E-4</v>
      </c>
    </row>
    <row r="226" spans="1:14">
      <c r="A226" s="55">
        <v>39</v>
      </c>
      <c r="B226" s="59">
        <v>279.37777777777779</v>
      </c>
      <c r="C226" s="53">
        <f t="shared" si="32"/>
        <v>2.7249027528684966</v>
      </c>
      <c r="D226" s="53">
        <f t="shared" si="34"/>
        <v>1.5204230647193435E-2</v>
      </c>
      <c r="E226" s="54">
        <f t="shared" si="27"/>
        <v>1.8399450522988707E-4</v>
      </c>
      <c r="G226" s="53">
        <f t="shared" si="33"/>
        <v>1.6080132970084111</v>
      </c>
      <c r="H226" s="53">
        <f t="shared" si="29"/>
        <v>9.7017540438166161E-4</v>
      </c>
      <c r="I226" s="54">
        <f t="shared" si="37"/>
        <v>1.282413759755689E-5</v>
      </c>
      <c r="K226" s="59">
        <v>279.37777777777779</v>
      </c>
      <c r="L226" s="53">
        <f t="shared" si="30"/>
        <v>4.3252424648706294</v>
      </c>
      <c r="M226" s="53">
        <f t="shared" si="35"/>
        <v>2.4133699439989574E-2</v>
      </c>
      <c r="N226" s="53">
        <f t="shared" si="36"/>
        <v>2.9205477020616993E-4</v>
      </c>
    </row>
    <row r="227" spans="1:14">
      <c r="A227" s="55">
        <v>40</v>
      </c>
      <c r="B227" s="59">
        <v>278.31111111111113</v>
      </c>
      <c r="C227" s="53">
        <f t="shared" si="32"/>
        <v>2.7945957693528065</v>
      </c>
      <c r="D227" s="53">
        <f t="shared" si="34"/>
        <v>1.5674268214468268E-2</v>
      </c>
      <c r="E227" s="54">
        <f t="shared" si="27"/>
        <v>1.5667918909161111E-4</v>
      </c>
      <c r="G227" s="53">
        <f t="shared" si="33"/>
        <v>1.6492298245956183</v>
      </c>
      <c r="H227" s="53">
        <f t="shared" si="29"/>
        <v>1.0011052320320298E-3</v>
      </c>
      <c r="I227" s="54">
        <f t="shared" si="37"/>
        <v>1.0309942550122714E-5</v>
      </c>
      <c r="K227" s="59">
        <v>278.31111111111113</v>
      </c>
      <c r="L227" s="53">
        <f t="shared" si="30"/>
        <v>4.4358663005600105</v>
      </c>
      <c r="M227" s="53">
        <f t="shared" si="35"/>
        <v>2.4879790816616294E-2</v>
      </c>
      <c r="N227" s="53">
        <f t="shared" si="36"/>
        <v>2.4869712554223989E-4</v>
      </c>
    </row>
    <row r="228" spans="1:14">
      <c r="A228" s="55">
        <v>41</v>
      </c>
      <c r="B228" s="59">
        <v>277.37777777777779</v>
      </c>
      <c r="C228" s="53">
        <f t="shared" si="32"/>
        <v>2.8643707317855318</v>
      </c>
      <c r="D228" s="53">
        <f t="shared" si="34"/>
        <v>1.6083215125139935E-2</v>
      </c>
      <c r="E228" s="54">
        <f t="shared" si="27"/>
        <v>1.3631563689055524E-4</v>
      </c>
      <c r="G228" s="53">
        <f t="shared" si="33"/>
        <v>1.6904538947679679</v>
      </c>
      <c r="H228" s="53">
        <f t="shared" si="29"/>
        <v>1.0251590250678312E-3</v>
      </c>
      <c r="I228" s="54">
        <f t="shared" si="37"/>
        <v>8.0179310119337859E-6</v>
      </c>
      <c r="K228" s="59">
        <v>277.37777777777779</v>
      </c>
      <c r="L228" s="53">
        <f t="shared" si="30"/>
        <v>4.5466202091833843</v>
      </c>
      <c r="M228" s="53">
        <f t="shared" si="35"/>
        <v>2.552891289704751E-2</v>
      </c>
      <c r="N228" s="53">
        <f t="shared" si="36"/>
        <v>2.1637402681040516E-4</v>
      </c>
    </row>
    <row r="229" spans="1:14">
      <c r="A229" s="55">
        <v>42</v>
      </c>
      <c r="B229" s="59">
        <v>278.11111111111109</v>
      </c>
      <c r="C229" s="53">
        <f t="shared" si="32"/>
        <v>2.9342067848748599</v>
      </c>
      <c r="D229" s="53">
        <f t="shared" si="34"/>
        <v>1.6559747635518252E-2</v>
      </c>
      <c r="E229" s="54">
        <f t="shared" si="27"/>
        <v>1.5884417012610537E-4</v>
      </c>
      <c r="G229" s="53">
        <f t="shared" si="33"/>
        <v>1.7316848409749321</v>
      </c>
      <c r="H229" s="53">
        <f t="shared" si="29"/>
        <v>1.0559561394884527E-3</v>
      </c>
      <c r="I229" s="54">
        <f t="shared" si="37"/>
        <v>1.0265704806873884E-5</v>
      </c>
      <c r="K229" s="59">
        <v>278.11111111111109</v>
      </c>
      <c r="L229" s="53">
        <f t="shared" si="30"/>
        <v>4.6574710871029525</v>
      </c>
      <c r="M229" s="53">
        <f t="shared" si="35"/>
        <v>2.6285313707171822E-2</v>
      </c>
      <c r="N229" s="53">
        <f t="shared" si="36"/>
        <v>2.5213360337477043E-4</v>
      </c>
    </row>
    <row r="230" spans="1:14">
      <c r="A230" s="55">
        <v>43</v>
      </c>
      <c r="B230" s="59">
        <v>279.22222222222223</v>
      </c>
      <c r="C230" s="53">
        <f t="shared" si="32"/>
        <v>3.0039752523644818</v>
      </c>
      <c r="D230" s="53">
        <f t="shared" si="34"/>
        <v>1.7152034579406783E-2</v>
      </c>
      <c r="E230" s="54">
        <f t="shared" si="27"/>
        <v>1.9742898129617697E-4</v>
      </c>
      <c r="G230" s="53">
        <f t="shared" si="33"/>
        <v>1.7729090438605115</v>
      </c>
      <c r="H230" s="53">
        <f t="shared" si="29"/>
        <v>1.097036711358277E-3</v>
      </c>
      <c r="I230" s="54">
        <f t="shared" si="37"/>
        <v>1.3693523956608082E-5</v>
      </c>
      <c r="K230" s="59">
        <v>279.22222222222223</v>
      </c>
      <c r="L230" s="53">
        <f t="shared" si="30"/>
        <v>4.7682146862928283</v>
      </c>
      <c r="M230" s="53">
        <f t="shared" si="35"/>
        <v>2.7225451713344093E-2</v>
      </c>
      <c r="N230" s="53">
        <f t="shared" si="36"/>
        <v>3.1337933539075707E-4</v>
      </c>
    </row>
    <row r="231" spans="1:14">
      <c r="A231" s="55">
        <v>44</v>
      </c>
      <c r="B231" s="59">
        <v>280.44444444444446</v>
      </c>
      <c r="C231" s="53">
        <f t="shared" si="32"/>
        <v>3.0736279654205934</v>
      </c>
      <c r="D231" s="53">
        <f t="shared" si="34"/>
        <v>1.7900847926434645E-2</v>
      </c>
      <c r="E231" s="54">
        <f t="shared" si="27"/>
        <v>2.4960444900928717E-4</v>
      </c>
      <c r="G231" s="53">
        <f t="shared" si="33"/>
        <v>1.8141229632886418</v>
      </c>
      <c r="H231" s="53">
        <f t="shared" si="29"/>
        <v>1.1498218118315756E-3</v>
      </c>
      <c r="I231" s="54">
        <f t="shared" si="37"/>
        <v>1.7595033491099512E-5</v>
      </c>
      <c r="K231" s="59">
        <v>280.44444444444446</v>
      </c>
      <c r="L231" s="53">
        <f t="shared" si="30"/>
        <v>4.878774548286656</v>
      </c>
      <c r="M231" s="53">
        <f t="shared" si="35"/>
        <v>2.8414044327674033E-2</v>
      </c>
      <c r="N231" s="53">
        <f t="shared" si="36"/>
        <v>3.9619753810997969E-4</v>
      </c>
    </row>
    <row r="232" spans="1:14">
      <c r="A232" s="55">
        <v>45</v>
      </c>
      <c r="B232" s="59">
        <v>278.71111111111111</v>
      </c>
      <c r="C232" s="53">
        <f t="shared" si="32"/>
        <v>3.1431241520735655</v>
      </c>
      <c r="D232" s="53">
        <f t="shared" si="34"/>
        <v>1.8467782736087169E-2</v>
      </c>
      <c r="E232" s="54">
        <f t="shared" si="27"/>
        <v>1.8897826988417414E-4</v>
      </c>
      <c r="G232" s="53">
        <f t="shared" si="33"/>
        <v>1.8553251781881686</v>
      </c>
      <c r="H232" s="53">
        <f t="shared" si="29"/>
        <v>1.1882147088182861E-3</v>
      </c>
      <c r="I232" s="54">
        <f t="shared" si="37"/>
        <v>1.2797632328903488E-5</v>
      </c>
      <c r="K232" s="59">
        <v>278.71111111111111</v>
      </c>
      <c r="L232" s="53">
        <f t="shared" si="30"/>
        <v>4.9890859556723264</v>
      </c>
      <c r="M232" s="53">
        <f t="shared" si="35"/>
        <v>2.9313940850932006E-2</v>
      </c>
      <c r="N232" s="53">
        <f t="shared" si="36"/>
        <v>2.9996550775265732E-4</v>
      </c>
    </row>
    <row r="233" spans="1:14">
      <c r="A233" s="55">
        <v>46</v>
      </c>
      <c r="B233" s="59">
        <v>275.86666666666667</v>
      </c>
      <c r="C233" s="53">
        <f t="shared" si="32"/>
        <v>3.212802217263913</v>
      </c>
      <c r="D233" s="53">
        <f t="shared" si="34"/>
        <v>1.8818747456862944E-2</v>
      </c>
      <c r="E233" s="54">
        <f t="shared" si="27"/>
        <v>1.169882402585911E-4</v>
      </c>
      <c r="G233" s="53">
        <f t="shared" si="33"/>
        <v>1.8965417852911817</v>
      </c>
      <c r="H233" s="53">
        <f t="shared" si="29"/>
        <v>1.2013068098641682E-3</v>
      </c>
      <c r="I233" s="54">
        <f t="shared" si="37"/>
        <v>4.3640336819607282E-6</v>
      </c>
      <c r="K233" s="59">
        <v>275.86666666666667</v>
      </c>
      <c r="L233" s="53">
        <f t="shared" si="30"/>
        <v>5.099686059149068</v>
      </c>
      <c r="M233" s="53">
        <f t="shared" si="35"/>
        <v>2.9871027709306247E-2</v>
      </c>
      <c r="N233" s="53">
        <f t="shared" si="36"/>
        <v>1.8569561945808109E-4</v>
      </c>
    </row>
    <row r="234" spans="1:14">
      <c r="A234" s="55">
        <v>47</v>
      </c>
      <c r="B234" s="59">
        <v>274.57777777777778</v>
      </c>
      <c r="C234" s="53">
        <f t="shared" si="32"/>
        <v>3.2826962525431371</v>
      </c>
      <c r="D234" s="53">
        <f t="shared" si="34"/>
        <v>1.9103480285213369E-2</v>
      </c>
      <c r="E234" s="54">
        <f t="shared" si="27"/>
        <v>9.4910942783474835E-5</v>
      </c>
      <c r="G234" s="53">
        <f t="shared" si="33"/>
        <v>1.9377836931901358</v>
      </c>
      <c r="H234" s="53">
        <f t="shared" si="29"/>
        <v>1.2025750040288788E-3</v>
      </c>
      <c r="I234" s="54">
        <f t="shared" si="37"/>
        <v>4.2273138823683113E-7</v>
      </c>
      <c r="K234" s="59">
        <v>274.57777777777778</v>
      </c>
      <c r="L234" s="53">
        <f t="shared" si="30"/>
        <v>5.210628972290694</v>
      </c>
      <c r="M234" s="53">
        <f t="shared" si="35"/>
        <v>3.0322984579703748E-2</v>
      </c>
      <c r="N234" s="53">
        <f t="shared" si="36"/>
        <v>1.5065229013249976E-4</v>
      </c>
    </row>
    <row r="235" spans="1:14">
      <c r="A235" s="55">
        <v>48</v>
      </c>
      <c r="B235" s="59">
        <v>273.82222222222219</v>
      </c>
      <c r="C235" s="53">
        <f t="shared" si="32"/>
        <v>3.3526565197147868</v>
      </c>
      <c r="D235" s="53">
        <f t="shared" si="34"/>
        <v>1.9357247540402581E-2</v>
      </c>
      <c r="E235" s="54">
        <f t="shared" si="27"/>
        <v>8.4589085063070587E-5</v>
      </c>
      <c r="G235" s="53">
        <f t="shared" si="33"/>
        <v>1.979037424995971</v>
      </c>
      <c r="H235" s="53">
        <f t="shared" si="29"/>
        <v>1.2025750040288788E-3</v>
      </c>
      <c r="I235" s="54">
        <f t="shared" si="37"/>
        <v>0</v>
      </c>
      <c r="K235" s="59">
        <v>273.82222222222219</v>
      </c>
      <c r="L235" s="53">
        <f t="shared" si="30"/>
        <v>5.3216770154202964</v>
      </c>
      <c r="M235" s="53">
        <f t="shared" si="35"/>
        <v>3.0725789746670749E-2</v>
      </c>
      <c r="N235" s="53">
        <f t="shared" si="36"/>
        <v>1.3426838898900092E-4</v>
      </c>
    </row>
    <row r="236" spans="1:14">
      <c r="A236" s="55">
        <v>49</v>
      </c>
      <c r="B236" s="59">
        <v>273.60000000000002</v>
      </c>
      <c r="C236" s="53">
        <f t="shared" si="32"/>
        <v>3.4226477524595973</v>
      </c>
      <c r="D236" s="53">
        <f t="shared" si="34"/>
        <v>1.9606102583897594E-2</v>
      </c>
      <c r="E236" s="54">
        <f t="shared" si="27"/>
        <v>8.2951681165003918E-5</v>
      </c>
      <c r="G236" s="53">
        <f t="shared" si="33"/>
        <v>2.0202924249959708</v>
      </c>
      <c r="H236" s="53">
        <f t="shared" si="29"/>
        <v>1.2025750040288788E-3</v>
      </c>
      <c r="I236" s="54">
        <f t="shared" si="37"/>
        <v>0</v>
      </c>
      <c r="K236" s="59">
        <v>273.60000000000002</v>
      </c>
      <c r="L236" s="53">
        <f t="shared" si="30"/>
        <v>5.4327742102533287</v>
      </c>
      <c r="M236" s="53">
        <f t="shared" si="35"/>
        <v>3.1120797752218387E-2</v>
      </c>
      <c r="N236" s="53">
        <f t="shared" si="36"/>
        <v>1.3166933518254587E-4</v>
      </c>
    </row>
    <row r="237" spans="1:14">
      <c r="A237" s="55">
        <v>50</v>
      </c>
      <c r="B237" s="59">
        <v>276.44444444444446</v>
      </c>
      <c r="C237" s="53">
        <f t="shared" si="32"/>
        <v>3.4926438974161025</v>
      </c>
      <c r="D237" s="53">
        <f t="shared" si="34"/>
        <v>2.002890312586901E-2</v>
      </c>
      <c r="E237" s="54">
        <f t="shared" si="27"/>
        <v>1.4093351399047167E-4</v>
      </c>
      <c r="G237" s="53">
        <f t="shared" si="33"/>
        <v>2.0615474249959709</v>
      </c>
      <c r="H237" s="53">
        <f t="shared" si="29"/>
        <v>1.2225808374743189E-3</v>
      </c>
      <c r="I237" s="54">
        <f t="shared" si="37"/>
        <v>6.6686111484800095E-6</v>
      </c>
      <c r="K237" s="59">
        <v>276.44444444444446</v>
      </c>
      <c r="L237" s="53">
        <f t="shared" si="30"/>
        <v>5.5438792022477816</v>
      </c>
      <c r="M237" s="53">
        <f t="shared" si="35"/>
        <v>3.1791909723601589E-2</v>
      </c>
      <c r="N237" s="53">
        <f t="shared" si="36"/>
        <v>2.2370399046106615E-4</v>
      </c>
    </row>
    <row r="238" spans="1:14">
      <c r="A238" s="55">
        <v>51</v>
      </c>
      <c r="B238" s="59">
        <v>273.73333333333335</v>
      </c>
      <c r="C238" s="53">
        <f t="shared" si="32"/>
        <v>3.5624660968741311</v>
      </c>
      <c r="D238" s="53">
        <f t="shared" si="34"/>
        <v>2.0294251084562211E-2</v>
      </c>
      <c r="E238" s="54">
        <f t="shared" si="27"/>
        <v>8.8449319564399607E-5</v>
      </c>
      <c r="G238" s="53">
        <f t="shared" si="33"/>
        <v>2.1027824191625255</v>
      </c>
      <c r="H238" s="53">
        <f t="shared" si="29"/>
        <v>1.2225808374743189E-3</v>
      </c>
      <c r="I238" s="54">
        <f t="shared" si="37"/>
        <v>0</v>
      </c>
      <c r="K238" s="59">
        <v>273.73333333333335</v>
      </c>
      <c r="L238" s="53">
        <f t="shared" si="30"/>
        <v>5.6547080902763982</v>
      </c>
      <c r="M238" s="53">
        <f t="shared" si="35"/>
        <v>3.2213096959622538E-2</v>
      </c>
      <c r="N238" s="53">
        <f t="shared" si="36"/>
        <v>1.4039574534031686E-4</v>
      </c>
    </row>
    <row r="239" spans="1:14">
      <c r="A239" s="55">
        <v>52</v>
      </c>
      <c r="B239" s="59">
        <v>273.48888888888888</v>
      </c>
      <c r="C239" s="53">
        <f t="shared" si="32"/>
        <v>3.6324457489154378</v>
      </c>
      <c r="D239" s="53">
        <f t="shared" si="34"/>
        <v>2.0553097167626735E-2</v>
      </c>
      <c r="E239" s="54">
        <f t="shared" si="27"/>
        <v>8.6282027688174871E-5</v>
      </c>
      <c r="G239" s="53">
        <f t="shared" si="33"/>
        <v>2.1440374191625255</v>
      </c>
      <c r="H239" s="53">
        <f t="shared" si="29"/>
        <v>1.2225808374743189E-3</v>
      </c>
      <c r="I239" s="54">
        <f t="shared" si="37"/>
        <v>0</v>
      </c>
      <c r="K239" s="59">
        <v>273.48888888888888</v>
      </c>
      <c r="L239" s="53">
        <f t="shared" si="30"/>
        <v>5.7657869030403779</v>
      </c>
      <c r="M239" s="53">
        <f t="shared" si="35"/>
        <v>3.2623963758137656E-2</v>
      </c>
      <c r="N239" s="53">
        <f t="shared" si="36"/>
        <v>1.3695559950503946E-4</v>
      </c>
    </row>
    <row r="240" spans="1:14">
      <c r="A240" s="55">
        <v>53</v>
      </c>
      <c r="B240" s="59">
        <v>274.42222222222222</v>
      </c>
      <c r="C240" s="53">
        <f t="shared" si="32"/>
        <v>3.7024319028323731</v>
      </c>
      <c r="D240" s="53">
        <f t="shared" si="34"/>
        <v>2.0865374518483387E-2</v>
      </c>
      <c r="E240" s="54">
        <f t="shared" si="27"/>
        <v>1.0409245028555054E-4</v>
      </c>
      <c r="G240" s="53">
        <f t="shared" si="33"/>
        <v>2.1852924191625256</v>
      </c>
      <c r="H240" s="53">
        <f t="shared" si="29"/>
        <v>1.2225808374743189E-3</v>
      </c>
      <c r="I240" s="54">
        <f t="shared" si="37"/>
        <v>0</v>
      </c>
      <c r="K240" s="59">
        <v>274.42222222222222</v>
      </c>
      <c r="L240" s="53">
        <f t="shared" si="30"/>
        <v>5.8768760362418631</v>
      </c>
      <c r="M240" s="53">
        <f t="shared" si="35"/>
        <v>3.3119642092830755E-2</v>
      </c>
      <c r="N240" s="53">
        <f t="shared" si="36"/>
        <v>1.6522611156436599E-4</v>
      </c>
    </row>
    <row r="241" spans="1:14">
      <c r="A241" s="55">
        <v>54</v>
      </c>
      <c r="B241" s="59">
        <v>272.84444444444443</v>
      </c>
      <c r="C241" s="53">
        <f t="shared" si="32"/>
        <v>3.7723646254815169</v>
      </c>
      <c r="D241" s="53">
        <f t="shared" si="34"/>
        <v>2.1104493136056862E-2</v>
      </c>
      <c r="E241" s="54">
        <f t="shared" si="27"/>
        <v>7.9706205857825197E-5</v>
      </c>
      <c r="G241" s="53">
        <f t="shared" si="33"/>
        <v>2.2265474191625256</v>
      </c>
      <c r="H241" s="53">
        <f t="shared" si="29"/>
        <v>1.2225808374743189E-3</v>
      </c>
      <c r="I241" s="54">
        <f t="shared" si="37"/>
        <v>0</v>
      </c>
      <c r="K241" s="59">
        <v>272.84444444444443</v>
      </c>
      <c r="L241" s="53">
        <f t="shared" si="30"/>
        <v>5.9878803579071693</v>
      </c>
      <c r="M241" s="53">
        <f t="shared" si="35"/>
        <v>3.3499195454058495E-2</v>
      </c>
      <c r="N241" s="53">
        <f t="shared" si="36"/>
        <v>1.2651778707591303E-4</v>
      </c>
    </row>
    <row r="242" spans="1:14">
      <c r="A242" s="55">
        <v>55</v>
      </c>
      <c r="B242" s="59">
        <v>274.86666666666667</v>
      </c>
      <c r="C242" s="53">
        <f t="shared" si="32"/>
        <v>3.8423705068639435</v>
      </c>
      <c r="D242" s="53">
        <f t="shared" si="34"/>
        <v>2.1455519918901829E-2</v>
      </c>
      <c r="E242" s="54">
        <f t="shared" si="27"/>
        <v>1.1700892761498889E-4</v>
      </c>
      <c r="G242" s="53">
        <f t="shared" si="33"/>
        <v>2.2678024191625257</v>
      </c>
      <c r="H242" s="53">
        <f t="shared" si="29"/>
        <v>1.227241225872956E-3</v>
      </c>
      <c r="I242" s="54">
        <f t="shared" si="37"/>
        <v>1.5534627995457119E-6</v>
      </c>
      <c r="K242" s="59">
        <v>274.86666666666667</v>
      </c>
      <c r="L242" s="53">
        <f t="shared" si="30"/>
        <v>6.0990008045459421</v>
      </c>
      <c r="M242" s="53">
        <f t="shared" si="35"/>
        <v>3.4056380823653677E-2</v>
      </c>
      <c r="N242" s="53">
        <f t="shared" si="36"/>
        <v>1.857284565317284E-4</v>
      </c>
    </row>
    <row r="243" spans="1:14">
      <c r="A243" s="55">
        <v>56</v>
      </c>
      <c r="B243" s="59">
        <v>274.77222222222224</v>
      </c>
      <c r="C243" s="53">
        <f t="shared" si="32"/>
        <v>3.9122644800810984</v>
      </c>
      <c r="D243" s="53">
        <f t="shared" si="34"/>
        <v>2.1806924560036852E-2</v>
      </c>
      <c r="E243" s="54">
        <f t="shared" si="27"/>
        <v>1.1713488037834109E-4</v>
      </c>
      <c r="G243" s="53">
        <f t="shared" si="33"/>
        <v>2.309052758774127</v>
      </c>
      <c r="H243" s="53">
        <f t="shared" si="29"/>
        <v>1.2309291202504213E-3</v>
      </c>
      <c r="I243" s="54">
        <f t="shared" si="37"/>
        <v>1.229298125821754E-6</v>
      </c>
      <c r="K243" s="59">
        <v>274.77222222222224</v>
      </c>
      <c r="L243" s="53">
        <f t="shared" si="30"/>
        <v>6.2099436191763457</v>
      </c>
      <c r="M243" s="53">
        <f t="shared" si="35"/>
        <v>3.4614165968312446E-2</v>
      </c>
      <c r="N243" s="53">
        <f t="shared" si="36"/>
        <v>1.8592838155292231E-4</v>
      </c>
    </row>
    <row r="244" spans="1:14">
      <c r="A244" s="55">
        <v>57</v>
      </c>
      <c r="B244" s="59">
        <v>273.11111111111109</v>
      </c>
      <c r="C244" s="53">
        <f t="shared" si="32"/>
        <v>3.9821580754399633</v>
      </c>
      <c r="D244" s="53">
        <f t="shared" si="34"/>
        <v>2.2071887843347158E-2</v>
      </c>
      <c r="E244" s="54">
        <f t="shared" si="27"/>
        <v>8.832109443676861E-5</v>
      </c>
      <c r="G244" s="53">
        <f t="shared" si="33"/>
        <v>2.3503040708797496</v>
      </c>
      <c r="H244" s="53">
        <f t="shared" si="29"/>
        <v>1.2309291202504213E-3</v>
      </c>
      <c r="I244" s="54">
        <f t="shared" si="37"/>
        <v>0</v>
      </c>
      <c r="K244" s="59">
        <v>273.11111111111109</v>
      </c>
      <c r="L244" s="53">
        <f t="shared" si="30"/>
        <v>6.3208858340316878</v>
      </c>
      <c r="M244" s="53">
        <f t="shared" si="35"/>
        <v>3.5034742608487532E-2</v>
      </c>
      <c r="N244" s="53">
        <f t="shared" si="36"/>
        <v>1.4019221339169619E-4</v>
      </c>
    </row>
    <row r="245" spans="1:14">
      <c r="A245" s="55">
        <v>58</v>
      </c>
      <c r="B245" s="59">
        <v>271.11111111111109</v>
      </c>
      <c r="C245" s="53">
        <f t="shared" si="32"/>
        <v>4.0521381121566531</v>
      </c>
      <c r="D245" s="53">
        <f t="shared" si="34"/>
        <v>2.2258842026426619E-2</v>
      </c>
      <c r="E245" s="54">
        <f t="shared" si="27"/>
        <v>6.2318061026486811E-5</v>
      </c>
      <c r="G245" s="53">
        <f t="shared" si="33"/>
        <v>2.3915590708797496</v>
      </c>
      <c r="H245" s="53">
        <f t="shared" si="29"/>
        <v>1.2309291202504213E-3</v>
      </c>
      <c r="I245" s="54">
        <f t="shared" si="37"/>
        <v>0</v>
      </c>
      <c r="K245" s="59">
        <v>271.11111111111109</v>
      </c>
      <c r="L245" s="53">
        <f t="shared" si="30"/>
        <v>6.4319652573915134</v>
      </c>
      <c r="M245" s="53">
        <f t="shared" si="35"/>
        <v>3.533149528004223E-2</v>
      </c>
      <c r="N245" s="53">
        <f t="shared" si="36"/>
        <v>9.8917557184899702E-5</v>
      </c>
    </row>
    <row r="246" spans="1:14">
      <c r="A246" s="55">
        <v>59</v>
      </c>
      <c r="B246" s="59">
        <v>273.26666666666665</v>
      </c>
      <c r="C246" s="53">
        <f t="shared" si="32"/>
        <v>4.1221961579735735</v>
      </c>
      <c r="D246" s="53">
        <f t="shared" si="34"/>
        <v>2.2540983042782296E-2</v>
      </c>
      <c r="E246" s="54">
        <f t="shared" si="27"/>
        <v>9.4047005451891938E-5</v>
      </c>
      <c r="G246" s="53">
        <f t="shared" si="33"/>
        <v>2.4328140708797492</v>
      </c>
      <c r="H246" s="53">
        <f t="shared" si="29"/>
        <v>1.2309291202504213E-3</v>
      </c>
      <c r="I246" s="54">
        <f t="shared" si="37"/>
        <v>0</v>
      </c>
      <c r="K246" s="59">
        <v>273.26666666666665</v>
      </c>
      <c r="L246" s="53">
        <f t="shared" si="30"/>
        <v>6.5431685047199579</v>
      </c>
      <c r="M246" s="53">
        <f t="shared" si="35"/>
        <v>3.5779338163146476E-2</v>
      </c>
      <c r="N246" s="53">
        <f t="shared" si="36"/>
        <v>1.4928096103474908E-4</v>
      </c>
    </row>
    <row r="247" spans="1:14">
      <c r="A247" s="55">
        <v>60</v>
      </c>
      <c r="B247" s="59">
        <v>272.53333333333336</v>
      </c>
      <c r="C247" s="53">
        <f t="shared" si="32"/>
        <v>4.192159016957218</v>
      </c>
      <c r="D247" s="53">
        <f t="shared" si="34"/>
        <v>2.2792059879813597E-2</v>
      </c>
      <c r="E247" s="54">
        <f t="shared" si="27"/>
        <v>8.3692279010434003E-5</v>
      </c>
      <c r="G247" s="53">
        <f t="shared" si="33"/>
        <v>2.4740690708797493</v>
      </c>
      <c r="H247" s="53">
        <f t="shared" si="29"/>
        <v>1.2309291202504213E-3</v>
      </c>
      <c r="I247" s="54">
        <f t="shared" si="37"/>
        <v>0</v>
      </c>
      <c r="K247" s="59">
        <v>272.53333333333336</v>
      </c>
      <c r="L247" s="53">
        <f t="shared" si="30"/>
        <v>6.6542206618368542</v>
      </c>
      <c r="M247" s="53">
        <f t="shared" si="35"/>
        <v>3.6177872825100925E-2</v>
      </c>
      <c r="N247" s="53">
        <f t="shared" si="36"/>
        <v>1.328448873181492E-4</v>
      </c>
    </row>
    <row r="248" spans="1:14">
      <c r="A248" s="55">
        <v>61</v>
      </c>
      <c r="B248" s="59">
        <v>271.86666666666667</v>
      </c>
      <c r="C248" s="53">
        <f t="shared" si="32"/>
        <v>4.2621529401201865</v>
      </c>
      <c r="D248" s="53">
        <f t="shared" si="34"/>
        <v>2.3018017900431155E-2</v>
      </c>
      <c r="E248" s="54">
        <f t="shared" si="27"/>
        <v>7.5319340205852681E-5</v>
      </c>
      <c r="G248" s="53">
        <f t="shared" si="33"/>
        <v>2.5153240708797493</v>
      </c>
      <c r="H248" s="53">
        <f t="shared" si="29"/>
        <v>1.2309291202504213E-3</v>
      </c>
      <c r="I248" s="54">
        <f t="shared" si="37"/>
        <v>0</v>
      </c>
      <c r="K248" s="59">
        <v>271.86666666666667</v>
      </c>
      <c r="L248" s="53">
        <f t="shared" si="30"/>
        <v>6.7653221271748993</v>
      </c>
      <c r="M248" s="53">
        <f t="shared" si="35"/>
        <v>3.6536536349890701E-2</v>
      </c>
      <c r="N248" s="53">
        <f t="shared" si="36"/>
        <v>1.1955450826325821E-4</v>
      </c>
    </row>
    <row r="249" spans="1:14">
      <c r="A249" s="55">
        <v>62</v>
      </c>
      <c r="B249" s="62">
        <v>270.46666666666664</v>
      </c>
      <c r="C249" s="53">
        <f t="shared" si="32"/>
        <v>4.3321719820995694</v>
      </c>
      <c r="D249" s="53">
        <f t="shared" si="34"/>
        <v>2.3195443830048387E-2</v>
      </c>
      <c r="E249" s="54">
        <f t="shared" si="27"/>
        <v>5.9141976539076967E-5</v>
      </c>
      <c r="G249" s="53">
        <f t="shared" si="33"/>
        <v>2.5565790708797493</v>
      </c>
      <c r="H249" s="53">
        <f t="shared" si="29"/>
        <v>1.2309291202504213E-3</v>
      </c>
      <c r="I249" s="54">
        <f t="shared" si="37"/>
        <v>0</v>
      </c>
      <c r="K249" s="62">
        <v>270.46666666666664</v>
      </c>
      <c r="L249" s="53">
        <f t="shared" si="30"/>
        <v>6.8764634636501096</v>
      </c>
      <c r="M249" s="53">
        <f t="shared" si="35"/>
        <v>3.6818164809600588E-2</v>
      </c>
      <c r="N249" s="53">
        <f t="shared" si="36"/>
        <v>9.3876153236630098E-5</v>
      </c>
    </row>
    <row r="250" spans="1:14">
      <c r="A250" s="55">
        <v>63</v>
      </c>
      <c r="B250" s="59">
        <v>270.5333333333333</v>
      </c>
      <c r="C250" s="53">
        <f t="shared" si="32"/>
        <v>4.4022395561699517</v>
      </c>
      <c r="D250" s="53">
        <f t="shared" si="34"/>
        <v>2.3377979973183111E-2</v>
      </c>
      <c r="E250" s="54">
        <f t="shared" si="27"/>
        <v>6.0845381044907302E-5</v>
      </c>
      <c r="G250" s="53">
        <f t="shared" si="33"/>
        <v>2.5978340708797494</v>
      </c>
      <c r="H250" s="53">
        <f t="shared" si="29"/>
        <v>1.2309291202504213E-3</v>
      </c>
      <c r="I250" s="54">
        <f t="shared" si="37"/>
        <v>0</v>
      </c>
      <c r="K250" s="59">
        <v>270.5333333333333</v>
      </c>
      <c r="L250" s="53">
        <f t="shared" si="30"/>
        <v>6.9876818351903989</v>
      </c>
      <c r="M250" s="53">
        <f t="shared" si="35"/>
        <v>3.7107904719338239E-2</v>
      </c>
      <c r="N250" s="53">
        <f t="shared" si="36"/>
        <v>9.657996991255126E-5</v>
      </c>
    </row>
    <row r="251" spans="1:14">
      <c r="A251" s="55">
        <v>64</v>
      </c>
      <c r="B251" s="59">
        <v>269.57777777777778</v>
      </c>
      <c r="C251" s="53">
        <f t="shared" si="32"/>
        <v>4.4723020200268166</v>
      </c>
      <c r="D251" s="53">
        <f t="shared" si="34"/>
        <v>2.3533244310667414E-2</v>
      </c>
      <c r="E251" s="54">
        <f t="shared" si="27"/>
        <v>5.1754779161433852E-5</v>
      </c>
      <c r="G251" s="53">
        <f t="shared" si="33"/>
        <v>2.6390890708797494</v>
      </c>
      <c r="H251" s="53">
        <f t="shared" si="29"/>
        <v>1.2309291202504213E-3</v>
      </c>
      <c r="I251" s="54">
        <f t="shared" si="37"/>
        <v>0</v>
      </c>
      <c r="K251" s="59">
        <v>269.57777777777778</v>
      </c>
      <c r="L251" s="53">
        <f t="shared" si="30"/>
        <v>7.0988920952806618</v>
      </c>
      <c r="M251" s="53">
        <f t="shared" si="35"/>
        <v>3.73543560486784E-2</v>
      </c>
      <c r="N251" s="53">
        <f t="shared" si="36"/>
        <v>8.2150443113387079E-5</v>
      </c>
    </row>
    <row r="252" spans="1:14">
      <c r="A252" s="55">
        <v>65</v>
      </c>
      <c r="B252" s="59">
        <v>268.2</v>
      </c>
      <c r="C252" s="53">
        <f t="shared" si="32"/>
        <v>4.5423917556893327</v>
      </c>
      <c r="D252" s="53">
        <f t="shared" si="34"/>
        <v>2.3655042336021091E-2</v>
      </c>
      <c r="E252" s="54">
        <f t="shared" ref="E252:E315" si="38">(24*C252*(0.5)*1)/1000*EXP(43.33-112700/8.314/B252)+(24*C252*(0.5)*0.01)/1000*EXP(43.33-112700/8.314/B252)</f>
        <v>4.0599341784558611E-5</v>
      </c>
      <c r="G252" s="53">
        <f t="shared" si="33"/>
        <v>2.6803440708797495</v>
      </c>
      <c r="H252" s="53">
        <f t="shared" si="29"/>
        <v>1.2309291202504213E-3</v>
      </c>
      <c r="I252" s="54">
        <f t="shared" si="37"/>
        <v>0</v>
      </c>
      <c r="K252" s="59">
        <v>268.2</v>
      </c>
      <c r="L252" s="53">
        <f t="shared" si="30"/>
        <v>7.2101456439513223</v>
      </c>
      <c r="M252" s="53">
        <f t="shared" si="35"/>
        <v>3.7547686247652486E-2</v>
      </c>
      <c r="N252" s="53">
        <f t="shared" si="36"/>
        <v>6.4443399658029564E-5</v>
      </c>
    </row>
    <row r="253" spans="1:14">
      <c r="A253" s="55">
        <v>66</v>
      </c>
      <c r="B253" s="59">
        <v>266.02222222222224</v>
      </c>
      <c r="C253" s="53">
        <f t="shared" si="32"/>
        <v>4.6125149576639792</v>
      </c>
      <c r="D253" s="53">
        <f t="shared" si="34"/>
        <v>2.3736813245162181E-2</v>
      </c>
      <c r="E253" s="54">
        <f t="shared" si="38"/>
        <v>2.7256969713697065E-5</v>
      </c>
      <c r="G253" s="53">
        <f t="shared" si="33"/>
        <v>2.7215990708797495</v>
      </c>
      <c r="H253" s="53">
        <f t="shared" ref="H253:H316" si="39">H252+3*I253</f>
        <v>1.2309291202504213E-3</v>
      </c>
      <c r="I253" s="54">
        <f t="shared" si="37"/>
        <v>0</v>
      </c>
      <c r="K253" s="59">
        <v>266.02222222222224</v>
      </c>
      <c r="L253" s="53">
        <f t="shared" ref="L253:L316" si="40">$M$2*A253-M252</f>
        <v>7.3214523137523475</v>
      </c>
      <c r="M253" s="53">
        <f t="shared" si="35"/>
        <v>3.7677481341527236E-2</v>
      </c>
      <c r="N253" s="53">
        <f t="shared" si="36"/>
        <v>4.3265031291582647E-5</v>
      </c>
    </row>
    <row r="254" spans="1:14">
      <c r="A254" s="55">
        <v>67</v>
      </c>
      <c r="B254" s="59">
        <v>265.68888888888887</v>
      </c>
      <c r="C254" s="53">
        <f t="shared" ref="C254:C317" si="41">$D$2*A254-D253</f>
        <v>4.6826781867548375</v>
      </c>
      <c r="D254" s="53">
        <f t="shared" si="34"/>
        <v>2.3814687000880772E-2</v>
      </c>
      <c r="E254" s="54">
        <f t="shared" si="38"/>
        <v>2.5957918572863978E-5</v>
      </c>
      <c r="G254" s="53">
        <f t="shared" ref="G254:G317" si="42">$H$2*A254-H253</f>
        <v>2.7628540708797495</v>
      </c>
      <c r="H254" s="53">
        <f t="shared" si="39"/>
        <v>1.2309291202504213E-3</v>
      </c>
      <c r="I254" s="54">
        <f t="shared" si="37"/>
        <v>0</v>
      </c>
      <c r="K254" s="59">
        <v>265.68888888888887</v>
      </c>
      <c r="L254" s="53">
        <f t="shared" si="40"/>
        <v>7.4328225186584733</v>
      </c>
      <c r="M254" s="53">
        <f t="shared" si="35"/>
        <v>3.7801090477588492E-2</v>
      </c>
      <c r="N254" s="53">
        <f t="shared" si="36"/>
        <v>4.1203045353752355E-5</v>
      </c>
    </row>
    <row r="255" spans="1:14">
      <c r="A255" s="55">
        <v>68</v>
      </c>
      <c r="B255" s="59">
        <v>265.24444444444447</v>
      </c>
      <c r="C255" s="53">
        <f t="shared" si="41"/>
        <v>4.7528453129991188</v>
      </c>
      <c r="D255" s="53">
        <f t="shared" ref="D255:D318" si="43">D254+3*E255</f>
        <v>2.3887251293007929E-2</v>
      </c>
      <c r="E255" s="54">
        <f t="shared" si="38"/>
        <v>2.4188097375718298E-5</v>
      </c>
      <c r="G255" s="53">
        <f t="shared" si="42"/>
        <v>2.8041090708797496</v>
      </c>
      <c r="H255" s="53">
        <f t="shared" si="39"/>
        <v>1.2309291202504213E-3</v>
      </c>
      <c r="I255" s="54">
        <f t="shared" si="37"/>
        <v>0</v>
      </c>
      <c r="K255" s="59">
        <v>265.24444444444447</v>
      </c>
      <c r="L255" s="53">
        <f t="shared" si="40"/>
        <v>7.5441989095224118</v>
      </c>
      <c r="M255" s="53">
        <f t="shared" ref="M255:M318" si="44">M254+3*N255</f>
        <v>3.7916271893663339E-2</v>
      </c>
      <c r="N255" s="53">
        <f t="shared" ref="N255:N318" si="45">(24*L255*(0.5)*1)/1000*EXP(43.33-112700/8.314/K255)+(24*L255*(0.5)*0.01)/1000*EXP(43.33-112700/8.314/K255)</f>
        <v>3.8393805358283016E-5</v>
      </c>
    </row>
    <row r="256" spans="1:14">
      <c r="A256" s="55">
        <v>69</v>
      </c>
      <c r="B256" s="59">
        <v>265.35555555555555</v>
      </c>
      <c r="C256" s="53">
        <f t="shared" si="41"/>
        <v>4.8230177487069925</v>
      </c>
      <c r="D256" s="53">
        <f t="shared" si="43"/>
        <v>2.396247966860323E-2</v>
      </c>
      <c r="E256" s="54">
        <f t="shared" si="38"/>
        <v>2.5076125198434355E-5</v>
      </c>
      <c r="G256" s="53">
        <f t="shared" si="42"/>
        <v>2.8453640708797496</v>
      </c>
      <c r="H256" s="53">
        <f t="shared" si="39"/>
        <v>1.2309291202504213E-3</v>
      </c>
      <c r="I256" s="54">
        <f t="shared" si="37"/>
        <v>0</v>
      </c>
      <c r="K256" s="59">
        <v>265.35555555555555</v>
      </c>
      <c r="L256" s="53">
        <f t="shared" si="40"/>
        <v>7.655583728106337</v>
      </c>
      <c r="M256" s="53">
        <f t="shared" si="44"/>
        <v>3.8035682013655883E-2</v>
      </c>
      <c r="N256" s="53">
        <f t="shared" si="45"/>
        <v>3.9803373330848181E-5</v>
      </c>
    </row>
    <row r="257" spans="1:14">
      <c r="A257" s="55">
        <v>70</v>
      </c>
      <c r="B257" s="59">
        <v>265.13333333333333</v>
      </c>
      <c r="C257" s="53">
        <f t="shared" si="41"/>
        <v>4.8931875203313968</v>
      </c>
      <c r="D257" s="53">
        <f t="shared" si="43"/>
        <v>2.4035603647089929E-2</v>
      </c>
      <c r="E257" s="54">
        <f t="shared" si="38"/>
        <v>2.4374659495566157E-5</v>
      </c>
      <c r="G257" s="53">
        <f t="shared" si="42"/>
        <v>2.8866190708797492</v>
      </c>
      <c r="H257" s="53">
        <f t="shared" si="39"/>
        <v>1.2309291202504213E-3</v>
      </c>
      <c r="I257" s="54">
        <f t="shared" si="37"/>
        <v>0</v>
      </c>
      <c r="K257" s="59">
        <v>265.13333333333333</v>
      </c>
      <c r="L257" s="53">
        <f t="shared" si="40"/>
        <v>7.7669643179863437</v>
      </c>
      <c r="M257" s="53">
        <f t="shared" si="44"/>
        <v>3.8151751820777624E-2</v>
      </c>
      <c r="N257" s="53">
        <f t="shared" si="45"/>
        <v>3.8689935707247865E-5</v>
      </c>
    </row>
    <row r="258" spans="1:14">
      <c r="A258" s="55">
        <v>71</v>
      </c>
      <c r="B258" s="59">
        <v>263.9111111111111</v>
      </c>
      <c r="C258" s="53">
        <f t="shared" si="41"/>
        <v>4.9633593963529101</v>
      </c>
      <c r="D258" s="53">
        <f t="shared" si="43"/>
        <v>2.4094138176045665E-2</v>
      </c>
      <c r="E258" s="54">
        <f t="shared" si="38"/>
        <v>1.9511509651912046E-5</v>
      </c>
      <c r="G258" s="53">
        <f t="shared" si="42"/>
        <v>2.9278740708797493</v>
      </c>
      <c r="H258" s="53">
        <f t="shared" si="39"/>
        <v>1.2309291202504213E-3</v>
      </c>
      <c r="I258" s="54">
        <f t="shared" si="37"/>
        <v>0</v>
      </c>
      <c r="K258" s="59">
        <v>263.9111111111111</v>
      </c>
      <c r="L258" s="53">
        <f t="shared" si="40"/>
        <v>7.8783482481792229</v>
      </c>
      <c r="M258" s="53">
        <f t="shared" si="44"/>
        <v>3.8244663771501014E-2</v>
      </c>
      <c r="N258" s="53">
        <f t="shared" si="45"/>
        <v>3.0970650241130237E-5</v>
      </c>
    </row>
    <row r="259" spans="1:14">
      <c r="A259" s="55">
        <v>72</v>
      </c>
      <c r="B259" s="59">
        <v>267.31111111111113</v>
      </c>
      <c r="C259" s="53">
        <f t="shared" si="41"/>
        <v>5.0335458618239546</v>
      </c>
      <c r="D259" s="53">
        <f t="shared" si="43"/>
        <v>2.4208225814813411E-2</v>
      </c>
      <c r="E259" s="54">
        <f t="shared" si="38"/>
        <v>3.8029212922581596E-5</v>
      </c>
      <c r="G259" s="53">
        <f t="shared" si="42"/>
        <v>2.9691290708797493</v>
      </c>
      <c r="H259" s="53">
        <f t="shared" si="39"/>
        <v>1.2309291202504213E-3</v>
      </c>
      <c r="I259" s="54">
        <f t="shared" si="37"/>
        <v>0</v>
      </c>
      <c r="K259" s="59">
        <v>267.31111111111113</v>
      </c>
      <c r="L259" s="53">
        <f t="shared" si="40"/>
        <v>7.9897553362284999</v>
      </c>
      <c r="M259" s="53">
        <f t="shared" si="44"/>
        <v>3.8425755261608546E-2</v>
      </c>
      <c r="N259" s="53">
        <f t="shared" si="45"/>
        <v>6.0363830035843807E-5</v>
      </c>
    </row>
    <row r="260" spans="1:14">
      <c r="A260" s="55">
        <v>73</v>
      </c>
      <c r="B260" s="59">
        <v>266.15555555555557</v>
      </c>
      <c r="C260" s="53">
        <f t="shared" si="41"/>
        <v>5.1036767741851863</v>
      </c>
      <c r="D260" s="53">
        <f t="shared" si="43"/>
        <v>2.4301043433199773E-2</v>
      </c>
      <c r="E260" s="54">
        <f t="shared" si="38"/>
        <v>3.0939206128787484E-5</v>
      </c>
      <c r="G260" s="53">
        <f t="shared" si="42"/>
        <v>3.0103840708797494</v>
      </c>
      <c r="H260" s="53">
        <f t="shared" si="39"/>
        <v>1.2309291202504213E-3</v>
      </c>
      <c r="I260" s="54">
        <f t="shared" si="37"/>
        <v>0</v>
      </c>
      <c r="K260" s="59">
        <v>266.15555555555557</v>
      </c>
      <c r="L260" s="53">
        <f t="shared" si="40"/>
        <v>8.1010742447383919</v>
      </c>
      <c r="M260" s="53">
        <f t="shared" si="44"/>
        <v>3.8573084814602775E-2</v>
      </c>
      <c r="N260" s="53">
        <f t="shared" si="45"/>
        <v>4.9109850998075366E-5</v>
      </c>
    </row>
    <row r="261" spans="1:14">
      <c r="A261" s="55">
        <v>74</v>
      </c>
      <c r="B261" s="59">
        <v>268.95555555555558</v>
      </c>
      <c r="C261" s="53">
        <f t="shared" si="41"/>
        <v>5.1738289565668003</v>
      </c>
      <c r="D261" s="53">
        <f t="shared" si="43"/>
        <v>2.4460936938046688E-2</v>
      </c>
      <c r="E261" s="54">
        <f t="shared" si="38"/>
        <v>5.3297834948972207E-5</v>
      </c>
      <c r="G261" s="53">
        <f t="shared" si="42"/>
        <v>3.0516390708797494</v>
      </c>
      <c r="H261" s="53">
        <f t="shared" si="39"/>
        <v>1.2309291202504213E-3</v>
      </c>
      <c r="I261" s="54">
        <f t="shared" ref="I261:I324" si="46">MAX(G261*0.24*0.67*(0.201*(B261-273)-0.29)/100/100*0.5,0)</f>
        <v>0</v>
      </c>
      <c r="K261" s="59">
        <v>268.95555555555558</v>
      </c>
      <c r="L261" s="53">
        <f t="shared" si="40"/>
        <v>8.2124269151853966</v>
      </c>
      <c r="M261" s="53">
        <f t="shared" si="44"/>
        <v>3.8826884028645502E-2</v>
      </c>
      <c r="N261" s="53">
        <f t="shared" si="45"/>
        <v>8.4599738014241605E-5</v>
      </c>
    </row>
    <row r="262" spans="1:14">
      <c r="A262" s="55">
        <v>75</v>
      </c>
      <c r="B262" s="59">
        <v>268.13333333333333</v>
      </c>
      <c r="C262" s="53">
        <f t="shared" si="41"/>
        <v>5.2439140630619532</v>
      </c>
      <c r="D262" s="53">
        <f t="shared" si="43"/>
        <v>2.4599789430779465E-2</v>
      </c>
      <c r="E262" s="54">
        <f t="shared" si="38"/>
        <v>4.6284164244258364E-5</v>
      </c>
      <c r="G262" s="53">
        <f t="shared" si="42"/>
        <v>3.0928940708797494</v>
      </c>
      <c r="H262" s="53">
        <f t="shared" si="39"/>
        <v>1.2309291202504213E-3</v>
      </c>
      <c r="I262" s="54">
        <f t="shared" si="46"/>
        <v>0</v>
      </c>
      <c r="K262" s="59">
        <v>268.13333333333333</v>
      </c>
      <c r="L262" s="53">
        <f t="shared" si="40"/>
        <v>8.3236731159713546</v>
      </c>
      <c r="M262" s="53">
        <f t="shared" si="44"/>
        <v>3.9047284810761015E-2</v>
      </c>
      <c r="N262" s="53">
        <f t="shared" si="45"/>
        <v>7.3466927371838682E-5</v>
      </c>
    </row>
    <row r="263" spans="1:14">
      <c r="A263" s="55">
        <v>76</v>
      </c>
      <c r="B263" s="59">
        <v>263.35555555555555</v>
      </c>
      <c r="C263" s="53">
        <f t="shared" si="41"/>
        <v>5.3140202105692209</v>
      </c>
      <c r="D263" s="53">
        <f t="shared" si="43"/>
        <v>2.4656023882416927E-2</v>
      </c>
      <c r="E263" s="54">
        <f t="shared" si="38"/>
        <v>1.8744817212487339E-5</v>
      </c>
      <c r="G263" s="53">
        <f t="shared" si="42"/>
        <v>3.1341490708797495</v>
      </c>
      <c r="H263" s="53">
        <f t="shared" si="39"/>
        <v>1.2309291202504213E-3</v>
      </c>
      <c r="I263" s="54">
        <f t="shared" si="46"/>
        <v>0</v>
      </c>
      <c r="K263" s="59">
        <v>263.35555555555555</v>
      </c>
      <c r="L263" s="53">
        <f t="shared" si="40"/>
        <v>8.4349527151892385</v>
      </c>
      <c r="M263" s="53">
        <f t="shared" si="44"/>
        <v>3.9136545845106195E-2</v>
      </c>
      <c r="N263" s="53">
        <f t="shared" si="45"/>
        <v>2.9753678115059261E-5</v>
      </c>
    </row>
    <row r="264" spans="1:14">
      <c r="A264" s="55">
        <v>77</v>
      </c>
      <c r="B264" s="59">
        <v>262.95555555555558</v>
      </c>
      <c r="C264" s="53">
        <f t="shared" si="41"/>
        <v>5.3842089761175833</v>
      </c>
      <c r="D264" s="53">
        <f t="shared" si="43"/>
        <v>2.4708710086242806E-2</v>
      </c>
      <c r="E264" s="54">
        <f t="shared" si="38"/>
        <v>1.7562067941960193E-5</v>
      </c>
      <c r="G264" s="53">
        <f t="shared" si="42"/>
        <v>3.1754040708797495</v>
      </c>
      <c r="H264" s="53">
        <f t="shared" si="39"/>
        <v>1.2309291202504213E-3</v>
      </c>
      <c r="I264" s="54">
        <f t="shared" si="46"/>
        <v>0</v>
      </c>
      <c r="K264" s="59">
        <v>262.95555555555558</v>
      </c>
      <c r="L264" s="53">
        <f t="shared" si="40"/>
        <v>8.5463634541548927</v>
      </c>
      <c r="M264" s="53">
        <f t="shared" si="44"/>
        <v>3.9220174740067913E-2</v>
      </c>
      <c r="N264" s="53">
        <f t="shared" si="45"/>
        <v>2.7876298320571735E-5</v>
      </c>
    </row>
    <row r="265" spans="1:14">
      <c r="A265" s="55">
        <v>78</v>
      </c>
      <c r="B265" s="59">
        <v>264.9111111111111</v>
      </c>
      <c r="C265" s="53">
        <f t="shared" si="41"/>
        <v>5.4544012899137577</v>
      </c>
      <c r="D265" s="53">
        <f t="shared" si="43"/>
        <v>2.4786798926197583E-2</v>
      </c>
      <c r="E265" s="54">
        <f t="shared" si="38"/>
        <v>2.6029613318258672E-5</v>
      </c>
      <c r="G265" s="53">
        <f t="shared" si="42"/>
        <v>3.2166590708797496</v>
      </c>
      <c r="H265" s="53">
        <f t="shared" si="39"/>
        <v>1.2309291202504213E-3</v>
      </c>
      <c r="I265" s="54">
        <f t="shared" si="46"/>
        <v>0</v>
      </c>
      <c r="K265" s="59">
        <v>264.9111111111111</v>
      </c>
      <c r="L265" s="53">
        <f t="shared" si="40"/>
        <v>8.6577798252599329</v>
      </c>
      <c r="M265" s="53">
        <f t="shared" si="44"/>
        <v>3.934412527967867E-2</v>
      </c>
      <c r="N265" s="53">
        <f t="shared" si="45"/>
        <v>4.1316846536918535E-5</v>
      </c>
    </row>
    <row r="266" spans="1:14">
      <c r="A266" s="55">
        <v>79</v>
      </c>
      <c r="B266" s="59">
        <v>266.82222222222219</v>
      </c>
      <c r="C266" s="53">
        <f t="shared" si="41"/>
        <v>5.5245682010738024</v>
      </c>
      <c r="D266" s="53">
        <f t="shared" si="43"/>
        <v>2.490090545696811E-2</v>
      </c>
      <c r="E266" s="54">
        <f t="shared" si="38"/>
        <v>3.8035510256842839E-5</v>
      </c>
      <c r="G266" s="53">
        <f t="shared" si="42"/>
        <v>3.2579140708797496</v>
      </c>
      <c r="H266" s="53">
        <f t="shared" si="39"/>
        <v>1.2309291202504213E-3</v>
      </c>
      <c r="I266" s="54">
        <f t="shared" si="46"/>
        <v>0</v>
      </c>
      <c r="K266" s="59">
        <v>266.82222222222219</v>
      </c>
      <c r="L266" s="53">
        <f t="shared" si="40"/>
        <v>8.7691558747203224</v>
      </c>
      <c r="M266" s="53">
        <f t="shared" si="44"/>
        <v>3.9525246757092208E-2</v>
      </c>
      <c r="N266" s="53">
        <f t="shared" si="45"/>
        <v>6.0373825804512445E-5</v>
      </c>
    </row>
    <row r="267" spans="1:14">
      <c r="A267" s="55">
        <v>80</v>
      </c>
      <c r="B267" s="59">
        <v>268.84444444444443</v>
      </c>
      <c r="C267" s="53">
        <f t="shared" si="41"/>
        <v>5.5946990945430324</v>
      </c>
      <c r="D267" s="53">
        <f t="shared" si="43"/>
        <v>2.5070241389382367E-2</v>
      </c>
      <c r="E267" s="54">
        <f t="shared" si="38"/>
        <v>5.6445310804752471E-5</v>
      </c>
      <c r="G267" s="53">
        <f t="shared" si="42"/>
        <v>3.2991690708797492</v>
      </c>
      <c r="H267" s="53">
        <f t="shared" si="39"/>
        <v>1.2309291202504213E-3</v>
      </c>
      <c r="I267" s="54">
        <f t="shared" si="46"/>
        <v>0</v>
      </c>
      <c r="K267" s="59">
        <v>268.84444444444443</v>
      </c>
      <c r="L267" s="53">
        <f t="shared" si="40"/>
        <v>8.8804747532429076</v>
      </c>
      <c r="M267" s="53">
        <f t="shared" si="44"/>
        <v>3.9794033951400555E-2</v>
      </c>
      <c r="N267" s="53">
        <f t="shared" si="45"/>
        <v>8.9595731436115003E-5</v>
      </c>
    </row>
    <row r="268" spans="1:14">
      <c r="A268" s="55">
        <v>81</v>
      </c>
      <c r="B268" s="59">
        <v>268.51111111111112</v>
      </c>
      <c r="C268" s="53">
        <f t="shared" si="41"/>
        <v>5.6647747586106174</v>
      </c>
      <c r="D268" s="53">
        <f t="shared" si="43"/>
        <v>2.5231295205540117E-2</v>
      </c>
      <c r="E268" s="54">
        <f t="shared" si="38"/>
        <v>5.3684605385916279E-5</v>
      </c>
      <c r="G268" s="53">
        <f t="shared" si="42"/>
        <v>3.3404240708797492</v>
      </c>
      <c r="H268" s="53">
        <f t="shared" si="39"/>
        <v>1.2309291202504213E-3</v>
      </c>
      <c r="I268" s="54">
        <f t="shared" si="46"/>
        <v>0</v>
      </c>
      <c r="K268" s="59">
        <v>268.51111111111112</v>
      </c>
      <c r="L268" s="53">
        <f t="shared" si="40"/>
        <v>8.991705966048599</v>
      </c>
      <c r="M268" s="53">
        <f t="shared" si="44"/>
        <v>4.0049674929428729E-2</v>
      </c>
      <c r="N268" s="53">
        <f t="shared" si="45"/>
        <v>8.5213659342724257E-5</v>
      </c>
    </row>
    <row r="269" spans="1:14">
      <c r="A269" s="55">
        <v>82</v>
      </c>
      <c r="B269" s="59">
        <v>268.55555555555554</v>
      </c>
      <c r="C269" s="53">
        <f t="shared" si="41"/>
        <v>5.7348587047944601</v>
      </c>
      <c r="D269" s="53">
        <f t="shared" si="43"/>
        <v>2.5395709483796585E-2</v>
      </c>
      <c r="E269" s="54">
        <f t="shared" si="38"/>
        <v>5.4804759418822809E-5</v>
      </c>
      <c r="G269" s="53">
        <f t="shared" si="42"/>
        <v>3.3816790708797493</v>
      </c>
      <c r="H269" s="53">
        <f t="shared" si="39"/>
        <v>1.2309291202504213E-3</v>
      </c>
      <c r="I269" s="54">
        <f t="shared" si="46"/>
        <v>0</v>
      </c>
      <c r="K269" s="59">
        <v>268.55555555555554</v>
      </c>
      <c r="L269" s="53">
        <f t="shared" si="40"/>
        <v>9.1029503250705712</v>
      </c>
      <c r="M269" s="53">
        <f t="shared" si="44"/>
        <v>4.0310649974280265E-2</v>
      </c>
      <c r="N269" s="53">
        <f t="shared" si="45"/>
        <v>8.6991681617179062E-5</v>
      </c>
    </row>
    <row r="270" spans="1:14">
      <c r="A270" s="55">
        <v>83</v>
      </c>
      <c r="B270" s="59">
        <v>267.93333333333334</v>
      </c>
      <c r="C270" s="53">
        <f t="shared" si="41"/>
        <v>5.8049392905162032</v>
      </c>
      <c r="D270" s="53">
        <f t="shared" si="43"/>
        <v>2.5543724870867878E-2</v>
      </c>
      <c r="E270" s="54">
        <f t="shared" si="38"/>
        <v>4.9338462357097976E-5</v>
      </c>
      <c r="G270" s="53">
        <f t="shared" si="42"/>
        <v>3.4229340708797493</v>
      </c>
      <c r="H270" s="53">
        <f t="shared" si="39"/>
        <v>1.2309291202504213E-3</v>
      </c>
      <c r="I270" s="54">
        <f t="shared" si="46"/>
        <v>0</v>
      </c>
      <c r="K270" s="59">
        <v>267.93333333333334</v>
      </c>
      <c r="L270" s="53">
        <f t="shared" si="40"/>
        <v>9.2141893500257197</v>
      </c>
      <c r="M270" s="53">
        <f t="shared" si="44"/>
        <v>4.0545595033123591E-2</v>
      </c>
      <c r="N270" s="53">
        <f t="shared" si="45"/>
        <v>7.8315019614441241E-5</v>
      </c>
    </row>
    <row r="271" spans="1:14">
      <c r="A271" s="55">
        <v>84</v>
      </c>
      <c r="B271" s="59">
        <v>267.28888888888889</v>
      </c>
      <c r="C271" s="53">
        <f t="shared" si="41"/>
        <v>5.8750362751291316</v>
      </c>
      <c r="D271" s="53">
        <f t="shared" si="43"/>
        <v>2.5676325051821883E-2</v>
      </c>
      <c r="E271" s="54">
        <f t="shared" si="38"/>
        <v>4.4200060318001337E-5</v>
      </c>
      <c r="G271" s="53">
        <f t="shared" si="42"/>
        <v>3.4641890708797494</v>
      </c>
      <c r="H271" s="53">
        <f t="shared" si="39"/>
        <v>1.2309291202504213E-3</v>
      </c>
      <c r="I271" s="54">
        <f t="shared" si="46"/>
        <v>0</v>
      </c>
      <c r="K271" s="59">
        <v>267.28888888888889</v>
      </c>
      <c r="L271" s="53">
        <f t="shared" si="40"/>
        <v>9.3254544049668766</v>
      </c>
      <c r="M271" s="53">
        <f t="shared" si="44"/>
        <v>4.0756071510828357E-2</v>
      </c>
      <c r="N271" s="53">
        <f t="shared" si="45"/>
        <v>7.015882590158943E-5</v>
      </c>
    </row>
    <row r="272" spans="1:14">
      <c r="A272" s="55">
        <v>85</v>
      </c>
      <c r="B272" s="59">
        <v>268.73333333333335</v>
      </c>
      <c r="C272" s="53">
        <f t="shared" si="41"/>
        <v>5.9451486749481788</v>
      </c>
      <c r="D272" s="53">
        <f t="shared" si="43"/>
        <v>2.58525556292157E-2</v>
      </c>
      <c r="E272" s="54">
        <f t="shared" si="38"/>
        <v>5.8743525797938951E-5</v>
      </c>
      <c r="G272" s="53">
        <f t="shared" si="42"/>
        <v>3.5054440708797494</v>
      </c>
      <c r="H272" s="53">
        <f t="shared" si="39"/>
        <v>1.2309291202504213E-3</v>
      </c>
      <c r="I272" s="54">
        <f t="shared" si="46"/>
        <v>0</v>
      </c>
      <c r="K272" s="59">
        <v>268.73333333333335</v>
      </c>
      <c r="L272" s="53">
        <f t="shared" si="40"/>
        <v>9.4367439284891734</v>
      </c>
      <c r="M272" s="53">
        <f t="shared" si="44"/>
        <v>4.1035802586056637E-2</v>
      </c>
      <c r="N272" s="53">
        <f t="shared" si="45"/>
        <v>9.3243691742760229E-5</v>
      </c>
    </row>
    <row r="273" spans="1:14">
      <c r="A273" s="55">
        <v>86</v>
      </c>
      <c r="B273" s="59">
        <v>269.15555555555557</v>
      </c>
      <c r="C273" s="53">
        <f t="shared" si="41"/>
        <v>6.0152174443707844</v>
      </c>
      <c r="D273" s="53">
        <f t="shared" si="43"/>
        <v>2.604554559182266E-2</v>
      </c>
      <c r="E273" s="54">
        <f t="shared" si="38"/>
        <v>6.4329987535653187E-5</v>
      </c>
      <c r="G273" s="53">
        <f t="shared" si="42"/>
        <v>3.5466990708797494</v>
      </c>
      <c r="H273" s="53">
        <f t="shared" si="39"/>
        <v>1.2309291202504213E-3</v>
      </c>
      <c r="I273" s="54">
        <f t="shared" si="46"/>
        <v>0</v>
      </c>
      <c r="K273" s="59">
        <v>269.15555555555557</v>
      </c>
      <c r="L273" s="53">
        <f t="shared" si="40"/>
        <v>9.5479641974139433</v>
      </c>
      <c r="M273" s="53">
        <f t="shared" si="44"/>
        <v>4.134213586003594E-2</v>
      </c>
      <c r="N273" s="53">
        <f t="shared" si="45"/>
        <v>1.0211109132643364E-4</v>
      </c>
    </row>
    <row r="274" spans="1:14">
      <c r="A274" s="55">
        <v>87</v>
      </c>
      <c r="B274" s="59">
        <v>270.66666666666669</v>
      </c>
      <c r="C274" s="53">
        <f t="shared" si="41"/>
        <v>6.085269454408178</v>
      </c>
      <c r="D274" s="53">
        <f t="shared" si="43"/>
        <v>2.6304173079359734E-2</v>
      </c>
      <c r="E274" s="54">
        <f t="shared" si="38"/>
        <v>8.6209162512358402E-5</v>
      </c>
      <c r="G274" s="53">
        <f t="shared" si="42"/>
        <v>3.5879540708797495</v>
      </c>
      <c r="H274" s="53">
        <f t="shared" si="39"/>
        <v>1.2309291202504213E-3</v>
      </c>
      <c r="I274" s="54">
        <f t="shared" si="46"/>
        <v>0</v>
      </c>
      <c r="K274" s="59">
        <v>270.66666666666669</v>
      </c>
      <c r="L274" s="53">
        <f t="shared" si="40"/>
        <v>9.6591578641399636</v>
      </c>
      <c r="M274" s="53">
        <f t="shared" si="44"/>
        <v>4.1752655681523358E-2</v>
      </c>
      <c r="N274" s="53">
        <f t="shared" si="45"/>
        <v>1.3683994049580698E-4</v>
      </c>
    </row>
    <row r="275" spans="1:14">
      <c r="A275" s="55">
        <v>88</v>
      </c>
      <c r="B275" s="59">
        <v>270.28888888888889</v>
      </c>
      <c r="C275" s="53">
        <f t="shared" si="41"/>
        <v>6.1552558269206408</v>
      </c>
      <c r="D275" s="53">
        <f t="shared" si="43"/>
        <v>2.6548089540733306E-2</v>
      </c>
      <c r="E275" s="54">
        <f t="shared" si="38"/>
        <v>8.1305487124524401E-5</v>
      </c>
      <c r="G275" s="53">
        <f t="shared" si="42"/>
        <v>3.6292090708797495</v>
      </c>
      <c r="H275" s="53">
        <f t="shared" si="39"/>
        <v>1.2309291202504213E-3</v>
      </c>
      <c r="I275" s="54">
        <f t="shared" si="46"/>
        <v>0</v>
      </c>
      <c r="K275" s="59">
        <v>270.28888888888889</v>
      </c>
      <c r="L275" s="53">
        <f t="shared" si="40"/>
        <v>9.7702473443184754</v>
      </c>
      <c r="M275" s="53">
        <f t="shared" si="44"/>
        <v>4.2139824667830617E-2</v>
      </c>
      <c r="N275" s="53">
        <f t="shared" si="45"/>
        <v>1.2905632876908632E-4</v>
      </c>
    </row>
    <row r="276" spans="1:14">
      <c r="A276" s="55">
        <v>89</v>
      </c>
      <c r="B276" s="59">
        <v>267.44444444444446</v>
      </c>
      <c r="C276" s="53">
        <f t="shared" si="41"/>
        <v>6.225256910459267</v>
      </c>
      <c r="D276" s="53">
        <f t="shared" si="43"/>
        <v>2.6692800504764712E-2</v>
      </c>
      <c r="E276" s="54">
        <f t="shared" si="38"/>
        <v>4.8236988010469144E-5</v>
      </c>
      <c r="G276" s="53">
        <f t="shared" si="42"/>
        <v>3.6704640708797496</v>
      </c>
      <c r="H276" s="53">
        <f t="shared" si="39"/>
        <v>1.2309291202504213E-3</v>
      </c>
      <c r="I276" s="54">
        <f t="shared" si="46"/>
        <v>0</v>
      </c>
      <c r="K276" s="59">
        <v>267.44444444444446</v>
      </c>
      <c r="L276" s="53">
        <f t="shared" si="40"/>
        <v>9.8813601753321691</v>
      </c>
      <c r="M276" s="53">
        <f t="shared" si="44"/>
        <v>4.2369524610737612E-2</v>
      </c>
      <c r="N276" s="53">
        <f t="shared" si="45"/>
        <v>7.6566647635665282E-5</v>
      </c>
    </row>
    <row r="277" spans="1:14">
      <c r="A277" s="55">
        <v>90</v>
      </c>
      <c r="B277" s="59">
        <v>268.28888888888889</v>
      </c>
      <c r="C277" s="53">
        <f t="shared" si="41"/>
        <v>6.2953571994952355</v>
      </c>
      <c r="D277" s="53">
        <f t="shared" si="43"/>
        <v>2.6864452377421084E-2</v>
      </c>
      <c r="E277" s="54">
        <f t="shared" si="38"/>
        <v>5.72172908854577E-5</v>
      </c>
      <c r="G277" s="53">
        <f t="shared" si="42"/>
        <v>3.7117190708797496</v>
      </c>
      <c r="H277" s="53">
        <f t="shared" si="39"/>
        <v>1.2309291202504213E-3</v>
      </c>
      <c r="I277" s="54">
        <f t="shared" si="46"/>
        <v>0</v>
      </c>
      <c r="K277" s="59">
        <v>268.28888888888889</v>
      </c>
      <c r="L277" s="53">
        <f t="shared" si="40"/>
        <v>9.9926304753892623</v>
      </c>
      <c r="M277" s="53">
        <f t="shared" si="44"/>
        <v>4.2641987900668366E-2</v>
      </c>
      <c r="N277" s="53">
        <f t="shared" si="45"/>
        <v>9.0821096643583656E-5</v>
      </c>
    </row>
    <row r="278" spans="1:14">
      <c r="A278" s="55">
        <v>91</v>
      </c>
      <c r="B278" s="59">
        <v>269.37777777777779</v>
      </c>
      <c r="C278" s="53">
        <f t="shared" si="41"/>
        <v>6.3654305476225783</v>
      </c>
      <c r="D278" s="53">
        <f t="shared" si="43"/>
        <v>2.7077342085349614E-2</v>
      </c>
      <c r="E278" s="54">
        <f t="shared" si="38"/>
        <v>7.0963235976176375E-5</v>
      </c>
      <c r="G278" s="53">
        <f t="shared" si="42"/>
        <v>3.7529740708797492</v>
      </c>
      <c r="H278" s="53">
        <f t="shared" si="39"/>
        <v>1.2309291202504213E-3</v>
      </c>
      <c r="I278" s="54">
        <f t="shared" si="46"/>
        <v>0</v>
      </c>
      <c r="K278" s="59">
        <v>269.37777777777779</v>
      </c>
      <c r="L278" s="53">
        <f t="shared" si="40"/>
        <v>10.103858012099332</v>
      </c>
      <c r="M278" s="53">
        <f t="shared" si="44"/>
        <v>4.2979908071983493E-2</v>
      </c>
      <c r="N278" s="53">
        <f t="shared" si="45"/>
        <v>1.1264005710504189E-4</v>
      </c>
    </row>
    <row r="279" spans="1:14">
      <c r="A279" s="55">
        <v>92</v>
      </c>
      <c r="B279" s="59">
        <v>268</v>
      </c>
      <c r="C279" s="53">
        <f t="shared" si="41"/>
        <v>6.435462657914651</v>
      </c>
      <c r="D279" s="53">
        <f t="shared" si="43"/>
        <v>2.7243512863224479E-2</v>
      </c>
      <c r="E279" s="54">
        <f t="shared" si="38"/>
        <v>5.539025929162176E-5</v>
      </c>
      <c r="G279" s="53">
        <f t="shared" si="42"/>
        <v>3.7942290708797493</v>
      </c>
      <c r="H279" s="53">
        <f t="shared" si="39"/>
        <v>1.2309291202504213E-3</v>
      </c>
      <c r="I279" s="54">
        <f t="shared" si="46"/>
        <v>0</v>
      </c>
      <c r="K279" s="59">
        <v>268</v>
      </c>
      <c r="L279" s="53">
        <f t="shared" si="40"/>
        <v>10.215020091928018</v>
      </c>
      <c r="M279" s="53">
        <f t="shared" si="44"/>
        <v>4.3243671211467404E-2</v>
      </c>
      <c r="N279" s="53">
        <f t="shared" si="45"/>
        <v>8.792104649463773E-5</v>
      </c>
    </row>
    <row r="280" spans="1:14">
      <c r="A280" s="55">
        <v>93</v>
      </c>
      <c r="B280" s="62">
        <v>265.39999999999998</v>
      </c>
      <c r="C280" s="53">
        <f t="shared" si="41"/>
        <v>6.5055414871367763</v>
      </c>
      <c r="D280" s="53">
        <f t="shared" si="43"/>
        <v>2.7345856657151842E-2</v>
      </c>
      <c r="E280" s="54">
        <f t="shared" si="38"/>
        <v>3.4114597975787395E-5</v>
      </c>
      <c r="G280" s="53">
        <f t="shared" si="42"/>
        <v>3.8354840708797493</v>
      </c>
      <c r="H280" s="53">
        <f t="shared" si="39"/>
        <v>1.2309291202504213E-3</v>
      </c>
      <c r="I280" s="54">
        <f t="shared" si="46"/>
        <v>0</v>
      </c>
      <c r="K280" s="62">
        <v>265.39999999999998</v>
      </c>
      <c r="L280" s="53">
        <f t="shared" si="40"/>
        <v>10.326256328788533</v>
      </c>
      <c r="M280" s="53">
        <f t="shared" si="44"/>
        <v>4.3406121678018772E-2</v>
      </c>
      <c r="N280" s="53">
        <f t="shared" si="45"/>
        <v>5.4150155517122849E-5</v>
      </c>
    </row>
    <row r="281" spans="1:14">
      <c r="A281" s="55">
        <v>94</v>
      </c>
      <c r="B281" s="59">
        <v>262.57777777777778</v>
      </c>
      <c r="C281" s="53">
        <f t="shared" si="41"/>
        <v>6.5756841433428486</v>
      </c>
      <c r="D281" s="53">
        <f t="shared" si="43"/>
        <v>2.7405602223080278E-2</v>
      </c>
      <c r="E281" s="54">
        <f t="shared" si="38"/>
        <v>1.9915188642812351E-5</v>
      </c>
      <c r="G281" s="53">
        <f t="shared" si="42"/>
        <v>3.8767390708797493</v>
      </c>
      <c r="H281" s="53">
        <f t="shared" si="39"/>
        <v>1.2309291202504213E-3</v>
      </c>
      <c r="I281" s="54">
        <f t="shared" si="46"/>
        <v>0</v>
      </c>
      <c r="K281" s="59">
        <v>262.57777777777778</v>
      </c>
      <c r="L281" s="53">
        <f t="shared" si="40"/>
        <v>10.437593878321982</v>
      </c>
      <c r="M281" s="53">
        <f t="shared" si="44"/>
        <v>4.3500955909651209E-2</v>
      </c>
      <c r="N281" s="53">
        <f t="shared" si="45"/>
        <v>3.161141054414659E-5</v>
      </c>
    </row>
    <row r="282" spans="1:14">
      <c r="A282" s="55">
        <v>95</v>
      </c>
      <c r="B282" s="59">
        <v>265.46666666666664</v>
      </c>
      <c r="C282" s="53">
        <f t="shared" si="41"/>
        <v>6.6458693977769201</v>
      </c>
      <c r="D282" s="53">
        <f t="shared" si="43"/>
        <v>2.7511503302758554E-2</v>
      </c>
      <c r="E282" s="54">
        <f t="shared" si="38"/>
        <v>3.5300359892759309E-5</v>
      </c>
      <c r="G282" s="53">
        <f t="shared" si="42"/>
        <v>3.9179940708797494</v>
      </c>
      <c r="H282" s="53">
        <f t="shared" si="39"/>
        <v>1.2309291202504213E-3</v>
      </c>
      <c r="I282" s="54">
        <f t="shared" si="46"/>
        <v>0</v>
      </c>
      <c r="K282" s="59">
        <v>265.46666666666664</v>
      </c>
      <c r="L282" s="53">
        <f t="shared" si="40"/>
        <v>10.548999044090348</v>
      </c>
      <c r="M282" s="53">
        <f t="shared" si="44"/>
        <v>4.3669052861521493E-2</v>
      </c>
      <c r="N282" s="53">
        <f t="shared" si="45"/>
        <v>5.6032317290094143E-5</v>
      </c>
    </row>
    <row r="283" spans="1:14">
      <c r="A283" s="55">
        <v>96</v>
      </c>
      <c r="B283" s="59">
        <v>267.44444444444446</v>
      </c>
      <c r="C283" s="53">
        <f t="shared" si="41"/>
        <v>6.716008496697242</v>
      </c>
      <c r="D283" s="53">
        <f t="shared" si="43"/>
        <v>2.7667622171100727E-2</v>
      </c>
      <c r="E283" s="54">
        <f t="shared" si="38"/>
        <v>5.2039622780723701E-5</v>
      </c>
      <c r="G283" s="53">
        <f t="shared" si="42"/>
        <v>3.9592490708797494</v>
      </c>
      <c r="H283" s="53">
        <f t="shared" si="39"/>
        <v>1.2309291202504213E-3</v>
      </c>
      <c r="I283" s="54">
        <f t="shared" si="46"/>
        <v>0</v>
      </c>
      <c r="K283" s="59">
        <v>267.44444444444446</v>
      </c>
      <c r="L283" s="53">
        <f t="shared" si="40"/>
        <v>10.66033094713848</v>
      </c>
      <c r="M283" s="53">
        <f t="shared" si="44"/>
        <v>4.3916860589048749E-2</v>
      </c>
      <c r="N283" s="53">
        <f t="shared" si="45"/>
        <v>8.2602575842418568E-5</v>
      </c>
    </row>
    <row r="284" spans="1:14">
      <c r="A284" s="55">
        <v>97</v>
      </c>
      <c r="B284" s="59">
        <v>267.28888888888889</v>
      </c>
      <c r="C284" s="53">
        <f t="shared" si="41"/>
        <v>6.7860973778288995</v>
      </c>
      <c r="D284" s="53">
        <f t="shared" si="43"/>
        <v>2.7820785096082296E-2</v>
      </c>
      <c r="E284" s="54">
        <f t="shared" si="38"/>
        <v>5.1054308327189927E-5</v>
      </c>
      <c r="G284" s="53">
        <f t="shared" si="42"/>
        <v>4.0005040708797495</v>
      </c>
      <c r="H284" s="53">
        <f t="shared" si="39"/>
        <v>1.2309291202504213E-3</v>
      </c>
      <c r="I284" s="54">
        <f t="shared" si="46"/>
        <v>0</v>
      </c>
      <c r="K284" s="59">
        <v>267.28888888888889</v>
      </c>
      <c r="L284" s="53">
        <f t="shared" si="40"/>
        <v>10.771583139410952</v>
      </c>
      <c r="M284" s="53">
        <f t="shared" si="44"/>
        <v>4.4159976342987746E-2</v>
      </c>
      <c r="N284" s="53">
        <f t="shared" si="45"/>
        <v>8.103858464633321E-5</v>
      </c>
    </row>
    <row r="285" spans="1:14">
      <c r="A285" s="55">
        <v>98</v>
      </c>
      <c r="B285" s="59">
        <v>268.51111111111112</v>
      </c>
      <c r="C285" s="53">
        <f t="shared" si="41"/>
        <v>6.8561892149039174</v>
      </c>
      <c r="D285" s="53">
        <f t="shared" si="43"/>
        <v>2.8015711723249851E-2</v>
      </c>
      <c r="E285" s="54">
        <f t="shared" si="38"/>
        <v>6.4975542389185452E-5</v>
      </c>
      <c r="G285" s="53">
        <f t="shared" si="42"/>
        <v>4.0417590708797491</v>
      </c>
      <c r="H285" s="53">
        <f t="shared" si="39"/>
        <v>1.2309291202504213E-3</v>
      </c>
      <c r="I285" s="54">
        <f t="shared" si="46"/>
        <v>0</v>
      </c>
      <c r="K285" s="59">
        <v>268.51111111111112</v>
      </c>
      <c r="L285" s="53">
        <f t="shared" si="40"/>
        <v>10.882840023657012</v>
      </c>
      <c r="M285" s="53">
        <f t="shared" si="44"/>
        <v>4.446938368769815E-2</v>
      </c>
      <c r="N285" s="53">
        <f t="shared" si="45"/>
        <v>1.0313578157013563E-4</v>
      </c>
    </row>
    <row r="286" spans="1:14">
      <c r="A286" s="55">
        <v>99</v>
      </c>
      <c r="B286" s="59">
        <v>268.93333333333334</v>
      </c>
      <c r="C286" s="53">
        <f t="shared" si="41"/>
        <v>6.9262392882767498</v>
      </c>
      <c r="D286" s="53">
        <f t="shared" si="43"/>
        <v>2.8228872636230255E-2</v>
      </c>
      <c r="E286" s="54">
        <f t="shared" si="38"/>
        <v>7.1053637660134953E-5</v>
      </c>
      <c r="G286" s="53">
        <f t="shared" si="42"/>
        <v>4.0830140708797495</v>
      </c>
      <c r="H286" s="53">
        <f t="shared" si="39"/>
        <v>1.2309291202504213E-3</v>
      </c>
      <c r="I286" s="54">
        <f t="shared" si="46"/>
        <v>0</v>
      </c>
      <c r="K286" s="59">
        <v>268.93333333333334</v>
      </c>
      <c r="L286" s="53">
        <f t="shared" si="40"/>
        <v>10.994030616312303</v>
      </c>
      <c r="M286" s="53">
        <f t="shared" si="44"/>
        <v>4.4807734343222605E-2</v>
      </c>
      <c r="N286" s="53">
        <f t="shared" si="45"/>
        <v>1.127835518414841E-4</v>
      </c>
    </row>
    <row r="287" spans="1:14">
      <c r="A287" s="55">
        <v>100</v>
      </c>
      <c r="B287" s="59">
        <v>266.68888888888887</v>
      </c>
      <c r="C287" s="53">
        <f t="shared" si="41"/>
        <v>6.9962711273637694</v>
      </c>
      <c r="D287" s="53">
        <f t="shared" si="43"/>
        <v>2.8369752173677279E-2</v>
      </c>
      <c r="E287" s="54">
        <f t="shared" si="38"/>
        <v>4.6959845815675307E-5</v>
      </c>
      <c r="G287" s="53">
        <f t="shared" si="42"/>
        <v>4.1242690708797491</v>
      </c>
      <c r="H287" s="53">
        <f t="shared" si="39"/>
        <v>1.2309291202504213E-3</v>
      </c>
      <c r="I287" s="54">
        <f t="shared" si="46"/>
        <v>0</v>
      </c>
      <c r="K287" s="59">
        <v>266.68888888888887</v>
      </c>
      <c r="L287" s="53">
        <f t="shared" si="40"/>
        <v>11.105192265656777</v>
      </c>
      <c r="M287" s="53">
        <f t="shared" si="44"/>
        <v>4.503135265663058E-2</v>
      </c>
      <c r="N287" s="53">
        <f t="shared" si="45"/>
        <v>7.4539437802659237E-5</v>
      </c>
    </row>
    <row r="288" spans="1:14">
      <c r="A288" s="55">
        <v>101</v>
      </c>
      <c r="B288" s="59">
        <v>264.44444444444446</v>
      </c>
      <c r="C288" s="53">
        <f t="shared" si="41"/>
        <v>7.0663752478263229</v>
      </c>
      <c r="D288" s="53">
        <f t="shared" si="43"/>
        <v>2.8462184086840706E-2</v>
      </c>
      <c r="E288" s="54">
        <f t="shared" si="38"/>
        <v>3.0810637721142778E-5</v>
      </c>
      <c r="G288" s="53">
        <f t="shared" si="42"/>
        <v>4.1655240708797496</v>
      </c>
      <c r="H288" s="53">
        <f t="shared" si="39"/>
        <v>1.2309291202504213E-3</v>
      </c>
      <c r="I288" s="54">
        <f t="shared" si="46"/>
        <v>0</v>
      </c>
      <c r="K288" s="59">
        <v>264.44444444444446</v>
      </c>
      <c r="L288" s="53">
        <f t="shared" si="40"/>
        <v>11.216468647343369</v>
      </c>
      <c r="M288" s="53">
        <f t="shared" si="44"/>
        <v>4.5178069979112209E-2</v>
      </c>
      <c r="N288" s="53">
        <f t="shared" si="45"/>
        <v>4.8905774160544081E-5</v>
      </c>
    </row>
    <row r="289" spans="1:14">
      <c r="A289" s="55">
        <v>102</v>
      </c>
      <c r="B289" s="59">
        <v>265.57777777777778</v>
      </c>
      <c r="C289" s="53">
        <f t="shared" si="41"/>
        <v>7.1365278159131593</v>
      </c>
      <c r="D289" s="53">
        <f t="shared" si="43"/>
        <v>2.8578359316515135E-2</v>
      </c>
      <c r="E289" s="54">
        <f t="shared" si="38"/>
        <v>3.8725076558143071E-5</v>
      </c>
      <c r="G289" s="53">
        <f t="shared" si="42"/>
        <v>4.2067790708797492</v>
      </c>
      <c r="H289" s="53">
        <f t="shared" si="39"/>
        <v>1.2309291202504213E-3</v>
      </c>
      <c r="I289" s="54">
        <f t="shared" si="46"/>
        <v>0</v>
      </c>
      <c r="K289" s="59">
        <v>265.57777777777778</v>
      </c>
      <c r="L289" s="53">
        <f t="shared" si="40"/>
        <v>11.327821930020887</v>
      </c>
      <c r="M289" s="53">
        <f t="shared" si="44"/>
        <v>4.5362475105579558E-2</v>
      </c>
      <c r="N289" s="53">
        <f t="shared" si="45"/>
        <v>6.1468375489115971E-5</v>
      </c>
    </row>
    <row r="290" spans="1:14">
      <c r="A290" s="55">
        <v>103</v>
      </c>
      <c r="B290" s="59">
        <v>268.42222222222222</v>
      </c>
      <c r="C290" s="53">
        <f t="shared" si="41"/>
        <v>7.2066566406834855</v>
      </c>
      <c r="D290" s="53">
        <f t="shared" si="43"/>
        <v>2.8779853136593415E-2</v>
      </c>
      <c r="E290" s="54">
        <f t="shared" si="38"/>
        <v>6.7164606692759828E-5</v>
      </c>
      <c r="G290" s="53">
        <f t="shared" si="42"/>
        <v>4.2480340708797497</v>
      </c>
      <c r="H290" s="53">
        <f t="shared" si="39"/>
        <v>1.2309291202504213E-3</v>
      </c>
      <c r="I290" s="54">
        <f t="shared" si="46"/>
        <v>0</v>
      </c>
      <c r="K290" s="59">
        <v>268.42222222222222</v>
      </c>
      <c r="L290" s="53">
        <f t="shared" si="40"/>
        <v>11.439137524894422</v>
      </c>
      <c r="M290" s="53">
        <f t="shared" si="44"/>
        <v>4.568230656602127E-2</v>
      </c>
      <c r="N290" s="53">
        <f t="shared" si="45"/>
        <v>1.0661048681390447E-4</v>
      </c>
    </row>
    <row r="291" spans="1:14">
      <c r="A291" s="55">
        <v>104</v>
      </c>
      <c r="B291" s="59">
        <v>266.9111111111111</v>
      </c>
      <c r="C291" s="53">
        <f t="shared" si="41"/>
        <v>7.2767001468634067</v>
      </c>
      <c r="D291" s="53">
        <f t="shared" si="43"/>
        <v>2.8932713341159544E-2</v>
      </c>
      <c r="E291" s="54">
        <f t="shared" si="38"/>
        <v>5.0953401522042535E-5</v>
      </c>
      <c r="G291" s="53">
        <f t="shared" si="42"/>
        <v>4.2892890708797493</v>
      </c>
      <c r="H291" s="53">
        <f t="shared" si="39"/>
        <v>1.2309291202504213E-3</v>
      </c>
      <c r="I291" s="54">
        <f t="shared" si="46"/>
        <v>0</v>
      </c>
      <c r="K291" s="59">
        <v>266.9111111111111</v>
      </c>
      <c r="L291" s="53">
        <f t="shared" si="40"/>
        <v>11.550317693433978</v>
      </c>
      <c r="M291" s="53">
        <f t="shared" si="44"/>
        <v>4.5924941811364327E-2</v>
      </c>
      <c r="N291" s="53">
        <f t="shared" si="45"/>
        <v>8.0878415114353204E-5</v>
      </c>
    </row>
    <row r="292" spans="1:14">
      <c r="A292" s="55">
        <v>105</v>
      </c>
      <c r="B292" s="59">
        <v>264.39999999999998</v>
      </c>
      <c r="C292" s="53">
        <f t="shared" si="41"/>
        <v>7.3467922866588404</v>
      </c>
      <c r="D292" s="53">
        <f t="shared" si="43"/>
        <v>2.9027988760612744E-2</v>
      </c>
      <c r="E292" s="54">
        <f t="shared" si="38"/>
        <v>3.1758473151066317E-5</v>
      </c>
      <c r="G292" s="53">
        <f t="shared" si="42"/>
        <v>4.3305440708797498</v>
      </c>
      <c r="H292" s="53">
        <f t="shared" si="39"/>
        <v>1.2309291202504213E-3</v>
      </c>
      <c r="I292" s="54">
        <f t="shared" si="46"/>
        <v>0</v>
      </c>
      <c r="K292" s="59">
        <v>264.39999999999998</v>
      </c>
      <c r="L292" s="53">
        <f t="shared" si="40"/>
        <v>11.661575058188635</v>
      </c>
      <c r="M292" s="53">
        <f t="shared" si="44"/>
        <v>4.6076172635893212E-2</v>
      </c>
      <c r="N292" s="53">
        <f t="shared" si="45"/>
        <v>5.0410274842962422E-5</v>
      </c>
    </row>
    <row r="293" spans="1:14">
      <c r="A293" s="55">
        <v>106</v>
      </c>
      <c r="B293" s="59">
        <v>264.97777777777776</v>
      </c>
      <c r="C293" s="53">
        <f t="shared" si="41"/>
        <v>7.4169420112393869</v>
      </c>
      <c r="D293" s="53">
        <f t="shared" si="43"/>
        <v>2.9135550512963078E-2</v>
      </c>
      <c r="E293" s="54">
        <f t="shared" si="38"/>
        <v>3.5853917450111599E-5</v>
      </c>
      <c r="G293" s="53">
        <f t="shared" si="42"/>
        <v>4.3717990708797494</v>
      </c>
      <c r="H293" s="53">
        <f t="shared" si="39"/>
        <v>1.2309291202504213E-3</v>
      </c>
      <c r="I293" s="54">
        <f t="shared" si="46"/>
        <v>0</v>
      </c>
      <c r="K293" s="59">
        <v>264.97777777777776</v>
      </c>
      <c r="L293" s="53">
        <f t="shared" si="40"/>
        <v>11.772923827364108</v>
      </c>
      <c r="M293" s="53">
        <f t="shared" si="44"/>
        <v>4.6246905576131841E-2</v>
      </c>
      <c r="N293" s="53">
        <f t="shared" si="45"/>
        <v>5.6910980079542231E-5</v>
      </c>
    </row>
    <row r="294" spans="1:14">
      <c r="A294" s="55">
        <v>107</v>
      </c>
      <c r="B294" s="59">
        <v>262.33333333333331</v>
      </c>
      <c r="C294" s="53">
        <f t="shared" si="41"/>
        <v>7.4870794494870365</v>
      </c>
      <c r="D294" s="53">
        <f t="shared" si="43"/>
        <v>2.9200381973601284E-2</v>
      </c>
      <c r="E294" s="54">
        <f t="shared" si="38"/>
        <v>2.1610486879401862E-5</v>
      </c>
      <c r="G294" s="53">
        <f t="shared" si="42"/>
        <v>4.413054070879749</v>
      </c>
      <c r="H294" s="53">
        <f t="shared" si="39"/>
        <v>1.2309291202504213E-3</v>
      </c>
      <c r="I294" s="54">
        <f t="shared" si="46"/>
        <v>0</v>
      </c>
      <c r="K294" s="59">
        <v>262.33333333333331</v>
      </c>
      <c r="L294" s="53">
        <f t="shared" si="40"/>
        <v>11.884253094423869</v>
      </c>
      <c r="M294" s="53">
        <f t="shared" si="44"/>
        <v>4.6349812656509948E-2</v>
      </c>
      <c r="N294" s="53">
        <f t="shared" si="45"/>
        <v>3.4302360126034704E-5</v>
      </c>
    </row>
    <row r="295" spans="1:14">
      <c r="A295" s="55">
        <v>108</v>
      </c>
      <c r="B295" s="59">
        <v>261.84444444444443</v>
      </c>
      <c r="C295" s="53">
        <f t="shared" si="41"/>
        <v>7.5572596180263991</v>
      </c>
      <c r="D295" s="53">
        <f t="shared" si="43"/>
        <v>2.925980269866273E-2</v>
      </c>
      <c r="E295" s="54">
        <f t="shared" si="38"/>
        <v>1.9806908353815379E-5</v>
      </c>
      <c r="G295" s="53">
        <f t="shared" si="42"/>
        <v>4.4543090708797495</v>
      </c>
      <c r="H295" s="53">
        <f t="shared" si="39"/>
        <v>1.2309291202504213E-3</v>
      </c>
      <c r="I295" s="54">
        <f t="shared" si="46"/>
        <v>0</v>
      </c>
      <c r="K295" s="59">
        <v>261.84444444444443</v>
      </c>
      <c r="L295" s="53">
        <f t="shared" si="40"/>
        <v>11.99565018734349</v>
      </c>
      <c r="M295" s="53">
        <f t="shared" si="44"/>
        <v>4.644413126771859E-2</v>
      </c>
      <c r="N295" s="53">
        <f t="shared" si="45"/>
        <v>3.1439537069548219E-5</v>
      </c>
    </row>
    <row r="296" spans="1:14">
      <c r="A296" s="55">
        <v>109</v>
      </c>
      <c r="B296" s="59">
        <v>264.84444444444443</v>
      </c>
      <c r="C296" s="53">
        <f t="shared" si="41"/>
        <v>7.6274451973013377</v>
      </c>
      <c r="D296" s="53">
        <f t="shared" si="43"/>
        <v>2.9367604759934579E-2</v>
      </c>
      <c r="E296" s="54">
        <f t="shared" si="38"/>
        <v>3.5934020423949951E-5</v>
      </c>
      <c r="G296" s="53">
        <f t="shared" si="42"/>
        <v>4.4955640708797491</v>
      </c>
      <c r="H296" s="53">
        <f t="shared" si="39"/>
        <v>1.2309291202504213E-3</v>
      </c>
      <c r="I296" s="54">
        <f t="shared" si="46"/>
        <v>0</v>
      </c>
      <c r="K296" s="59">
        <v>264.84444444444443</v>
      </c>
      <c r="L296" s="53">
        <f t="shared" si="40"/>
        <v>12.107055868732283</v>
      </c>
      <c r="M296" s="53">
        <f t="shared" si="44"/>
        <v>4.6615245650689779E-2</v>
      </c>
      <c r="N296" s="53">
        <f t="shared" si="45"/>
        <v>5.7038127657063426E-5</v>
      </c>
    </row>
    <row r="297" spans="1:14">
      <c r="A297" s="55">
        <v>110</v>
      </c>
      <c r="B297" s="59">
        <v>264.2</v>
      </c>
      <c r="C297" s="53">
        <f t="shared" si="41"/>
        <v>7.6975823952400662</v>
      </c>
      <c r="D297" s="53">
        <f t="shared" si="43"/>
        <v>2.9463629303892628E-2</v>
      </c>
      <c r="E297" s="54">
        <f t="shared" si="38"/>
        <v>3.2008181319349261E-5</v>
      </c>
      <c r="G297" s="53">
        <f t="shared" si="42"/>
        <v>4.5368190708797496</v>
      </c>
      <c r="H297" s="53">
        <f t="shared" si="39"/>
        <v>1.2309291202504213E-3</v>
      </c>
      <c r="I297" s="54">
        <f t="shared" si="46"/>
        <v>0</v>
      </c>
      <c r="K297" s="59">
        <v>264.2</v>
      </c>
      <c r="L297" s="53">
        <f t="shared" si="40"/>
        <v>12.21838475434931</v>
      </c>
      <c r="M297" s="53">
        <f t="shared" si="44"/>
        <v>4.6767665561734298E-2</v>
      </c>
      <c r="N297" s="53">
        <f t="shared" si="45"/>
        <v>5.0806637014840089E-5</v>
      </c>
    </row>
    <row r="298" spans="1:14">
      <c r="A298" s="55">
        <v>111</v>
      </c>
      <c r="B298" s="59">
        <v>261.28888888888889</v>
      </c>
      <c r="C298" s="53">
        <f t="shared" si="41"/>
        <v>7.767731370696108</v>
      </c>
      <c r="D298" s="53">
        <f t="shared" si="43"/>
        <v>2.9518338976476228E-2</v>
      </c>
      <c r="E298" s="54">
        <f t="shared" si="38"/>
        <v>1.8236557527867107E-5</v>
      </c>
      <c r="G298" s="53">
        <f t="shared" si="42"/>
        <v>4.5780740708797492</v>
      </c>
      <c r="H298" s="53">
        <f t="shared" si="39"/>
        <v>1.2309291202504213E-3</v>
      </c>
      <c r="I298" s="54">
        <f t="shared" si="46"/>
        <v>0</v>
      </c>
      <c r="K298" s="59">
        <v>261.28888888888889</v>
      </c>
      <c r="L298" s="53">
        <f t="shared" si="40"/>
        <v>12.329732334438265</v>
      </c>
      <c r="M298" s="53">
        <f t="shared" si="44"/>
        <v>4.6854506311867002E-2</v>
      </c>
      <c r="N298" s="53">
        <f t="shared" si="45"/>
        <v>2.8946916710900166E-5</v>
      </c>
    </row>
    <row r="299" spans="1:14">
      <c r="A299" s="55">
        <v>112</v>
      </c>
      <c r="B299" s="59">
        <v>260.39999999999998</v>
      </c>
      <c r="C299" s="53">
        <f t="shared" si="41"/>
        <v>7.8379216610235236</v>
      </c>
      <c r="D299" s="53">
        <f t="shared" si="43"/>
        <v>2.9564583538173497E-2</v>
      </c>
      <c r="E299" s="54">
        <f t="shared" si="38"/>
        <v>1.5414853899089507E-5</v>
      </c>
      <c r="G299" s="53">
        <f t="shared" si="42"/>
        <v>4.6193290708797496</v>
      </c>
      <c r="H299" s="53">
        <f t="shared" si="39"/>
        <v>1.2309291202504213E-3</v>
      </c>
      <c r="I299" s="54">
        <f t="shared" si="46"/>
        <v>0</v>
      </c>
      <c r="K299" s="59">
        <v>260.39999999999998</v>
      </c>
      <c r="L299" s="53">
        <f t="shared" si="40"/>
        <v>12.441145493688133</v>
      </c>
      <c r="M299" s="53">
        <f t="shared" si="44"/>
        <v>4.6927910378053141E-2</v>
      </c>
      <c r="N299" s="53">
        <f t="shared" si="45"/>
        <v>2.4468022062046838E-5</v>
      </c>
    </row>
    <row r="300" spans="1:14">
      <c r="A300" s="55">
        <v>113</v>
      </c>
      <c r="B300" s="59">
        <v>262.57777777777778</v>
      </c>
      <c r="C300" s="53">
        <f t="shared" si="41"/>
        <v>7.9081204164618262</v>
      </c>
      <c r="D300" s="53">
        <f t="shared" si="43"/>
        <v>2.9636435397145475E-2</v>
      </c>
      <c r="E300" s="54">
        <f t="shared" si="38"/>
        <v>2.3950619657325837E-5</v>
      </c>
      <c r="G300" s="53">
        <f t="shared" si="42"/>
        <v>4.6605840708797492</v>
      </c>
      <c r="H300" s="53">
        <f t="shared" si="39"/>
        <v>1.2309291202504213E-3</v>
      </c>
      <c r="I300" s="54">
        <f t="shared" si="46"/>
        <v>0</v>
      </c>
      <c r="K300" s="59">
        <v>262.57777777777778</v>
      </c>
      <c r="L300" s="53">
        <f t="shared" si="40"/>
        <v>12.552572089621947</v>
      </c>
      <c r="M300" s="53">
        <f t="shared" si="44"/>
        <v>4.7041960947849931E-2</v>
      </c>
      <c r="N300" s="53">
        <f t="shared" si="45"/>
        <v>3.8016856598929907E-5</v>
      </c>
    </row>
    <row r="301" spans="1:14">
      <c r="A301" s="55">
        <v>114</v>
      </c>
      <c r="B301" s="59">
        <v>264.2</v>
      </c>
      <c r="C301" s="53">
        <f t="shared" si="41"/>
        <v>7.9782935646028541</v>
      </c>
      <c r="D301" s="53">
        <f t="shared" si="43"/>
        <v>2.9735961710962936E-2</v>
      </c>
      <c r="E301" s="54">
        <f t="shared" si="38"/>
        <v>3.3175437939153251E-5</v>
      </c>
      <c r="G301" s="53">
        <f t="shared" si="42"/>
        <v>4.7018390708797497</v>
      </c>
      <c r="H301" s="53">
        <f t="shared" si="39"/>
        <v>1.2309291202504213E-3</v>
      </c>
      <c r="I301" s="54">
        <f t="shared" si="46"/>
        <v>0</v>
      </c>
      <c r="K301" s="59">
        <v>264.2</v>
      </c>
      <c r="L301" s="53">
        <f t="shared" si="40"/>
        <v>12.663958039052151</v>
      </c>
      <c r="M301" s="53">
        <f t="shared" si="44"/>
        <v>4.719993922375066E-2</v>
      </c>
      <c r="N301" s="53">
        <f t="shared" si="45"/>
        <v>5.2659425300243264E-5</v>
      </c>
    </row>
    <row r="302" spans="1:14">
      <c r="A302" s="55">
        <v>115</v>
      </c>
      <c r="B302" s="59">
        <v>263.82222222222219</v>
      </c>
      <c r="C302" s="53">
        <f t="shared" si="41"/>
        <v>8.0484390382890361</v>
      </c>
      <c r="D302" s="53">
        <f t="shared" si="43"/>
        <v>2.9829251097794381E-2</v>
      </c>
      <c r="E302" s="54">
        <f t="shared" si="38"/>
        <v>3.1096462277148691E-5</v>
      </c>
      <c r="G302" s="53">
        <f t="shared" si="42"/>
        <v>4.7430940708797493</v>
      </c>
      <c r="H302" s="53">
        <f t="shared" si="39"/>
        <v>1.2309291202504213E-3</v>
      </c>
      <c r="I302" s="54">
        <f t="shared" si="46"/>
        <v>0</v>
      </c>
      <c r="K302" s="59">
        <v>263.82222222222219</v>
      </c>
      <c r="L302" s="53">
        <f t="shared" si="40"/>
        <v>12.775300060776249</v>
      </c>
      <c r="M302" s="53">
        <f t="shared" si="44"/>
        <v>4.7348017615546606E-2</v>
      </c>
      <c r="N302" s="53">
        <f t="shared" si="45"/>
        <v>4.9359463931982064E-5</v>
      </c>
    </row>
    <row r="303" spans="1:14">
      <c r="A303" s="55">
        <v>116</v>
      </c>
      <c r="B303" s="59">
        <v>262.68888888888887</v>
      </c>
      <c r="C303" s="53">
        <f t="shared" si="41"/>
        <v>8.1185907489022053</v>
      </c>
      <c r="D303" s="53">
        <f t="shared" si="43"/>
        <v>2.9904643678410728E-2</v>
      </c>
      <c r="E303" s="54">
        <f t="shared" si="38"/>
        <v>2.5130860205449231E-5</v>
      </c>
      <c r="G303" s="53">
        <f t="shared" si="42"/>
        <v>4.7843490708797498</v>
      </c>
      <c r="H303" s="53">
        <f t="shared" si="39"/>
        <v>1.2309291202504213E-3</v>
      </c>
      <c r="I303" s="54">
        <f t="shared" si="46"/>
        <v>0</v>
      </c>
      <c r="K303" s="59">
        <v>262.68888888888887</v>
      </c>
      <c r="L303" s="53">
        <f t="shared" si="40"/>
        <v>12.886651982384455</v>
      </c>
      <c r="M303" s="53">
        <f t="shared" si="44"/>
        <v>4.7467688378429698E-2</v>
      </c>
      <c r="N303" s="53">
        <f t="shared" si="45"/>
        <v>3.9890254294363872E-5</v>
      </c>
    </row>
    <row r="304" spans="1:14">
      <c r="A304" s="55">
        <v>117</v>
      </c>
      <c r="B304" s="59">
        <v>262.97777777777776</v>
      </c>
      <c r="C304" s="53">
        <f t="shared" si="41"/>
        <v>8.1887603563215894</v>
      </c>
      <c r="D304" s="53">
        <f t="shared" si="43"/>
        <v>2.9985123128676593E-2</v>
      </c>
      <c r="E304" s="54">
        <f t="shared" si="38"/>
        <v>2.6826483421954136E-5</v>
      </c>
      <c r="G304" s="53">
        <f t="shared" si="42"/>
        <v>4.8256040708797494</v>
      </c>
      <c r="H304" s="53">
        <f t="shared" si="39"/>
        <v>1.2309291202504213E-3</v>
      </c>
      <c r="I304" s="54">
        <f t="shared" si="46"/>
        <v>0</v>
      </c>
      <c r="K304" s="59">
        <v>262.97777777777776</v>
      </c>
      <c r="L304" s="53">
        <f t="shared" si="40"/>
        <v>12.998032311621571</v>
      </c>
      <c r="M304" s="53">
        <f t="shared" si="44"/>
        <v>4.759543353758186E-2</v>
      </c>
      <c r="N304" s="53">
        <f t="shared" si="45"/>
        <v>4.2581719717387519E-5</v>
      </c>
    </row>
    <row r="305" spans="1:14">
      <c r="A305" s="55">
        <v>118</v>
      </c>
      <c r="B305" s="59">
        <v>264.62222222222221</v>
      </c>
      <c r="C305" s="53">
        <f t="shared" si="41"/>
        <v>8.2589248768713226</v>
      </c>
      <c r="D305" s="53">
        <f t="shared" si="43"/>
        <v>3.0096939332380869E-2</v>
      </c>
      <c r="E305" s="54">
        <f t="shared" si="38"/>
        <v>3.7272067901425366E-5</v>
      </c>
      <c r="G305" s="53">
        <f t="shared" si="42"/>
        <v>4.866859070879749</v>
      </c>
      <c r="H305" s="53">
        <f t="shared" si="39"/>
        <v>1.2309291202504213E-3</v>
      </c>
      <c r="I305" s="54">
        <f t="shared" si="46"/>
        <v>0</v>
      </c>
      <c r="K305" s="59">
        <v>264.62222222222221</v>
      </c>
      <c r="L305" s="53">
        <f t="shared" si="40"/>
        <v>13.109404566462418</v>
      </c>
      <c r="M305" s="53">
        <f t="shared" si="44"/>
        <v>4.7772919575207698E-2</v>
      </c>
      <c r="N305" s="53">
        <f t="shared" si="45"/>
        <v>5.9162012541945036E-5</v>
      </c>
    </row>
    <row r="306" spans="1:14">
      <c r="A306" s="55">
        <v>119</v>
      </c>
      <c r="B306" s="59">
        <v>263.2</v>
      </c>
      <c r="C306" s="53">
        <f t="shared" si="41"/>
        <v>8.3290580606676183</v>
      </c>
      <c r="D306" s="53">
        <f t="shared" si="43"/>
        <v>3.0182438828212404E-2</v>
      </c>
      <c r="E306" s="54">
        <f t="shared" si="38"/>
        <v>2.8499831943845224E-5</v>
      </c>
      <c r="G306" s="53">
        <f t="shared" si="42"/>
        <v>4.9081140708797495</v>
      </c>
      <c r="H306" s="53">
        <f t="shared" si="39"/>
        <v>1.2309291202504213E-3</v>
      </c>
      <c r="I306" s="54">
        <f t="shared" si="46"/>
        <v>0</v>
      </c>
      <c r="K306" s="59">
        <v>263.2</v>
      </c>
      <c r="L306" s="53">
        <f t="shared" si="40"/>
        <v>13.220727080424792</v>
      </c>
      <c r="M306" s="53">
        <f t="shared" si="44"/>
        <v>4.7908633060654578E-2</v>
      </c>
      <c r="N306" s="53">
        <f t="shared" si="45"/>
        <v>4.5237828482294007E-5</v>
      </c>
    </row>
    <row r="307" spans="1:14">
      <c r="A307" s="55">
        <v>120</v>
      </c>
      <c r="B307" s="59">
        <v>263.95555555555558</v>
      </c>
      <c r="C307" s="53">
        <f t="shared" si="41"/>
        <v>8.3992175611717883</v>
      </c>
      <c r="D307" s="53">
        <f t="shared" si="43"/>
        <v>3.0282353956201581E-2</v>
      </c>
      <c r="E307" s="54">
        <f t="shared" si="38"/>
        <v>3.3305042663059385E-5</v>
      </c>
      <c r="G307" s="53">
        <f t="shared" si="42"/>
        <v>4.9493690708797491</v>
      </c>
      <c r="H307" s="53">
        <f t="shared" si="39"/>
        <v>1.2309291202504213E-3</v>
      </c>
      <c r="I307" s="54">
        <f t="shared" si="46"/>
        <v>0</v>
      </c>
      <c r="K307" s="59">
        <v>263.95555555555558</v>
      </c>
      <c r="L307" s="53">
        <f t="shared" si="40"/>
        <v>13.332091366939347</v>
      </c>
      <c r="M307" s="53">
        <f t="shared" si="44"/>
        <v>4.8067228501907242E-2</v>
      </c>
      <c r="N307" s="53">
        <f t="shared" si="45"/>
        <v>5.2865147084221243E-5</v>
      </c>
    </row>
    <row r="308" spans="1:14">
      <c r="A308" s="55">
        <v>121</v>
      </c>
      <c r="B308" s="59">
        <v>264.46666666666664</v>
      </c>
      <c r="C308" s="53">
        <f t="shared" si="41"/>
        <v>8.4693626460438001</v>
      </c>
      <c r="D308" s="53">
        <f t="shared" si="43"/>
        <v>3.0393615881926826E-2</v>
      </c>
      <c r="E308" s="54">
        <f t="shared" si="38"/>
        <v>3.7087308575081088E-5</v>
      </c>
      <c r="G308" s="53">
        <f t="shared" si="42"/>
        <v>4.9906240708797496</v>
      </c>
      <c r="H308" s="53">
        <f t="shared" si="39"/>
        <v>1.2309291202504213E-3</v>
      </c>
      <c r="I308" s="54">
        <f t="shared" si="46"/>
        <v>0</v>
      </c>
      <c r="K308" s="59">
        <v>264.46666666666664</v>
      </c>
      <c r="L308" s="53">
        <f t="shared" si="40"/>
        <v>13.443432771498093</v>
      </c>
      <c r="M308" s="53">
        <f t="shared" si="44"/>
        <v>4.8243834733217153E-2</v>
      </c>
      <c r="N308" s="53">
        <f t="shared" si="45"/>
        <v>5.8868743769969963E-5</v>
      </c>
    </row>
    <row r="309" spans="1:14">
      <c r="A309" s="55">
        <v>122</v>
      </c>
      <c r="B309" s="59">
        <v>259.5333333333333</v>
      </c>
      <c r="C309" s="53">
        <f t="shared" si="41"/>
        <v>8.539496384118074</v>
      </c>
      <c r="D309" s="53">
        <f t="shared" si="43"/>
        <v>3.0435960415956795E-2</v>
      </c>
      <c r="E309" s="54">
        <f t="shared" si="38"/>
        <v>1.4114844676656838E-5</v>
      </c>
      <c r="G309" s="53">
        <f t="shared" si="42"/>
        <v>5.0318790708797492</v>
      </c>
      <c r="H309" s="53">
        <f t="shared" si="39"/>
        <v>1.2309291202504213E-3</v>
      </c>
      <c r="I309" s="54">
        <f t="shared" si="46"/>
        <v>0</v>
      </c>
      <c r="K309" s="59">
        <v>259.5333333333333</v>
      </c>
      <c r="L309" s="53">
        <f t="shared" si="40"/>
        <v>13.554756165266783</v>
      </c>
      <c r="M309" s="53">
        <f t="shared" si="44"/>
        <v>4.831104827929647E-2</v>
      </c>
      <c r="N309" s="53">
        <f t="shared" si="45"/>
        <v>2.2404515359772758E-5</v>
      </c>
    </row>
    <row r="310" spans="1:14">
      <c r="A310" s="55">
        <v>123</v>
      </c>
      <c r="B310" s="59">
        <v>262.64444444444445</v>
      </c>
      <c r="C310" s="53">
        <f t="shared" si="41"/>
        <v>8.6096990395840436</v>
      </c>
      <c r="D310" s="53">
        <f t="shared" si="43"/>
        <v>3.051521850611217E-2</v>
      </c>
      <c r="E310" s="54">
        <f t="shared" si="38"/>
        <v>2.6419363385125009E-5</v>
      </c>
      <c r="G310" s="53">
        <f t="shared" si="42"/>
        <v>5.0731340708797497</v>
      </c>
      <c r="H310" s="53">
        <f t="shared" si="39"/>
        <v>1.2309291202504213E-3</v>
      </c>
      <c r="I310" s="54">
        <f t="shared" si="46"/>
        <v>0</v>
      </c>
      <c r="K310" s="59">
        <v>262.64444444444445</v>
      </c>
      <c r="L310" s="53">
        <f t="shared" si="40"/>
        <v>13.666188951720704</v>
      </c>
      <c r="M310" s="53">
        <f t="shared" si="44"/>
        <v>4.8436854771606593E-2</v>
      </c>
      <c r="N310" s="53">
        <f t="shared" si="45"/>
        <v>4.1935497436706359E-5</v>
      </c>
    </row>
    <row r="311" spans="1:14">
      <c r="A311" s="55">
        <v>124</v>
      </c>
      <c r="B311" s="62">
        <v>265</v>
      </c>
      <c r="C311" s="53">
        <f t="shared" si="41"/>
        <v>8.6798647814938885</v>
      </c>
      <c r="D311" s="53">
        <f t="shared" si="43"/>
        <v>3.0641636536639868E-2</v>
      </c>
      <c r="E311" s="54">
        <f t="shared" si="38"/>
        <v>4.2139343509233154E-5</v>
      </c>
      <c r="G311" s="53">
        <f t="shared" si="42"/>
        <v>5.1143890708797493</v>
      </c>
      <c r="H311" s="53">
        <f t="shared" si="39"/>
        <v>1.2309291202504213E-3</v>
      </c>
      <c r="I311" s="54">
        <f t="shared" si="46"/>
        <v>0</v>
      </c>
      <c r="K311" s="62">
        <v>265</v>
      </c>
      <c r="L311" s="53">
        <f t="shared" si="40"/>
        <v>13.777563145228394</v>
      </c>
      <c r="M311" s="53">
        <f t="shared" si="44"/>
        <v>4.8637518312126753E-2</v>
      </c>
      <c r="N311" s="53">
        <f t="shared" si="45"/>
        <v>6.6887846840052616E-5</v>
      </c>
    </row>
    <row r="312" spans="1:14">
      <c r="A312" s="55">
        <v>125</v>
      </c>
      <c r="B312" s="59">
        <v>263.8</v>
      </c>
      <c r="C312" s="53">
        <f t="shared" si="41"/>
        <v>8.749983363463361</v>
      </c>
      <c r="D312" s="53">
        <f t="shared" si="43"/>
        <v>3.0742619488007415E-2</v>
      </c>
      <c r="E312" s="54">
        <f t="shared" si="38"/>
        <v>3.3660983789182083E-5</v>
      </c>
      <c r="G312" s="53">
        <f t="shared" si="42"/>
        <v>5.1556440708797497</v>
      </c>
      <c r="H312" s="53">
        <f t="shared" si="39"/>
        <v>1.2309291202504213E-3</v>
      </c>
      <c r="I312" s="54">
        <f t="shared" si="46"/>
        <v>0</v>
      </c>
      <c r="K312" s="59">
        <v>263.8</v>
      </c>
      <c r="L312" s="53">
        <f t="shared" si="40"/>
        <v>13.888862481687873</v>
      </c>
      <c r="M312" s="53">
        <f t="shared" si="44"/>
        <v>4.879780871112286E-2</v>
      </c>
      <c r="N312" s="53">
        <f t="shared" si="45"/>
        <v>5.3430132998701721E-5</v>
      </c>
    </row>
    <row r="313" spans="1:14">
      <c r="A313" s="55">
        <v>126</v>
      </c>
      <c r="B313" s="59">
        <v>261.46666666666664</v>
      </c>
      <c r="C313" s="53">
        <f t="shared" si="41"/>
        <v>8.8201273805119929</v>
      </c>
      <c r="D313" s="53">
        <f t="shared" si="43"/>
        <v>3.0806971785527746E-2</v>
      </c>
      <c r="E313" s="54">
        <f t="shared" si="38"/>
        <v>2.1450765840111003E-5</v>
      </c>
      <c r="G313" s="53">
        <f t="shared" si="42"/>
        <v>5.1968990708797493</v>
      </c>
      <c r="H313" s="53">
        <f t="shared" si="39"/>
        <v>1.2309291202504213E-3</v>
      </c>
      <c r="I313" s="54">
        <f t="shared" si="46"/>
        <v>0</v>
      </c>
      <c r="K313" s="59">
        <v>261.46666666666664</v>
      </c>
      <c r="L313" s="53">
        <f t="shared" si="40"/>
        <v>14.000202191288876</v>
      </c>
      <c r="M313" s="53">
        <f t="shared" si="44"/>
        <v>4.8899955215123386E-2</v>
      </c>
      <c r="N313" s="53">
        <f t="shared" si="45"/>
        <v>3.4048834666842847E-5</v>
      </c>
    </row>
    <row r="314" spans="1:14">
      <c r="A314" s="55">
        <v>127</v>
      </c>
      <c r="B314" s="59">
        <v>262.66666666666669</v>
      </c>
      <c r="C314" s="53">
        <f t="shared" si="41"/>
        <v>8.8903080282144717</v>
      </c>
      <c r="D314" s="53">
        <f t="shared" si="43"/>
        <v>3.0889171207764965E-2</v>
      </c>
      <c r="E314" s="54">
        <f t="shared" si="38"/>
        <v>2.7399807412406146E-5</v>
      </c>
      <c r="G314" s="53">
        <f t="shared" si="42"/>
        <v>5.2381540708797498</v>
      </c>
      <c r="H314" s="53">
        <f t="shared" si="39"/>
        <v>1.2309291202504213E-3</v>
      </c>
      <c r="I314" s="54">
        <f t="shared" si="46"/>
        <v>0</v>
      </c>
      <c r="K314" s="59">
        <v>262.66666666666669</v>
      </c>
      <c r="L314" s="53">
        <f t="shared" si="40"/>
        <v>14.111600044784877</v>
      </c>
      <c r="M314" s="53">
        <f t="shared" si="44"/>
        <v>4.9030430488515797E-2</v>
      </c>
      <c r="N314" s="53">
        <f t="shared" si="45"/>
        <v>4.3491757797470073E-5</v>
      </c>
    </row>
    <row r="315" spans="1:14">
      <c r="A315" s="55">
        <v>128</v>
      </c>
      <c r="B315" s="59">
        <v>265.31111111111113</v>
      </c>
      <c r="C315" s="53">
        <f t="shared" si="41"/>
        <v>8.9604708287922357</v>
      </c>
      <c r="D315" s="53">
        <f t="shared" si="43"/>
        <v>3.1027743746029745E-2</v>
      </c>
      <c r="E315" s="54">
        <f t="shared" si="38"/>
        <v>4.619084608825999E-5</v>
      </c>
      <c r="G315" s="53">
        <f t="shared" si="42"/>
        <v>5.2794090708797494</v>
      </c>
      <c r="H315" s="53">
        <f t="shared" si="39"/>
        <v>1.2309291202504213E-3</v>
      </c>
      <c r="I315" s="54">
        <f t="shared" si="46"/>
        <v>0</v>
      </c>
      <c r="K315" s="59">
        <v>265.31111111111113</v>
      </c>
      <c r="L315" s="53">
        <f t="shared" si="40"/>
        <v>14.222969569511484</v>
      </c>
      <c r="M315" s="53">
        <f t="shared" si="44"/>
        <v>4.925038689845989E-2</v>
      </c>
      <c r="N315" s="53">
        <f t="shared" si="45"/>
        <v>7.331880331469839E-5</v>
      </c>
    </row>
    <row r="316" spans="1:14">
      <c r="A316" s="55">
        <v>129</v>
      </c>
      <c r="B316" s="59">
        <v>265.42222222222222</v>
      </c>
      <c r="C316" s="53">
        <f t="shared" si="41"/>
        <v>9.0305772562539701</v>
      </c>
      <c r="D316" s="53">
        <f t="shared" si="43"/>
        <v>3.1170419680653955E-2</v>
      </c>
      <c r="E316" s="54">
        <f t="shared" ref="E316:E369" si="47">(24*C316*(0.5)*1)/1000*EXP(43.33-112700/8.314/B316)+(24*C316*(0.5)*0.01)/1000*EXP(43.33-112700/8.314/B316)</f>
        <v>4.7558644874736775E-5</v>
      </c>
      <c r="G316" s="53">
        <f t="shared" si="42"/>
        <v>5.320664070879749</v>
      </c>
      <c r="H316" s="53">
        <f t="shared" si="39"/>
        <v>1.2309291202504213E-3</v>
      </c>
      <c r="I316" s="54">
        <f t="shared" si="46"/>
        <v>0</v>
      </c>
      <c r="K316" s="59">
        <v>265.42222222222222</v>
      </c>
      <c r="L316" s="53">
        <f t="shared" si="40"/>
        <v>14.334249613101539</v>
      </c>
      <c r="M316" s="53">
        <f t="shared" si="44"/>
        <v>4.947685663595864E-2</v>
      </c>
      <c r="N316" s="53">
        <f t="shared" si="45"/>
        <v>7.5489912499582184E-5</v>
      </c>
    </row>
    <row r="317" spans="1:14">
      <c r="A317" s="55">
        <v>130</v>
      </c>
      <c r="B317" s="59">
        <v>265.24444444444447</v>
      </c>
      <c r="C317" s="53">
        <f t="shared" si="41"/>
        <v>9.1006795803193459</v>
      </c>
      <c r="D317" s="53">
        <f t="shared" si="43"/>
        <v>3.1309364739483404E-2</v>
      </c>
      <c r="E317" s="54">
        <f t="shared" si="47"/>
        <v>4.6315019609815832E-5</v>
      </c>
      <c r="G317" s="53">
        <f t="shared" si="42"/>
        <v>5.3619190708797495</v>
      </c>
      <c r="H317" s="53">
        <f t="shared" ref="H317:H369" si="48">H316+3*I317</f>
        <v>1.2309291202504213E-3</v>
      </c>
      <c r="I317" s="54">
        <f t="shared" si="46"/>
        <v>0</v>
      </c>
      <c r="K317" s="59">
        <v>265.24444444444447</v>
      </c>
      <c r="L317" s="53">
        <f t="shared" ref="L317:L369" si="49">$M$2*A317-M316</f>
        <v>14.445523143364042</v>
      </c>
      <c r="M317" s="53">
        <f t="shared" si="44"/>
        <v>4.9697404348386334E-2</v>
      </c>
      <c r="N317" s="53">
        <f t="shared" si="45"/>
        <v>7.3515904142564816E-5</v>
      </c>
    </row>
    <row r="318" spans="1:14">
      <c r="A318" s="55">
        <v>131</v>
      </c>
      <c r="B318" s="59">
        <v>264.2</v>
      </c>
      <c r="C318" s="53">
        <f t="shared" ref="C318:C369" si="50">$D$2*A318-D317</f>
        <v>9.1707856352605166</v>
      </c>
      <c r="D318" s="53">
        <f t="shared" si="43"/>
        <v>3.1423766958666853E-2</v>
      </c>
      <c r="E318" s="54">
        <f t="shared" si="47"/>
        <v>3.8134073061149413E-5</v>
      </c>
      <c r="G318" s="53">
        <f t="shared" ref="G318:G369" si="51">$H$2*A318-H317</f>
        <v>5.4031740708797491</v>
      </c>
      <c r="H318" s="53">
        <f t="shared" si="48"/>
        <v>1.2309291202504213E-3</v>
      </c>
      <c r="I318" s="54">
        <f t="shared" si="46"/>
        <v>0</v>
      </c>
      <c r="K318" s="59">
        <v>264.2</v>
      </c>
      <c r="L318" s="53">
        <f t="shared" si="49"/>
        <v>14.556802595651614</v>
      </c>
      <c r="M318" s="53">
        <f t="shared" si="44"/>
        <v>4.9878995172487048E-2</v>
      </c>
      <c r="N318" s="53">
        <f t="shared" si="45"/>
        <v>6.0530274700237158E-5</v>
      </c>
    </row>
    <row r="319" spans="1:14">
      <c r="A319" s="55">
        <v>132</v>
      </c>
      <c r="B319" s="59">
        <v>264.26666666666665</v>
      </c>
      <c r="C319" s="53">
        <f t="shared" si="50"/>
        <v>9.2409162330413324</v>
      </c>
      <c r="D319" s="53">
        <f t="shared" ref="D319:D369" si="52">D318+3*E319</f>
        <v>3.1540545803661564E-2</v>
      </c>
      <c r="E319" s="54">
        <f t="shared" si="47"/>
        <v>3.8926281664903972E-5</v>
      </c>
      <c r="G319" s="53">
        <f t="shared" si="51"/>
        <v>5.4444290708797496</v>
      </c>
      <c r="H319" s="53">
        <f t="shared" si="48"/>
        <v>1.2309291202504213E-3</v>
      </c>
      <c r="I319" s="54">
        <f t="shared" si="46"/>
        <v>0</v>
      </c>
      <c r="K319" s="59">
        <v>264.26666666666665</v>
      </c>
      <c r="L319" s="53">
        <f t="shared" si="49"/>
        <v>14.668121004827514</v>
      </c>
      <c r="M319" s="53">
        <f t="shared" ref="M319:M369" si="53">M318+3*N319</f>
        <v>5.0064358418510403E-2</v>
      </c>
      <c r="N319" s="53">
        <f t="shared" ref="N319:N369" si="54">(24*L319*(0.5)*1)/1000*EXP(43.33-112700/8.314/K319)+(24*L319*(0.5)*0.01)/1000*EXP(43.33-112700/8.314/K319)</f>
        <v>6.1787748674450746E-5</v>
      </c>
    </row>
    <row r="320" spans="1:14">
      <c r="A320" s="55">
        <v>133</v>
      </c>
      <c r="B320" s="59">
        <v>262.04444444444442</v>
      </c>
      <c r="C320" s="53">
        <f t="shared" si="50"/>
        <v>9.3110444541963382</v>
      </c>
      <c r="D320" s="53">
        <f t="shared" si="52"/>
        <v>3.1616706641410509E-2</v>
      </c>
      <c r="E320" s="54">
        <f t="shared" si="47"/>
        <v>2.5386945916315417E-5</v>
      </c>
      <c r="G320" s="53">
        <f t="shared" si="51"/>
        <v>5.4856840708797492</v>
      </c>
      <c r="H320" s="53">
        <f t="shared" si="48"/>
        <v>1.2309291202504213E-3</v>
      </c>
      <c r="I320" s="54">
        <f t="shared" si="46"/>
        <v>0</v>
      </c>
      <c r="K320" s="59">
        <v>262.04444444444442</v>
      </c>
      <c r="L320" s="53">
        <f t="shared" si="49"/>
        <v>14.77943564158149</v>
      </c>
      <c r="M320" s="53">
        <f t="shared" si="53"/>
        <v>5.0185248637159521E-2</v>
      </c>
      <c r="N320" s="53">
        <f t="shared" si="54"/>
        <v>4.0296739549707012E-5</v>
      </c>
    </row>
    <row r="321" spans="1:14">
      <c r="A321" s="55">
        <v>134</v>
      </c>
      <c r="B321" s="59">
        <v>263.22222222222223</v>
      </c>
      <c r="C321" s="53">
        <f t="shared" si="50"/>
        <v>9.3812132933585897</v>
      </c>
      <c r="D321" s="53">
        <f t="shared" si="52"/>
        <v>3.1713426355008269E-2</v>
      </c>
      <c r="E321" s="54">
        <f t="shared" si="47"/>
        <v>3.2239904532587057E-5</v>
      </c>
      <c r="G321" s="53">
        <f t="shared" si="51"/>
        <v>5.5269390708797497</v>
      </c>
      <c r="H321" s="53">
        <f t="shared" si="48"/>
        <v>1.2309291202504213E-3</v>
      </c>
      <c r="I321" s="54">
        <f t="shared" si="46"/>
        <v>0</v>
      </c>
      <c r="K321" s="59">
        <v>263.22222222222223</v>
      </c>
      <c r="L321" s="53">
        <f t="shared" si="49"/>
        <v>14.890814751362841</v>
      </c>
      <c r="M321" s="53">
        <f t="shared" si="53"/>
        <v>5.0338771992076606E-2</v>
      </c>
      <c r="N321" s="53">
        <f t="shared" si="54"/>
        <v>5.1174451639027082E-5</v>
      </c>
    </row>
    <row r="322" spans="1:14">
      <c r="A322" s="55">
        <v>135</v>
      </c>
      <c r="B322" s="59">
        <v>266.05</v>
      </c>
      <c r="C322" s="53">
        <f t="shared" si="50"/>
        <v>9.4513615736449914</v>
      </c>
      <c r="D322" s="53">
        <f t="shared" si="52"/>
        <v>3.1881874395094871E-2</v>
      </c>
      <c r="E322" s="54">
        <f t="shared" si="47"/>
        <v>5.614934669553502E-5</v>
      </c>
      <c r="G322" s="53">
        <f t="shared" si="51"/>
        <v>5.5681940708797493</v>
      </c>
      <c r="H322" s="53">
        <f t="shared" si="48"/>
        <v>1.2309291202504213E-3</v>
      </c>
      <c r="I322" s="54">
        <f t="shared" si="46"/>
        <v>0</v>
      </c>
      <c r="K322" s="59">
        <v>266.05</v>
      </c>
      <c r="L322" s="53">
        <f t="shared" si="49"/>
        <v>15.002161228007923</v>
      </c>
      <c r="M322" s="53">
        <f t="shared" si="53"/>
        <v>5.0606149833483917E-2</v>
      </c>
      <c r="N322" s="53">
        <f t="shared" si="54"/>
        <v>8.9125947135769876E-5</v>
      </c>
    </row>
    <row r="323" spans="1:14">
      <c r="A323" s="55">
        <v>136</v>
      </c>
      <c r="B323" s="59">
        <v>266.71111111111111</v>
      </c>
      <c r="C323" s="53">
        <f t="shared" si="50"/>
        <v>9.5214381256049041</v>
      </c>
      <c r="D323" s="53">
        <f t="shared" si="52"/>
        <v>3.207441533187827E-2</v>
      </c>
      <c r="E323" s="54">
        <f t="shared" si="47"/>
        <v>6.4180312261132505E-5</v>
      </c>
      <c r="G323" s="53">
        <f t="shared" si="51"/>
        <v>5.6094490708797498</v>
      </c>
      <c r="H323" s="53">
        <f t="shared" si="48"/>
        <v>1.2309291202504213E-3</v>
      </c>
      <c r="I323" s="54">
        <f t="shared" si="46"/>
        <v>0</v>
      </c>
      <c r="K323" s="59">
        <v>266.71111111111111</v>
      </c>
      <c r="L323" s="53">
        <f t="shared" si="49"/>
        <v>15.113393850166515</v>
      </c>
      <c r="M323" s="53">
        <f t="shared" si="53"/>
        <v>5.0911770368060737E-2</v>
      </c>
      <c r="N323" s="53">
        <f t="shared" si="54"/>
        <v>1.0187351152560713E-4</v>
      </c>
    </row>
    <row r="324" spans="1:14">
      <c r="A324" s="55">
        <v>137</v>
      </c>
      <c r="B324" s="59">
        <v>266.37777777777779</v>
      </c>
      <c r="C324" s="53">
        <f t="shared" si="50"/>
        <v>9.5914905846681222</v>
      </c>
      <c r="D324" s="53">
        <f t="shared" si="52"/>
        <v>3.2256421344002265E-2</v>
      </c>
      <c r="E324" s="54">
        <f t="shared" si="47"/>
        <v>6.0668670707998563E-5</v>
      </c>
      <c r="G324" s="53">
        <f t="shared" si="51"/>
        <v>5.6507040708797494</v>
      </c>
      <c r="H324" s="53">
        <f t="shared" si="48"/>
        <v>1.2309291202504213E-3</v>
      </c>
      <c r="I324" s="54">
        <f t="shared" si="46"/>
        <v>0</v>
      </c>
      <c r="K324" s="59">
        <v>266.37777777777779</v>
      </c>
      <c r="L324" s="53">
        <f t="shared" si="49"/>
        <v>15.224588229631941</v>
      </c>
      <c r="M324" s="53">
        <f t="shared" si="53"/>
        <v>5.1200668800003589E-2</v>
      </c>
      <c r="N324" s="53">
        <f t="shared" si="54"/>
        <v>9.6299477314283442E-5</v>
      </c>
    </row>
    <row r="325" spans="1:14">
      <c r="A325" s="55">
        <v>138</v>
      </c>
      <c r="B325" s="59">
        <v>264.48888888888888</v>
      </c>
      <c r="C325" s="53">
        <f t="shared" si="50"/>
        <v>9.6615535786559992</v>
      </c>
      <c r="D325" s="53">
        <f t="shared" si="52"/>
        <v>3.2383892842999244E-2</v>
      </c>
      <c r="E325" s="54">
        <f t="shared" si="47"/>
        <v>4.2490499665660316E-5</v>
      </c>
      <c r="G325" s="53">
        <f t="shared" si="51"/>
        <v>5.6919590708797498</v>
      </c>
      <c r="H325" s="53">
        <f t="shared" si="48"/>
        <v>1.2309291202504213E-3</v>
      </c>
      <c r="I325" s="54">
        <f t="shared" ref="I325:I369" si="55">MAX(G325*0.24*0.67*(0.201*(B325-273)-0.29)/100/100*0.5,0)</f>
        <v>0</v>
      </c>
      <c r="K325" s="59">
        <v>264.48888888888888</v>
      </c>
      <c r="L325" s="53">
        <f t="shared" si="49"/>
        <v>15.335799331199997</v>
      </c>
      <c r="M325" s="53">
        <f t="shared" si="53"/>
        <v>5.1403004512697206E-2</v>
      </c>
      <c r="N325" s="53">
        <f t="shared" si="54"/>
        <v>6.7445237564540172E-5</v>
      </c>
    </row>
    <row r="326" spans="1:14">
      <c r="A326" s="55">
        <v>139</v>
      </c>
      <c r="B326" s="59">
        <v>267.39999999999998</v>
      </c>
      <c r="C326" s="53">
        <f t="shared" si="50"/>
        <v>9.7316711071570019</v>
      </c>
      <c r="D326" s="53">
        <f t="shared" si="52"/>
        <v>3.2608215392400289E-2</v>
      </c>
      <c r="E326" s="54">
        <f t="shared" si="47"/>
        <v>7.4774183133681464E-5</v>
      </c>
      <c r="G326" s="53">
        <f t="shared" si="51"/>
        <v>5.7332140708797494</v>
      </c>
      <c r="H326" s="53">
        <f t="shared" si="48"/>
        <v>1.2309291202504213E-3</v>
      </c>
      <c r="I326" s="54">
        <f t="shared" si="55"/>
        <v>0</v>
      </c>
      <c r="K326" s="59">
        <v>267.39999999999998</v>
      </c>
      <c r="L326" s="53">
        <f t="shared" si="49"/>
        <v>15.447096995487303</v>
      </c>
      <c r="M326" s="53">
        <f t="shared" si="53"/>
        <v>5.1759072051429024E-2</v>
      </c>
      <c r="N326" s="53">
        <f t="shared" si="54"/>
        <v>1.1868917957727218E-4</v>
      </c>
    </row>
    <row r="327" spans="1:14">
      <c r="A327" s="55">
        <v>140</v>
      </c>
      <c r="B327" s="59">
        <v>271.77777777777777</v>
      </c>
      <c r="C327" s="53">
        <f t="shared" si="50"/>
        <v>9.8016917846076002</v>
      </c>
      <c r="D327" s="53">
        <f t="shared" si="52"/>
        <v>3.3119446709721563E-2</v>
      </c>
      <c r="E327" s="54">
        <f t="shared" si="47"/>
        <v>1.7041043910709237E-4</v>
      </c>
      <c r="G327" s="53">
        <f t="shared" si="51"/>
        <v>5.774469070879749</v>
      </c>
      <c r="H327" s="53">
        <f t="shared" si="48"/>
        <v>1.2309291202504213E-3</v>
      </c>
      <c r="I327" s="54">
        <f t="shared" si="55"/>
        <v>0</v>
      </c>
      <c r="K327" s="59">
        <v>271.77777777777777</v>
      </c>
      <c r="L327" s="53">
        <f t="shared" si="49"/>
        <v>15.558240927948571</v>
      </c>
      <c r="M327" s="53">
        <f t="shared" si="53"/>
        <v>5.2570550332891368E-2</v>
      </c>
      <c r="N327" s="53">
        <f t="shared" si="54"/>
        <v>2.7049276048744808E-4</v>
      </c>
    </row>
    <row r="328" spans="1:14">
      <c r="A328" s="55">
        <v>141</v>
      </c>
      <c r="B328" s="59">
        <v>267.37777777777779</v>
      </c>
      <c r="C328" s="53">
        <f t="shared" si="50"/>
        <v>9.8714255532902797</v>
      </c>
      <c r="D328" s="53">
        <f t="shared" si="52"/>
        <v>3.3346034029914901E-2</v>
      </c>
      <c r="E328" s="54">
        <f t="shared" si="47"/>
        <v>7.5529106731111472E-5</v>
      </c>
      <c r="G328" s="53">
        <f t="shared" si="51"/>
        <v>5.8157240708797495</v>
      </c>
      <c r="H328" s="53">
        <f t="shared" si="48"/>
        <v>1.2309291202504213E-3</v>
      </c>
      <c r="I328" s="54">
        <f t="shared" si="55"/>
        <v>0</v>
      </c>
      <c r="K328" s="59">
        <v>267.37777777777779</v>
      </c>
      <c r="L328" s="53">
        <f t="shared" si="49"/>
        <v>15.668929449667109</v>
      </c>
      <c r="M328" s="53">
        <f t="shared" si="53"/>
        <v>5.2930212745896661E-2</v>
      </c>
      <c r="N328" s="53">
        <f t="shared" si="54"/>
        <v>1.1988747100176423E-4</v>
      </c>
    </row>
    <row r="329" spans="1:14">
      <c r="A329" s="55">
        <v>142</v>
      </c>
      <c r="B329" s="59">
        <v>265.04444444444442</v>
      </c>
      <c r="C329" s="53">
        <f t="shared" si="50"/>
        <v>9.9414439659700857</v>
      </c>
      <c r="D329" s="53">
        <f t="shared" si="52"/>
        <v>3.3492073666157814E-2</v>
      </c>
      <c r="E329" s="54">
        <f t="shared" si="47"/>
        <v>4.8679878747637115E-5</v>
      </c>
      <c r="G329" s="53">
        <f t="shared" si="51"/>
        <v>5.8569790708797491</v>
      </c>
      <c r="H329" s="53">
        <f t="shared" si="48"/>
        <v>1.2309291202504213E-3</v>
      </c>
      <c r="I329" s="54">
        <f t="shared" si="55"/>
        <v>0</v>
      </c>
      <c r="K329" s="59">
        <v>265.04444444444442</v>
      </c>
      <c r="L329" s="53">
        <f t="shared" si="49"/>
        <v>15.780069787254103</v>
      </c>
      <c r="M329" s="53">
        <f t="shared" si="53"/>
        <v>5.3162021692313981E-2</v>
      </c>
      <c r="N329" s="53">
        <f t="shared" si="54"/>
        <v>7.7269648805773194E-5</v>
      </c>
    </row>
    <row r="330" spans="1:14">
      <c r="A330" s="55">
        <v>143</v>
      </c>
      <c r="B330" s="59">
        <v>266.5333333333333</v>
      </c>
      <c r="C330" s="53">
        <f t="shared" si="50"/>
        <v>10.011542926333842</v>
      </c>
      <c r="D330" s="53">
        <f t="shared" si="52"/>
        <v>3.3687777347283197E-2</v>
      </c>
      <c r="E330" s="54">
        <f t="shared" si="47"/>
        <v>6.5234560375127898E-5</v>
      </c>
      <c r="G330" s="53">
        <f t="shared" si="51"/>
        <v>5.8982340708797496</v>
      </c>
      <c r="H330" s="53">
        <f t="shared" si="48"/>
        <v>1.2309291202504213E-3</v>
      </c>
      <c r="I330" s="54">
        <f t="shared" si="55"/>
        <v>0</v>
      </c>
      <c r="K330" s="59">
        <v>266.5333333333333</v>
      </c>
      <c r="L330" s="53">
        <f t="shared" si="49"/>
        <v>15.891337978307686</v>
      </c>
      <c r="M330" s="53">
        <f t="shared" si="53"/>
        <v>5.3472662456005064E-2</v>
      </c>
      <c r="N330" s="53">
        <f t="shared" si="54"/>
        <v>1.0354692123036173E-4</v>
      </c>
    </row>
    <row r="331" spans="1:14">
      <c r="A331" s="55">
        <v>144</v>
      </c>
      <c r="B331" s="59">
        <v>267.8</v>
      </c>
      <c r="C331" s="53">
        <f t="shared" si="50"/>
        <v>10.081592222652716</v>
      </c>
      <c r="D331" s="53">
        <f t="shared" si="52"/>
        <v>3.3938445266579305E-2</v>
      </c>
      <c r="E331" s="54">
        <f t="shared" si="47"/>
        <v>8.3555973098702266E-5</v>
      </c>
      <c r="G331" s="53">
        <f t="shared" si="51"/>
        <v>5.9394890708797492</v>
      </c>
      <c r="H331" s="53">
        <f t="shared" si="48"/>
        <v>1.2309291202504213E-3</v>
      </c>
      <c r="I331" s="54">
        <f t="shared" si="55"/>
        <v>0</v>
      </c>
      <c r="K331" s="59">
        <v>267.8</v>
      </c>
      <c r="L331" s="53">
        <f t="shared" si="49"/>
        <v>16.002527337543995</v>
      </c>
      <c r="M331" s="53">
        <f t="shared" si="53"/>
        <v>5.387054804218936E-2</v>
      </c>
      <c r="N331" s="53">
        <f t="shared" si="54"/>
        <v>1.3262852872809888E-4</v>
      </c>
    </row>
    <row r="332" spans="1:14">
      <c r="A332" s="55">
        <v>145</v>
      </c>
      <c r="B332" s="59">
        <v>266.84444444444443</v>
      </c>
      <c r="C332" s="53">
        <f t="shared" si="50"/>
        <v>10.15158655473342</v>
      </c>
      <c r="D332" s="53">
        <f t="shared" si="52"/>
        <v>3.4149008960950522E-2</v>
      </c>
      <c r="E332" s="54">
        <f t="shared" si="47"/>
        <v>7.0187898123739574E-5</v>
      </c>
      <c r="G332" s="53">
        <f t="shared" si="51"/>
        <v>5.9807440708797497</v>
      </c>
      <c r="H332" s="53">
        <f t="shared" si="48"/>
        <v>1.2309291202504213E-3</v>
      </c>
      <c r="I332" s="54">
        <f t="shared" si="55"/>
        <v>0</v>
      </c>
      <c r="K332" s="59">
        <v>266.84444444444443</v>
      </c>
      <c r="L332" s="53">
        <f t="shared" si="49"/>
        <v>16.113629451957809</v>
      </c>
      <c r="M332" s="53">
        <f t="shared" si="53"/>
        <v>5.4204776128492879E-2</v>
      </c>
      <c r="N332" s="53">
        <f t="shared" si="54"/>
        <v>1.1140936210117395E-4</v>
      </c>
    </row>
    <row r="333" spans="1:14">
      <c r="A333" s="55">
        <v>146</v>
      </c>
      <c r="B333" s="59">
        <v>266.13333333333333</v>
      </c>
      <c r="C333" s="53">
        <f t="shared" si="50"/>
        <v>10.22162099103905</v>
      </c>
      <c r="D333" s="53">
        <f t="shared" si="52"/>
        <v>3.433411479232381E-2</v>
      </c>
      <c r="E333" s="54">
        <f t="shared" si="47"/>
        <v>6.1701943791094902E-5</v>
      </c>
      <c r="G333" s="53">
        <f t="shared" si="51"/>
        <v>6.0219990708797493</v>
      </c>
      <c r="H333" s="53">
        <f t="shared" si="48"/>
        <v>1.2309291202504213E-3</v>
      </c>
      <c r="I333" s="54">
        <f t="shared" si="55"/>
        <v>0</v>
      </c>
      <c r="K333" s="59">
        <v>266.13333333333333</v>
      </c>
      <c r="L333" s="53">
        <f t="shared" si="49"/>
        <v>16.224795223871507</v>
      </c>
      <c r="M333" s="53">
        <f t="shared" si="53"/>
        <v>5.4498594908450472E-2</v>
      </c>
      <c r="N333" s="53">
        <f t="shared" si="54"/>
        <v>9.7939593319198241E-5</v>
      </c>
    </row>
    <row r="334" spans="1:14">
      <c r="A334" s="55">
        <v>147</v>
      </c>
      <c r="B334" s="59">
        <v>268.35555555555555</v>
      </c>
      <c r="C334" s="53">
        <f t="shared" si="50"/>
        <v>10.291680885207676</v>
      </c>
      <c r="D334" s="53">
        <f t="shared" si="52"/>
        <v>3.461827659536662E-2</v>
      </c>
      <c r="E334" s="54">
        <f t="shared" si="47"/>
        <v>9.4720601014270471E-5</v>
      </c>
      <c r="G334" s="53">
        <f t="shared" si="51"/>
        <v>6.0632540708797498</v>
      </c>
      <c r="H334" s="53">
        <f t="shared" si="48"/>
        <v>1.2309291202504213E-3</v>
      </c>
      <c r="I334" s="54">
        <f t="shared" si="55"/>
        <v>0</v>
      </c>
      <c r="K334" s="59">
        <v>268.35555555555555</v>
      </c>
      <c r="L334" s="53">
        <f t="shared" si="49"/>
        <v>16.336001405091547</v>
      </c>
      <c r="M334" s="53">
        <f t="shared" si="53"/>
        <v>5.4949645389470808E-2</v>
      </c>
      <c r="N334" s="53">
        <f t="shared" si="54"/>
        <v>1.5035016034011184E-4</v>
      </c>
    </row>
    <row r="335" spans="1:14">
      <c r="A335" s="55">
        <v>148</v>
      </c>
      <c r="B335" s="59">
        <v>270.15555555555557</v>
      </c>
      <c r="C335" s="53">
        <f t="shared" si="50"/>
        <v>10.361641723404633</v>
      </c>
      <c r="D335" s="53">
        <f t="shared" si="52"/>
        <v>3.5018842436563356E-2</v>
      </c>
      <c r="E335" s="54">
        <f t="shared" si="47"/>
        <v>1.3352194706557828E-4</v>
      </c>
      <c r="G335" s="53">
        <f t="shared" si="51"/>
        <v>6.1045090708797494</v>
      </c>
      <c r="H335" s="53">
        <f t="shared" si="48"/>
        <v>1.2309291202504213E-3</v>
      </c>
      <c r="I335" s="54">
        <f t="shared" si="55"/>
        <v>0</v>
      </c>
      <c r="K335" s="59">
        <v>270.15555555555557</v>
      </c>
      <c r="L335" s="53">
        <f t="shared" si="49"/>
        <v>16.447050354610528</v>
      </c>
      <c r="M335" s="53">
        <f t="shared" si="53"/>
        <v>5.558546418502118E-2</v>
      </c>
      <c r="N335" s="53">
        <f t="shared" si="54"/>
        <v>2.1193959851679092E-4</v>
      </c>
    </row>
    <row r="336" spans="1:14">
      <c r="A336" s="55">
        <v>149</v>
      </c>
      <c r="B336" s="59">
        <v>267.24444444444447</v>
      </c>
      <c r="C336" s="53">
        <f t="shared" si="50"/>
        <v>10.431486157563436</v>
      </c>
      <c r="D336" s="53">
        <f t="shared" si="52"/>
        <v>3.5252304780570239E-2</v>
      </c>
      <c r="E336" s="54">
        <f t="shared" si="47"/>
        <v>7.7820781335626566E-5</v>
      </c>
      <c r="G336" s="53">
        <f t="shared" si="51"/>
        <v>6.1457640708797499</v>
      </c>
      <c r="H336" s="53">
        <f t="shared" si="48"/>
        <v>1.2309291202504213E-3</v>
      </c>
      <c r="I336" s="54">
        <f t="shared" si="55"/>
        <v>0</v>
      </c>
      <c r="K336" s="59">
        <v>267.24444444444447</v>
      </c>
      <c r="L336" s="53">
        <f t="shared" si="49"/>
        <v>16.55791453581498</v>
      </c>
      <c r="M336" s="53">
        <f t="shared" si="53"/>
        <v>5.5956039334238449E-2</v>
      </c>
      <c r="N336" s="53">
        <f t="shared" si="54"/>
        <v>1.2352504973908981E-4</v>
      </c>
    </row>
    <row r="337" spans="1:14">
      <c r="A337" s="55">
        <v>150</v>
      </c>
      <c r="B337" s="59">
        <v>266.88888888888891</v>
      </c>
      <c r="C337" s="53">
        <f t="shared" si="50"/>
        <v>10.501497695219429</v>
      </c>
      <c r="D337" s="53">
        <f t="shared" si="52"/>
        <v>3.5471976782930605E-2</v>
      </c>
      <c r="E337" s="54">
        <f t="shared" si="47"/>
        <v>7.3224000786789418E-5</v>
      </c>
      <c r="G337" s="53">
        <f t="shared" si="51"/>
        <v>6.1870190708797494</v>
      </c>
      <c r="H337" s="53">
        <f t="shared" si="48"/>
        <v>1.2309291202504213E-3</v>
      </c>
      <c r="I337" s="54">
        <f t="shared" si="55"/>
        <v>0</v>
      </c>
      <c r="K337" s="59">
        <v>266.88888888888891</v>
      </c>
      <c r="L337" s="53">
        <f t="shared" si="49"/>
        <v>16.669043960665764</v>
      </c>
      <c r="M337" s="53">
        <f t="shared" si="53"/>
        <v>5.6304725052270778E-2</v>
      </c>
      <c r="N337" s="53">
        <f t="shared" si="54"/>
        <v>1.1622857267744357E-4</v>
      </c>
    </row>
    <row r="338" spans="1:14">
      <c r="A338" s="55">
        <v>151</v>
      </c>
      <c r="B338" s="59">
        <v>267.30555555555554</v>
      </c>
      <c r="C338" s="53">
        <f t="shared" si="50"/>
        <v>10.571523023217068</v>
      </c>
      <c r="D338" s="53">
        <f t="shared" si="52"/>
        <v>3.5711332828359227E-2</v>
      </c>
      <c r="E338" s="54">
        <f t="shared" si="47"/>
        <v>7.9785348476208457E-5</v>
      </c>
      <c r="G338" s="53">
        <f t="shared" si="51"/>
        <v>6.228274070879749</v>
      </c>
      <c r="H338" s="53">
        <f t="shared" si="48"/>
        <v>1.2309291202504213E-3</v>
      </c>
      <c r="I338" s="54">
        <f t="shared" si="55"/>
        <v>0</v>
      </c>
      <c r="K338" s="59">
        <v>267.30555555555554</v>
      </c>
      <c r="L338" s="53">
        <f t="shared" si="49"/>
        <v>16.780195274947729</v>
      </c>
      <c r="M338" s="53">
        <f t="shared" si="53"/>
        <v>5.6684655283109862E-2</v>
      </c>
      <c r="N338" s="53">
        <f t="shared" si="54"/>
        <v>1.2664341027969597E-4</v>
      </c>
    </row>
    <row r="339" spans="1:14">
      <c r="A339" s="55">
        <v>152</v>
      </c>
      <c r="B339" s="62">
        <v>268.75</v>
      </c>
      <c r="C339" s="53">
        <f t="shared" si="50"/>
        <v>10.641528667171642</v>
      </c>
      <c r="D339" s="53">
        <f t="shared" si="52"/>
        <v>3.6027765354084924E-2</v>
      </c>
      <c r="E339" s="54">
        <f t="shared" si="47"/>
        <v>1.0547750857523341E-4</v>
      </c>
      <c r="G339" s="53">
        <f t="shared" si="51"/>
        <v>6.2695290708797495</v>
      </c>
      <c r="H339" s="53">
        <f t="shared" si="48"/>
        <v>1.2309291202504213E-3</v>
      </c>
      <c r="I339" s="54">
        <f t="shared" si="55"/>
        <v>0</v>
      </c>
      <c r="K339" s="62">
        <v>268.75</v>
      </c>
      <c r="L339" s="53">
        <f t="shared" si="49"/>
        <v>16.89131534471689</v>
      </c>
      <c r="M339" s="53">
        <f t="shared" si="53"/>
        <v>5.7186929133468116E-2</v>
      </c>
      <c r="N339" s="53">
        <f t="shared" si="54"/>
        <v>1.6742461678608477E-4</v>
      </c>
    </row>
    <row r="340" spans="1:14">
      <c r="A340" s="55">
        <v>153</v>
      </c>
      <c r="B340" s="59">
        <v>268.04444444444442</v>
      </c>
      <c r="C340" s="53">
        <f t="shared" si="50"/>
        <v>10.711457234645916</v>
      </c>
      <c r="D340" s="53">
        <f t="shared" si="52"/>
        <v>3.6306676405468717E-2</v>
      </c>
      <c r="E340" s="54">
        <f t="shared" si="47"/>
        <v>9.297035046126347E-5</v>
      </c>
      <c r="G340" s="53">
        <f t="shared" si="51"/>
        <v>6.3107840708797491</v>
      </c>
      <c r="H340" s="53">
        <f t="shared" si="48"/>
        <v>1.2309291202504213E-3</v>
      </c>
      <c r="I340" s="54">
        <f t="shared" si="55"/>
        <v>0</v>
      </c>
      <c r="K340" s="59">
        <v>268.04444444444442</v>
      </c>
      <c r="L340" s="53">
        <f t="shared" si="49"/>
        <v>17.002313070866531</v>
      </c>
      <c r="M340" s="53">
        <f t="shared" si="53"/>
        <v>5.7629645088045564E-2</v>
      </c>
      <c r="N340" s="53">
        <f t="shared" si="54"/>
        <v>1.4757198485914835E-4</v>
      </c>
    </row>
    <row r="341" spans="1:14">
      <c r="A341" s="55">
        <v>154</v>
      </c>
      <c r="B341" s="59">
        <v>268.04444444444442</v>
      </c>
      <c r="C341" s="53">
        <f t="shared" si="50"/>
        <v>10.781423323594533</v>
      </c>
      <c r="D341" s="53">
        <f t="shared" si="52"/>
        <v>3.6587409273903387E-2</v>
      </c>
      <c r="E341" s="54">
        <f t="shared" si="47"/>
        <v>9.3577622811557456E-5</v>
      </c>
      <c r="G341" s="53">
        <f t="shared" si="51"/>
        <v>6.3520390708797496</v>
      </c>
      <c r="H341" s="53">
        <f t="shared" si="48"/>
        <v>1.2309291202504213E-3</v>
      </c>
      <c r="I341" s="54">
        <f t="shared" si="55"/>
        <v>0</v>
      </c>
      <c r="K341" s="59">
        <v>268.04444444444442</v>
      </c>
      <c r="L341" s="53">
        <f t="shared" si="49"/>
        <v>17.113370354911954</v>
      </c>
      <c r="M341" s="53">
        <f t="shared" si="53"/>
        <v>5.8075252815719645E-2</v>
      </c>
      <c r="N341" s="53">
        <f t="shared" si="54"/>
        <v>1.4853590922469433E-4</v>
      </c>
    </row>
    <row r="342" spans="1:14">
      <c r="A342" s="55">
        <v>155</v>
      </c>
      <c r="B342" s="59">
        <v>269.64444444444445</v>
      </c>
      <c r="C342" s="53">
        <f t="shared" si="50"/>
        <v>10.851387590726098</v>
      </c>
      <c r="D342" s="53">
        <f t="shared" si="52"/>
        <v>3.6968848269880089E-2</v>
      </c>
      <c r="E342" s="54">
        <f t="shared" si="47"/>
        <v>1.271463319922345E-4</v>
      </c>
      <c r="G342" s="53">
        <f t="shared" si="51"/>
        <v>6.3932940708797492</v>
      </c>
      <c r="H342" s="53">
        <f t="shared" si="48"/>
        <v>1.2309291202504213E-3</v>
      </c>
      <c r="I342" s="54">
        <f t="shared" si="55"/>
        <v>0</v>
      </c>
      <c r="K342" s="59">
        <v>269.64444444444445</v>
      </c>
      <c r="L342" s="53">
        <f t="shared" si="49"/>
        <v>17.22442474718428</v>
      </c>
      <c r="M342" s="53">
        <f t="shared" si="53"/>
        <v>5.868071153949219E-2</v>
      </c>
      <c r="N342" s="53">
        <f t="shared" si="54"/>
        <v>2.0181957459084843E-4</v>
      </c>
    </row>
    <row r="343" spans="1:14">
      <c r="A343" s="55">
        <v>156</v>
      </c>
      <c r="B343" s="59">
        <v>270.55555555555554</v>
      </c>
      <c r="C343" s="53">
        <f t="shared" si="50"/>
        <v>10.92125115173012</v>
      </c>
      <c r="D343" s="53">
        <f t="shared" si="52"/>
        <v>3.7423558722794965E-2</v>
      </c>
      <c r="E343" s="54">
        <f t="shared" si="47"/>
        <v>1.515701509716244E-4</v>
      </c>
      <c r="G343" s="53">
        <f t="shared" si="51"/>
        <v>6.4345490708797497</v>
      </c>
      <c r="H343" s="53">
        <f t="shared" si="48"/>
        <v>1.2309291202504213E-3</v>
      </c>
      <c r="I343" s="54">
        <f t="shared" si="55"/>
        <v>0</v>
      </c>
      <c r="K343" s="59">
        <v>270.55555555555554</v>
      </c>
      <c r="L343" s="53">
        <f t="shared" si="49"/>
        <v>17.335319288460511</v>
      </c>
      <c r="M343" s="53">
        <f t="shared" si="53"/>
        <v>5.9402474163166595E-2</v>
      </c>
      <c r="N343" s="53">
        <f t="shared" si="54"/>
        <v>2.4058754122480063E-4</v>
      </c>
    </row>
    <row r="344" spans="1:14">
      <c r="A344" s="55">
        <v>157</v>
      </c>
      <c r="B344" s="59">
        <v>267.97777777777776</v>
      </c>
      <c r="C344" s="53">
        <f t="shared" si="50"/>
        <v>10.991041441277206</v>
      </c>
      <c r="D344" s="53">
        <f t="shared" si="52"/>
        <v>3.7706171717695081E-2</v>
      </c>
      <c r="E344" s="54">
        <f t="shared" si="47"/>
        <v>9.4204331633372532E-5</v>
      </c>
      <c r="G344" s="53">
        <f t="shared" si="51"/>
        <v>6.4758040708797493</v>
      </c>
      <c r="H344" s="53">
        <f t="shared" si="48"/>
        <v>1.2309291202504213E-3</v>
      </c>
      <c r="I344" s="54">
        <f t="shared" si="55"/>
        <v>0</v>
      </c>
      <c r="K344" s="59">
        <v>267.97777777777776</v>
      </c>
      <c r="L344" s="53">
        <f t="shared" si="49"/>
        <v>17.446097525836834</v>
      </c>
      <c r="M344" s="53">
        <f t="shared" si="53"/>
        <v>5.9851066218563606E-2</v>
      </c>
      <c r="N344" s="53">
        <f t="shared" si="54"/>
        <v>1.4953068513233735E-4</v>
      </c>
    </row>
    <row r="345" spans="1:14">
      <c r="A345" s="55">
        <v>158</v>
      </c>
      <c r="B345" s="59">
        <v>268.68888888888887</v>
      </c>
      <c r="C345" s="53">
        <f t="shared" si="50"/>
        <v>11.061003828282306</v>
      </c>
      <c r="D345" s="53">
        <f t="shared" si="52"/>
        <v>3.803132598045366E-2</v>
      </c>
      <c r="E345" s="54">
        <f t="shared" si="47"/>
        <v>1.0838475425285991E-4</v>
      </c>
      <c r="G345" s="53">
        <f t="shared" si="51"/>
        <v>6.5170590708797498</v>
      </c>
      <c r="H345" s="53">
        <f t="shared" si="48"/>
        <v>1.2309291202504213E-3</v>
      </c>
      <c r="I345" s="54">
        <f t="shared" si="55"/>
        <v>0</v>
      </c>
      <c r="K345" s="59">
        <v>268.68888888888887</v>
      </c>
      <c r="L345" s="53">
        <f t="shared" si="49"/>
        <v>17.557148933781438</v>
      </c>
      <c r="M345" s="53">
        <f t="shared" si="53"/>
        <v>6.0367184095958176E-2</v>
      </c>
      <c r="N345" s="53">
        <f t="shared" si="54"/>
        <v>1.7203929246485702E-4</v>
      </c>
    </row>
    <row r="346" spans="1:14">
      <c r="A346" s="55">
        <v>159</v>
      </c>
      <c r="B346" s="59">
        <v>269.64444444444445</v>
      </c>
      <c r="C346" s="53">
        <f t="shared" si="50"/>
        <v>11.130923674019547</v>
      </c>
      <c r="D346" s="53">
        <f t="shared" si="52"/>
        <v>3.8422590997486128E-2</v>
      </c>
      <c r="E346" s="54">
        <f t="shared" si="47"/>
        <v>1.3042167234415532E-4</v>
      </c>
      <c r="G346" s="53">
        <f t="shared" si="51"/>
        <v>6.5583140708797494</v>
      </c>
      <c r="H346" s="53">
        <f t="shared" si="48"/>
        <v>1.2309291202504213E-3</v>
      </c>
      <c r="I346" s="54">
        <f t="shared" si="55"/>
        <v>0</v>
      </c>
      <c r="K346" s="59">
        <v>269.64444444444445</v>
      </c>
      <c r="L346" s="53">
        <f t="shared" si="49"/>
        <v>17.668132815904041</v>
      </c>
      <c r="M346" s="53">
        <f t="shared" si="53"/>
        <v>6.098823967854939E-2</v>
      </c>
      <c r="N346" s="53">
        <f t="shared" si="54"/>
        <v>2.0701852753040524E-4</v>
      </c>
    </row>
    <row r="347" spans="1:14">
      <c r="A347" s="55">
        <v>160</v>
      </c>
      <c r="B347" s="59">
        <v>272.44444444444446</v>
      </c>
      <c r="C347" s="53">
        <f t="shared" si="50"/>
        <v>11.200777409002514</v>
      </c>
      <c r="D347" s="53">
        <f t="shared" si="52"/>
        <v>3.9082629630917215E-2</v>
      </c>
      <c r="E347" s="54">
        <f t="shared" si="47"/>
        <v>2.2001287781036306E-4</v>
      </c>
      <c r="G347" s="53">
        <f t="shared" si="51"/>
        <v>6.599569070879749</v>
      </c>
      <c r="H347" s="53">
        <f t="shared" si="48"/>
        <v>1.2309291202504213E-3</v>
      </c>
      <c r="I347" s="54">
        <f t="shared" si="55"/>
        <v>0</v>
      </c>
      <c r="K347" s="59">
        <v>272.44444444444446</v>
      </c>
      <c r="L347" s="53">
        <f t="shared" si="49"/>
        <v>17.779011760321449</v>
      </c>
      <c r="M347" s="53">
        <f t="shared" si="53"/>
        <v>6.2035920049074926E-2</v>
      </c>
      <c r="N347" s="53">
        <f t="shared" si="54"/>
        <v>3.4922679017517942E-4</v>
      </c>
    </row>
    <row r="348" spans="1:14">
      <c r="A348" s="55">
        <v>161</v>
      </c>
      <c r="B348" s="59">
        <v>274.0888888888889</v>
      </c>
      <c r="C348" s="53">
        <f t="shared" si="50"/>
        <v>11.270362370369083</v>
      </c>
      <c r="D348" s="53">
        <f t="shared" si="52"/>
        <v>3.9977791877387051E-2</v>
      </c>
      <c r="E348" s="54">
        <f t="shared" si="47"/>
        <v>2.9838741548994443E-4</v>
      </c>
      <c r="G348" s="53">
        <f t="shared" si="51"/>
        <v>6.6408240708797495</v>
      </c>
      <c r="H348" s="53">
        <f t="shared" si="48"/>
        <v>1.2309291202504213E-3</v>
      </c>
      <c r="I348" s="54">
        <f t="shared" si="55"/>
        <v>0</v>
      </c>
      <c r="K348" s="59">
        <v>274.0888888888889</v>
      </c>
      <c r="L348" s="53">
        <f t="shared" si="49"/>
        <v>17.889464079950926</v>
      </c>
      <c r="M348" s="53">
        <f t="shared" si="53"/>
        <v>6.3456812503788942E-2</v>
      </c>
      <c r="N348" s="53">
        <f t="shared" si="54"/>
        <v>4.7363081823800714E-4</v>
      </c>
    </row>
    <row r="349" spans="1:14">
      <c r="A349" s="55">
        <v>162</v>
      </c>
      <c r="B349" s="59">
        <v>272.55555555555554</v>
      </c>
      <c r="C349" s="53">
        <f t="shared" si="50"/>
        <v>11.339712208122613</v>
      </c>
      <c r="D349" s="53">
        <f t="shared" si="52"/>
        <v>4.0659709859987458E-2</v>
      </c>
      <c r="E349" s="54">
        <f t="shared" si="47"/>
        <v>2.2730599420013543E-4</v>
      </c>
      <c r="G349" s="53">
        <f t="shared" si="51"/>
        <v>6.6820790708797491</v>
      </c>
      <c r="H349" s="53">
        <f t="shared" si="48"/>
        <v>1.2309291202504213E-3</v>
      </c>
      <c r="I349" s="54">
        <f t="shared" si="55"/>
        <v>0</v>
      </c>
      <c r="K349" s="59">
        <v>272.55555555555554</v>
      </c>
      <c r="L349" s="53">
        <f t="shared" si="49"/>
        <v>17.999543187496212</v>
      </c>
      <c r="M349" s="53">
        <f t="shared" si="53"/>
        <v>6.4539221999980065E-2</v>
      </c>
      <c r="N349" s="53">
        <f t="shared" si="54"/>
        <v>3.6080316539704034E-4</v>
      </c>
    </row>
    <row r="350" spans="1:14">
      <c r="A350" s="55">
        <v>163</v>
      </c>
      <c r="B350" s="59">
        <v>272.82222222222219</v>
      </c>
      <c r="C350" s="53">
        <f t="shared" si="50"/>
        <v>11.409275290140013</v>
      </c>
      <c r="D350" s="53">
        <f t="shared" si="52"/>
        <v>4.1379988116938611E-2</v>
      </c>
      <c r="E350" s="54">
        <f t="shared" si="47"/>
        <v>2.4009275231705096E-4</v>
      </c>
      <c r="G350" s="53">
        <f t="shared" si="51"/>
        <v>6.7233340708797495</v>
      </c>
      <c r="H350" s="53">
        <f t="shared" si="48"/>
        <v>1.2309291202504213E-3</v>
      </c>
      <c r="I350" s="54">
        <f t="shared" si="55"/>
        <v>0</v>
      </c>
      <c r="K350" s="59">
        <v>272.82222222222219</v>
      </c>
      <c r="L350" s="53">
        <f t="shared" si="49"/>
        <v>18.109960778000023</v>
      </c>
      <c r="M350" s="53">
        <f t="shared" si="53"/>
        <v>6.5682520820537452E-2</v>
      </c>
      <c r="N350" s="53">
        <f t="shared" si="54"/>
        <v>3.8109960685246198E-4</v>
      </c>
    </row>
    <row r="351" spans="1:14">
      <c r="A351" s="55">
        <v>164</v>
      </c>
      <c r="B351" s="59">
        <v>275.77777777777777</v>
      </c>
      <c r="C351" s="53">
        <f t="shared" si="50"/>
        <v>11.478800011883061</v>
      </c>
      <c r="D351" s="53">
        <f t="shared" si="52"/>
        <v>4.2614222286153816E-2</v>
      </c>
      <c r="E351" s="54">
        <f t="shared" si="47"/>
        <v>4.1141138973840283E-4</v>
      </c>
      <c r="G351" s="53">
        <f t="shared" si="51"/>
        <v>6.7645890708797491</v>
      </c>
      <c r="H351" s="53">
        <f t="shared" si="48"/>
        <v>1.2747108936349691E-3</v>
      </c>
      <c r="I351" s="54">
        <f t="shared" si="55"/>
        <v>1.4593924461515906E-5</v>
      </c>
      <c r="K351" s="59">
        <v>275.77777777777777</v>
      </c>
      <c r="L351" s="53">
        <f t="shared" si="49"/>
        <v>18.220317479179464</v>
      </c>
      <c r="M351" s="53">
        <f t="shared" si="53"/>
        <v>6.7641622676434615E-2</v>
      </c>
      <c r="N351" s="53">
        <f t="shared" si="54"/>
        <v>6.5303395196571884E-4</v>
      </c>
    </row>
    <row r="352" spans="1:14">
      <c r="A352" s="55">
        <v>165</v>
      </c>
      <c r="B352" s="59">
        <v>276.44444444444446</v>
      </c>
      <c r="C352" s="53">
        <f t="shared" si="50"/>
        <v>11.547810777713845</v>
      </c>
      <c r="D352" s="53">
        <f t="shared" si="52"/>
        <v>4.4012137675985809E-2</v>
      </c>
      <c r="E352" s="54">
        <f t="shared" si="47"/>
        <v>4.6597179661066413E-4</v>
      </c>
      <c r="G352" s="53">
        <f t="shared" si="51"/>
        <v>6.8058002891063651</v>
      </c>
      <c r="H352" s="53">
        <f t="shared" si="48"/>
        <v>1.3407562852645386E-3</v>
      </c>
      <c r="I352" s="54">
        <f t="shared" si="55"/>
        <v>2.2015130543189846E-5</v>
      </c>
      <c r="K352" s="59">
        <v>276.44444444444446</v>
      </c>
      <c r="L352" s="53">
        <f t="shared" si="49"/>
        <v>18.329858377323568</v>
      </c>
      <c r="M352" s="53">
        <f t="shared" si="53"/>
        <v>6.9860535993628251E-2</v>
      </c>
      <c r="N352" s="53">
        <f t="shared" si="54"/>
        <v>7.3963777239787983E-4</v>
      </c>
    </row>
    <row r="353" spans="1:14">
      <c r="A353" s="55">
        <v>166</v>
      </c>
      <c r="B353" s="59">
        <v>274.95555555555558</v>
      </c>
      <c r="C353" s="53">
        <f t="shared" si="50"/>
        <v>11.616657862324013</v>
      </c>
      <c r="D353" s="53">
        <f t="shared" si="52"/>
        <v>4.5090454240906824E-2</v>
      </c>
      <c r="E353" s="54">
        <f t="shared" si="47"/>
        <v>3.5943885497367141E-4</v>
      </c>
      <c r="G353" s="53">
        <f t="shared" si="51"/>
        <v>6.8469892437147353</v>
      </c>
      <c r="H353" s="53">
        <f t="shared" si="48"/>
        <v>1.3577776814207583E-3</v>
      </c>
      <c r="I353" s="54">
        <f t="shared" si="55"/>
        <v>5.6737987187399176E-6</v>
      </c>
      <c r="K353" s="59">
        <v>274.95555555555558</v>
      </c>
      <c r="L353" s="53">
        <f t="shared" si="49"/>
        <v>18.439139464006374</v>
      </c>
      <c r="M353" s="53">
        <f t="shared" si="53"/>
        <v>7.1572149588740974E-2</v>
      </c>
      <c r="N353" s="53">
        <f t="shared" si="54"/>
        <v>5.7053786503757367E-4</v>
      </c>
    </row>
    <row r="354" spans="1:14">
      <c r="A354" s="55">
        <v>167</v>
      </c>
      <c r="B354" s="59">
        <v>276.04444444444442</v>
      </c>
      <c r="C354" s="53">
        <f t="shared" si="50"/>
        <v>11.685824545759093</v>
      </c>
      <c r="D354" s="53">
        <f t="shared" si="52"/>
        <v>4.6408050449991411E-2</v>
      </c>
      <c r="E354" s="54">
        <f t="shared" si="47"/>
        <v>4.3919873636152933E-4</v>
      </c>
      <c r="G354" s="53">
        <f t="shared" si="51"/>
        <v>6.8882272223185792</v>
      </c>
      <c r="H354" s="53">
        <f t="shared" si="48"/>
        <v>1.4112649862253325E-3</v>
      </c>
      <c r="I354" s="54">
        <f t="shared" si="55"/>
        <v>1.7829101601524721E-5</v>
      </c>
      <c r="K354" s="59">
        <v>276.04444444444442</v>
      </c>
      <c r="L354" s="53">
        <f t="shared" si="49"/>
        <v>18.54892785041126</v>
      </c>
      <c r="M354" s="53">
        <f t="shared" si="53"/>
        <v>7.3663572142843498E-2</v>
      </c>
      <c r="N354" s="53">
        <f t="shared" si="54"/>
        <v>6.9714085136750672E-4</v>
      </c>
    </row>
    <row r="355" spans="1:14">
      <c r="A355" s="55">
        <v>168</v>
      </c>
      <c r="B355" s="59">
        <v>277.93333333333334</v>
      </c>
      <c r="C355" s="53">
        <f t="shared" si="50"/>
        <v>11.754751949550007</v>
      </c>
      <c r="D355" s="53">
        <f t="shared" si="52"/>
        <v>4.8258491899163834E-2</v>
      </c>
      <c r="E355" s="54">
        <f t="shared" si="47"/>
        <v>6.1681381639080762E-4</v>
      </c>
      <c r="G355" s="53">
        <f t="shared" si="51"/>
        <v>6.9294287350137749</v>
      </c>
      <c r="H355" s="53">
        <f t="shared" si="48"/>
        <v>1.5285288815010468E-3</v>
      </c>
      <c r="I355" s="54">
        <f t="shared" si="55"/>
        <v>3.9087965091904789E-5</v>
      </c>
      <c r="K355" s="59">
        <v>277.93333333333334</v>
      </c>
      <c r="L355" s="53">
        <f t="shared" si="49"/>
        <v>18.658336427857154</v>
      </c>
      <c r="M355" s="53">
        <f t="shared" si="53"/>
        <v>7.6600780792323533E-2</v>
      </c>
      <c r="N355" s="53">
        <f t="shared" si="54"/>
        <v>9.7906954982667849E-4</v>
      </c>
    </row>
    <row r="356" spans="1:14">
      <c r="A356" s="55">
        <v>169</v>
      </c>
      <c r="B356" s="59">
        <v>277.26666666666665</v>
      </c>
      <c r="C356" s="53">
        <f t="shared" si="50"/>
        <v>11.823146508100837</v>
      </c>
      <c r="D356" s="53">
        <f t="shared" si="52"/>
        <v>4.9913749304268867E-2</v>
      </c>
      <c r="E356" s="54">
        <f t="shared" si="47"/>
        <v>5.5175246836834419E-4</v>
      </c>
      <c r="G356" s="53">
        <f t="shared" si="51"/>
        <v>6.9705664711184996</v>
      </c>
      <c r="H356" s="53">
        <f t="shared" si="48"/>
        <v>1.6239595054206917E-3</v>
      </c>
      <c r="I356" s="54">
        <f t="shared" si="55"/>
        <v>3.1810207973214986E-5</v>
      </c>
      <c r="K356" s="59">
        <v>277.26666666666665</v>
      </c>
      <c r="L356" s="53">
        <f t="shared" si="49"/>
        <v>18.766899219207676</v>
      </c>
      <c r="M356" s="53">
        <f t="shared" si="53"/>
        <v>7.9228173498839455E-2</v>
      </c>
      <c r="N356" s="53">
        <f t="shared" si="54"/>
        <v>8.7579756883864144E-4</v>
      </c>
    </row>
    <row r="357" spans="1:14">
      <c r="A357" s="55">
        <v>170</v>
      </c>
      <c r="B357" s="59">
        <v>275.46666666666664</v>
      </c>
      <c r="C357" s="53">
        <f t="shared" si="50"/>
        <v>11.891736250695732</v>
      </c>
      <c r="D357" s="53">
        <f t="shared" si="52"/>
        <v>5.112333599492689E-2</v>
      </c>
      <c r="E357" s="54">
        <f t="shared" si="47"/>
        <v>4.0319556355267443E-4</v>
      </c>
      <c r="G357" s="53">
        <f t="shared" si="51"/>
        <v>7.0117260404945796</v>
      </c>
      <c r="H357" s="53">
        <f t="shared" si="48"/>
        <v>1.6587649842661977E-3</v>
      </c>
      <c r="I357" s="54">
        <f t="shared" si="55"/>
        <v>1.1601826281835328E-5</v>
      </c>
      <c r="K357" s="59">
        <v>275.46666666666664</v>
      </c>
      <c r="L357" s="53">
        <f t="shared" si="49"/>
        <v>18.875771826501161</v>
      </c>
      <c r="M357" s="53">
        <f t="shared" si="53"/>
        <v>8.1148152372899809E-2</v>
      </c>
      <c r="N357" s="53">
        <f t="shared" si="54"/>
        <v>6.3999295802011813E-4</v>
      </c>
    </row>
    <row r="358" spans="1:14">
      <c r="A358" s="55">
        <v>171</v>
      </c>
      <c r="B358" s="59">
        <v>272.82222222222219</v>
      </c>
      <c r="C358" s="53">
        <f t="shared" si="50"/>
        <v>11.960771664005074</v>
      </c>
      <c r="D358" s="53">
        <f t="shared" si="52"/>
        <v>5.1878430735553011E-2</v>
      </c>
      <c r="E358" s="54">
        <f t="shared" si="47"/>
        <v>2.5169824687537465E-4</v>
      </c>
      <c r="G358" s="53">
        <f t="shared" si="51"/>
        <v>7.0529462350157335</v>
      </c>
      <c r="H358" s="53">
        <f t="shared" si="48"/>
        <v>1.6587649842661977E-3</v>
      </c>
      <c r="I358" s="54">
        <f t="shared" si="55"/>
        <v>0</v>
      </c>
      <c r="K358" s="59">
        <v>272.82222222222219</v>
      </c>
      <c r="L358" s="53">
        <f t="shared" si="49"/>
        <v>18.985351847627101</v>
      </c>
      <c r="M358" s="53">
        <f t="shared" si="53"/>
        <v>8.2346715453258737E-2</v>
      </c>
      <c r="N358" s="53">
        <f t="shared" si="54"/>
        <v>3.9952102678630891E-4</v>
      </c>
    </row>
    <row r="359" spans="1:14">
      <c r="A359" s="55">
        <v>172</v>
      </c>
      <c r="B359" s="59">
        <v>276.57777777777778</v>
      </c>
      <c r="C359" s="53">
        <f t="shared" si="50"/>
        <v>12.030261569264448</v>
      </c>
      <c r="D359" s="53">
        <f t="shared" si="52"/>
        <v>5.3369584902096132E-2</v>
      </c>
      <c r="E359" s="54">
        <f t="shared" si="47"/>
        <v>4.9705138884770781E-4</v>
      </c>
      <c r="G359" s="53">
        <f t="shared" si="51"/>
        <v>7.094201235015734</v>
      </c>
      <c r="H359" s="53">
        <f t="shared" si="48"/>
        <v>1.7321949046126702E-3</v>
      </c>
      <c r="I359" s="54">
        <f t="shared" si="55"/>
        <v>2.4476640115490867E-5</v>
      </c>
      <c r="K359" s="59">
        <v>276.57777777777778</v>
      </c>
      <c r="L359" s="53">
        <f t="shared" si="49"/>
        <v>19.095653284546742</v>
      </c>
      <c r="M359" s="53">
        <f t="shared" si="53"/>
        <v>8.4713626828724006E-2</v>
      </c>
      <c r="N359" s="53">
        <f t="shared" si="54"/>
        <v>7.8897045848842513E-4</v>
      </c>
    </row>
    <row r="360" spans="1:14">
      <c r="A360" s="55">
        <v>173</v>
      </c>
      <c r="B360" s="59">
        <v>276.42222222222222</v>
      </c>
      <c r="C360" s="53">
        <f t="shared" si="50"/>
        <v>12.099015415097904</v>
      </c>
      <c r="D360" s="53">
        <f t="shared" si="52"/>
        <v>5.4828463835009646E-2</v>
      </c>
      <c r="E360" s="54">
        <f t="shared" si="47"/>
        <v>4.862929776378371E-4</v>
      </c>
      <c r="G360" s="53">
        <f t="shared" si="51"/>
        <v>7.1353828050953867</v>
      </c>
      <c r="H360" s="53">
        <f t="shared" si="48"/>
        <v>1.8006699196586114E-3</v>
      </c>
      <c r="I360" s="54">
        <f t="shared" si="55"/>
        <v>2.2825005015313715E-5</v>
      </c>
      <c r="K360" s="59">
        <v>276.42222222222222</v>
      </c>
      <c r="L360" s="53">
        <f t="shared" si="49"/>
        <v>19.204786373171277</v>
      </c>
      <c r="M360" s="53">
        <f t="shared" si="53"/>
        <v>8.7029307674618472E-2</v>
      </c>
      <c r="N360" s="53">
        <f t="shared" si="54"/>
        <v>7.7189361529815417E-4</v>
      </c>
    </row>
    <row r="361" spans="1:14">
      <c r="A361" s="55">
        <v>174</v>
      </c>
      <c r="B361" s="59">
        <v>275.17777777777781</v>
      </c>
      <c r="C361" s="53">
        <f t="shared" si="50"/>
        <v>12.16780153616499</v>
      </c>
      <c r="D361" s="53">
        <f t="shared" si="52"/>
        <v>5.6003815391161747E-2</v>
      </c>
      <c r="E361" s="54">
        <f t="shared" si="47"/>
        <v>3.9178385205069968E-4</v>
      </c>
      <c r="G361" s="53">
        <f t="shared" si="51"/>
        <v>7.1765693300803415</v>
      </c>
      <c r="H361" s="53">
        <f t="shared" si="48"/>
        <v>1.826242390096429E-3</v>
      </c>
      <c r="I361" s="54">
        <f t="shared" si="55"/>
        <v>8.5241568126058353E-6</v>
      </c>
      <c r="K361" s="59">
        <v>275.17777777777781</v>
      </c>
      <c r="L361" s="53">
        <f t="shared" si="49"/>
        <v>19.31397069232538</v>
      </c>
      <c r="M361" s="53">
        <f t="shared" si="53"/>
        <v>8.8894945065336087E-2</v>
      </c>
      <c r="N361" s="53">
        <f t="shared" si="54"/>
        <v>6.2187913023920569E-4</v>
      </c>
    </row>
    <row r="362" spans="1:14">
      <c r="A362" s="55">
        <v>175</v>
      </c>
      <c r="B362" s="59">
        <v>275.60000000000002</v>
      </c>
      <c r="C362" s="53">
        <f t="shared" si="50"/>
        <v>12.236871184608839</v>
      </c>
      <c r="D362" s="53">
        <f t="shared" si="52"/>
        <v>5.7278495946708995E-2</v>
      </c>
      <c r="E362" s="54">
        <f t="shared" si="47"/>
        <v>4.2489351851574848E-4</v>
      </c>
      <c r="G362" s="53">
        <f t="shared" si="51"/>
        <v>7.217798757609903</v>
      </c>
      <c r="H362" s="53">
        <f t="shared" si="48"/>
        <v>1.8667364930798336E-3</v>
      </c>
      <c r="I362" s="54">
        <f t="shared" si="55"/>
        <v>1.3498034327801581E-5</v>
      </c>
      <c r="K362" s="59">
        <v>275.60000000000002</v>
      </c>
      <c r="L362" s="53">
        <f t="shared" si="49"/>
        <v>19.423605054934661</v>
      </c>
      <c r="M362" s="53">
        <f t="shared" si="53"/>
        <v>9.0918247534458693E-2</v>
      </c>
      <c r="N362" s="53">
        <f t="shared" si="54"/>
        <v>6.7443415637420375E-4</v>
      </c>
    </row>
    <row r="363" spans="1:14">
      <c r="A363" s="55">
        <v>176</v>
      </c>
      <c r="B363" s="59">
        <v>276.57777777777778</v>
      </c>
      <c r="C363" s="53">
        <f t="shared" si="50"/>
        <v>12.305841504053291</v>
      </c>
      <c r="D363" s="53">
        <f t="shared" si="52"/>
        <v>5.88038083205039E-2</v>
      </c>
      <c r="E363" s="54">
        <f t="shared" si="47"/>
        <v>5.084374579316346E-4</v>
      </c>
      <c r="G363" s="53">
        <f t="shared" si="51"/>
        <v>7.2590132635069207</v>
      </c>
      <c r="H363" s="53">
        <f t="shared" si="48"/>
        <v>1.9418723326303619E-3</v>
      </c>
      <c r="I363" s="54">
        <f t="shared" si="55"/>
        <v>2.5045279850176075E-5</v>
      </c>
      <c r="K363" s="59">
        <v>276.57777777777778</v>
      </c>
      <c r="L363" s="53">
        <f t="shared" si="49"/>
        <v>19.533081752465542</v>
      </c>
      <c r="M363" s="53">
        <f t="shared" si="53"/>
        <v>9.3339378286514091E-2</v>
      </c>
      <c r="N363" s="53">
        <f t="shared" si="54"/>
        <v>8.0704358401846761E-4</v>
      </c>
    </row>
    <row r="364" spans="1:14">
      <c r="A364" s="55">
        <v>177</v>
      </c>
      <c r="B364" s="59">
        <v>276.22222222222223</v>
      </c>
      <c r="C364" s="53">
        <f t="shared" si="50"/>
        <v>12.374561191679497</v>
      </c>
      <c r="D364" s="53">
        <f t="shared" si="52"/>
        <v>6.0243861714470694E-2</v>
      </c>
      <c r="E364" s="54">
        <f t="shared" si="47"/>
        <v>4.8001779798893183E-4</v>
      </c>
      <c r="G364" s="53">
        <f t="shared" si="51"/>
        <v>7.3001931276673693</v>
      </c>
      <c r="H364" s="53">
        <f t="shared" si="48"/>
        <v>2.0048505147272984E-3</v>
      </c>
      <c r="I364" s="54">
        <f t="shared" si="55"/>
        <v>2.0992727365645472E-5</v>
      </c>
      <c r="K364" s="59">
        <v>276.22222222222223</v>
      </c>
      <c r="L364" s="53">
        <f t="shared" si="49"/>
        <v>19.642160621713487</v>
      </c>
      <c r="M364" s="53">
        <f t="shared" si="53"/>
        <v>9.5625177324556623E-2</v>
      </c>
      <c r="N364" s="53">
        <f t="shared" si="54"/>
        <v>7.6193301268084412E-4</v>
      </c>
    </row>
    <row r="365" spans="1:14">
      <c r="A365" s="55">
        <v>178</v>
      </c>
      <c r="B365" s="59">
        <v>274.75555555555553</v>
      </c>
      <c r="C365" s="53">
        <f t="shared" si="50"/>
        <v>12.44336613828553</v>
      </c>
      <c r="D365" s="53">
        <f t="shared" si="52"/>
        <v>6.1358201182852713E-2</v>
      </c>
      <c r="E365" s="54">
        <f t="shared" si="47"/>
        <v>3.7144648946067408E-4</v>
      </c>
      <c r="G365" s="53">
        <f t="shared" si="51"/>
        <v>7.3413851494852729</v>
      </c>
      <c r="H365" s="53">
        <f t="shared" si="48"/>
        <v>2.0159825800504087E-3</v>
      </c>
      <c r="I365" s="54">
        <f t="shared" si="55"/>
        <v>3.7106884410367509E-6</v>
      </c>
      <c r="K365" s="59">
        <v>274.75555555555553</v>
      </c>
      <c r="L365" s="53">
        <f t="shared" si="49"/>
        <v>19.751374822675444</v>
      </c>
      <c r="M365" s="53">
        <f t="shared" si="53"/>
        <v>9.7393970131512214E-2</v>
      </c>
      <c r="N365" s="53">
        <f t="shared" si="54"/>
        <v>5.895976023185302E-4</v>
      </c>
    </row>
    <row r="366" spans="1:14">
      <c r="A366" s="55">
        <v>179</v>
      </c>
      <c r="B366" s="59">
        <v>273.33333333333331</v>
      </c>
      <c r="C366" s="53">
        <f t="shared" si="50"/>
        <v>12.512496798817148</v>
      </c>
      <c r="D366" s="53">
        <f t="shared" si="52"/>
        <v>6.2225035321442676E-2</v>
      </c>
      <c r="E366" s="54">
        <f t="shared" si="47"/>
        <v>2.8894471286332199E-4</v>
      </c>
      <c r="G366" s="53">
        <f t="shared" si="51"/>
        <v>7.3826290174199496</v>
      </c>
      <c r="H366" s="53">
        <f t="shared" si="48"/>
        <v>2.0159825800504087E-3</v>
      </c>
      <c r="I366" s="54">
        <f t="shared" si="55"/>
        <v>0</v>
      </c>
      <c r="K366" s="59">
        <v>273.33333333333331</v>
      </c>
      <c r="L366" s="53">
        <f t="shared" si="49"/>
        <v>19.861106029868488</v>
      </c>
      <c r="M366" s="53">
        <f t="shared" si="53"/>
        <v>9.8769897335623275E-2</v>
      </c>
      <c r="N366" s="53">
        <f t="shared" si="54"/>
        <v>4.5864240137035231E-4</v>
      </c>
    </row>
    <row r="367" spans="1:14">
      <c r="A367" s="55">
        <v>180</v>
      </c>
      <c r="B367" s="59">
        <v>274.60000000000002</v>
      </c>
      <c r="C367" s="53">
        <f t="shared" si="50"/>
        <v>12.581874964678557</v>
      </c>
      <c r="D367" s="53">
        <f t="shared" si="52"/>
        <v>6.3320724289076133E-2</v>
      </c>
      <c r="E367" s="54">
        <f t="shared" si="47"/>
        <v>3.6522965587781875E-4</v>
      </c>
      <c r="G367" s="53">
        <f t="shared" si="51"/>
        <v>7.4238840174199501</v>
      </c>
      <c r="H367" s="53">
        <f t="shared" si="48"/>
        <v>2.0216410050574148E-3</v>
      </c>
      <c r="I367" s="54">
        <f t="shared" si="55"/>
        <v>1.8861416690020582E-6</v>
      </c>
      <c r="K367" s="59">
        <v>274.60000000000002</v>
      </c>
      <c r="L367" s="53">
        <f t="shared" si="49"/>
        <v>19.971230102664379</v>
      </c>
      <c r="M367" s="53">
        <f t="shared" si="53"/>
        <v>0.1005090861731367</v>
      </c>
      <c r="N367" s="53">
        <f t="shared" si="54"/>
        <v>5.797296125044743E-4</v>
      </c>
    </row>
    <row r="368" spans="1:14">
      <c r="A368" s="55">
        <v>181</v>
      </c>
      <c r="B368" s="59">
        <v>276.68888888888887</v>
      </c>
      <c r="C368" s="53">
        <f t="shared" si="50"/>
        <v>12.651024275710924</v>
      </c>
      <c r="D368" s="53">
        <f t="shared" si="52"/>
        <v>6.4919990695097185E-2</v>
      </c>
      <c r="E368" s="54">
        <f t="shared" si="47"/>
        <v>5.3308880200701855E-4</v>
      </c>
      <c r="G368" s="53">
        <f t="shared" si="51"/>
        <v>7.4651333589949429</v>
      </c>
      <c r="H368" s="53">
        <f t="shared" si="48"/>
        <v>2.1029316490936531E-3</v>
      </c>
      <c r="I368" s="54">
        <f t="shared" si="55"/>
        <v>2.709688134541273E-5</v>
      </c>
      <c r="K368" s="59">
        <v>276.68888888888887</v>
      </c>
      <c r="L368" s="53">
        <f t="shared" si="49"/>
        <v>20.080990913826863</v>
      </c>
      <c r="M368" s="53">
        <f t="shared" si="53"/>
        <v>0.10304760427793203</v>
      </c>
      <c r="N368" s="53">
        <f t="shared" si="54"/>
        <v>8.4617270159844196E-4</v>
      </c>
    </row>
    <row r="369" spans="1:14" ht="14.25" thickBot="1">
      <c r="A369" s="55">
        <v>182</v>
      </c>
      <c r="B369" s="66">
        <v>278.31111111111113</v>
      </c>
      <c r="C369" s="53">
        <f t="shared" si="50"/>
        <v>12.719670009304902</v>
      </c>
      <c r="D369" s="53">
        <f t="shared" si="52"/>
        <v>6.705937801303366E-2</v>
      </c>
      <c r="E369" s="54">
        <f t="shared" si="47"/>
        <v>7.1312910597882647E-4</v>
      </c>
      <c r="G369" s="53">
        <f t="shared" si="51"/>
        <v>7.5063070683509059</v>
      </c>
      <c r="H369" s="53">
        <f t="shared" si="48"/>
        <v>2.243705712509442E-3</v>
      </c>
      <c r="I369" s="54">
        <f t="shared" si="55"/>
        <v>4.6924687805262913E-5</v>
      </c>
      <c r="K369" s="66">
        <v>278.31111111111113</v>
      </c>
      <c r="L369" s="53">
        <f t="shared" si="49"/>
        <v>20.189952395722067</v>
      </c>
      <c r="M369" s="53">
        <f t="shared" si="53"/>
        <v>0.10644345716354549</v>
      </c>
      <c r="N369" s="53">
        <f t="shared" si="54"/>
        <v>1.1319509618711531E-3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7" sqref="B7"/>
    </sheetView>
  </sheetViews>
  <sheetFormatPr defaultRowHeight="13.9"/>
  <cols>
    <col min="8" max="8" width="14.53125" customWidth="1"/>
    <col min="9" max="9" width="26" customWidth="1"/>
    <col min="11" max="11" width="16.796875" customWidth="1"/>
  </cols>
  <sheetData>
    <row r="1" spans="1:10" s="14" customFormat="1">
      <c r="A1" s="14" t="s">
        <v>2093</v>
      </c>
      <c r="B1" s="14" t="s">
        <v>2094</v>
      </c>
      <c r="C1" s="14" t="s">
        <v>2095</v>
      </c>
      <c r="D1" s="14" t="s">
        <v>2096</v>
      </c>
      <c r="E1" s="14" t="s">
        <v>2097</v>
      </c>
      <c r="F1" s="14" t="s">
        <v>2098</v>
      </c>
      <c r="G1" s="14" t="s">
        <v>1712</v>
      </c>
      <c r="H1" s="14" t="s">
        <v>2099</v>
      </c>
      <c r="J1" s="14" t="s">
        <v>2100</v>
      </c>
    </row>
    <row r="2" spans="1:10" s="42" customFormat="1">
      <c r="A2" s="42" t="s">
        <v>2101</v>
      </c>
      <c r="B2" s="42">
        <f>6906/1000*60*24*365</f>
        <v>3629793.5999999996</v>
      </c>
      <c r="C2" s="42">
        <f>2059.92/1000*24*365</f>
        <v>18044.8992</v>
      </c>
      <c r="F2" s="42">
        <v>3.0419408628000002</v>
      </c>
      <c r="G2" s="43">
        <v>0.32338371744</v>
      </c>
      <c r="H2" s="43">
        <f t="shared" ref="H2:H14" si="0">(F2+G2)*24*365*1000*4.184/55.6/0.8*44/16/1000</f>
        <v>7625.8920789864005</v>
      </c>
    </row>
    <row r="3" spans="1:10">
      <c r="A3" t="s">
        <v>2102</v>
      </c>
      <c r="B3">
        <v>250000</v>
      </c>
      <c r="C3">
        <v>1086.6863348376016</v>
      </c>
      <c r="D3">
        <f>1.1*B3*1000*2.8*(35+273-280.5)</f>
        <v>21175000000</v>
      </c>
      <c r="E3">
        <f>D3/1000/55.6*44/16/1000/0.8</f>
        <v>1309.155800359712</v>
      </c>
      <c r="F3">
        <f t="shared" ref="F3:F14" si="1">C3/$C$2*$F$2</f>
        <v>0.18318947256789686</v>
      </c>
      <c r="G3">
        <f t="shared" ref="G3:G14" si="2">C3/$C$2*$G$2</f>
        <v>1.9474570777931095E-2</v>
      </c>
      <c r="H3" s="43">
        <f t="shared" si="0"/>
        <v>459.24073176207207</v>
      </c>
      <c r="J3">
        <f>E3+H3</f>
        <v>1768.396532121784</v>
      </c>
    </row>
    <row r="4" spans="1:10">
      <c r="A4" t="s">
        <v>2103</v>
      </c>
      <c r="B4">
        <v>150000</v>
      </c>
      <c r="C4">
        <v>652.01180090256094</v>
      </c>
      <c r="D4">
        <f>1.1*B4*1000*2.8*(35+273-280.5)</f>
        <v>12705000000</v>
      </c>
      <c r="E4">
        <f t="shared" ref="E4:E14" si="3">D4/1000/55.6*44/16/1000/0.8</f>
        <v>785.49348021582728</v>
      </c>
      <c r="F4">
        <f t="shared" si="1"/>
        <v>0.10991368354073811</v>
      </c>
      <c r="G4">
        <f t="shared" si="2"/>
        <v>1.1684742466758657E-2</v>
      </c>
      <c r="H4" s="43">
        <f t="shared" si="0"/>
        <v>275.54443905724315</v>
      </c>
      <c r="J4">
        <f t="shared" ref="J4:J14" si="4">E4+H4</f>
        <v>1061.0379192730704</v>
      </c>
    </row>
    <row r="5" spans="1:10">
      <c r="A5" t="s">
        <v>2104</v>
      </c>
      <c r="B5">
        <v>50000</v>
      </c>
      <c r="C5">
        <v>217.33726696752032</v>
      </c>
      <c r="D5">
        <f t="shared" ref="D5:D14" si="5">1.1*B5*1000*2.8*(35+273-280.5)</f>
        <v>4235000000</v>
      </c>
      <c r="E5">
        <f t="shared" si="3"/>
        <v>261.83116007194241</v>
      </c>
      <c r="F5">
        <f t="shared" si="1"/>
        <v>3.6637894513579371E-2</v>
      </c>
      <c r="G5">
        <f t="shared" si="2"/>
        <v>3.894914155586219E-3</v>
      </c>
      <c r="H5" s="43">
        <f t="shared" si="0"/>
        <v>91.848146352414417</v>
      </c>
      <c r="J5">
        <f t="shared" si="4"/>
        <v>353.67930642435681</v>
      </c>
    </row>
    <row r="6" spans="1:10">
      <c r="A6" t="s">
        <v>1710</v>
      </c>
      <c r="B6">
        <v>30000</v>
      </c>
      <c r="C6">
        <v>130.40236018051218</v>
      </c>
      <c r="D6">
        <f t="shared" si="5"/>
        <v>2541000000</v>
      </c>
      <c r="E6">
        <f t="shared" si="3"/>
        <v>157.09869604316546</v>
      </c>
      <c r="F6">
        <f t="shared" si="1"/>
        <v>2.198273670814762E-2</v>
      </c>
      <c r="G6">
        <f t="shared" si="2"/>
        <v>2.3369484933517311E-3</v>
      </c>
      <c r="H6" s="43">
        <f t="shared" si="0"/>
        <v>55.108887811448639</v>
      </c>
      <c r="J6">
        <f t="shared" si="4"/>
        <v>212.20758385461409</v>
      </c>
    </row>
    <row r="7" spans="1:10">
      <c r="A7" t="s">
        <v>2105</v>
      </c>
      <c r="B7">
        <v>100000</v>
      </c>
      <c r="C7">
        <v>556.30761808315958</v>
      </c>
      <c r="D7">
        <f t="shared" si="5"/>
        <v>8470000000</v>
      </c>
      <c r="E7">
        <f t="shared" si="3"/>
        <v>523.66232014388481</v>
      </c>
      <c r="F7">
        <f t="shared" si="1"/>
        <v>9.3780234346451732E-2</v>
      </c>
      <c r="G7">
        <f t="shared" si="2"/>
        <v>9.969622084446109E-3</v>
      </c>
      <c r="H7" s="43">
        <f t="shared" si="0"/>
        <v>235.09922727748778</v>
      </c>
      <c r="J7">
        <f t="shared" si="4"/>
        <v>758.7615474213726</v>
      </c>
    </row>
    <row r="8" spans="1:10">
      <c r="A8" t="s">
        <v>1713</v>
      </c>
      <c r="B8">
        <v>70000</v>
      </c>
      <c r="C8">
        <v>389.4153326582117</v>
      </c>
      <c r="D8">
        <f t="shared" si="5"/>
        <v>5929000000</v>
      </c>
      <c r="E8">
        <f t="shared" si="3"/>
        <v>366.56362410071938</v>
      </c>
      <c r="F8">
        <f t="shared" si="1"/>
        <v>6.564616404251622E-2</v>
      </c>
      <c r="G8">
        <f t="shared" si="2"/>
        <v>6.9787354591122758E-3</v>
      </c>
      <c r="H8" s="43">
        <f t="shared" si="0"/>
        <v>164.56945909424147</v>
      </c>
      <c r="J8">
        <f t="shared" si="4"/>
        <v>531.13308319496082</v>
      </c>
    </row>
    <row r="9" spans="1:10">
      <c r="A9" t="s">
        <v>2106</v>
      </c>
      <c r="B9">
        <v>35000</v>
      </c>
      <c r="C9">
        <v>194.70766632910585</v>
      </c>
      <c r="D9">
        <f t="shared" si="5"/>
        <v>2964500000</v>
      </c>
      <c r="E9">
        <f t="shared" si="3"/>
        <v>183.28181205035969</v>
      </c>
      <c r="F9">
        <f t="shared" si="1"/>
        <v>3.282308202125811E-2</v>
      </c>
      <c r="G9">
        <f t="shared" si="2"/>
        <v>3.4893677295561379E-3</v>
      </c>
      <c r="H9" s="43">
        <f t="shared" si="0"/>
        <v>82.284729547120733</v>
      </c>
      <c r="J9">
        <f t="shared" si="4"/>
        <v>265.56654159748041</v>
      </c>
    </row>
    <row r="10" spans="1:10">
      <c r="A10" t="s">
        <v>1711</v>
      </c>
      <c r="B10">
        <v>15000</v>
      </c>
      <c r="C10">
        <v>83.446142712473929</v>
      </c>
      <c r="D10">
        <f t="shared" si="5"/>
        <v>1270500000</v>
      </c>
      <c r="E10">
        <f t="shared" si="3"/>
        <v>78.54934802158273</v>
      </c>
      <c r="F10">
        <f t="shared" si="1"/>
        <v>1.406703515196776E-2</v>
      </c>
      <c r="G10">
        <f t="shared" si="2"/>
        <v>1.4954433126669162E-3</v>
      </c>
      <c r="H10" s="43">
        <f t="shared" si="0"/>
        <v>35.264884091623159</v>
      </c>
      <c r="J10">
        <f t="shared" si="4"/>
        <v>113.81423211320589</v>
      </c>
    </row>
    <row r="11" spans="1:10">
      <c r="A11" t="s">
        <v>2107</v>
      </c>
      <c r="B11">
        <v>30000</v>
      </c>
      <c r="C11">
        <v>245.34033599652241</v>
      </c>
      <c r="D11">
        <f t="shared" si="5"/>
        <v>2541000000</v>
      </c>
      <c r="E11">
        <f t="shared" si="3"/>
        <v>157.09869604316546</v>
      </c>
      <c r="F11">
        <f t="shared" si="1"/>
        <v>4.1358545985167007E-2</v>
      </c>
      <c r="G11">
        <f t="shared" si="2"/>
        <v>4.3967588299154408E-3</v>
      </c>
      <c r="H11" s="43">
        <f t="shared" si="0"/>
        <v>103.6824259418275</v>
      </c>
      <c r="J11">
        <f t="shared" si="4"/>
        <v>260.78112198499298</v>
      </c>
    </row>
    <row r="12" spans="1:10">
      <c r="A12" t="s">
        <v>2108</v>
      </c>
      <c r="B12">
        <v>20000</v>
      </c>
      <c r="C12">
        <v>163.56022399768162</v>
      </c>
      <c r="D12">
        <f t="shared" si="5"/>
        <v>1693999999.9999998</v>
      </c>
      <c r="E12">
        <f t="shared" si="3"/>
        <v>104.73246402877695</v>
      </c>
      <c r="F12">
        <f t="shared" si="1"/>
        <v>2.7572363990111339E-2</v>
      </c>
      <c r="G12">
        <f t="shared" si="2"/>
        <v>2.9311725532769604E-3</v>
      </c>
      <c r="H12" s="43">
        <f t="shared" si="0"/>
        <v>69.121617294551655</v>
      </c>
      <c r="J12">
        <f t="shared" si="4"/>
        <v>173.85408132332861</v>
      </c>
    </row>
    <row r="13" spans="1:10">
      <c r="A13" t="s">
        <v>1714</v>
      </c>
      <c r="B13">
        <v>10000</v>
      </c>
      <c r="C13">
        <v>81.780111998840809</v>
      </c>
      <c r="D13">
        <f t="shared" si="5"/>
        <v>846999999.99999988</v>
      </c>
      <c r="E13">
        <f t="shared" si="3"/>
        <v>52.366232014388473</v>
      </c>
      <c r="F13">
        <f t="shared" si="1"/>
        <v>1.378618199505567E-2</v>
      </c>
      <c r="G13">
        <f t="shared" si="2"/>
        <v>1.4655862766384802E-3</v>
      </c>
      <c r="H13" s="43">
        <f t="shared" si="0"/>
        <v>34.560808647275827</v>
      </c>
      <c r="J13">
        <f t="shared" si="4"/>
        <v>86.927040661664307</v>
      </c>
    </row>
    <row r="14" spans="1:10">
      <c r="A14" t="s">
        <v>1715</v>
      </c>
      <c r="B14">
        <v>5000</v>
      </c>
      <c r="C14">
        <v>40.890055999420404</v>
      </c>
      <c r="D14">
        <f t="shared" si="5"/>
        <v>423499999.99999994</v>
      </c>
      <c r="E14">
        <f t="shared" si="3"/>
        <v>26.183116007194236</v>
      </c>
      <c r="F14">
        <f t="shared" si="1"/>
        <v>6.8930909975278348E-3</v>
      </c>
      <c r="G14">
        <f t="shared" si="2"/>
        <v>7.327931383192401E-4</v>
      </c>
      <c r="H14" s="43">
        <f t="shared" si="0"/>
        <v>17.280404323637914</v>
      </c>
      <c r="J14">
        <f t="shared" si="4"/>
        <v>43.463520330832154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8" sqref="J18"/>
    </sheetView>
  </sheetViews>
  <sheetFormatPr defaultRowHeight="13.9"/>
  <sheetData>
    <row r="1" spans="1:10">
      <c r="A1" t="s">
        <v>2109</v>
      </c>
      <c r="C1" t="s">
        <v>2110</v>
      </c>
      <c r="F1" t="s">
        <v>2111</v>
      </c>
      <c r="I1" t="s">
        <v>2030</v>
      </c>
    </row>
    <row r="2" spans="1:10">
      <c r="A2">
        <v>55.6</v>
      </c>
      <c r="B2" t="s">
        <v>2031</v>
      </c>
      <c r="C2">
        <f>A2*B6/100</f>
        <v>15.265679676985195</v>
      </c>
      <c r="D2" t="s">
        <v>2031</v>
      </c>
      <c r="E2" t="s">
        <v>2112</v>
      </c>
      <c r="F2">
        <f>C2*1000*1000/3600</f>
        <v>4240.4665769403318</v>
      </c>
      <c r="G2" t="s">
        <v>2113</v>
      </c>
      <c r="H2" t="s">
        <v>2114</v>
      </c>
      <c r="I2">
        <f>F2*0.3</f>
        <v>1272.1399730820995</v>
      </c>
      <c r="J2" t="s">
        <v>2115</v>
      </c>
    </row>
    <row r="3" spans="1:10">
      <c r="E3" t="s">
        <v>2114</v>
      </c>
      <c r="F3">
        <f>1/F2*1000</f>
        <v>0.23582310622090563</v>
      </c>
      <c r="G3" t="s">
        <v>2116</v>
      </c>
    </row>
    <row r="5" spans="1:10">
      <c r="A5" t="s">
        <v>2117</v>
      </c>
      <c r="B5">
        <f>0.51*100</f>
        <v>51</v>
      </c>
      <c r="C5" t="s">
        <v>2065</v>
      </c>
    </row>
    <row r="6" spans="1:10">
      <c r="A6" t="s">
        <v>2118</v>
      </c>
      <c r="B6">
        <f>(B5/100)*16/(B5/100*16+(1-B5/100)*44)*100</f>
        <v>27.456258411843876</v>
      </c>
      <c r="C6" t="s">
        <v>2119</v>
      </c>
    </row>
    <row r="11" spans="1:10">
      <c r="A11" t="s">
        <v>2120</v>
      </c>
      <c r="B11" t="s">
        <v>2121</v>
      </c>
    </row>
    <row r="12" spans="1:10">
      <c r="B12">
        <v>0.84</v>
      </c>
    </row>
    <row r="13" spans="1:10">
      <c r="H13" s="49"/>
    </row>
    <row r="14" spans="1:10">
      <c r="B14" s="49"/>
    </row>
    <row r="16" spans="1:10">
      <c r="A16" t="s">
        <v>2122</v>
      </c>
    </row>
    <row r="17" spans="1:3">
      <c r="A17" t="s">
        <v>2123</v>
      </c>
      <c r="B17">
        <f>I2</f>
        <v>1272.1399730820995</v>
      </c>
      <c r="C17" t="s">
        <v>2124</v>
      </c>
    </row>
    <row r="18" spans="1:3">
      <c r="A18" t="s">
        <v>2125</v>
      </c>
      <c r="B18">
        <f>B12/1000</f>
        <v>8.3999999999999993E-4</v>
      </c>
      <c r="C18" t="s">
        <v>2126</v>
      </c>
    </row>
    <row r="19" spans="1:3">
      <c r="A19" t="s">
        <v>2127</v>
      </c>
      <c r="B19" s="50">
        <f>B17*B18</f>
        <v>1.0685975773889635</v>
      </c>
      <c r="C19" t="s">
        <v>2128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3.9"/>
  <cols>
    <col min="1" max="1" width="42.06640625" style="14" customWidth="1"/>
    <col min="2" max="2" width="18.3984375" style="14" customWidth="1"/>
    <col min="3" max="3" width="11.33203125" style="14" customWidth="1"/>
    <col min="4" max="4" width="17.53125" style="33" customWidth="1"/>
    <col min="5" max="5" width="15.9296875" style="68" customWidth="1"/>
    <col min="6" max="6" width="14.6640625" style="68" customWidth="1"/>
    <col min="7" max="7" width="13.19921875" style="68" customWidth="1"/>
    <col min="8" max="8" width="13.9296875" style="68" customWidth="1"/>
    <col min="9" max="9" width="10.53125" style="14" customWidth="1"/>
    <col min="10" max="10" width="12.86328125" style="14" customWidth="1"/>
    <col min="11" max="16384" width="9.06640625" style="14"/>
  </cols>
  <sheetData>
    <row r="1" spans="1:11">
      <c r="A1" s="1" t="s">
        <v>2216</v>
      </c>
      <c r="B1" s="1"/>
      <c r="D1" s="68" t="s">
        <v>2217</v>
      </c>
      <c r="E1" s="68" t="s">
        <v>2218</v>
      </c>
      <c r="F1" s="68" t="s">
        <v>2219</v>
      </c>
      <c r="G1" s="68" t="s">
        <v>2220</v>
      </c>
      <c r="H1" s="68" t="s">
        <v>2221</v>
      </c>
      <c r="J1" s="69" t="s">
        <v>2222</v>
      </c>
      <c r="K1" s="69">
        <v>0.86</v>
      </c>
    </row>
    <row r="2" spans="1:11">
      <c r="A2" s="70" t="s">
        <v>2223</v>
      </c>
      <c r="B2" s="70" t="s">
        <v>2224</v>
      </c>
      <c r="D2" s="71">
        <v>230.36</v>
      </c>
      <c r="E2" s="71">
        <v>53.38</v>
      </c>
      <c r="F2" s="71">
        <v>22.1</v>
      </c>
      <c r="G2" s="71">
        <f>SUM(D2:F2)</f>
        <v>305.84000000000003</v>
      </c>
      <c r="H2" s="71">
        <v>290.95999999999998</v>
      </c>
      <c r="J2" s="69" t="s">
        <v>2225</v>
      </c>
      <c r="K2" s="69">
        <v>2800</v>
      </c>
    </row>
    <row r="3" spans="1:11">
      <c r="A3" s="70" t="s">
        <v>2226</v>
      </c>
      <c r="B3" s="70" t="s">
        <v>2224</v>
      </c>
      <c r="D3" s="71">
        <v>64.66</v>
      </c>
      <c r="E3" s="71">
        <v>14.52</v>
      </c>
      <c r="F3" s="71">
        <v>6.07</v>
      </c>
      <c r="G3" s="71">
        <f t="shared" ref="G3:G19" si="0">SUM(D3:F3)</f>
        <v>85.25</v>
      </c>
      <c r="H3" s="71">
        <v>83.01</v>
      </c>
      <c r="J3" s="69" t="s">
        <v>2227</v>
      </c>
      <c r="K3" s="69">
        <v>5000</v>
      </c>
    </row>
    <row r="4" spans="1:11">
      <c r="A4" s="70" t="s">
        <v>2228</v>
      </c>
      <c r="B4" s="70" t="s">
        <v>2224</v>
      </c>
      <c r="D4" s="71">
        <v>6.29</v>
      </c>
      <c r="E4" s="71">
        <v>7.46</v>
      </c>
      <c r="F4" s="71">
        <v>2.39</v>
      </c>
      <c r="G4" s="71">
        <f t="shared" si="0"/>
        <v>16.14</v>
      </c>
      <c r="H4" s="71">
        <v>14.59</v>
      </c>
    </row>
    <row r="5" spans="1:11">
      <c r="A5" s="70" t="s">
        <v>2229</v>
      </c>
      <c r="B5" s="70" t="s">
        <v>2230</v>
      </c>
      <c r="D5" s="71">
        <v>-21.07</v>
      </c>
      <c r="E5" s="71">
        <v>-11.13</v>
      </c>
      <c r="F5" s="71">
        <v>-3.93</v>
      </c>
      <c r="G5" s="71">
        <f t="shared" si="0"/>
        <v>-36.130000000000003</v>
      </c>
      <c r="H5" s="71">
        <v>-30.62</v>
      </c>
    </row>
    <row r="6" spans="1:11">
      <c r="A6" s="70" t="s">
        <v>2231</v>
      </c>
      <c r="B6" s="70" t="s">
        <v>2232</v>
      </c>
      <c r="D6" s="71">
        <v>112</v>
      </c>
      <c r="E6" s="71">
        <v>30</v>
      </c>
      <c r="F6" s="71">
        <v>19</v>
      </c>
      <c r="G6" s="71">
        <f t="shared" si="0"/>
        <v>161</v>
      </c>
      <c r="H6" s="71">
        <v>149</v>
      </c>
    </row>
    <row r="7" spans="1:11">
      <c r="A7" s="70" t="s">
        <v>2233</v>
      </c>
      <c r="B7" s="70" t="s">
        <v>2232</v>
      </c>
      <c r="D7" s="71">
        <v>0</v>
      </c>
      <c r="E7" s="71">
        <v>0</v>
      </c>
      <c r="F7" s="71">
        <v>0</v>
      </c>
      <c r="G7" s="71">
        <f t="shared" si="0"/>
        <v>0</v>
      </c>
      <c r="H7" s="71">
        <v>0</v>
      </c>
    </row>
    <row r="8" spans="1:11">
      <c r="A8" s="70" t="s">
        <v>2234</v>
      </c>
      <c r="B8" s="70" t="s">
        <v>2235</v>
      </c>
      <c r="D8" s="71">
        <v>0</v>
      </c>
      <c r="E8" s="71">
        <v>0</v>
      </c>
      <c r="F8" s="71">
        <v>0</v>
      </c>
      <c r="G8" s="71">
        <f t="shared" si="0"/>
        <v>0</v>
      </c>
      <c r="H8" s="71">
        <v>0</v>
      </c>
    </row>
    <row r="9" spans="1:11">
      <c r="A9" s="70" t="s">
        <v>2236</v>
      </c>
      <c r="B9" s="70" t="s">
        <v>2237</v>
      </c>
      <c r="D9" s="71">
        <v>0</v>
      </c>
      <c r="E9" s="71">
        <v>0</v>
      </c>
      <c r="F9" s="71">
        <v>0</v>
      </c>
      <c r="G9" s="71">
        <f t="shared" si="0"/>
        <v>0</v>
      </c>
      <c r="H9" s="71">
        <v>0</v>
      </c>
    </row>
    <row r="10" spans="1:11">
      <c r="A10" s="70" t="s">
        <v>2238</v>
      </c>
      <c r="B10" s="70" t="s">
        <v>2235</v>
      </c>
      <c r="D10" s="71">
        <v>601383.14</v>
      </c>
      <c r="E10" s="71">
        <v>134086.37</v>
      </c>
      <c r="F10" s="71">
        <v>56194.46</v>
      </c>
      <c r="G10" s="71">
        <f t="shared" si="0"/>
        <v>791663.97</v>
      </c>
      <c r="H10" s="71">
        <v>812824.14</v>
      </c>
    </row>
    <row r="11" spans="1:11">
      <c r="A11" s="70" t="s">
        <v>2239</v>
      </c>
      <c r="B11" s="70" t="s">
        <v>1954</v>
      </c>
      <c r="D11" s="71">
        <v>1.28</v>
      </c>
      <c r="E11" s="71">
        <v>0</v>
      </c>
      <c r="F11" s="71">
        <v>0</v>
      </c>
      <c r="G11" s="71">
        <f t="shared" si="0"/>
        <v>1.28</v>
      </c>
      <c r="H11" s="71">
        <v>1.99</v>
      </c>
    </row>
    <row r="12" spans="1:11">
      <c r="A12" s="70" t="s">
        <v>2240</v>
      </c>
      <c r="B12" s="70" t="s">
        <v>1954</v>
      </c>
      <c r="D12" s="71">
        <v>0</v>
      </c>
      <c r="E12" s="71">
        <v>16.809999999999999</v>
      </c>
      <c r="F12" s="71">
        <v>0</v>
      </c>
      <c r="G12" s="71">
        <f t="shared" si="0"/>
        <v>16.809999999999999</v>
      </c>
      <c r="H12" s="71">
        <v>5.67</v>
      </c>
    </row>
    <row r="13" spans="1:11">
      <c r="A13" s="70" t="s">
        <v>2241</v>
      </c>
      <c r="B13" s="70" t="s">
        <v>1954</v>
      </c>
      <c r="D13" s="71">
        <v>0</v>
      </c>
      <c r="E13" s="71">
        <v>0</v>
      </c>
      <c r="F13" s="71">
        <v>13.36</v>
      </c>
      <c r="G13" s="71">
        <f t="shared" si="0"/>
        <v>13.36</v>
      </c>
      <c r="H13" s="71">
        <v>1.73</v>
      </c>
    </row>
    <row r="14" spans="1:11">
      <c r="A14" s="14" t="s">
        <v>2242</v>
      </c>
      <c r="B14" s="70" t="s">
        <v>2235</v>
      </c>
      <c r="D14" s="71">
        <v>1574.55</v>
      </c>
      <c r="E14" s="71">
        <v>852.96</v>
      </c>
      <c r="F14" s="71">
        <v>204.55</v>
      </c>
      <c r="G14" s="71">
        <f t="shared" si="0"/>
        <v>2632.0600000000004</v>
      </c>
      <c r="H14" s="71">
        <v>4236.49</v>
      </c>
    </row>
    <row r="15" spans="1:11">
      <c r="A15" s="72" t="s">
        <v>2243</v>
      </c>
      <c r="B15" s="70" t="s">
        <v>2235</v>
      </c>
      <c r="D15" s="71">
        <v>7856.99</v>
      </c>
      <c r="E15" s="71">
        <v>9331.17</v>
      </c>
      <c r="F15" s="71">
        <v>2983.75</v>
      </c>
      <c r="G15" s="71">
        <f t="shared" si="0"/>
        <v>20171.91</v>
      </c>
      <c r="H15" s="71">
        <v>18237.14</v>
      </c>
    </row>
    <row r="16" spans="1:11">
      <c r="A16" s="72" t="s">
        <v>2244</v>
      </c>
      <c r="B16" s="70" t="s">
        <v>2224</v>
      </c>
      <c r="D16" s="71">
        <v>1.97</v>
      </c>
      <c r="E16" s="71">
        <v>1.26</v>
      </c>
      <c r="F16" s="71">
        <v>0.33</v>
      </c>
      <c r="G16" s="71">
        <f t="shared" si="0"/>
        <v>3.56</v>
      </c>
      <c r="H16" s="71">
        <v>5.2</v>
      </c>
    </row>
    <row r="17" spans="1:8">
      <c r="A17" s="70" t="s">
        <v>2245</v>
      </c>
      <c r="B17" s="70" t="s">
        <v>2224</v>
      </c>
      <c r="D17" s="71">
        <v>24.42</v>
      </c>
      <c r="E17" s="71">
        <v>5.44</v>
      </c>
      <c r="F17" s="71">
        <v>2.2799999999999998</v>
      </c>
      <c r="G17" s="71">
        <f t="shared" si="0"/>
        <v>32.14</v>
      </c>
      <c r="H17" s="71">
        <v>33.01</v>
      </c>
    </row>
    <row r="18" spans="1:8">
      <c r="A18" s="70" t="s">
        <v>2246</v>
      </c>
      <c r="B18" s="70" t="s">
        <v>2247</v>
      </c>
      <c r="D18" s="71">
        <v>-22.45</v>
      </c>
      <c r="E18" s="71">
        <v>-4.18</v>
      </c>
      <c r="F18" s="71">
        <v>-1.95</v>
      </c>
      <c r="G18" s="71">
        <f t="shared" si="0"/>
        <v>-28.58</v>
      </c>
      <c r="H18" s="71">
        <v>-27.81</v>
      </c>
    </row>
    <row r="19" spans="1:8">
      <c r="A19" s="73" t="s">
        <v>2248</v>
      </c>
      <c r="B19" s="70" t="s">
        <v>2249</v>
      </c>
      <c r="D19" s="71">
        <v>1.38</v>
      </c>
      <c r="E19" s="71">
        <v>-6.95</v>
      </c>
      <c r="F19" s="71">
        <v>-1.98</v>
      </c>
      <c r="G19" s="71">
        <f t="shared" si="0"/>
        <v>-7.5500000000000007</v>
      </c>
      <c r="H19" s="71">
        <v>-2.82</v>
      </c>
    </row>
    <row r="20" spans="1:8">
      <c r="A20" s="1"/>
      <c r="B20" s="1"/>
      <c r="D20" s="71"/>
      <c r="E20" s="71"/>
      <c r="F20" s="71"/>
      <c r="G20" s="71"/>
      <c r="H20" s="71"/>
    </row>
    <row r="21" spans="1:8" s="37" customFormat="1">
      <c r="A21" s="67" t="s">
        <v>2250</v>
      </c>
      <c r="B21" s="67">
        <v>1</v>
      </c>
      <c r="D21" s="74">
        <f>10.64-1.38</f>
        <v>9.2600000000000016</v>
      </c>
      <c r="E21" s="74"/>
      <c r="F21" s="74">
        <f>-1.87+1.98</f>
        <v>0.10999999999999988</v>
      </c>
      <c r="G21" s="74" t="s">
        <v>2251</v>
      </c>
      <c r="H21" s="74">
        <f>1.09+2.82</f>
        <v>3.91</v>
      </c>
    </row>
    <row r="22" spans="1:8" s="37" customFormat="1">
      <c r="A22" s="67" t="s">
        <v>2252</v>
      </c>
      <c r="B22" s="67" t="s">
        <v>2253</v>
      </c>
      <c r="D22" s="74">
        <v>672.76779999999997</v>
      </c>
      <c r="E22" s="74"/>
      <c r="F22" s="74">
        <v>5.7823000000000002</v>
      </c>
      <c r="G22" s="74" t="s">
        <v>2254</v>
      </c>
      <c r="H22" s="74">
        <v>488.37599999999998</v>
      </c>
    </row>
    <row r="23" spans="1:8" s="37" customFormat="1">
      <c r="A23" s="67" t="s">
        <v>2255</v>
      </c>
      <c r="B23" s="67" t="s">
        <v>2256</v>
      </c>
      <c r="D23" s="74">
        <v>86409</v>
      </c>
      <c r="E23" s="74"/>
      <c r="F23" s="74">
        <v>86402</v>
      </c>
      <c r="G23" s="74" t="s">
        <v>2232</v>
      </c>
      <c r="H23" s="74">
        <v>86403</v>
      </c>
    </row>
    <row r="24" spans="1:8">
      <c r="D24" s="71"/>
      <c r="E24" s="71"/>
      <c r="F24" s="71"/>
      <c r="G24" s="71"/>
      <c r="H24" s="7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46"/>
  <sheetViews>
    <sheetView workbookViewId="0">
      <selection activeCell="F38" sqref="F38"/>
    </sheetView>
  </sheetViews>
  <sheetFormatPr defaultRowHeight="13.9"/>
  <cols>
    <col min="3" max="3" width="14.1328125" customWidth="1"/>
    <col min="4" max="4" width="48.796875" customWidth="1"/>
  </cols>
  <sheetData>
    <row r="1" spans="1:5" s="9" customFormat="1">
      <c r="A1" s="8" t="s">
        <v>0</v>
      </c>
      <c r="B1" s="8" t="s">
        <v>1</v>
      </c>
      <c r="C1" s="8" t="s">
        <v>1521</v>
      </c>
      <c r="D1" s="8" t="s">
        <v>1522</v>
      </c>
      <c r="E1" s="8" t="s">
        <v>2</v>
      </c>
    </row>
    <row r="2" spans="1:5">
      <c r="A2" s="1" t="s">
        <v>3</v>
      </c>
      <c r="B2" s="1" t="s">
        <v>4</v>
      </c>
      <c r="C2" s="2" t="s">
        <v>5</v>
      </c>
      <c r="D2" s="2" t="s">
        <v>6</v>
      </c>
      <c r="E2" s="1" t="s">
        <v>7</v>
      </c>
    </row>
    <row r="3" spans="1:5">
      <c r="A3" s="1" t="s">
        <v>8</v>
      </c>
      <c r="B3" s="1" t="s">
        <v>9</v>
      </c>
      <c r="C3" s="2" t="s">
        <v>5</v>
      </c>
      <c r="D3" s="2" t="s">
        <v>10</v>
      </c>
      <c r="E3" s="1" t="s">
        <v>11</v>
      </c>
    </row>
    <row r="4" spans="1:5">
      <c r="A4" s="1" t="s">
        <v>12</v>
      </c>
      <c r="B4" s="1" t="s">
        <v>13</v>
      </c>
      <c r="C4" s="2" t="s">
        <v>5</v>
      </c>
      <c r="D4" s="3" t="s">
        <v>14</v>
      </c>
      <c r="E4" s="1" t="s">
        <v>15</v>
      </c>
    </row>
    <row r="5" spans="1:5">
      <c r="A5" s="1" t="s">
        <v>16</v>
      </c>
      <c r="B5" s="1" t="s">
        <v>17</v>
      </c>
      <c r="C5" s="2" t="s">
        <v>18</v>
      </c>
      <c r="D5" s="2" t="s">
        <v>19</v>
      </c>
      <c r="E5" s="1" t="s">
        <v>15</v>
      </c>
    </row>
    <row r="6" spans="1:5">
      <c r="A6" s="1" t="s">
        <v>20</v>
      </c>
      <c r="B6" s="1" t="s">
        <v>21</v>
      </c>
      <c r="C6" s="2" t="s">
        <v>18</v>
      </c>
      <c r="D6" s="2" t="s">
        <v>22</v>
      </c>
      <c r="E6" s="1" t="s">
        <v>15</v>
      </c>
    </row>
    <row r="7" spans="1:5">
      <c r="A7" s="1" t="s">
        <v>23</v>
      </c>
      <c r="B7" s="1" t="s">
        <v>24</v>
      </c>
      <c r="C7" s="2" t="s">
        <v>18</v>
      </c>
      <c r="D7" s="2" t="s">
        <v>25</v>
      </c>
      <c r="E7" s="1" t="s">
        <v>26</v>
      </c>
    </row>
    <row r="8" spans="1:5">
      <c r="A8" s="1" t="s">
        <v>27</v>
      </c>
      <c r="B8" s="1" t="s">
        <v>28</v>
      </c>
      <c r="C8" s="2" t="s">
        <v>18</v>
      </c>
      <c r="D8" s="2" t="s">
        <v>29</v>
      </c>
      <c r="E8" s="1" t="s">
        <v>7</v>
      </c>
    </row>
    <row r="9" spans="1:5">
      <c r="A9" s="1" t="s">
        <v>30</v>
      </c>
      <c r="B9" s="1" t="s">
        <v>31</v>
      </c>
      <c r="C9" s="2" t="s">
        <v>18</v>
      </c>
      <c r="D9" s="2" t="s">
        <v>32</v>
      </c>
      <c r="E9" s="1" t="s">
        <v>7</v>
      </c>
    </row>
    <row r="10" spans="1:5">
      <c r="A10" s="1" t="s">
        <v>33</v>
      </c>
      <c r="B10" s="1" t="s">
        <v>34</v>
      </c>
      <c r="C10" s="2" t="s">
        <v>35</v>
      </c>
      <c r="D10" s="2" t="s">
        <v>36</v>
      </c>
      <c r="E10" s="1" t="s">
        <v>15</v>
      </c>
    </row>
    <row r="11" spans="1:5">
      <c r="A11" s="1" t="s">
        <v>37</v>
      </c>
      <c r="B11" s="1" t="s">
        <v>38</v>
      </c>
      <c r="C11" s="2" t="s">
        <v>35</v>
      </c>
      <c r="D11" s="2" t="s">
        <v>39</v>
      </c>
      <c r="E11" s="1" t="s">
        <v>7</v>
      </c>
    </row>
    <row r="12" spans="1:5">
      <c r="A12" s="1" t="s">
        <v>40</v>
      </c>
      <c r="B12" s="1" t="s">
        <v>41</v>
      </c>
      <c r="C12" s="2" t="s">
        <v>35</v>
      </c>
      <c r="D12" s="2" t="s">
        <v>42</v>
      </c>
      <c r="E12" s="1" t="s">
        <v>15</v>
      </c>
    </row>
    <row r="13" spans="1:5">
      <c r="A13" s="1" t="s">
        <v>43</v>
      </c>
      <c r="B13" s="1" t="s">
        <v>44</v>
      </c>
      <c r="C13" s="2" t="s">
        <v>35</v>
      </c>
      <c r="D13" s="2" t="s">
        <v>45</v>
      </c>
      <c r="E13" s="1" t="s">
        <v>46</v>
      </c>
    </row>
    <row r="14" spans="1:5">
      <c r="A14" s="1" t="s">
        <v>47</v>
      </c>
      <c r="B14" s="1" t="s">
        <v>48</v>
      </c>
      <c r="C14" s="2" t="s">
        <v>35</v>
      </c>
      <c r="D14" s="2" t="s">
        <v>49</v>
      </c>
      <c r="E14" s="1" t="s">
        <v>15</v>
      </c>
    </row>
    <row r="15" spans="1:5">
      <c r="A15" s="1" t="s">
        <v>50</v>
      </c>
      <c r="B15" s="1" t="s">
        <v>51</v>
      </c>
      <c r="C15" s="2" t="s">
        <v>35</v>
      </c>
      <c r="D15" s="2" t="s">
        <v>52</v>
      </c>
      <c r="E15" s="1" t="s">
        <v>15</v>
      </c>
    </row>
    <row r="16" spans="1:5">
      <c r="A16" s="1" t="s">
        <v>53</v>
      </c>
      <c r="B16" s="1" t="s">
        <v>54</v>
      </c>
      <c r="C16" s="2" t="s">
        <v>35</v>
      </c>
      <c r="D16" s="2" t="s">
        <v>55</v>
      </c>
      <c r="E16" s="1" t="s">
        <v>7</v>
      </c>
    </row>
    <row r="17" spans="1:5">
      <c r="A17" s="1" t="s">
        <v>56</v>
      </c>
      <c r="B17" s="1" t="s">
        <v>57</v>
      </c>
      <c r="C17" s="2" t="s">
        <v>35</v>
      </c>
      <c r="D17" s="2" t="s">
        <v>58</v>
      </c>
      <c r="E17" s="1" t="s">
        <v>11</v>
      </c>
    </row>
    <row r="18" spans="1:5">
      <c r="A18" s="1" t="s">
        <v>59</v>
      </c>
      <c r="B18" s="1" t="s">
        <v>60</v>
      </c>
      <c r="C18" s="2" t="s">
        <v>35</v>
      </c>
      <c r="D18" s="2" t="s">
        <v>61</v>
      </c>
      <c r="E18" s="1" t="s">
        <v>7</v>
      </c>
    </row>
    <row r="19" spans="1:5">
      <c r="A19" s="1" t="s">
        <v>62</v>
      </c>
      <c r="B19" s="1" t="s">
        <v>63</v>
      </c>
      <c r="C19" s="2" t="s">
        <v>35</v>
      </c>
      <c r="D19" s="2" t="s">
        <v>64</v>
      </c>
      <c r="E19" s="1" t="s">
        <v>7</v>
      </c>
    </row>
    <row r="20" spans="1:5">
      <c r="A20" s="1" t="s">
        <v>65</v>
      </c>
      <c r="B20" s="1" t="s">
        <v>66</v>
      </c>
      <c r="C20" s="2" t="s">
        <v>35</v>
      </c>
      <c r="D20" s="2" t="s">
        <v>67</v>
      </c>
      <c r="E20" s="1" t="s">
        <v>7</v>
      </c>
    </row>
    <row r="21" spans="1:5">
      <c r="A21" s="1" t="s">
        <v>68</v>
      </c>
      <c r="B21" s="1" t="s">
        <v>69</v>
      </c>
      <c r="C21" s="2" t="s">
        <v>35</v>
      </c>
      <c r="D21" s="2" t="s">
        <v>70</v>
      </c>
      <c r="E21" s="1" t="s">
        <v>7</v>
      </c>
    </row>
    <row r="22" spans="1:5">
      <c r="A22" s="1" t="s">
        <v>71</v>
      </c>
      <c r="B22" s="1" t="s">
        <v>72</v>
      </c>
      <c r="C22" s="2" t="s">
        <v>35</v>
      </c>
      <c r="D22" s="2" t="s">
        <v>73</v>
      </c>
      <c r="E22" s="1" t="s">
        <v>11</v>
      </c>
    </row>
    <row r="23" spans="1:5">
      <c r="A23" s="1" t="s">
        <v>74</v>
      </c>
      <c r="B23" s="1" t="s">
        <v>75</v>
      </c>
      <c r="C23" s="2" t="s">
        <v>35</v>
      </c>
      <c r="D23" s="2" t="s">
        <v>76</v>
      </c>
      <c r="E23" s="1" t="s">
        <v>11</v>
      </c>
    </row>
    <row r="24" spans="1:5">
      <c r="A24" s="1" t="s">
        <v>77</v>
      </c>
      <c r="B24" s="1" t="s">
        <v>78</v>
      </c>
      <c r="C24" s="2" t="s">
        <v>35</v>
      </c>
      <c r="D24" s="2" t="s">
        <v>79</v>
      </c>
      <c r="E24" s="1" t="s">
        <v>7</v>
      </c>
    </row>
    <row r="25" spans="1:5">
      <c r="A25" s="1" t="s">
        <v>80</v>
      </c>
      <c r="B25" s="1" t="s">
        <v>81</v>
      </c>
      <c r="C25" s="2" t="s">
        <v>35</v>
      </c>
      <c r="D25" s="2" t="s">
        <v>82</v>
      </c>
      <c r="E25" s="1" t="s">
        <v>7</v>
      </c>
    </row>
    <row r="26" spans="1:5">
      <c r="A26" s="1" t="s">
        <v>83</v>
      </c>
      <c r="B26" s="1" t="s">
        <v>84</v>
      </c>
      <c r="C26" s="2" t="s">
        <v>35</v>
      </c>
      <c r="D26" s="2" t="s">
        <v>85</v>
      </c>
      <c r="E26" s="1" t="s">
        <v>15</v>
      </c>
    </row>
    <row r="27" spans="1:5">
      <c r="A27" s="1" t="s">
        <v>86</v>
      </c>
      <c r="B27" s="1" t="s">
        <v>87</v>
      </c>
      <c r="C27" s="2" t="s">
        <v>35</v>
      </c>
      <c r="D27" s="2" t="s">
        <v>88</v>
      </c>
      <c r="E27" s="1" t="s">
        <v>7</v>
      </c>
    </row>
    <row r="28" spans="1:5">
      <c r="A28" s="1" t="s">
        <v>89</v>
      </c>
      <c r="B28" s="1" t="s">
        <v>90</v>
      </c>
      <c r="C28" s="2" t="s">
        <v>35</v>
      </c>
      <c r="D28" s="2" t="s">
        <v>91</v>
      </c>
      <c r="E28" s="1" t="s">
        <v>11</v>
      </c>
    </row>
    <row r="29" spans="1:5">
      <c r="A29" s="1" t="s">
        <v>92</v>
      </c>
      <c r="B29" s="1" t="s">
        <v>93</v>
      </c>
      <c r="C29" s="2" t="s">
        <v>94</v>
      </c>
      <c r="D29" s="2" t="s">
        <v>95</v>
      </c>
      <c r="E29" s="1" t="s">
        <v>15</v>
      </c>
    </row>
    <row r="30" spans="1:5">
      <c r="A30" s="1" t="s">
        <v>96</v>
      </c>
      <c r="B30" s="1" t="s">
        <v>97</v>
      </c>
      <c r="C30" s="2" t="s">
        <v>94</v>
      </c>
      <c r="D30" s="2" t="s">
        <v>98</v>
      </c>
      <c r="E30" s="1" t="s">
        <v>15</v>
      </c>
    </row>
    <row r="31" spans="1:5">
      <c r="A31" s="1" t="s">
        <v>99</v>
      </c>
      <c r="B31" s="1" t="s">
        <v>100</v>
      </c>
      <c r="C31" s="2" t="s">
        <v>94</v>
      </c>
      <c r="D31" s="2" t="s">
        <v>101</v>
      </c>
      <c r="E31" s="1" t="s">
        <v>7</v>
      </c>
    </row>
    <row r="32" spans="1:5">
      <c r="A32" s="1" t="s">
        <v>102</v>
      </c>
      <c r="B32" s="1" t="s">
        <v>103</v>
      </c>
      <c r="C32" s="2" t="s">
        <v>104</v>
      </c>
      <c r="D32" s="2" t="s">
        <v>105</v>
      </c>
      <c r="E32" s="1" t="s">
        <v>7</v>
      </c>
    </row>
    <row r="33" spans="1:5">
      <c r="A33" s="1" t="s">
        <v>106</v>
      </c>
      <c r="B33" s="1" t="s">
        <v>107</v>
      </c>
      <c r="C33" s="2" t="s">
        <v>108</v>
      </c>
      <c r="D33" s="2" t="s">
        <v>109</v>
      </c>
      <c r="E33" s="1" t="s">
        <v>7</v>
      </c>
    </row>
    <row r="34" spans="1:5">
      <c r="A34" s="1" t="s">
        <v>110</v>
      </c>
      <c r="B34" s="1" t="s">
        <v>111</v>
      </c>
      <c r="C34" s="2" t="s">
        <v>108</v>
      </c>
      <c r="D34" s="2" t="s">
        <v>112</v>
      </c>
      <c r="E34" s="1" t="s">
        <v>15</v>
      </c>
    </row>
    <row r="35" spans="1:5">
      <c r="A35" s="1" t="s">
        <v>113</v>
      </c>
      <c r="B35" s="1" t="s">
        <v>114</v>
      </c>
      <c r="C35" s="2" t="s">
        <v>108</v>
      </c>
      <c r="D35" s="2" t="s">
        <v>115</v>
      </c>
      <c r="E35" s="1" t="s">
        <v>7</v>
      </c>
    </row>
    <row r="36" spans="1:5">
      <c r="A36" s="1" t="s">
        <v>116</v>
      </c>
      <c r="B36" s="1" t="s">
        <v>117</v>
      </c>
      <c r="C36" s="2" t="s">
        <v>108</v>
      </c>
      <c r="D36" s="2" t="s">
        <v>118</v>
      </c>
      <c r="E36" s="1" t="s">
        <v>7</v>
      </c>
    </row>
    <row r="37" spans="1:5">
      <c r="A37" s="1" t="s">
        <v>119</v>
      </c>
      <c r="B37" s="1" t="s">
        <v>120</v>
      </c>
      <c r="C37" s="2" t="s">
        <v>108</v>
      </c>
      <c r="D37" s="2" t="s">
        <v>121</v>
      </c>
      <c r="E37" s="1" t="s">
        <v>7</v>
      </c>
    </row>
    <row r="38" spans="1:5">
      <c r="A38" s="1" t="s">
        <v>122</v>
      </c>
      <c r="B38" s="1" t="s">
        <v>123</v>
      </c>
      <c r="C38" s="2" t="s">
        <v>108</v>
      </c>
      <c r="D38" s="2" t="s">
        <v>124</v>
      </c>
      <c r="E38" s="1" t="s">
        <v>125</v>
      </c>
    </row>
    <row r="39" spans="1:5">
      <c r="A39" s="1" t="s">
        <v>126</v>
      </c>
      <c r="B39" s="1" t="s">
        <v>127</v>
      </c>
      <c r="C39" s="2" t="s">
        <v>108</v>
      </c>
      <c r="D39" s="2" t="s">
        <v>128</v>
      </c>
      <c r="E39" s="1" t="s">
        <v>15</v>
      </c>
    </row>
    <row r="40" spans="1:5">
      <c r="A40" s="1" t="s">
        <v>129</v>
      </c>
      <c r="B40" s="1" t="s">
        <v>130</v>
      </c>
      <c r="C40" s="2" t="s">
        <v>108</v>
      </c>
      <c r="D40" s="2" t="s">
        <v>131</v>
      </c>
      <c r="E40" s="1" t="s">
        <v>7</v>
      </c>
    </row>
    <row r="41" spans="1:5">
      <c r="A41" s="1" t="s">
        <v>132</v>
      </c>
      <c r="B41" s="1" t="s">
        <v>133</v>
      </c>
      <c r="C41" s="2" t="s">
        <v>108</v>
      </c>
      <c r="D41" s="2" t="s">
        <v>134</v>
      </c>
      <c r="E41" s="1" t="s">
        <v>7</v>
      </c>
    </row>
    <row r="42" spans="1:5">
      <c r="A42" s="1" t="s">
        <v>135</v>
      </c>
      <c r="B42" s="1" t="s">
        <v>136</v>
      </c>
      <c r="C42" s="2" t="s">
        <v>137</v>
      </c>
      <c r="D42" s="2" t="s">
        <v>138</v>
      </c>
      <c r="E42" s="1" t="s">
        <v>7</v>
      </c>
    </row>
    <row r="43" spans="1:5">
      <c r="A43" s="1" t="s">
        <v>139</v>
      </c>
      <c r="B43" s="1" t="s">
        <v>140</v>
      </c>
      <c r="C43" s="2" t="s">
        <v>137</v>
      </c>
      <c r="D43" s="2" t="s">
        <v>141</v>
      </c>
      <c r="E43" s="1" t="s">
        <v>15</v>
      </c>
    </row>
    <row r="44" spans="1:5">
      <c r="A44" s="1" t="s">
        <v>142</v>
      </c>
      <c r="B44" s="1" t="s">
        <v>143</v>
      </c>
      <c r="C44" s="2" t="s">
        <v>144</v>
      </c>
      <c r="D44" s="2" t="s">
        <v>145</v>
      </c>
      <c r="E44" s="1" t="s">
        <v>7</v>
      </c>
    </row>
    <row r="45" spans="1:5">
      <c r="A45" s="1" t="s">
        <v>146</v>
      </c>
      <c r="B45" s="1" t="s">
        <v>147</v>
      </c>
      <c r="C45" s="2" t="s">
        <v>144</v>
      </c>
      <c r="D45" s="2" t="s">
        <v>148</v>
      </c>
      <c r="E45" s="1" t="s">
        <v>15</v>
      </c>
    </row>
    <row r="46" spans="1:5">
      <c r="A46" s="1" t="s">
        <v>149</v>
      </c>
      <c r="B46" s="1" t="s">
        <v>150</v>
      </c>
      <c r="C46" s="2" t="s">
        <v>144</v>
      </c>
      <c r="D46" s="2" t="s">
        <v>151</v>
      </c>
      <c r="E46" s="1" t="s">
        <v>7</v>
      </c>
    </row>
    <row r="47" spans="1:5">
      <c r="A47" s="1" t="s">
        <v>152</v>
      </c>
      <c r="B47" s="1" t="s">
        <v>153</v>
      </c>
      <c r="C47" s="2" t="s">
        <v>144</v>
      </c>
      <c r="D47" s="2" t="s">
        <v>154</v>
      </c>
      <c r="E47" s="1" t="s">
        <v>7</v>
      </c>
    </row>
    <row r="48" spans="1:5">
      <c r="A48" s="1" t="s">
        <v>155</v>
      </c>
      <c r="B48" s="1" t="s">
        <v>156</v>
      </c>
      <c r="C48" s="2" t="s">
        <v>144</v>
      </c>
      <c r="D48" s="2" t="s">
        <v>157</v>
      </c>
      <c r="E48" s="1" t="s">
        <v>7</v>
      </c>
    </row>
    <row r="49" spans="1:5">
      <c r="A49" s="1" t="s">
        <v>158</v>
      </c>
      <c r="B49" s="1" t="s">
        <v>159</v>
      </c>
      <c r="C49" s="2" t="s">
        <v>144</v>
      </c>
      <c r="D49" s="2" t="s">
        <v>160</v>
      </c>
      <c r="E49" s="1" t="s">
        <v>11</v>
      </c>
    </row>
    <row r="50" spans="1:5">
      <c r="A50" s="1" t="s">
        <v>161</v>
      </c>
      <c r="B50" s="1" t="s">
        <v>162</v>
      </c>
      <c r="C50" s="2" t="s">
        <v>144</v>
      </c>
      <c r="D50" s="2" t="s">
        <v>163</v>
      </c>
      <c r="E50" s="1" t="s">
        <v>125</v>
      </c>
    </row>
    <row r="51" spans="1:5">
      <c r="A51" s="1" t="s">
        <v>164</v>
      </c>
      <c r="B51" s="1" t="s">
        <v>165</v>
      </c>
      <c r="C51" s="2" t="s">
        <v>144</v>
      </c>
      <c r="D51" s="2" t="s">
        <v>166</v>
      </c>
      <c r="E51" s="1" t="s">
        <v>7</v>
      </c>
    </row>
    <row r="52" spans="1:5">
      <c r="A52" s="1" t="s">
        <v>167</v>
      </c>
      <c r="B52" s="1" t="s">
        <v>168</v>
      </c>
      <c r="C52" s="2" t="s">
        <v>144</v>
      </c>
      <c r="D52" s="2" t="s">
        <v>169</v>
      </c>
      <c r="E52" s="1" t="s">
        <v>15</v>
      </c>
    </row>
    <row r="53" spans="1:5">
      <c r="A53" s="1" t="s">
        <v>170</v>
      </c>
      <c r="B53" s="1" t="s">
        <v>171</v>
      </c>
      <c r="C53" s="2" t="s">
        <v>144</v>
      </c>
      <c r="D53" s="2" t="s">
        <v>172</v>
      </c>
      <c r="E53" s="1" t="s">
        <v>15</v>
      </c>
    </row>
    <row r="54" spans="1:5">
      <c r="A54" s="1" t="s">
        <v>173</v>
      </c>
      <c r="B54" s="1" t="s">
        <v>174</v>
      </c>
      <c r="C54" s="2" t="s">
        <v>175</v>
      </c>
      <c r="D54" s="2" t="s">
        <v>176</v>
      </c>
      <c r="E54" s="1" t="s">
        <v>26</v>
      </c>
    </row>
    <row r="55" spans="1:5">
      <c r="A55" s="1" t="s">
        <v>177</v>
      </c>
      <c r="B55" s="1" t="s">
        <v>178</v>
      </c>
      <c r="C55" s="2" t="s">
        <v>175</v>
      </c>
      <c r="D55" s="2" t="s">
        <v>179</v>
      </c>
      <c r="E55" s="1" t="s">
        <v>7</v>
      </c>
    </row>
    <row r="56" spans="1:5">
      <c r="A56" s="1" t="s">
        <v>180</v>
      </c>
      <c r="B56" s="1" t="s">
        <v>181</v>
      </c>
      <c r="C56" s="2" t="s">
        <v>182</v>
      </c>
      <c r="D56" s="2" t="s">
        <v>176</v>
      </c>
      <c r="E56" s="1" t="s">
        <v>7</v>
      </c>
    </row>
    <row r="57" spans="1:5">
      <c r="A57" s="1" t="s">
        <v>183</v>
      </c>
      <c r="B57" s="1" t="s">
        <v>184</v>
      </c>
      <c r="C57" s="2" t="s">
        <v>182</v>
      </c>
      <c r="D57" s="2" t="s">
        <v>185</v>
      </c>
      <c r="E57" s="1" t="s">
        <v>7</v>
      </c>
    </row>
    <row r="58" spans="1:5">
      <c r="A58" s="1" t="s">
        <v>186</v>
      </c>
      <c r="B58" s="1" t="s">
        <v>187</v>
      </c>
      <c r="C58" s="2" t="s">
        <v>182</v>
      </c>
      <c r="D58" s="2" t="s">
        <v>188</v>
      </c>
      <c r="E58" s="1" t="s">
        <v>7</v>
      </c>
    </row>
    <row r="59" spans="1:5">
      <c r="A59" s="1" t="s">
        <v>189</v>
      </c>
      <c r="B59" s="1" t="s">
        <v>190</v>
      </c>
      <c r="C59" s="2" t="s">
        <v>182</v>
      </c>
      <c r="D59" s="2" t="s">
        <v>191</v>
      </c>
      <c r="E59" s="1" t="s">
        <v>7</v>
      </c>
    </row>
    <row r="60" spans="1:5">
      <c r="A60" s="1" t="s">
        <v>192</v>
      </c>
      <c r="B60" s="1" t="s">
        <v>193</v>
      </c>
      <c r="C60" s="2" t="s">
        <v>182</v>
      </c>
      <c r="D60" s="2" t="s">
        <v>194</v>
      </c>
      <c r="E60" s="1" t="s">
        <v>7</v>
      </c>
    </row>
    <row r="61" spans="1:5">
      <c r="A61" s="1" t="s">
        <v>195</v>
      </c>
      <c r="B61" s="1" t="s">
        <v>196</v>
      </c>
      <c r="C61" s="2" t="s">
        <v>182</v>
      </c>
      <c r="D61" s="2" t="s">
        <v>197</v>
      </c>
      <c r="E61" s="1" t="s">
        <v>7</v>
      </c>
    </row>
    <row r="62" spans="1:5">
      <c r="A62" s="1" t="s">
        <v>198</v>
      </c>
      <c r="B62" s="1" t="s">
        <v>199</v>
      </c>
      <c r="C62" s="2" t="s">
        <v>182</v>
      </c>
      <c r="D62" s="2" t="s">
        <v>200</v>
      </c>
      <c r="E62" s="1" t="s">
        <v>7</v>
      </c>
    </row>
    <row r="63" spans="1:5">
      <c r="A63" s="1" t="s">
        <v>201</v>
      </c>
      <c r="B63" s="1" t="s">
        <v>202</v>
      </c>
      <c r="C63" s="2" t="s">
        <v>182</v>
      </c>
      <c r="D63" s="2" t="s">
        <v>203</v>
      </c>
      <c r="E63" s="1" t="s">
        <v>7</v>
      </c>
    </row>
    <row r="64" spans="1:5">
      <c r="A64" s="1" t="s">
        <v>204</v>
      </c>
      <c r="B64" s="1" t="s">
        <v>205</v>
      </c>
      <c r="C64" s="2" t="s">
        <v>182</v>
      </c>
      <c r="D64" s="2" t="s">
        <v>206</v>
      </c>
      <c r="E64" s="1" t="s">
        <v>207</v>
      </c>
    </row>
    <row r="65" spans="1:5">
      <c r="A65" s="1" t="s">
        <v>208</v>
      </c>
      <c r="B65" s="1" t="s">
        <v>209</v>
      </c>
      <c r="C65" s="2" t="s">
        <v>182</v>
      </c>
      <c r="D65" s="2" t="s">
        <v>210</v>
      </c>
      <c r="E65" s="1" t="s">
        <v>7</v>
      </c>
    </row>
    <row r="66" spans="1:5">
      <c r="A66" s="1" t="s">
        <v>211</v>
      </c>
      <c r="B66" s="1" t="s">
        <v>212</v>
      </c>
      <c r="C66" s="2" t="s">
        <v>213</v>
      </c>
      <c r="D66" s="2" t="s">
        <v>214</v>
      </c>
      <c r="E66" s="1" t="s">
        <v>7</v>
      </c>
    </row>
    <row r="67" spans="1:5">
      <c r="A67" s="1" t="s">
        <v>215</v>
      </c>
      <c r="B67" s="1" t="s">
        <v>216</v>
      </c>
      <c r="C67" s="2" t="s">
        <v>213</v>
      </c>
      <c r="D67" s="2" t="s">
        <v>217</v>
      </c>
      <c r="E67" s="1" t="s">
        <v>26</v>
      </c>
    </row>
    <row r="68" spans="1:5">
      <c r="A68" s="1" t="s">
        <v>218</v>
      </c>
      <c r="B68" s="1" t="s">
        <v>219</v>
      </c>
      <c r="C68" s="2" t="s">
        <v>213</v>
      </c>
      <c r="D68" s="2" t="s">
        <v>220</v>
      </c>
      <c r="E68" s="1" t="s">
        <v>7</v>
      </c>
    </row>
    <row r="69" spans="1:5">
      <c r="A69" s="1" t="s">
        <v>221</v>
      </c>
      <c r="B69" s="1" t="s">
        <v>222</v>
      </c>
      <c r="C69" s="2" t="s">
        <v>213</v>
      </c>
      <c r="D69" s="2" t="s">
        <v>223</v>
      </c>
      <c r="E69" s="1" t="s">
        <v>7</v>
      </c>
    </row>
    <row r="70" spans="1:5">
      <c r="A70" s="1" t="s">
        <v>224</v>
      </c>
      <c r="B70" s="1" t="s">
        <v>225</v>
      </c>
      <c r="C70" s="2" t="s">
        <v>213</v>
      </c>
      <c r="D70" s="2" t="s">
        <v>226</v>
      </c>
      <c r="E70" s="1" t="s">
        <v>207</v>
      </c>
    </row>
    <row r="71" spans="1:5">
      <c r="A71" s="1" t="s">
        <v>227</v>
      </c>
      <c r="B71" s="1" t="s">
        <v>228</v>
      </c>
      <c r="C71" s="2" t="s">
        <v>229</v>
      </c>
      <c r="D71" s="2" t="s">
        <v>230</v>
      </c>
      <c r="E71" s="1" t="s">
        <v>7</v>
      </c>
    </row>
    <row r="72" spans="1:5">
      <c r="A72" s="1" t="s">
        <v>231</v>
      </c>
      <c r="B72" s="1" t="s">
        <v>232</v>
      </c>
      <c r="C72" s="2" t="s">
        <v>233</v>
      </c>
      <c r="D72" s="2" t="s">
        <v>234</v>
      </c>
      <c r="E72" s="1" t="s">
        <v>7</v>
      </c>
    </row>
    <row r="73" spans="1:5">
      <c r="A73" s="1" t="s">
        <v>235</v>
      </c>
      <c r="B73" s="1" t="s">
        <v>236</v>
      </c>
      <c r="C73" s="2" t="s">
        <v>233</v>
      </c>
      <c r="D73" s="2" t="s">
        <v>237</v>
      </c>
      <c r="E73" s="1" t="s">
        <v>15</v>
      </c>
    </row>
    <row r="74" spans="1:5">
      <c r="A74" s="1" t="s">
        <v>238</v>
      </c>
      <c r="B74" s="1" t="s">
        <v>239</v>
      </c>
      <c r="C74" s="2" t="s">
        <v>233</v>
      </c>
      <c r="D74" s="2" t="s">
        <v>240</v>
      </c>
      <c r="E74" s="1" t="s">
        <v>7</v>
      </c>
    </row>
    <row r="75" spans="1:5">
      <c r="A75" s="1" t="s">
        <v>241</v>
      </c>
      <c r="B75" s="1" t="s">
        <v>242</v>
      </c>
      <c r="C75" s="2" t="s">
        <v>233</v>
      </c>
      <c r="D75" s="2" t="s">
        <v>243</v>
      </c>
      <c r="E75" s="1" t="s">
        <v>15</v>
      </c>
    </row>
    <row r="76" spans="1:5">
      <c r="A76" s="1" t="s">
        <v>244</v>
      </c>
      <c r="B76" s="1" t="s">
        <v>245</v>
      </c>
      <c r="C76" s="2" t="s">
        <v>246</v>
      </c>
      <c r="D76" s="2" t="s">
        <v>247</v>
      </c>
      <c r="E76" s="1" t="s">
        <v>7</v>
      </c>
    </row>
    <row r="77" spans="1:5">
      <c r="A77" s="1" t="s">
        <v>248</v>
      </c>
      <c r="B77" s="1" t="s">
        <v>249</v>
      </c>
      <c r="C77" s="2" t="s">
        <v>250</v>
      </c>
      <c r="D77" s="2" t="s">
        <v>251</v>
      </c>
      <c r="E77" s="1" t="s">
        <v>11</v>
      </c>
    </row>
    <row r="78" spans="1:5">
      <c r="A78" s="1" t="s">
        <v>252</v>
      </c>
      <c r="B78" s="1" t="s">
        <v>253</v>
      </c>
      <c r="C78" s="2" t="s">
        <v>250</v>
      </c>
      <c r="D78" s="2" t="s">
        <v>254</v>
      </c>
      <c r="E78" s="1" t="s">
        <v>26</v>
      </c>
    </row>
    <row r="79" spans="1:5">
      <c r="A79" s="1" t="s">
        <v>255</v>
      </c>
      <c r="B79" s="1" t="s">
        <v>256</v>
      </c>
      <c r="C79" s="2" t="s">
        <v>250</v>
      </c>
      <c r="D79" s="2" t="s">
        <v>257</v>
      </c>
      <c r="E79" s="1" t="s">
        <v>7</v>
      </c>
    </row>
    <row r="80" spans="1:5">
      <c r="A80" s="1" t="s">
        <v>258</v>
      </c>
      <c r="B80" s="1" t="s">
        <v>259</v>
      </c>
      <c r="C80" s="2" t="s">
        <v>250</v>
      </c>
      <c r="D80" s="2" t="s">
        <v>260</v>
      </c>
      <c r="E80" s="1" t="s">
        <v>7</v>
      </c>
    </row>
    <row r="81" spans="1:5">
      <c r="A81" s="1" t="s">
        <v>261</v>
      </c>
      <c r="B81" s="1" t="s">
        <v>262</v>
      </c>
      <c r="C81" s="2" t="s">
        <v>250</v>
      </c>
      <c r="D81" s="2" t="s">
        <v>263</v>
      </c>
      <c r="E81" s="1" t="s">
        <v>7</v>
      </c>
    </row>
    <row r="82" spans="1:5">
      <c r="A82" s="1" t="s">
        <v>264</v>
      </c>
      <c r="B82" s="1" t="s">
        <v>265</v>
      </c>
      <c r="C82" s="2" t="s">
        <v>250</v>
      </c>
      <c r="D82" s="2" t="s">
        <v>266</v>
      </c>
      <c r="E82" s="1" t="s">
        <v>15</v>
      </c>
    </row>
    <row r="83" spans="1:5">
      <c r="A83" s="1" t="s">
        <v>267</v>
      </c>
      <c r="B83" s="1" t="s">
        <v>268</v>
      </c>
      <c r="C83" s="2" t="s">
        <v>250</v>
      </c>
      <c r="D83" s="2" t="s">
        <v>269</v>
      </c>
      <c r="E83" s="1" t="s">
        <v>26</v>
      </c>
    </row>
    <row r="84" spans="1:5">
      <c r="A84" s="1" t="s">
        <v>270</v>
      </c>
      <c r="B84" s="1" t="s">
        <v>271</v>
      </c>
      <c r="C84" s="2" t="s">
        <v>250</v>
      </c>
      <c r="D84" s="2" t="s">
        <v>272</v>
      </c>
      <c r="E84" s="1" t="s">
        <v>7</v>
      </c>
    </row>
    <row r="85" spans="1:5">
      <c r="A85" s="1" t="s">
        <v>273</v>
      </c>
      <c r="B85" s="1" t="s">
        <v>274</v>
      </c>
      <c r="C85" s="2" t="s">
        <v>250</v>
      </c>
      <c r="D85" s="2" t="s">
        <v>275</v>
      </c>
      <c r="E85" s="1" t="s">
        <v>7</v>
      </c>
    </row>
    <row r="86" spans="1:5">
      <c r="A86" s="1" t="s">
        <v>276</v>
      </c>
      <c r="B86" s="1" t="s">
        <v>277</v>
      </c>
      <c r="C86" s="2" t="s">
        <v>250</v>
      </c>
      <c r="D86" s="2" t="s">
        <v>278</v>
      </c>
      <c r="E86" s="1" t="s">
        <v>15</v>
      </c>
    </row>
    <row r="87" spans="1:5">
      <c r="A87" s="1" t="s">
        <v>279</v>
      </c>
      <c r="B87" s="1" t="s">
        <v>280</v>
      </c>
      <c r="C87" s="2" t="s">
        <v>250</v>
      </c>
      <c r="D87" s="2" t="s">
        <v>281</v>
      </c>
      <c r="E87" s="1" t="s">
        <v>7</v>
      </c>
    </row>
    <row r="88" spans="1:5">
      <c r="A88" s="1" t="s">
        <v>282</v>
      </c>
      <c r="B88" s="1" t="s">
        <v>283</v>
      </c>
      <c r="C88" s="2" t="s">
        <v>250</v>
      </c>
      <c r="D88" s="2" t="s">
        <v>284</v>
      </c>
      <c r="E88" s="1" t="s">
        <v>26</v>
      </c>
    </row>
    <row r="89" spans="1:5">
      <c r="A89" s="1" t="s">
        <v>285</v>
      </c>
      <c r="B89" s="1" t="s">
        <v>286</v>
      </c>
      <c r="C89" s="2" t="s">
        <v>250</v>
      </c>
      <c r="D89" s="2" t="s">
        <v>287</v>
      </c>
      <c r="E89" s="1" t="s">
        <v>26</v>
      </c>
    </row>
    <row r="90" spans="1:5">
      <c r="A90" s="1" t="s">
        <v>288</v>
      </c>
      <c r="B90" s="1" t="s">
        <v>289</v>
      </c>
      <c r="C90" s="2" t="s">
        <v>250</v>
      </c>
      <c r="D90" s="2" t="s">
        <v>290</v>
      </c>
      <c r="E90" s="1" t="s">
        <v>11</v>
      </c>
    </row>
    <row r="91" spans="1:5">
      <c r="A91" s="1" t="s">
        <v>291</v>
      </c>
      <c r="B91" s="1" t="s">
        <v>292</v>
      </c>
      <c r="C91" s="2" t="s">
        <v>293</v>
      </c>
      <c r="D91" s="2" t="s">
        <v>294</v>
      </c>
      <c r="E91" s="1" t="s">
        <v>7</v>
      </c>
    </row>
    <row r="92" spans="1:5">
      <c r="A92" s="1" t="s">
        <v>295</v>
      </c>
      <c r="B92" s="1" t="s">
        <v>296</v>
      </c>
      <c r="C92" s="2" t="s">
        <v>293</v>
      </c>
      <c r="D92" s="2" t="s">
        <v>297</v>
      </c>
      <c r="E92" s="1" t="s">
        <v>26</v>
      </c>
    </row>
    <row r="93" spans="1:5">
      <c r="A93" s="1" t="s">
        <v>298</v>
      </c>
      <c r="B93" s="1" t="s">
        <v>299</v>
      </c>
      <c r="C93" s="2" t="s">
        <v>293</v>
      </c>
      <c r="D93" s="2" t="s">
        <v>300</v>
      </c>
      <c r="E93" s="1" t="s">
        <v>7</v>
      </c>
    </row>
    <row r="94" spans="1:5">
      <c r="A94" s="1" t="s">
        <v>301</v>
      </c>
      <c r="B94" s="1" t="s">
        <v>302</v>
      </c>
      <c r="C94" s="2" t="s">
        <v>293</v>
      </c>
      <c r="D94" s="2" t="s">
        <v>303</v>
      </c>
      <c r="E94" s="1" t="s">
        <v>7</v>
      </c>
    </row>
    <row r="95" spans="1:5">
      <c r="A95" s="1" t="s">
        <v>304</v>
      </c>
      <c r="B95" s="1" t="s">
        <v>305</v>
      </c>
      <c r="C95" s="2" t="s">
        <v>306</v>
      </c>
      <c r="D95" s="2" t="s">
        <v>307</v>
      </c>
      <c r="E95" s="1" t="s">
        <v>7</v>
      </c>
    </row>
    <row r="96" spans="1:5">
      <c r="A96" s="1" t="s">
        <v>308</v>
      </c>
      <c r="B96" s="1" t="s">
        <v>309</v>
      </c>
      <c r="C96" s="2" t="s">
        <v>306</v>
      </c>
      <c r="D96" s="2" t="s">
        <v>310</v>
      </c>
      <c r="E96" s="1" t="s">
        <v>7</v>
      </c>
    </row>
    <row r="97" spans="1:5">
      <c r="A97" s="1" t="s">
        <v>311</v>
      </c>
      <c r="B97" s="1" t="s">
        <v>312</v>
      </c>
      <c r="C97" s="2" t="s">
        <v>306</v>
      </c>
      <c r="D97" s="2" t="s">
        <v>313</v>
      </c>
      <c r="E97" s="1" t="s">
        <v>7</v>
      </c>
    </row>
    <row r="98" spans="1:5">
      <c r="A98" s="1" t="s">
        <v>314</v>
      </c>
      <c r="B98" s="1" t="s">
        <v>315</v>
      </c>
      <c r="C98" s="2" t="s">
        <v>306</v>
      </c>
      <c r="D98" s="2" t="s">
        <v>316</v>
      </c>
      <c r="E98" s="1" t="s">
        <v>15</v>
      </c>
    </row>
    <row r="99" spans="1:5">
      <c r="A99" s="1" t="s">
        <v>317</v>
      </c>
      <c r="B99" s="1" t="s">
        <v>318</v>
      </c>
      <c r="C99" s="2" t="s">
        <v>319</v>
      </c>
      <c r="D99" s="2" t="s">
        <v>320</v>
      </c>
      <c r="E99" s="1" t="s">
        <v>11</v>
      </c>
    </row>
    <row r="100" spans="1:5">
      <c r="A100" s="1" t="s">
        <v>321</v>
      </c>
      <c r="B100" s="1" t="s">
        <v>322</v>
      </c>
      <c r="C100" s="2" t="s">
        <v>319</v>
      </c>
      <c r="D100" s="2" t="s">
        <v>323</v>
      </c>
      <c r="E100" s="1" t="s">
        <v>7</v>
      </c>
    </row>
    <row r="101" spans="1:5">
      <c r="A101" s="1" t="s">
        <v>324</v>
      </c>
      <c r="B101" s="1" t="s">
        <v>325</v>
      </c>
      <c r="C101" s="2" t="s">
        <v>319</v>
      </c>
      <c r="D101" s="2" t="s">
        <v>326</v>
      </c>
      <c r="E101" s="1" t="s">
        <v>7</v>
      </c>
    </row>
    <row r="102" spans="1:5">
      <c r="A102" s="1" t="s">
        <v>327</v>
      </c>
      <c r="B102" s="1" t="s">
        <v>328</v>
      </c>
      <c r="C102" s="2" t="s">
        <v>319</v>
      </c>
      <c r="D102" s="2" t="s">
        <v>329</v>
      </c>
      <c r="E102" s="1" t="s">
        <v>7</v>
      </c>
    </row>
    <row r="103" spans="1:5">
      <c r="A103" s="1" t="s">
        <v>330</v>
      </c>
      <c r="B103" s="1" t="s">
        <v>331</v>
      </c>
      <c r="C103" s="2" t="s">
        <v>332</v>
      </c>
      <c r="D103" s="2" t="s">
        <v>333</v>
      </c>
      <c r="E103" s="1" t="s">
        <v>7</v>
      </c>
    </row>
    <row r="104" spans="1:5">
      <c r="A104" s="1" t="s">
        <v>334</v>
      </c>
      <c r="B104" s="1" t="s">
        <v>335</v>
      </c>
      <c r="C104" s="2" t="s">
        <v>332</v>
      </c>
      <c r="D104" s="2" t="s">
        <v>336</v>
      </c>
      <c r="E104" s="1" t="s">
        <v>15</v>
      </c>
    </row>
    <row r="105" spans="1:5">
      <c r="A105" s="1" t="s">
        <v>337</v>
      </c>
      <c r="B105" s="1" t="s">
        <v>338</v>
      </c>
      <c r="C105" s="2" t="s">
        <v>332</v>
      </c>
      <c r="D105" s="2" t="s">
        <v>339</v>
      </c>
      <c r="E105" s="1" t="s">
        <v>7</v>
      </c>
    </row>
    <row r="106" spans="1:5">
      <c r="A106" s="1" t="s">
        <v>340</v>
      </c>
      <c r="B106" s="1" t="s">
        <v>341</v>
      </c>
      <c r="C106" s="2" t="s">
        <v>332</v>
      </c>
      <c r="D106" s="2" t="s">
        <v>342</v>
      </c>
      <c r="E106" s="1" t="s">
        <v>15</v>
      </c>
    </row>
    <row r="107" spans="1:5">
      <c r="A107" s="1" t="s">
        <v>343</v>
      </c>
      <c r="B107" s="1" t="s">
        <v>344</v>
      </c>
      <c r="C107" s="2" t="s">
        <v>332</v>
      </c>
      <c r="D107" s="2" t="s">
        <v>345</v>
      </c>
      <c r="E107" s="1" t="s">
        <v>15</v>
      </c>
    </row>
    <row r="108" spans="1:5">
      <c r="A108" s="1" t="s">
        <v>346</v>
      </c>
      <c r="B108" s="1" t="s">
        <v>347</v>
      </c>
      <c r="C108" s="2" t="s">
        <v>348</v>
      </c>
      <c r="D108" s="2" t="s">
        <v>349</v>
      </c>
      <c r="E108" s="1" t="s">
        <v>15</v>
      </c>
    </row>
    <row r="109" spans="1:5">
      <c r="A109" s="1" t="s">
        <v>350</v>
      </c>
      <c r="B109" s="1" t="s">
        <v>351</v>
      </c>
      <c r="C109" s="2" t="s">
        <v>348</v>
      </c>
      <c r="D109" s="2" t="s">
        <v>352</v>
      </c>
      <c r="E109" s="1" t="s">
        <v>15</v>
      </c>
    </row>
    <row r="110" spans="1:5">
      <c r="A110" s="1" t="s">
        <v>353</v>
      </c>
      <c r="B110" s="1" t="s">
        <v>354</v>
      </c>
      <c r="C110" s="2" t="s">
        <v>348</v>
      </c>
      <c r="D110" s="2" t="s">
        <v>355</v>
      </c>
      <c r="E110" s="1" t="s">
        <v>15</v>
      </c>
    </row>
    <row r="111" spans="1:5">
      <c r="A111" s="1" t="s">
        <v>356</v>
      </c>
      <c r="B111" s="1" t="s">
        <v>357</v>
      </c>
      <c r="C111" s="2" t="s">
        <v>348</v>
      </c>
      <c r="D111" s="2" t="s">
        <v>358</v>
      </c>
      <c r="E111" s="1" t="s">
        <v>7</v>
      </c>
    </row>
    <row r="112" spans="1:5">
      <c r="A112" s="1" t="s">
        <v>359</v>
      </c>
      <c r="B112" s="1" t="s">
        <v>360</v>
      </c>
      <c r="C112" s="2" t="s">
        <v>361</v>
      </c>
      <c r="D112" s="2" t="s">
        <v>362</v>
      </c>
      <c r="E112" s="1" t="s">
        <v>46</v>
      </c>
    </row>
    <row r="113" spans="1:5">
      <c r="A113" s="1" t="s">
        <v>363</v>
      </c>
      <c r="B113" s="1" t="s">
        <v>364</v>
      </c>
      <c r="C113" s="2" t="s">
        <v>365</v>
      </c>
      <c r="D113" s="2" t="s">
        <v>366</v>
      </c>
      <c r="E113" s="1" t="s">
        <v>7</v>
      </c>
    </row>
    <row r="114" spans="1:5">
      <c r="A114" s="1" t="s">
        <v>367</v>
      </c>
      <c r="B114" s="1" t="s">
        <v>368</v>
      </c>
      <c r="C114" s="2" t="s">
        <v>365</v>
      </c>
      <c r="D114" s="2" t="s">
        <v>369</v>
      </c>
      <c r="E114" s="1" t="s">
        <v>7</v>
      </c>
    </row>
    <row r="115" spans="1:5">
      <c r="A115" s="1" t="s">
        <v>370</v>
      </c>
      <c r="B115" s="1" t="s">
        <v>371</v>
      </c>
      <c r="C115" s="2" t="s">
        <v>365</v>
      </c>
      <c r="D115" s="2" t="s">
        <v>372</v>
      </c>
      <c r="E115" s="1" t="s">
        <v>15</v>
      </c>
    </row>
    <row r="116" spans="1:5">
      <c r="A116" s="1" t="s">
        <v>373</v>
      </c>
      <c r="B116" s="1" t="s">
        <v>374</v>
      </c>
      <c r="C116" s="2" t="s">
        <v>365</v>
      </c>
      <c r="D116" s="2" t="s">
        <v>375</v>
      </c>
      <c r="E116" s="1" t="s">
        <v>7</v>
      </c>
    </row>
    <row r="117" spans="1:5">
      <c r="A117" s="1" t="s">
        <v>376</v>
      </c>
      <c r="B117" s="1" t="s">
        <v>377</v>
      </c>
      <c r="C117" s="2" t="s">
        <v>365</v>
      </c>
      <c r="D117" s="2" t="s">
        <v>378</v>
      </c>
      <c r="E117" s="1" t="s">
        <v>7</v>
      </c>
    </row>
    <row r="118" spans="1:5">
      <c r="A118" s="1" t="s">
        <v>379</v>
      </c>
      <c r="B118" s="1" t="s">
        <v>380</v>
      </c>
      <c r="C118" s="2" t="s">
        <v>365</v>
      </c>
      <c r="D118" s="2" t="s">
        <v>381</v>
      </c>
      <c r="E118" s="1" t="s">
        <v>207</v>
      </c>
    </row>
    <row r="119" spans="1:5">
      <c r="A119" s="1" t="s">
        <v>382</v>
      </c>
      <c r="B119" s="1" t="s">
        <v>383</v>
      </c>
      <c r="C119" s="2" t="s">
        <v>365</v>
      </c>
      <c r="D119" s="2" t="s">
        <v>384</v>
      </c>
      <c r="E119" s="1" t="s">
        <v>7</v>
      </c>
    </row>
    <row r="120" spans="1:5">
      <c r="A120" s="1" t="s">
        <v>385</v>
      </c>
      <c r="B120" s="1" t="s">
        <v>386</v>
      </c>
      <c r="C120" s="2" t="s">
        <v>365</v>
      </c>
      <c r="D120" s="2" t="s">
        <v>387</v>
      </c>
      <c r="E120" s="1" t="s">
        <v>7</v>
      </c>
    </row>
    <row r="121" spans="1:5">
      <c r="A121" s="1" t="s">
        <v>388</v>
      </c>
      <c r="B121" s="1" t="s">
        <v>389</v>
      </c>
      <c r="C121" s="2" t="s">
        <v>365</v>
      </c>
      <c r="D121" s="2" t="s">
        <v>390</v>
      </c>
      <c r="E121" s="1" t="s">
        <v>26</v>
      </c>
    </row>
    <row r="122" spans="1:5">
      <c r="A122" s="1" t="s">
        <v>391</v>
      </c>
      <c r="B122" s="1" t="s">
        <v>392</v>
      </c>
      <c r="C122" s="2" t="s">
        <v>365</v>
      </c>
      <c r="D122" s="2" t="s">
        <v>393</v>
      </c>
      <c r="E122" s="1" t="s">
        <v>15</v>
      </c>
    </row>
    <row r="123" spans="1:5">
      <c r="A123" s="1" t="s">
        <v>394</v>
      </c>
      <c r="B123" s="1" t="s">
        <v>395</v>
      </c>
      <c r="C123" s="2" t="s">
        <v>365</v>
      </c>
      <c r="D123" s="2" t="s">
        <v>396</v>
      </c>
      <c r="E123" s="1" t="s">
        <v>207</v>
      </c>
    </row>
    <row r="124" spans="1:5">
      <c r="A124" s="1" t="s">
        <v>397</v>
      </c>
      <c r="B124" s="1" t="s">
        <v>398</v>
      </c>
      <c r="C124" s="2" t="s">
        <v>365</v>
      </c>
      <c r="D124" s="2" t="s">
        <v>399</v>
      </c>
      <c r="E124" s="1" t="s">
        <v>11</v>
      </c>
    </row>
    <row r="125" spans="1:5">
      <c r="A125" s="1" t="s">
        <v>400</v>
      </c>
      <c r="B125" s="1" t="s">
        <v>401</v>
      </c>
      <c r="C125" s="2" t="s">
        <v>365</v>
      </c>
      <c r="D125" s="2" t="s">
        <v>402</v>
      </c>
      <c r="E125" s="1" t="s">
        <v>7</v>
      </c>
    </row>
    <row r="126" spans="1:5">
      <c r="A126" s="1" t="s">
        <v>403</v>
      </c>
      <c r="B126" s="1" t="s">
        <v>404</v>
      </c>
      <c r="C126" s="2" t="s">
        <v>365</v>
      </c>
      <c r="D126" s="2" t="s">
        <v>405</v>
      </c>
      <c r="E126" s="1" t="s">
        <v>7</v>
      </c>
    </row>
    <row r="127" spans="1:5">
      <c r="A127" s="1" t="s">
        <v>406</v>
      </c>
      <c r="B127" s="1" t="s">
        <v>407</v>
      </c>
      <c r="C127" s="2" t="s">
        <v>365</v>
      </c>
      <c r="D127" s="2" t="s">
        <v>408</v>
      </c>
      <c r="E127" s="1" t="s">
        <v>7</v>
      </c>
    </row>
    <row r="128" spans="1:5">
      <c r="A128" s="1" t="s">
        <v>409</v>
      </c>
      <c r="B128" s="1" t="s">
        <v>410</v>
      </c>
      <c r="C128" s="2" t="s">
        <v>411</v>
      </c>
      <c r="D128" s="2" t="s">
        <v>412</v>
      </c>
      <c r="E128" s="1" t="s">
        <v>7</v>
      </c>
    </row>
    <row r="129" spans="1:5">
      <c r="A129" s="1" t="s">
        <v>413</v>
      </c>
      <c r="B129" s="1" t="s">
        <v>414</v>
      </c>
      <c r="C129" s="2" t="s">
        <v>411</v>
      </c>
      <c r="D129" s="2" t="s">
        <v>415</v>
      </c>
      <c r="E129" s="1" t="s">
        <v>207</v>
      </c>
    </row>
    <row r="130" spans="1:5">
      <c r="A130" s="1" t="s">
        <v>416</v>
      </c>
      <c r="B130" s="1" t="s">
        <v>417</v>
      </c>
      <c r="C130" s="2" t="s">
        <v>411</v>
      </c>
      <c r="D130" s="2" t="s">
        <v>418</v>
      </c>
      <c r="E130" s="1" t="s">
        <v>7</v>
      </c>
    </row>
    <row r="131" spans="1:5">
      <c r="A131" s="1" t="s">
        <v>419</v>
      </c>
      <c r="B131" s="1" t="s">
        <v>420</v>
      </c>
      <c r="C131" s="2" t="s">
        <v>411</v>
      </c>
      <c r="D131" s="2" t="s">
        <v>421</v>
      </c>
      <c r="E131" s="1" t="s">
        <v>7</v>
      </c>
    </row>
    <row r="132" spans="1:5">
      <c r="A132" s="1" t="s">
        <v>422</v>
      </c>
      <c r="B132" s="1" t="s">
        <v>423</v>
      </c>
      <c r="C132" s="2" t="s">
        <v>411</v>
      </c>
      <c r="D132" s="2" t="s">
        <v>424</v>
      </c>
      <c r="E132" s="1" t="s">
        <v>7</v>
      </c>
    </row>
    <row r="133" spans="1:5">
      <c r="A133" s="1" t="s">
        <v>425</v>
      </c>
      <c r="B133" s="1" t="s">
        <v>426</v>
      </c>
      <c r="C133" s="2" t="s">
        <v>427</v>
      </c>
      <c r="D133" s="2" t="s">
        <v>428</v>
      </c>
      <c r="E133" s="1" t="s">
        <v>7</v>
      </c>
    </row>
    <row r="134" spans="1:5">
      <c r="A134" s="1" t="s">
        <v>429</v>
      </c>
      <c r="B134" s="1" t="s">
        <v>430</v>
      </c>
      <c r="C134" s="2" t="s">
        <v>427</v>
      </c>
      <c r="D134" s="2" t="s">
        <v>431</v>
      </c>
      <c r="E134" s="1" t="s">
        <v>7</v>
      </c>
    </row>
    <row r="135" spans="1:5">
      <c r="A135" s="1" t="s">
        <v>432</v>
      </c>
      <c r="B135" s="1" t="s">
        <v>433</v>
      </c>
      <c r="C135" s="2" t="s">
        <v>434</v>
      </c>
      <c r="D135" s="2" t="s">
        <v>435</v>
      </c>
      <c r="E135" s="1" t="s">
        <v>15</v>
      </c>
    </row>
    <row r="136" spans="1:5">
      <c r="A136" s="1" t="s">
        <v>436</v>
      </c>
      <c r="B136" s="1" t="s">
        <v>437</v>
      </c>
      <c r="C136" s="2" t="s">
        <v>434</v>
      </c>
      <c r="D136" s="2" t="s">
        <v>438</v>
      </c>
      <c r="E136" s="1" t="s">
        <v>46</v>
      </c>
    </row>
    <row r="137" spans="1:5">
      <c r="A137" s="1" t="s">
        <v>439</v>
      </c>
      <c r="B137" s="1" t="s">
        <v>440</v>
      </c>
      <c r="C137" s="2" t="s">
        <v>434</v>
      </c>
      <c r="D137" s="2" t="s">
        <v>438</v>
      </c>
      <c r="E137" s="1" t="s">
        <v>7</v>
      </c>
    </row>
    <row r="138" spans="1:5">
      <c r="A138" s="1" t="s">
        <v>441</v>
      </c>
      <c r="B138" s="1" t="s">
        <v>442</v>
      </c>
      <c r="C138" s="2" t="s">
        <v>434</v>
      </c>
      <c r="D138" s="2" t="s">
        <v>443</v>
      </c>
      <c r="E138" s="1" t="s">
        <v>7</v>
      </c>
    </row>
    <row r="139" spans="1:5">
      <c r="A139" s="1" t="s">
        <v>444</v>
      </c>
      <c r="B139" s="1" t="s">
        <v>445</v>
      </c>
      <c r="C139" s="2" t="s">
        <v>434</v>
      </c>
      <c r="D139" s="2" t="s">
        <v>446</v>
      </c>
      <c r="E139" s="1" t="s">
        <v>15</v>
      </c>
    </row>
    <row r="140" spans="1:5">
      <c r="A140" s="1" t="s">
        <v>447</v>
      </c>
      <c r="B140" s="1" t="s">
        <v>448</v>
      </c>
      <c r="C140" s="2" t="s">
        <v>434</v>
      </c>
      <c r="D140" s="2" t="s">
        <v>449</v>
      </c>
      <c r="E140" s="1" t="s">
        <v>7</v>
      </c>
    </row>
    <row r="141" spans="1:5">
      <c r="A141" s="1" t="s">
        <v>450</v>
      </c>
      <c r="B141" s="1" t="s">
        <v>451</v>
      </c>
      <c r="C141" s="2" t="s">
        <v>434</v>
      </c>
      <c r="D141" s="2" t="s">
        <v>452</v>
      </c>
      <c r="E141" s="1" t="s">
        <v>7</v>
      </c>
    </row>
    <row r="142" spans="1:5">
      <c r="A142" s="1" t="s">
        <v>453</v>
      </c>
      <c r="B142" s="1" t="s">
        <v>454</v>
      </c>
      <c r="C142" s="2" t="s">
        <v>434</v>
      </c>
      <c r="D142" s="2" t="s">
        <v>455</v>
      </c>
      <c r="E142" s="1" t="s">
        <v>7</v>
      </c>
    </row>
    <row r="143" spans="1:5">
      <c r="A143" s="1" t="s">
        <v>456</v>
      </c>
      <c r="B143" s="1" t="s">
        <v>457</v>
      </c>
      <c r="C143" s="2" t="s">
        <v>434</v>
      </c>
      <c r="D143" s="2" t="s">
        <v>458</v>
      </c>
      <c r="E143" s="1" t="s">
        <v>15</v>
      </c>
    </row>
    <row r="144" spans="1:5">
      <c r="A144" s="1" t="s">
        <v>459</v>
      </c>
      <c r="B144" s="1" t="s">
        <v>460</v>
      </c>
      <c r="C144" s="2" t="s">
        <v>434</v>
      </c>
      <c r="D144" s="2" t="s">
        <v>461</v>
      </c>
      <c r="E144" s="1" t="s">
        <v>15</v>
      </c>
    </row>
    <row r="145" spans="1:5">
      <c r="A145" s="1" t="s">
        <v>462</v>
      </c>
      <c r="B145" s="1" t="s">
        <v>463</v>
      </c>
      <c r="C145" s="2" t="s">
        <v>434</v>
      </c>
      <c r="D145" s="2" t="s">
        <v>464</v>
      </c>
      <c r="E145" s="1" t="s">
        <v>7</v>
      </c>
    </row>
    <row r="146" spans="1:5">
      <c r="A146" s="1" t="s">
        <v>465</v>
      </c>
      <c r="B146" s="1" t="s">
        <v>466</v>
      </c>
      <c r="C146" s="2" t="s">
        <v>434</v>
      </c>
      <c r="D146" s="2" t="s">
        <v>467</v>
      </c>
      <c r="E146" s="1" t="s">
        <v>15</v>
      </c>
    </row>
    <row r="147" spans="1:5">
      <c r="A147" s="1" t="s">
        <v>468</v>
      </c>
      <c r="B147" s="1" t="s">
        <v>469</v>
      </c>
      <c r="C147" s="2" t="s">
        <v>434</v>
      </c>
      <c r="D147" s="2" t="s">
        <v>470</v>
      </c>
      <c r="E147" s="1" t="s">
        <v>46</v>
      </c>
    </row>
    <row r="148" spans="1:5">
      <c r="A148" s="1" t="s">
        <v>471</v>
      </c>
      <c r="B148" s="1" t="s">
        <v>472</v>
      </c>
      <c r="C148" s="2" t="s">
        <v>434</v>
      </c>
      <c r="D148" s="2" t="s">
        <v>473</v>
      </c>
      <c r="E148" s="1" t="s">
        <v>15</v>
      </c>
    </row>
    <row r="149" spans="1:5">
      <c r="A149" s="1" t="s">
        <v>474</v>
      </c>
      <c r="B149" s="1" t="s">
        <v>475</v>
      </c>
      <c r="C149" s="2" t="s">
        <v>434</v>
      </c>
      <c r="D149" s="2" t="s">
        <v>476</v>
      </c>
      <c r="E149" s="1" t="s">
        <v>15</v>
      </c>
    </row>
    <row r="150" spans="1:5">
      <c r="A150" s="1" t="s">
        <v>477</v>
      </c>
      <c r="B150" s="1" t="s">
        <v>478</v>
      </c>
      <c r="C150" s="2" t="s">
        <v>434</v>
      </c>
      <c r="D150" s="2" t="s">
        <v>479</v>
      </c>
      <c r="E150" s="1" t="s">
        <v>7</v>
      </c>
    </row>
    <row r="151" spans="1:5">
      <c r="A151" s="1" t="s">
        <v>480</v>
      </c>
      <c r="B151" s="1" t="s">
        <v>481</v>
      </c>
      <c r="C151" s="2" t="s">
        <v>434</v>
      </c>
      <c r="D151" s="2" t="s">
        <v>482</v>
      </c>
      <c r="E151" s="1" t="s">
        <v>7</v>
      </c>
    </row>
    <row r="152" spans="1:5">
      <c r="A152" s="1" t="s">
        <v>483</v>
      </c>
      <c r="B152" s="1" t="s">
        <v>484</v>
      </c>
      <c r="C152" s="2" t="s">
        <v>434</v>
      </c>
      <c r="D152" s="2" t="s">
        <v>485</v>
      </c>
      <c r="E152" s="1" t="s">
        <v>15</v>
      </c>
    </row>
    <row r="153" spans="1:5">
      <c r="A153" s="1" t="s">
        <v>486</v>
      </c>
      <c r="B153" s="1" t="s">
        <v>487</v>
      </c>
      <c r="C153" s="2" t="s">
        <v>488</v>
      </c>
      <c r="D153" s="2" t="s">
        <v>489</v>
      </c>
      <c r="E153" s="1" t="s">
        <v>7</v>
      </c>
    </row>
    <row r="154" spans="1:5">
      <c r="A154" s="1" t="s">
        <v>490</v>
      </c>
      <c r="B154" s="1" t="s">
        <v>491</v>
      </c>
      <c r="C154" s="2" t="s">
        <v>488</v>
      </c>
      <c r="D154" s="2" t="s">
        <v>492</v>
      </c>
      <c r="E154" s="1" t="s">
        <v>7</v>
      </c>
    </row>
    <row r="155" spans="1:5">
      <c r="A155" s="1" t="s">
        <v>493</v>
      </c>
      <c r="B155" s="1" t="s">
        <v>494</v>
      </c>
      <c r="C155" s="2" t="s">
        <v>488</v>
      </c>
      <c r="D155" s="2" t="s">
        <v>495</v>
      </c>
      <c r="E155" s="1" t="s">
        <v>15</v>
      </c>
    </row>
    <row r="156" spans="1:5">
      <c r="A156" s="1" t="s">
        <v>496</v>
      </c>
      <c r="B156" s="1" t="s">
        <v>497</v>
      </c>
      <c r="C156" s="2" t="s">
        <v>488</v>
      </c>
      <c r="D156" s="2" t="s">
        <v>498</v>
      </c>
      <c r="E156" s="1" t="s">
        <v>15</v>
      </c>
    </row>
    <row r="157" spans="1:5">
      <c r="A157" s="1" t="s">
        <v>499</v>
      </c>
      <c r="B157" s="1" t="s">
        <v>500</v>
      </c>
      <c r="C157" s="2" t="s">
        <v>488</v>
      </c>
      <c r="D157" s="2" t="s">
        <v>501</v>
      </c>
      <c r="E157" s="1" t="s">
        <v>7</v>
      </c>
    </row>
    <row r="158" spans="1:5">
      <c r="A158" s="1" t="s">
        <v>502</v>
      </c>
      <c r="B158" s="1" t="s">
        <v>503</v>
      </c>
      <c r="C158" s="2" t="s">
        <v>488</v>
      </c>
      <c r="D158" s="2" t="s">
        <v>504</v>
      </c>
      <c r="E158" s="1" t="s">
        <v>7</v>
      </c>
    </row>
    <row r="159" spans="1:5">
      <c r="A159" s="1" t="s">
        <v>505</v>
      </c>
      <c r="B159" s="1" t="s">
        <v>506</v>
      </c>
      <c r="C159" s="2" t="s">
        <v>488</v>
      </c>
      <c r="D159" s="2" t="s">
        <v>507</v>
      </c>
      <c r="E159" s="1" t="s">
        <v>7</v>
      </c>
    </row>
    <row r="160" spans="1:5">
      <c r="A160" s="1" t="s">
        <v>508</v>
      </c>
      <c r="B160" s="1" t="s">
        <v>509</v>
      </c>
      <c r="C160" s="2" t="s">
        <v>488</v>
      </c>
      <c r="D160" s="2" t="s">
        <v>510</v>
      </c>
      <c r="E160" s="1" t="s">
        <v>15</v>
      </c>
    </row>
    <row r="161" spans="1:5">
      <c r="A161" s="1" t="s">
        <v>511</v>
      </c>
      <c r="B161" s="1" t="s">
        <v>512</v>
      </c>
      <c r="C161" s="2" t="s">
        <v>488</v>
      </c>
      <c r="D161" s="2" t="s">
        <v>513</v>
      </c>
      <c r="E161" s="1" t="s">
        <v>7</v>
      </c>
    </row>
    <row r="162" spans="1:5">
      <c r="A162" s="1" t="s">
        <v>514</v>
      </c>
      <c r="B162" s="1" t="s">
        <v>515</v>
      </c>
      <c r="C162" s="2" t="s">
        <v>488</v>
      </c>
      <c r="D162" s="2" t="s">
        <v>516</v>
      </c>
      <c r="E162" s="1" t="s">
        <v>7</v>
      </c>
    </row>
    <row r="163" spans="1:5">
      <c r="A163" s="1" t="s">
        <v>517</v>
      </c>
      <c r="B163" s="1" t="s">
        <v>518</v>
      </c>
      <c r="C163" s="2" t="s">
        <v>519</v>
      </c>
      <c r="D163" s="2" t="s">
        <v>520</v>
      </c>
      <c r="E163" s="1" t="s">
        <v>7</v>
      </c>
    </row>
    <row r="164" spans="1:5">
      <c r="A164" s="1" t="s">
        <v>521</v>
      </c>
      <c r="B164" s="1" t="s">
        <v>522</v>
      </c>
      <c r="C164" s="2" t="s">
        <v>519</v>
      </c>
      <c r="D164" s="2" t="s">
        <v>523</v>
      </c>
      <c r="E164" s="1" t="s">
        <v>7</v>
      </c>
    </row>
    <row r="165" spans="1:5">
      <c r="A165" s="1" t="s">
        <v>524</v>
      </c>
      <c r="B165" s="1" t="s">
        <v>525</v>
      </c>
      <c r="C165" s="2" t="s">
        <v>519</v>
      </c>
      <c r="D165" s="2" t="s">
        <v>526</v>
      </c>
      <c r="E165" s="1" t="s">
        <v>15</v>
      </c>
    </row>
    <row r="166" spans="1:5">
      <c r="A166" s="1" t="s">
        <v>527</v>
      </c>
      <c r="B166" s="1" t="s">
        <v>528</v>
      </c>
      <c r="C166" s="2" t="s">
        <v>519</v>
      </c>
      <c r="D166" s="2" t="s">
        <v>529</v>
      </c>
      <c r="E166" s="1" t="s">
        <v>15</v>
      </c>
    </row>
    <row r="167" spans="1:5">
      <c r="A167" s="1" t="s">
        <v>530</v>
      </c>
      <c r="B167" s="1" t="s">
        <v>531</v>
      </c>
      <c r="C167" s="2" t="s">
        <v>532</v>
      </c>
      <c r="D167" s="2" t="s">
        <v>533</v>
      </c>
      <c r="E167" s="1" t="s">
        <v>26</v>
      </c>
    </row>
    <row r="168" spans="1:5">
      <c r="A168" s="1" t="s">
        <v>534</v>
      </c>
      <c r="B168" s="1" t="s">
        <v>535</v>
      </c>
      <c r="C168" s="2" t="s">
        <v>536</v>
      </c>
      <c r="D168" s="2" t="s">
        <v>537</v>
      </c>
      <c r="E168" s="1" t="s">
        <v>7</v>
      </c>
    </row>
    <row r="169" spans="1:5">
      <c r="A169" s="1" t="s">
        <v>538</v>
      </c>
      <c r="B169" s="1" t="s">
        <v>539</v>
      </c>
      <c r="C169" s="2" t="s">
        <v>536</v>
      </c>
      <c r="D169" s="2" t="s">
        <v>540</v>
      </c>
      <c r="E169" s="1" t="s">
        <v>7</v>
      </c>
    </row>
    <row r="170" spans="1:5">
      <c r="A170" s="1" t="s">
        <v>541</v>
      </c>
      <c r="B170" s="1" t="s">
        <v>542</v>
      </c>
      <c r="C170" s="2" t="s">
        <v>536</v>
      </c>
      <c r="D170" s="2" t="s">
        <v>543</v>
      </c>
      <c r="E170" s="1" t="s">
        <v>7</v>
      </c>
    </row>
    <row r="171" spans="1:5">
      <c r="A171" s="1" t="s">
        <v>544</v>
      </c>
      <c r="B171" s="1" t="s">
        <v>545</v>
      </c>
      <c r="C171" s="2" t="s">
        <v>546</v>
      </c>
      <c r="D171" s="2" t="s">
        <v>547</v>
      </c>
      <c r="E171" s="1" t="s">
        <v>7</v>
      </c>
    </row>
    <row r="172" spans="1:5">
      <c r="A172" s="1" t="s">
        <v>548</v>
      </c>
      <c r="B172" s="1" t="s">
        <v>549</v>
      </c>
      <c r="C172" s="2" t="s">
        <v>546</v>
      </c>
      <c r="D172" s="2" t="s">
        <v>550</v>
      </c>
      <c r="E172" s="1" t="s">
        <v>7</v>
      </c>
    </row>
    <row r="173" spans="1:5">
      <c r="A173" s="1" t="s">
        <v>551</v>
      </c>
      <c r="B173" s="1" t="s">
        <v>552</v>
      </c>
      <c r="C173" s="2" t="s">
        <v>546</v>
      </c>
      <c r="D173" s="2" t="s">
        <v>553</v>
      </c>
      <c r="E173" s="1" t="s">
        <v>11</v>
      </c>
    </row>
    <row r="174" spans="1:5">
      <c r="A174" s="1" t="s">
        <v>554</v>
      </c>
      <c r="B174" s="1" t="s">
        <v>555</v>
      </c>
      <c r="C174" s="2" t="s">
        <v>546</v>
      </c>
      <c r="D174" s="2" t="s">
        <v>556</v>
      </c>
      <c r="E174" s="1" t="s">
        <v>125</v>
      </c>
    </row>
    <row r="175" spans="1:5">
      <c r="A175" s="1" t="s">
        <v>557</v>
      </c>
      <c r="B175" s="1" t="s">
        <v>558</v>
      </c>
      <c r="C175" s="2" t="s">
        <v>546</v>
      </c>
      <c r="D175" s="2" t="s">
        <v>559</v>
      </c>
      <c r="E175" s="1" t="s">
        <v>15</v>
      </c>
    </row>
    <row r="176" spans="1:5">
      <c r="A176" s="1" t="s">
        <v>560</v>
      </c>
      <c r="B176" s="1" t="s">
        <v>561</v>
      </c>
      <c r="C176" s="2" t="s">
        <v>562</v>
      </c>
      <c r="D176" s="2" t="s">
        <v>563</v>
      </c>
      <c r="E176" s="1" t="s">
        <v>11</v>
      </c>
    </row>
    <row r="177" spans="1:5">
      <c r="A177" s="1" t="s">
        <v>564</v>
      </c>
      <c r="B177" s="1" t="s">
        <v>565</v>
      </c>
      <c r="C177" s="2" t="s">
        <v>562</v>
      </c>
      <c r="D177" s="2" t="s">
        <v>566</v>
      </c>
      <c r="E177" s="1" t="s">
        <v>15</v>
      </c>
    </row>
    <row r="178" spans="1:5">
      <c r="A178" s="1" t="s">
        <v>567</v>
      </c>
      <c r="B178" s="1" t="s">
        <v>568</v>
      </c>
      <c r="C178" s="2" t="s">
        <v>562</v>
      </c>
      <c r="D178" s="2" t="s">
        <v>569</v>
      </c>
      <c r="E178" s="1" t="s">
        <v>26</v>
      </c>
    </row>
    <row r="179" spans="1:5">
      <c r="A179" s="1" t="s">
        <v>570</v>
      </c>
      <c r="B179" s="1" t="s">
        <v>571</v>
      </c>
      <c r="C179" s="2" t="s">
        <v>562</v>
      </c>
      <c r="D179" s="2" t="s">
        <v>572</v>
      </c>
      <c r="E179" s="1" t="s">
        <v>7</v>
      </c>
    </row>
    <row r="180" spans="1:5">
      <c r="A180" s="1" t="s">
        <v>573</v>
      </c>
      <c r="B180" s="1" t="s">
        <v>574</v>
      </c>
      <c r="C180" s="2" t="s">
        <v>562</v>
      </c>
      <c r="D180" s="2" t="s">
        <v>575</v>
      </c>
      <c r="E180" s="1" t="s">
        <v>11</v>
      </c>
    </row>
    <row r="181" spans="1:5">
      <c r="A181" s="1" t="s">
        <v>576</v>
      </c>
      <c r="B181" s="1" t="s">
        <v>577</v>
      </c>
      <c r="C181" s="2" t="s">
        <v>562</v>
      </c>
      <c r="D181" s="2" t="s">
        <v>578</v>
      </c>
      <c r="E181" s="1" t="s">
        <v>46</v>
      </c>
    </row>
    <row r="182" spans="1:5">
      <c r="A182" s="1" t="s">
        <v>579</v>
      </c>
      <c r="B182" s="1" t="s">
        <v>580</v>
      </c>
      <c r="C182" s="2" t="s">
        <v>562</v>
      </c>
      <c r="D182" s="2" t="s">
        <v>581</v>
      </c>
      <c r="E182" s="1" t="s">
        <v>7</v>
      </c>
    </row>
    <row r="183" spans="1:5">
      <c r="A183" s="1" t="s">
        <v>582</v>
      </c>
      <c r="B183" s="1" t="s">
        <v>583</v>
      </c>
      <c r="C183" s="2" t="s">
        <v>562</v>
      </c>
      <c r="D183" s="2" t="s">
        <v>584</v>
      </c>
      <c r="E183" s="1" t="s">
        <v>7</v>
      </c>
    </row>
    <row r="184" spans="1:5">
      <c r="A184" s="1" t="s">
        <v>585</v>
      </c>
      <c r="B184" s="1" t="s">
        <v>586</v>
      </c>
      <c r="C184" s="2" t="s">
        <v>562</v>
      </c>
      <c r="D184" s="2" t="s">
        <v>587</v>
      </c>
      <c r="E184" s="1" t="s">
        <v>15</v>
      </c>
    </row>
    <row r="185" spans="1:5">
      <c r="A185" s="1" t="s">
        <v>588</v>
      </c>
      <c r="B185" s="1" t="s">
        <v>589</v>
      </c>
      <c r="C185" s="2" t="s">
        <v>562</v>
      </c>
      <c r="D185" s="2" t="s">
        <v>590</v>
      </c>
      <c r="E185" s="1" t="s">
        <v>7</v>
      </c>
    </row>
    <row r="186" spans="1:5">
      <c r="A186" s="1" t="s">
        <v>591</v>
      </c>
      <c r="B186" s="1" t="s">
        <v>592</v>
      </c>
      <c r="C186" s="2" t="s">
        <v>593</v>
      </c>
      <c r="D186" s="2" t="s">
        <v>594</v>
      </c>
      <c r="E186" s="1" t="s">
        <v>7</v>
      </c>
    </row>
    <row r="187" spans="1:5">
      <c r="A187" s="1" t="s">
        <v>595</v>
      </c>
      <c r="B187" s="1" t="s">
        <v>596</v>
      </c>
      <c r="C187" s="2" t="s">
        <v>593</v>
      </c>
      <c r="D187" s="2" t="s">
        <v>597</v>
      </c>
      <c r="E187" s="1" t="s">
        <v>207</v>
      </c>
    </row>
    <row r="188" spans="1:5">
      <c r="A188" s="1" t="s">
        <v>598</v>
      </c>
      <c r="B188" s="1" t="s">
        <v>599</v>
      </c>
      <c r="C188" s="2" t="s">
        <v>593</v>
      </c>
      <c r="D188" s="2" t="s">
        <v>600</v>
      </c>
      <c r="E188" s="1" t="s">
        <v>15</v>
      </c>
    </row>
    <row r="189" spans="1:5">
      <c r="A189" s="1" t="s">
        <v>601</v>
      </c>
      <c r="B189" s="1" t="s">
        <v>602</v>
      </c>
      <c r="C189" s="2" t="s">
        <v>603</v>
      </c>
      <c r="D189" s="2" t="s">
        <v>604</v>
      </c>
      <c r="E189" s="1" t="s">
        <v>7</v>
      </c>
    </row>
    <row r="190" spans="1:5">
      <c r="A190" s="1" t="s">
        <v>605</v>
      </c>
      <c r="B190" s="1" t="s">
        <v>606</v>
      </c>
      <c r="C190" s="2" t="s">
        <v>603</v>
      </c>
      <c r="D190" s="2" t="s">
        <v>607</v>
      </c>
      <c r="E190" s="1" t="s">
        <v>7</v>
      </c>
    </row>
    <row r="191" spans="1:5">
      <c r="A191" s="1" t="s">
        <v>608</v>
      </c>
      <c r="B191" s="1" t="s">
        <v>609</v>
      </c>
      <c r="C191" s="2" t="s">
        <v>610</v>
      </c>
      <c r="D191" s="2" t="s">
        <v>611</v>
      </c>
      <c r="E191" s="1" t="s">
        <v>7</v>
      </c>
    </row>
    <row r="192" spans="1:5">
      <c r="A192" s="1" t="s">
        <v>612</v>
      </c>
      <c r="B192" s="1" t="s">
        <v>613</v>
      </c>
      <c r="C192" s="2" t="s">
        <v>614</v>
      </c>
      <c r="D192" s="2" t="s">
        <v>615</v>
      </c>
      <c r="E192" s="1" t="s">
        <v>207</v>
      </c>
    </row>
    <row r="193" spans="1:5">
      <c r="A193" s="1" t="s">
        <v>616</v>
      </c>
      <c r="B193" s="1" t="s">
        <v>617</v>
      </c>
      <c r="C193" s="2" t="s">
        <v>614</v>
      </c>
      <c r="D193" s="2" t="s">
        <v>618</v>
      </c>
      <c r="E193" s="1" t="s">
        <v>15</v>
      </c>
    </row>
    <row r="194" spans="1:5">
      <c r="A194" s="1" t="s">
        <v>619</v>
      </c>
      <c r="B194" s="1" t="s">
        <v>620</v>
      </c>
      <c r="C194" s="2" t="s">
        <v>614</v>
      </c>
      <c r="D194" s="2" t="s">
        <v>621</v>
      </c>
      <c r="E194" s="1" t="s">
        <v>7</v>
      </c>
    </row>
    <row r="195" spans="1:5">
      <c r="A195" s="1" t="s">
        <v>622</v>
      </c>
      <c r="B195" s="1" t="s">
        <v>623</v>
      </c>
      <c r="C195" s="2" t="s">
        <v>624</v>
      </c>
      <c r="D195" s="2" t="s">
        <v>625</v>
      </c>
      <c r="E195" s="1" t="s">
        <v>7</v>
      </c>
    </row>
    <row r="196" spans="1:5">
      <c r="A196" s="1" t="s">
        <v>626</v>
      </c>
      <c r="B196" s="1" t="s">
        <v>627</v>
      </c>
      <c r="C196" s="2" t="s">
        <v>628</v>
      </c>
      <c r="D196" s="2" t="s">
        <v>629</v>
      </c>
      <c r="E196" s="1" t="s">
        <v>26</v>
      </c>
    </row>
    <row r="197" spans="1:5">
      <c r="A197" s="1" t="s">
        <v>630</v>
      </c>
      <c r="B197" s="1" t="s">
        <v>631</v>
      </c>
      <c r="C197" s="2" t="s">
        <v>632</v>
      </c>
      <c r="D197" s="2" t="s">
        <v>633</v>
      </c>
      <c r="E197" s="1" t="s">
        <v>11</v>
      </c>
    </row>
    <row r="198" spans="1:5">
      <c r="A198" s="1" t="s">
        <v>634</v>
      </c>
      <c r="B198" s="1" t="s">
        <v>635</v>
      </c>
      <c r="C198" s="2" t="s">
        <v>636</v>
      </c>
      <c r="D198" s="2" t="s">
        <v>637</v>
      </c>
      <c r="E198" s="1" t="s">
        <v>15</v>
      </c>
    </row>
    <row r="199" spans="1:5">
      <c r="A199" s="1" t="s">
        <v>638</v>
      </c>
      <c r="B199" s="1" t="s">
        <v>639</v>
      </c>
      <c r="C199" s="2" t="s">
        <v>640</v>
      </c>
      <c r="D199" s="2" t="s">
        <v>641</v>
      </c>
      <c r="E199" s="1" t="s">
        <v>15</v>
      </c>
    </row>
    <row r="200" spans="1:5">
      <c r="A200" s="1" t="s">
        <v>642</v>
      </c>
      <c r="B200" s="1" t="s">
        <v>643</v>
      </c>
      <c r="C200" s="2" t="s">
        <v>644</v>
      </c>
      <c r="D200" s="2" t="s">
        <v>645</v>
      </c>
      <c r="E200" s="1" t="s">
        <v>46</v>
      </c>
    </row>
    <row r="201" spans="1:5">
      <c r="A201" s="1" t="s">
        <v>646</v>
      </c>
      <c r="B201" s="1" t="s">
        <v>647</v>
      </c>
      <c r="C201" s="2" t="s">
        <v>648</v>
      </c>
      <c r="D201" s="2" t="s">
        <v>649</v>
      </c>
      <c r="E201" s="1" t="s">
        <v>7</v>
      </c>
    </row>
    <row r="202" spans="1:5">
      <c r="A202" s="1" t="s">
        <v>650</v>
      </c>
      <c r="B202" s="1" t="s">
        <v>651</v>
      </c>
      <c r="C202" s="2" t="s">
        <v>648</v>
      </c>
      <c r="D202" s="2" t="s">
        <v>652</v>
      </c>
      <c r="E202" s="1" t="s">
        <v>46</v>
      </c>
    </row>
    <row r="203" spans="1:5">
      <c r="A203" s="1" t="s">
        <v>653</v>
      </c>
      <c r="B203" s="1" t="s">
        <v>654</v>
      </c>
      <c r="C203" s="2" t="s">
        <v>648</v>
      </c>
      <c r="D203" s="2" t="s">
        <v>655</v>
      </c>
      <c r="E203" s="1" t="s">
        <v>15</v>
      </c>
    </row>
    <row r="204" spans="1:5">
      <c r="A204" s="1" t="s">
        <v>656</v>
      </c>
      <c r="B204" s="1" t="s">
        <v>657</v>
      </c>
      <c r="C204" s="2" t="s">
        <v>648</v>
      </c>
      <c r="D204" s="2" t="s">
        <v>658</v>
      </c>
      <c r="E204" s="1" t="s">
        <v>7</v>
      </c>
    </row>
    <row r="205" spans="1:5">
      <c r="A205" s="1" t="s">
        <v>659</v>
      </c>
      <c r="B205" s="1" t="s">
        <v>660</v>
      </c>
      <c r="C205" s="2" t="s">
        <v>648</v>
      </c>
      <c r="D205" s="2" t="s">
        <v>661</v>
      </c>
      <c r="E205" s="1" t="s">
        <v>26</v>
      </c>
    </row>
    <row r="206" spans="1:5">
      <c r="A206" s="1" t="s">
        <v>662</v>
      </c>
      <c r="B206" s="1" t="s">
        <v>663</v>
      </c>
      <c r="C206" s="2" t="s">
        <v>648</v>
      </c>
      <c r="D206" s="2" t="s">
        <v>664</v>
      </c>
      <c r="E206" s="1" t="s">
        <v>7</v>
      </c>
    </row>
    <row r="207" spans="1:5">
      <c r="A207" s="1" t="s">
        <v>665</v>
      </c>
      <c r="B207" s="1" t="s">
        <v>666</v>
      </c>
      <c r="C207" s="2" t="s">
        <v>648</v>
      </c>
      <c r="D207" s="2" t="s">
        <v>667</v>
      </c>
      <c r="E207" s="1" t="s">
        <v>7</v>
      </c>
    </row>
    <row r="208" spans="1:5">
      <c r="A208" s="1" t="s">
        <v>668</v>
      </c>
      <c r="B208" s="1" t="s">
        <v>669</v>
      </c>
      <c r="C208" s="2" t="s">
        <v>670</v>
      </c>
      <c r="D208" s="2" t="s">
        <v>671</v>
      </c>
      <c r="E208" s="1" t="s">
        <v>15</v>
      </c>
    </row>
    <row r="209" spans="1:5">
      <c r="A209" s="1" t="s">
        <v>672</v>
      </c>
      <c r="B209" s="1" t="s">
        <v>673</v>
      </c>
      <c r="C209" s="2" t="s">
        <v>670</v>
      </c>
      <c r="D209" s="2" t="s">
        <v>674</v>
      </c>
      <c r="E209" s="1" t="s">
        <v>7</v>
      </c>
    </row>
    <row r="210" spans="1:5">
      <c r="A210" s="1" t="s">
        <v>675</v>
      </c>
      <c r="B210" s="1" t="s">
        <v>676</v>
      </c>
      <c r="C210" s="2" t="s">
        <v>670</v>
      </c>
      <c r="D210" s="2" t="s">
        <v>677</v>
      </c>
      <c r="E210" s="1" t="s">
        <v>46</v>
      </c>
    </row>
    <row r="211" spans="1:5">
      <c r="A211" s="1" t="s">
        <v>678</v>
      </c>
      <c r="B211" s="1" t="s">
        <v>679</v>
      </c>
      <c r="C211" s="2" t="s">
        <v>670</v>
      </c>
      <c r="D211" s="2" t="s">
        <v>680</v>
      </c>
      <c r="E211" s="1" t="s">
        <v>7</v>
      </c>
    </row>
    <row r="212" spans="1:5">
      <c r="A212" s="1" t="s">
        <v>681</v>
      </c>
      <c r="B212" s="1" t="s">
        <v>682</v>
      </c>
      <c r="C212" s="2" t="s">
        <v>670</v>
      </c>
      <c r="D212" s="2" t="s">
        <v>683</v>
      </c>
      <c r="E212" s="1" t="s">
        <v>7</v>
      </c>
    </row>
    <row r="213" spans="1:5">
      <c r="A213" s="1" t="s">
        <v>684</v>
      </c>
      <c r="B213" s="1" t="s">
        <v>685</v>
      </c>
      <c r="C213" s="2" t="s">
        <v>670</v>
      </c>
      <c r="D213" s="2" t="s">
        <v>686</v>
      </c>
      <c r="E213" s="1" t="s">
        <v>11</v>
      </c>
    </row>
    <row r="214" spans="1:5">
      <c r="A214" s="1" t="s">
        <v>687</v>
      </c>
      <c r="B214" s="1" t="s">
        <v>688</v>
      </c>
      <c r="C214" s="2" t="s">
        <v>670</v>
      </c>
      <c r="D214" s="2" t="s">
        <v>689</v>
      </c>
      <c r="E214" s="1" t="s">
        <v>7</v>
      </c>
    </row>
    <row r="215" spans="1:5">
      <c r="A215" s="1" t="s">
        <v>690</v>
      </c>
      <c r="B215" s="1" t="s">
        <v>691</v>
      </c>
      <c r="C215" s="2" t="s">
        <v>670</v>
      </c>
      <c r="D215" s="2" t="s">
        <v>692</v>
      </c>
      <c r="E215" s="1" t="s">
        <v>26</v>
      </c>
    </row>
    <row r="216" spans="1:5">
      <c r="A216" s="1" t="s">
        <v>693</v>
      </c>
      <c r="B216" s="1" t="s">
        <v>694</v>
      </c>
      <c r="C216" s="2" t="s">
        <v>670</v>
      </c>
      <c r="D216" s="2" t="s">
        <v>695</v>
      </c>
      <c r="E216" s="1" t="s">
        <v>7</v>
      </c>
    </row>
    <row r="217" spans="1:5">
      <c r="A217" s="1" t="s">
        <v>696</v>
      </c>
      <c r="B217" s="1" t="s">
        <v>697</v>
      </c>
      <c r="C217" s="2" t="s">
        <v>698</v>
      </c>
      <c r="D217" s="2" t="s">
        <v>699</v>
      </c>
      <c r="E217" s="1" t="s">
        <v>15</v>
      </c>
    </row>
    <row r="218" spans="1:5">
      <c r="A218" s="1" t="s">
        <v>700</v>
      </c>
      <c r="B218" s="1" t="s">
        <v>701</v>
      </c>
      <c r="C218" s="2" t="s">
        <v>698</v>
      </c>
      <c r="D218" s="2" t="s">
        <v>702</v>
      </c>
      <c r="E218" s="1" t="s">
        <v>15</v>
      </c>
    </row>
    <row r="219" spans="1:5">
      <c r="A219" s="1" t="s">
        <v>703</v>
      </c>
      <c r="B219" s="1" t="s">
        <v>704</v>
      </c>
      <c r="C219" s="2" t="s">
        <v>698</v>
      </c>
      <c r="D219" s="2" t="s">
        <v>705</v>
      </c>
      <c r="E219" s="1" t="s">
        <v>15</v>
      </c>
    </row>
    <row r="220" spans="1:5">
      <c r="A220" s="1" t="s">
        <v>706</v>
      </c>
      <c r="B220" s="1" t="s">
        <v>707</v>
      </c>
      <c r="C220" s="2" t="s">
        <v>698</v>
      </c>
      <c r="D220" s="2" t="s">
        <v>708</v>
      </c>
      <c r="E220" s="1" t="s">
        <v>7</v>
      </c>
    </row>
    <row r="221" spans="1:5">
      <c r="A221" s="1" t="s">
        <v>709</v>
      </c>
      <c r="B221" s="1" t="s">
        <v>710</v>
      </c>
      <c r="C221" s="2" t="s">
        <v>711</v>
      </c>
      <c r="D221" s="2" t="s">
        <v>712</v>
      </c>
      <c r="E221" s="1" t="s">
        <v>7</v>
      </c>
    </row>
    <row r="222" spans="1:5">
      <c r="A222" s="1" t="s">
        <v>713</v>
      </c>
      <c r="B222" s="1" t="s">
        <v>714</v>
      </c>
      <c r="C222" s="2" t="s">
        <v>711</v>
      </c>
      <c r="D222" s="2" t="s">
        <v>715</v>
      </c>
      <c r="E222" s="1" t="s">
        <v>7</v>
      </c>
    </row>
    <row r="223" spans="1:5">
      <c r="A223" s="1" t="s">
        <v>716</v>
      </c>
      <c r="B223" s="1" t="s">
        <v>717</v>
      </c>
      <c r="C223" s="2" t="s">
        <v>711</v>
      </c>
      <c r="D223" s="2" t="s">
        <v>718</v>
      </c>
      <c r="E223" s="1" t="s">
        <v>15</v>
      </c>
    </row>
    <row r="224" spans="1:5">
      <c r="A224" s="1" t="s">
        <v>719</v>
      </c>
      <c r="B224" s="1" t="s">
        <v>720</v>
      </c>
      <c r="C224" s="2" t="s">
        <v>711</v>
      </c>
      <c r="D224" s="2" t="s">
        <v>721</v>
      </c>
      <c r="E224" s="1" t="s">
        <v>7</v>
      </c>
    </row>
    <row r="225" spans="1:5">
      <c r="A225" s="1" t="s">
        <v>722</v>
      </c>
      <c r="B225" s="1" t="s">
        <v>723</v>
      </c>
      <c r="C225" s="2" t="s">
        <v>724</v>
      </c>
      <c r="D225" s="2" t="s">
        <v>725</v>
      </c>
      <c r="E225" s="1" t="s">
        <v>15</v>
      </c>
    </row>
    <row r="226" spans="1:5">
      <c r="A226" s="1" t="s">
        <v>726</v>
      </c>
      <c r="B226" s="1" t="s">
        <v>727</v>
      </c>
      <c r="C226" s="2" t="s">
        <v>724</v>
      </c>
      <c r="D226" s="2" t="s">
        <v>728</v>
      </c>
      <c r="E226" s="1" t="s">
        <v>26</v>
      </c>
    </row>
    <row r="227" spans="1:5">
      <c r="A227" s="1" t="s">
        <v>729</v>
      </c>
      <c r="B227" s="1" t="s">
        <v>730</v>
      </c>
      <c r="C227" s="2" t="s">
        <v>724</v>
      </c>
      <c r="D227" s="2" t="s">
        <v>731</v>
      </c>
      <c r="E227" s="1" t="s">
        <v>207</v>
      </c>
    </row>
    <row r="228" spans="1:5">
      <c r="A228" s="1" t="s">
        <v>732</v>
      </c>
      <c r="B228" s="1" t="s">
        <v>733</v>
      </c>
      <c r="C228" s="2" t="s">
        <v>724</v>
      </c>
      <c r="D228" s="2" t="s">
        <v>734</v>
      </c>
      <c r="E228" s="1" t="s">
        <v>26</v>
      </c>
    </row>
    <row r="229" spans="1:5">
      <c r="A229" s="1" t="s">
        <v>735</v>
      </c>
      <c r="B229" s="1" t="s">
        <v>736</v>
      </c>
      <c r="C229" s="2" t="s">
        <v>737</v>
      </c>
      <c r="D229" s="2" t="s">
        <v>738</v>
      </c>
      <c r="E229" s="1" t="s">
        <v>15</v>
      </c>
    </row>
    <row r="230" spans="1:5">
      <c r="A230" s="1" t="s">
        <v>739</v>
      </c>
      <c r="B230" s="1" t="s">
        <v>740</v>
      </c>
      <c r="C230" s="2" t="s">
        <v>737</v>
      </c>
      <c r="D230" s="2" t="s">
        <v>741</v>
      </c>
      <c r="E230" s="1" t="s">
        <v>7</v>
      </c>
    </row>
    <row r="231" spans="1:5">
      <c r="A231" s="1" t="s">
        <v>742</v>
      </c>
      <c r="B231" s="1" t="s">
        <v>743</v>
      </c>
      <c r="C231" s="2" t="s">
        <v>737</v>
      </c>
      <c r="D231" s="2" t="s">
        <v>744</v>
      </c>
      <c r="E231" s="1" t="s">
        <v>7</v>
      </c>
    </row>
    <row r="232" spans="1:5">
      <c r="A232" s="1" t="s">
        <v>745</v>
      </c>
      <c r="B232" s="1" t="s">
        <v>746</v>
      </c>
      <c r="C232" s="2" t="s">
        <v>747</v>
      </c>
      <c r="D232" s="2" t="s">
        <v>748</v>
      </c>
      <c r="E232" s="1" t="s">
        <v>46</v>
      </c>
    </row>
    <row r="233" spans="1:5">
      <c r="A233" s="1" t="s">
        <v>749</v>
      </c>
      <c r="B233" s="1" t="s">
        <v>750</v>
      </c>
      <c r="C233" s="2" t="s">
        <v>751</v>
      </c>
      <c r="D233" s="2" t="s">
        <v>752</v>
      </c>
      <c r="E233" s="1" t="s">
        <v>7</v>
      </c>
    </row>
    <row r="234" spans="1:5">
      <c r="A234" s="1" t="s">
        <v>753</v>
      </c>
      <c r="B234" s="1" t="s">
        <v>754</v>
      </c>
      <c r="C234" s="2" t="s">
        <v>751</v>
      </c>
      <c r="D234" s="2" t="s">
        <v>755</v>
      </c>
      <c r="E234" s="1" t="s">
        <v>7</v>
      </c>
    </row>
    <row r="235" spans="1:5">
      <c r="A235" s="1" t="s">
        <v>756</v>
      </c>
      <c r="B235" s="1" t="s">
        <v>757</v>
      </c>
      <c r="C235" s="2" t="s">
        <v>751</v>
      </c>
      <c r="D235" s="2" t="s">
        <v>758</v>
      </c>
      <c r="E235" s="1" t="s">
        <v>207</v>
      </c>
    </row>
    <row r="236" spans="1:5">
      <c r="A236" s="1" t="s">
        <v>759</v>
      </c>
      <c r="B236" s="1" t="s">
        <v>760</v>
      </c>
      <c r="C236" s="2" t="s">
        <v>751</v>
      </c>
      <c r="D236" s="2" t="s">
        <v>761</v>
      </c>
      <c r="E236" s="1" t="s">
        <v>7</v>
      </c>
    </row>
    <row r="237" spans="1:5">
      <c r="A237" s="1" t="s">
        <v>762</v>
      </c>
      <c r="B237" s="1" t="s">
        <v>763</v>
      </c>
      <c r="C237" s="2" t="s">
        <v>764</v>
      </c>
      <c r="D237" s="2" t="s">
        <v>765</v>
      </c>
      <c r="E237" s="1" t="s">
        <v>46</v>
      </c>
    </row>
    <row r="238" spans="1:5">
      <c r="A238" s="1" t="s">
        <v>766</v>
      </c>
      <c r="B238" s="1" t="s">
        <v>767</v>
      </c>
      <c r="C238" s="2" t="s">
        <v>764</v>
      </c>
      <c r="D238" s="2" t="s">
        <v>768</v>
      </c>
      <c r="E238" s="1" t="s">
        <v>7</v>
      </c>
    </row>
    <row r="239" spans="1:5">
      <c r="A239" s="1" t="s">
        <v>769</v>
      </c>
      <c r="B239" s="1" t="s">
        <v>770</v>
      </c>
      <c r="C239" s="2" t="s">
        <v>764</v>
      </c>
      <c r="D239" s="2" t="s">
        <v>771</v>
      </c>
      <c r="E239" s="1" t="s">
        <v>7</v>
      </c>
    </row>
    <row r="240" spans="1:5">
      <c r="A240" s="1" t="s">
        <v>772</v>
      </c>
      <c r="B240" s="1" t="s">
        <v>773</v>
      </c>
      <c r="C240" s="2" t="s">
        <v>774</v>
      </c>
      <c r="D240" s="2" t="s">
        <v>775</v>
      </c>
      <c r="E240" s="1" t="s">
        <v>15</v>
      </c>
    </row>
    <row r="241" spans="1:5">
      <c r="A241" s="1" t="s">
        <v>776</v>
      </c>
      <c r="B241" s="1" t="s">
        <v>777</v>
      </c>
      <c r="C241" s="2" t="s">
        <v>774</v>
      </c>
      <c r="D241" s="2" t="s">
        <v>778</v>
      </c>
      <c r="E241" s="1" t="s">
        <v>26</v>
      </c>
    </row>
    <row r="242" spans="1:5">
      <c r="A242" s="1" t="s">
        <v>779</v>
      </c>
      <c r="B242" s="1" t="s">
        <v>780</v>
      </c>
      <c r="C242" s="2" t="s">
        <v>781</v>
      </c>
      <c r="D242" s="2" t="s">
        <v>782</v>
      </c>
      <c r="E242" s="1" t="s">
        <v>15</v>
      </c>
    </row>
    <row r="243" spans="1:5">
      <c r="A243" s="1" t="s">
        <v>783</v>
      </c>
      <c r="B243" s="1" t="s">
        <v>784</v>
      </c>
      <c r="C243" s="2" t="s">
        <v>781</v>
      </c>
      <c r="D243" s="2" t="s">
        <v>785</v>
      </c>
      <c r="E243" s="1" t="s">
        <v>15</v>
      </c>
    </row>
    <row r="244" spans="1:5">
      <c r="A244" s="1" t="s">
        <v>786</v>
      </c>
      <c r="B244" s="1" t="s">
        <v>787</v>
      </c>
      <c r="C244" s="2" t="s">
        <v>781</v>
      </c>
      <c r="D244" s="2" t="s">
        <v>788</v>
      </c>
      <c r="E244" s="1" t="s">
        <v>46</v>
      </c>
    </row>
    <row r="245" spans="1:5">
      <c r="A245" s="1" t="s">
        <v>789</v>
      </c>
      <c r="B245" s="1" t="s">
        <v>790</v>
      </c>
      <c r="C245" s="2" t="s">
        <v>791</v>
      </c>
      <c r="D245" s="2" t="s">
        <v>792</v>
      </c>
      <c r="E245" s="1" t="s">
        <v>207</v>
      </c>
    </row>
    <row r="246" spans="1:5">
      <c r="A246" s="1" t="s">
        <v>793</v>
      </c>
      <c r="B246" s="1" t="s">
        <v>794</v>
      </c>
      <c r="C246" s="2" t="s">
        <v>791</v>
      </c>
      <c r="D246" s="2" t="s">
        <v>795</v>
      </c>
      <c r="E246" s="1" t="s">
        <v>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31" sqref="H31"/>
    </sheetView>
  </sheetViews>
  <sheetFormatPr defaultRowHeight="13.9"/>
  <cols>
    <col min="1" max="1" width="30.73046875" style="14" customWidth="1"/>
    <col min="2" max="3" width="11.33203125" style="14" customWidth="1"/>
    <col min="4" max="4" width="17.53125" style="68" customWidth="1"/>
    <col min="5" max="5" width="19.1328125" style="68" customWidth="1"/>
    <col min="6" max="6" width="21.19921875" style="68" customWidth="1"/>
    <col min="7" max="7" width="17.1328125" style="68" customWidth="1"/>
    <col min="8" max="8" width="12.73046875" style="68" customWidth="1"/>
    <col min="9" max="16384" width="9.06640625" style="14"/>
  </cols>
  <sheetData>
    <row r="1" spans="1:8">
      <c r="A1" s="1" t="s">
        <v>2257</v>
      </c>
      <c r="B1" s="1"/>
      <c r="D1" s="68" t="s">
        <v>2258</v>
      </c>
      <c r="E1" s="68" t="s">
        <v>2259</v>
      </c>
      <c r="F1" s="68" t="s">
        <v>2260</v>
      </c>
      <c r="G1" s="68" t="s">
        <v>2261</v>
      </c>
      <c r="H1" s="68" t="s">
        <v>2262</v>
      </c>
    </row>
    <row r="2" spans="1:8">
      <c r="A2" s="70" t="s">
        <v>2263</v>
      </c>
      <c r="B2" s="70" t="s">
        <v>2264</v>
      </c>
      <c r="D2" s="71">
        <v>167.74</v>
      </c>
      <c r="E2" s="71">
        <v>44.83</v>
      </c>
      <c r="F2" s="71">
        <v>21.24</v>
      </c>
      <c r="G2" s="71">
        <f>SUM(D2:F2)</f>
        <v>233.81</v>
      </c>
      <c r="H2" s="71">
        <v>230.48</v>
      </c>
    </row>
    <row r="3" spans="1:8">
      <c r="A3" s="70" t="s">
        <v>2265</v>
      </c>
      <c r="B3" s="70" t="s">
        <v>2224</v>
      </c>
      <c r="D3" s="71">
        <v>95.16</v>
      </c>
      <c r="E3" s="71">
        <v>22.17</v>
      </c>
      <c r="F3" s="71">
        <v>6.82</v>
      </c>
      <c r="G3" s="71">
        <f t="shared" ref="G3:G19" si="0">SUM(D3:F3)</f>
        <v>124.15</v>
      </c>
      <c r="H3" s="71">
        <v>123.57</v>
      </c>
    </row>
    <row r="4" spans="1:8">
      <c r="A4" s="70" t="s">
        <v>2228</v>
      </c>
      <c r="B4" s="70" t="s">
        <v>2224</v>
      </c>
      <c r="D4" s="71">
        <v>7.93</v>
      </c>
      <c r="E4" s="71">
        <v>12.1</v>
      </c>
      <c r="F4" s="71">
        <v>2.48</v>
      </c>
      <c r="G4" s="71">
        <f t="shared" si="0"/>
        <v>22.51</v>
      </c>
      <c r="H4" s="71">
        <v>17.88</v>
      </c>
    </row>
    <row r="5" spans="1:8">
      <c r="A5" s="70" t="s">
        <v>2229</v>
      </c>
      <c r="B5" s="70" t="s">
        <v>2224</v>
      </c>
      <c r="D5" s="71">
        <v>88.19</v>
      </c>
      <c r="E5" s="71">
        <v>15.61</v>
      </c>
      <c r="F5" s="71">
        <v>10.58</v>
      </c>
      <c r="G5" s="71">
        <f t="shared" si="0"/>
        <v>114.38</v>
      </c>
      <c r="H5" s="71">
        <v>119.71</v>
      </c>
    </row>
    <row r="6" spans="1:8">
      <c r="A6" s="70" t="s">
        <v>2231</v>
      </c>
      <c r="B6" s="70" t="s">
        <v>2232</v>
      </c>
      <c r="D6" s="71">
        <v>0</v>
      </c>
      <c r="E6" s="71">
        <v>0</v>
      </c>
      <c r="F6" s="71">
        <v>0</v>
      </c>
      <c r="G6" s="71">
        <f t="shared" si="0"/>
        <v>0</v>
      </c>
      <c r="H6" s="71">
        <v>0</v>
      </c>
    </row>
    <row r="7" spans="1:8">
      <c r="A7" s="70" t="s">
        <v>2266</v>
      </c>
      <c r="B7" s="70" t="s">
        <v>2232</v>
      </c>
      <c r="D7" s="71">
        <v>123</v>
      </c>
      <c r="E7" s="71">
        <v>36</v>
      </c>
      <c r="F7" s="71">
        <v>35</v>
      </c>
      <c r="G7" s="71">
        <f t="shared" si="0"/>
        <v>194</v>
      </c>
      <c r="H7" s="71">
        <v>186</v>
      </c>
    </row>
    <row r="8" spans="1:8">
      <c r="A8" s="70" t="s">
        <v>2267</v>
      </c>
      <c r="B8" s="70" t="s">
        <v>2237</v>
      </c>
      <c r="D8" s="71">
        <v>60313.54</v>
      </c>
      <c r="E8" s="71">
        <v>15890.6</v>
      </c>
      <c r="F8" s="71">
        <v>6426.31</v>
      </c>
      <c r="G8" s="71">
        <f>SUM(D8:F8)</f>
        <v>82630.45</v>
      </c>
      <c r="H8" s="71">
        <v>82632.41</v>
      </c>
    </row>
    <row r="9" spans="1:8">
      <c r="A9" s="70" t="s">
        <v>2268</v>
      </c>
      <c r="B9" s="70" t="s">
        <v>2269</v>
      </c>
      <c r="D9" s="71">
        <v>5489.78</v>
      </c>
      <c r="E9" s="71">
        <v>1446.37</v>
      </c>
      <c r="F9" s="71">
        <v>584.92999999999995</v>
      </c>
      <c r="G9" s="71">
        <f>SUM(D9:F9)</f>
        <v>7521.08</v>
      </c>
      <c r="H9" s="71">
        <v>7521.25</v>
      </c>
    </row>
    <row r="10" spans="1:8">
      <c r="A10" s="70" t="s">
        <v>2270</v>
      </c>
      <c r="B10" s="70" t="s">
        <v>2269</v>
      </c>
      <c r="D10" s="71">
        <v>0</v>
      </c>
      <c r="E10" s="71">
        <v>0</v>
      </c>
      <c r="F10" s="71">
        <v>0</v>
      </c>
      <c r="G10" s="71">
        <f t="shared" si="0"/>
        <v>0</v>
      </c>
      <c r="H10" s="71">
        <v>0</v>
      </c>
    </row>
    <row r="11" spans="1:8">
      <c r="A11" s="70" t="s">
        <v>2271</v>
      </c>
      <c r="B11" s="70" t="s">
        <v>2253</v>
      </c>
      <c r="D11" s="71">
        <v>0.06</v>
      </c>
      <c r="E11" s="71">
        <v>0</v>
      </c>
      <c r="F11" s="71">
        <v>0</v>
      </c>
      <c r="G11" s="71">
        <f t="shared" si="0"/>
        <v>0.06</v>
      </c>
      <c r="H11" s="71">
        <v>0.14000000000000001</v>
      </c>
    </row>
    <row r="12" spans="1:8">
      <c r="A12" s="70" t="s">
        <v>2272</v>
      </c>
      <c r="B12" s="70" t="s">
        <v>2253</v>
      </c>
      <c r="D12" s="71">
        <v>0</v>
      </c>
      <c r="E12" s="71">
        <v>0.49</v>
      </c>
      <c r="F12" s="71">
        <v>0</v>
      </c>
      <c r="G12" s="71">
        <f t="shared" si="0"/>
        <v>0.49</v>
      </c>
      <c r="H12" s="71">
        <v>0.16</v>
      </c>
    </row>
    <row r="13" spans="1:8">
      <c r="A13" s="70" t="s">
        <v>2273</v>
      </c>
      <c r="B13" s="70" t="s">
        <v>2253</v>
      </c>
      <c r="D13" s="71">
        <v>0</v>
      </c>
      <c r="E13" s="71">
        <v>0</v>
      </c>
      <c r="F13" s="71">
        <v>0</v>
      </c>
      <c r="G13" s="71">
        <f t="shared" si="0"/>
        <v>0</v>
      </c>
      <c r="H13" s="71">
        <v>0.53</v>
      </c>
    </row>
    <row r="14" spans="1:8">
      <c r="A14" s="14" t="s">
        <v>2274</v>
      </c>
      <c r="B14" s="70" t="s">
        <v>2237</v>
      </c>
      <c r="D14" s="71">
        <v>17100.95</v>
      </c>
      <c r="E14" s="71">
        <v>2507.12</v>
      </c>
      <c r="F14" s="71">
        <v>966.61</v>
      </c>
      <c r="G14" s="71">
        <f t="shared" si="0"/>
        <v>20574.68</v>
      </c>
      <c r="H14" s="71">
        <v>20449.490000000002</v>
      </c>
    </row>
    <row r="15" spans="1:8">
      <c r="A15" s="72" t="s">
        <v>2275</v>
      </c>
      <c r="B15" s="70" t="s">
        <v>2237</v>
      </c>
      <c r="D15" s="71">
        <v>96428.94</v>
      </c>
      <c r="E15" s="71">
        <v>35543.040000000001</v>
      </c>
      <c r="F15" s="71">
        <v>9393.08</v>
      </c>
      <c r="G15" s="71">
        <f t="shared" si="0"/>
        <v>141365.06</v>
      </c>
      <c r="H15" s="71">
        <v>135285.92000000001</v>
      </c>
    </row>
    <row r="16" spans="1:8">
      <c r="A16" s="72" t="s">
        <v>2276</v>
      </c>
      <c r="B16" s="70" t="s">
        <v>2247</v>
      </c>
      <c r="D16" s="71">
        <v>21.86</v>
      </c>
      <c r="E16" s="71">
        <v>4.0199999999999996</v>
      </c>
      <c r="F16" s="71">
        <v>1.39</v>
      </c>
      <c r="G16" s="71">
        <f t="shared" si="0"/>
        <v>27.27</v>
      </c>
      <c r="H16" s="71">
        <v>26.9</v>
      </c>
    </row>
    <row r="17" spans="1:8">
      <c r="A17" s="70" t="s">
        <v>2245</v>
      </c>
      <c r="B17" s="70" t="s">
        <v>2247</v>
      </c>
      <c r="D17" s="71">
        <v>0</v>
      </c>
      <c r="E17" s="71">
        <v>0</v>
      </c>
      <c r="F17" s="71">
        <v>0</v>
      </c>
      <c r="G17" s="71">
        <f t="shared" si="0"/>
        <v>0</v>
      </c>
      <c r="H17" s="71">
        <v>0</v>
      </c>
    </row>
    <row r="18" spans="1:8">
      <c r="A18" s="70" t="s">
        <v>2277</v>
      </c>
      <c r="B18" s="70" t="s">
        <v>2247</v>
      </c>
      <c r="D18" s="71">
        <v>21.86</v>
      </c>
      <c r="E18" s="71">
        <v>4.0199999999999996</v>
      </c>
      <c r="F18" s="71">
        <v>1.39</v>
      </c>
      <c r="G18" s="71">
        <f t="shared" si="0"/>
        <v>27.27</v>
      </c>
      <c r="H18" s="71">
        <v>26.9</v>
      </c>
    </row>
    <row r="19" spans="1:8">
      <c r="A19" s="73" t="s">
        <v>2278</v>
      </c>
      <c r="B19" s="70" t="s">
        <v>2247</v>
      </c>
      <c r="D19" s="71">
        <v>66.33</v>
      </c>
      <c r="E19" s="71">
        <v>11.6</v>
      </c>
      <c r="F19" s="71">
        <v>9.19</v>
      </c>
      <c r="G19" s="71">
        <f t="shared" si="0"/>
        <v>87.11999999999999</v>
      </c>
      <c r="H19" s="71">
        <v>92.81</v>
      </c>
    </row>
    <row r="20" spans="1:8">
      <c r="A20" s="1"/>
      <c r="B20" s="1"/>
      <c r="D20" s="71"/>
      <c r="E20" s="71"/>
      <c r="F20" s="71"/>
      <c r="G20" s="71"/>
      <c r="H20" s="71"/>
    </row>
    <row r="21" spans="1:8" s="37" customFormat="1">
      <c r="A21" s="67" t="s">
        <v>2279</v>
      </c>
      <c r="B21" s="67">
        <v>1</v>
      </c>
      <c r="D21" s="74">
        <f>76.01-66.33</f>
        <v>9.6800000000000068</v>
      </c>
      <c r="E21" s="74"/>
      <c r="F21" s="74">
        <f>9.38-9.19</f>
        <v>0.19000000000000128</v>
      </c>
      <c r="G21" s="74" t="s">
        <v>2232</v>
      </c>
      <c r="H21" s="74">
        <f>105.4-92.81</f>
        <v>12.590000000000003</v>
      </c>
    </row>
    <row r="22" spans="1:8" s="37" customFormat="1">
      <c r="A22" s="67" t="s">
        <v>2252</v>
      </c>
      <c r="B22" s="67" t="s">
        <v>2280</v>
      </c>
      <c r="D22" s="74">
        <v>14.5876</v>
      </c>
      <c r="E22" s="74"/>
      <c r="F22" s="74">
        <v>2.1183000000000001</v>
      </c>
      <c r="G22" s="74" t="s">
        <v>2251</v>
      </c>
      <c r="H22" s="74">
        <v>13.5631</v>
      </c>
    </row>
    <row r="23" spans="1:8" s="37" customFormat="1">
      <c r="A23" s="67" t="s">
        <v>2281</v>
      </c>
      <c r="B23" s="67" t="s">
        <v>2282</v>
      </c>
      <c r="D23" s="74">
        <v>86407</v>
      </c>
      <c r="E23" s="74"/>
      <c r="F23" s="74">
        <v>86402</v>
      </c>
      <c r="G23" s="74" t="s">
        <v>2251</v>
      </c>
      <c r="H23" s="74">
        <v>86404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6" workbookViewId="0">
      <selection activeCell="F29" sqref="F29"/>
    </sheetView>
  </sheetViews>
  <sheetFormatPr defaultRowHeight="13.9"/>
  <cols>
    <col min="1" max="1" width="30.73046875" style="14" customWidth="1"/>
    <col min="2" max="3" width="11.33203125" style="14" customWidth="1"/>
    <col min="4" max="4" width="17.53125" style="68" customWidth="1"/>
    <col min="5" max="5" width="19.1328125" style="68" customWidth="1"/>
    <col min="6" max="6" width="17.796875" style="75" customWidth="1"/>
    <col min="7" max="7" width="15.06640625" style="68" customWidth="1"/>
    <col min="8" max="8" width="18.86328125" style="68" customWidth="1"/>
    <col min="9" max="9" width="16.6640625" style="14" customWidth="1"/>
    <col min="10" max="16384" width="9.06640625" style="14"/>
  </cols>
  <sheetData>
    <row r="1" spans="1:9">
      <c r="A1" s="1" t="s">
        <v>2216</v>
      </c>
      <c r="B1" s="1"/>
      <c r="D1" s="68" t="s">
        <v>2217</v>
      </c>
      <c r="E1" s="68" t="s">
        <v>2218</v>
      </c>
      <c r="F1" s="68" t="s">
        <v>2260</v>
      </c>
      <c r="G1" s="68" t="s">
        <v>2261</v>
      </c>
      <c r="H1" s="68" t="s">
        <v>2262</v>
      </c>
    </row>
    <row r="2" spans="1:9">
      <c r="A2" s="70" t="s">
        <v>2283</v>
      </c>
      <c r="B2" s="70" t="s">
        <v>2247</v>
      </c>
      <c r="D2" s="71">
        <v>324.10000000000002</v>
      </c>
      <c r="E2" s="71">
        <v>99.47</v>
      </c>
      <c r="F2" s="71">
        <v>42.67</v>
      </c>
      <c r="G2" s="71">
        <f>SUM(D2:F2)</f>
        <v>466.24000000000007</v>
      </c>
      <c r="H2" s="71">
        <v>438.84</v>
      </c>
    </row>
    <row r="3" spans="1:9">
      <c r="A3" s="70" t="s">
        <v>2284</v>
      </c>
      <c r="B3" s="70" t="s">
        <v>2224</v>
      </c>
      <c r="D3" s="71">
        <v>143.28</v>
      </c>
      <c r="E3" s="71">
        <v>36.42</v>
      </c>
      <c r="F3" s="71">
        <v>12.18</v>
      </c>
      <c r="G3" s="71">
        <f t="shared" ref="G3:G19" si="0">SUM(D3:F3)</f>
        <v>191.88</v>
      </c>
      <c r="H3" s="71">
        <v>189.24</v>
      </c>
    </row>
    <row r="4" spans="1:9">
      <c r="A4" s="70" t="s">
        <v>2228</v>
      </c>
      <c r="B4" s="70" t="s">
        <v>2224</v>
      </c>
      <c r="D4" s="71">
        <v>11.94</v>
      </c>
      <c r="E4" s="71">
        <v>10.4</v>
      </c>
      <c r="F4" s="71">
        <v>2.85</v>
      </c>
      <c r="G4" s="71">
        <f t="shared" si="0"/>
        <v>25.19</v>
      </c>
      <c r="H4" s="71">
        <v>24.52</v>
      </c>
    </row>
    <row r="5" spans="1:9">
      <c r="A5" s="70" t="s">
        <v>2229</v>
      </c>
      <c r="B5" s="70" t="s">
        <v>2224</v>
      </c>
      <c r="D5" s="71">
        <v>72.08</v>
      </c>
      <c r="E5" s="71">
        <v>13.14</v>
      </c>
      <c r="F5" s="71">
        <v>8.66</v>
      </c>
      <c r="G5" s="71">
        <f t="shared" si="0"/>
        <v>93.88</v>
      </c>
      <c r="H5" s="71">
        <v>98.16</v>
      </c>
    </row>
    <row r="6" spans="1:9">
      <c r="A6" s="70" t="s">
        <v>2231</v>
      </c>
      <c r="B6" s="70" t="s">
        <v>2232</v>
      </c>
      <c r="D6" s="71">
        <v>64</v>
      </c>
      <c r="E6" s="71">
        <v>28</v>
      </c>
      <c r="F6" s="71">
        <v>20</v>
      </c>
      <c r="G6" s="71">
        <f t="shared" si="0"/>
        <v>112</v>
      </c>
      <c r="H6" s="71">
        <v>96</v>
      </c>
    </row>
    <row r="7" spans="1:9">
      <c r="A7" s="70" t="s">
        <v>2233</v>
      </c>
      <c r="B7" s="70" t="s">
        <v>2232</v>
      </c>
      <c r="D7" s="71">
        <v>88</v>
      </c>
      <c r="E7" s="71">
        <v>30</v>
      </c>
      <c r="F7" s="71">
        <v>26</v>
      </c>
      <c r="G7" s="71">
        <f t="shared" si="0"/>
        <v>144</v>
      </c>
      <c r="H7" s="71">
        <v>117</v>
      </c>
    </row>
    <row r="8" spans="1:9">
      <c r="A8" s="70" t="s">
        <v>2234</v>
      </c>
      <c r="B8" s="70" t="s">
        <v>2235</v>
      </c>
      <c r="D8" s="71">
        <v>60351.9</v>
      </c>
      <c r="E8" s="71">
        <v>15954.16</v>
      </c>
      <c r="F8" s="71">
        <v>6426.31</v>
      </c>
      <c r="G8" s="71">
        <f>SUM(D8:F8)</f>
        <v>82732.37</v>
      </c>
      <c r="H8" s="71">
        <v>82613.09</v>
      </c>
      <c r="I8" s="14">
        <f>H8*2800*0.000001</f>
        <v>231.31665199999998</v>
      </c>
    </row>
    <row r="9" spans="1:9">
      <c r="A9" s="70" t="s">
        <v>2236</v>
      </c>
      <c r="B9" s="70" t="s">
        <v>2285</v>
      </c>
      <c r="D9" s="71">
        <v>5493.27</v>
      </c>
      <c r="E9" s="68">
        <v>1452.16</v>
      </c>
      <c r="F9" s="71">
        <v>584.92999999999995</v>
      </c>
      <c r="G9" s="71">
        <f>SUM(D9:F9)</f>
        <v>7530.3600000000006</v>
      </c>
      <c r="H9" s="71">
        <v>7519.5</v>
      </c>
      <c r="I9" s="14">
        <f>H9*5000*0.000001</f>
        <v>37.597499999999997</v>
      </c>
    </row>
    <row r="10" spans="1:9">
      <c r="A10" s="70" t="s">
        <v>2238</v>
      </c>
      <c r="B10" s="70" t="s">
        <v>2285</v>
      </c>
      <c r="D10" s="71">
        <v>466397.87</v>
      </c>
      <c r="E10" s="71">
        <v>129588.73</v>
      </c>
      <c r="F10" s="71">
        <v>48986.559999999998</v>
      </c>
      <c r="G10" s="71">
        <f t="shared" si="0"/>
        <v>644973.15999999992</v>
      </c>
      <c r="H10" s="71">
        <v>645194.56000000006</v>
      </c>
      <c r="I10" s="14">
        <f>H10*100*0.000001</f>
        <v>64.519456000000005</v>
      </c>
    </row>
    <row r="11" spans="1:9">
      <c r="A11" s="70" t="s">
        <v>2239</v>
      </c>
      <c r="B11" s="70" t="s">
        <v>1954</v>
      </c>
      <c r="D11" s="71">
        <v>0</v>
      </c>
      <c r="E11" s="71">
        <v>0</v>
      </c>
      <c r="F11" s="71">
        <v>0</v>
      </c>
      <c r="G11" s="71">
        <f t="shared" si="0"/>
        <v>0</v>
      </c>
      <c r="H11" s="71">
        <v>0.22</v>
      </c>
    </row>
    <row r="12" spans="1:9">
      <c r="A12" s="70" t="s">
        <v>2240</v>
      </c>
      <c r="B12" s="70" t="s">
        <v>1954</v>
      </c>
      <c r="D12" s="71">
        <v>0</v>
      </c>
      <c r="E12" s="71">
        <v>0.1</v>
      </c>
      <c r="F12" s="71">
        <v>0</v>
      </c>
      <c r="G12" s="71">
        <f t="shared" si="0"/>
        <v>0.1</v>
      </c>
      <c r="H12" s="71">
        <v>0</v>
      </c>
    </row>
    <row r="13" spans="1:9">
      <c r="A13" s="70" t="s">
        <v>2286</v>
      </c>
      <c r="B13" s="70" t="s">
        <v>1954</v>
      </c>
      <c r="D13" s="71">
        <v>0</v>
      </c>
      <c r="E13" s="71">
        <v>0</v>
      </c>
      <c r="F13" s="71">
        <v>0</v>
      </c>
      <c r="G13" s="71">
        <f t="shared" si="0"/>
        <v>0</v>
      </c>
      <c r="H13" s="71">
        <v>0</v>
      </c>
    </row>
    <row r="14" spans="1:9">
      <c r="A14" s="14" t="s">
        <v>2242</v>
      </c>
      <c r="B14" s="70" t="s">
        <v>2235</v>
      </c>
      <c r="D14" s="71">
        <v>3851.37</v>
      </c>
      <c r="E14" s="71">
        <v>339.59</v>
      </c>
      <c r="F14" s="71">
        <v>178.71</v>
      </c>
      <c r="G14" s="71">
        <f t="shared" si="0"/>
        <v>4369.67</v>
      </c>
      <c r="H14" s="71">
        <v>4350.3100000000004</v>
      </c>
    </row>
    <row r="15" spans="1:9">
      <c r="A15" s="72" t="s">
        <v>2275</v>
      </c>
      <c r="B15" s="70" t="s">
        <v>2237</v>
      </c>
      <c r="D15" s="71">
        <v>101508.91</v>
      </c>
      <c r="E15" s="71">
        <v>33496.74</v>
      </c>
      <c r="F15" s="71">
        <v>9848.23</v>
      </c>
      <c r="G15" s="71">
        <f t="shared" si="0"/>
        <v>144853.88</v>
      </c>
      <c r="H15" s="71">
        <v>143506.35999999999</v>
      </c>
    </row>
    <row r="16" spans="1:9">
      <c r="A16" s="72" t="s">
        <v>2276</v>
      </c>
      <c r="B16" s="70" t="s">
        <v>2247</v>
      </c>
      <c r="D16" s="71">
        <v>7.95</v>
      </c>
      <c r="E16" s="71">
        <v>1.63</v>
      </c>
      <c r="F16" s="71">
        <v>0.56000000000000005</v>
      </c>
      <c r="G16" s="71">
        <f t="shared" si="0"/>
        <v>10.14</v>
      </c>
      <c r="H16" s="71">
        <v>10.08</v>
      </c>
    </row>
    <row r="17" spans="1:8">
      <c r="A17" s="70" t="s">
        <v>2245</v>
      </c>
      <c r="B17" s="70" t="s">
        <v>2224</v>
      </c>
      <c r="D17" s="71">
        <v>18.940000000000001</v>
      </c>
      <c r="E17" s="71">
        <v>5.26</v>
      </c>
      <c r="F17" s="71">
        <v>1.99</v>
      </c>
      <c r="G17" s="71">
        <f t="shared" si="0"/>
        <v>26.19</v>
      </c>
      <c r="H17" s="71">
        <v>26.2</v>
      </c>
    </row>
    <row r="18" spans="1:8">
      <c r="A18" s="70" t="s">
        <v>2277</v>
      </c>
      <c r="B18" s="70" t="s">
        <v>2247</v>
      </c>
      <c r="D18" s="71">
        <v>-10.98</v>
      </c>
      <c r="E18" s="71">
        <v>-3.63</v>
      </c>
      <c r="F18" s="71">
        <v>-1.42</v>
      </c>
      <c r="G18" s="71">
        <f t="shared" si="0"/>
        <v>-16.03</v>
      </c>
      <c r="H18" s="71">
        <v>-16.11</v>
      </c>
    </row>
    <row r="19" spans="1:8">
      <c r="A19" s="73" t="s">
        <v>2287</v>
      </c>
      <c r="B19" s="70" t="s">
        <v>2247</v>
      </c>
      <c r="D19" s="71">
        <v>83.06</v>
      </c>
      <c r="E19" s="71">
        <v>16.77</v>
      </c>
      <c r="F19" s="71">
        <v>10.08</v>
      </c>
      <c r="G19" s="71">
        <f t="shared" si="0"/>
        <v>109.91</v>
      </c>
      <c r="H19" s="71">
        <v>114.28</v>
      </c>
    </row>
    <row r="20" spans="1:8">
      <c r="A20" s="1"/>
      <c r="B20" s="1"/>
      <c r="D20" s="71"/>
      <c r="E20" s="71"/>
      <c r="F20" s="71"/>
      <c r="G20" s="71"/>
      <c r="H20" s="71"/>
    </row>
    <row r="21" spans="1:8" s="37" customFormat="1">
      <c r="A21" s="67" t="s">
        <v>2250</v>
      </c>
      <c r="B21" s="67">
        <v>1</v>
      </c>
      <c r="D21" s="74"/>
      <c r="E21" s="74"/>
      <c r="F21" s="74"/>
      <c r="G21" s="74"/>
      <c r="H21" s="74">
        <f>136.22-114.28</f>
        <v>21.939999999999998</v>
      </c>
    </row>
    <row r="22" spans="1:8" s="37" customFormat="1">
      <c r="A22" s="67" t="s">
        <v>2252</v>
      </c>
      <c r="B22" s="67" t="s">
        <v>2253</v>
      </c>
      <c r="D22" s="74"/>
      <c r="E22" s="74"/>
      <c r="F22" s="74"/>
      <c r="G22" s="74"/>
      <c r="H22" s="74">
        <v>19.196200000000001</v>
      </c>
    </row>
    <row r="23" spans="1:8" s="37" customFormat="1">
      <c r="A23" s="67" t="s">
        <v>2255</v>
      </c>
      <c r="B23" s="67" t="s">
        <v>2288</v>
      </c>
      <c r="D23" s="74"/>
      <c r="E23" s="74"/>
      <c r="F23" s="74"/>
      <c r="G23" s="74"/>
      <c r="H23" s="74">
        <v>86403</v>
      </c>
    </row>
    <row r="24" spans="1:8">
      <c r="A24" s="1"/>
      <c r="B24" s="1"/>
      <c r="D24" s="8"/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32" sqref="G32"/>
    </sheetView>
  </sheetViews>
  <sheetFormatPr defaultRowHeight="13.9"/>
  <cols>
    <col min="1" max="1" width="30.73046875" style="14" customWidth="1"/>
    <col min="2" max="2" width="10.265625" style="14" customWidth="1"/>
    <col min="3" max="3" width="9.06640625" style="14"/>
    <col min="4" max="4" width="9.6640625" style="76" customWidth="1"/>
    <col min="5" max="5" width="9.06640625" style="77"/>
    <col min="6" max="7" width="10.796875" style="77" customWidth="1"/>
    <col min="8" max="8" width="9.06640625" style="77"/>
    <col min="9" max="10" width="10.796875" style="77" customWidth="1"/>
    <col min="11" max="11" width="9.06640625" style="77"/>
    <col min="12" max="13" width="10.796875" style="78" customWidth="1"/>
    <col min="14" max="16384" width="9.06640625" style="14"/>
  </cols>
  <sheetData>
    <row r="1" spans="1:13">
      <c r="A1" s="1" t="s">
        <v>2216</v>
      </c>
      <c r="B1" s="1"/>
      <c r="D1" s="76" t="s">
        <v>2289</v>
      </c>
      <c r="F1" s="76" t="s">
        <v>2290</v>
      </c>
      <c r="I1" s="76" t="s">
        <v>2291</v>
      </c>
      <c r="L1" s="76" t="s">
        <v>2292</v>
      </c>
    </row>
    <row r="2" spans="1:13">
      <c r="A2" s="1"/>
      <c r="B2" s="1"/>
      <c r="F2" s="76" t="s">
        <v>2293</v>
      </c>
      <c r="G2" s="77" t="s">
        <v>2294</v>
      </c>
      <c r="I2" s="76" t="s">
        <v>2295</v>
      </c>
      <c r="J2" s="77" t="s">
        <v>2296</v>
      </c>
      <c r="L2" s="76" t="s">
        <v>2295</v>
      </c>
      <c r="M2" s="77" t="s">
        <v>2297</v>
      </c>
    </row>
    <row r="3" spans="1:13">
      <c r="A3" s="70" t="s">
        <v>2283</v>
      </c>
      <c r="B3" s="70" t="s">
        <v>2224</v>
      </c>
      <c r="D3" s="76">
        <v>0</v>
      </c>
      <c r="F3" s="76">
        <v>305.84000000000003</v>
      </c>
      <c r="G3" s="76">
        <v>290.95999999999998</v>
      </c>
      <c r="I3" s="76">
        <v>233.81</v>
      </c>
      <c r="J3" s="76">
        <v>230.48</v>
      </c>
      <c r="L3" s="76">
        <v>466.24000000000007</v>
      </c>
      <c r="M3" s="76">
        <v>438.84</v>
      </c>
    </row>
    <row r="4" spans="1:13">
      <c r="A4" s="70" t="s">
        <v>2284</v>
      </c>
      <c r="B4" s="70" t="s">
        <v>2247</v>
      </c>
      <c r="D4" s="76">
        <v>0</v>
      </c>
      <c r="F4" s="78">
        <v>85.25</v>
      </c>
      <c r="G4" s="78">
        <v>83.01</v>
      </c>
      <c r="I4" s="76">
        <v>124.15</v>
      </c>
      <c r="J4" s="76">
        <v>123.57</v>
      </c>
      <c r="L4" s="78">
        <v>191.88</v>
      </c>
      <c r="M4" s="78">
        <v>189.24</v>
      </c>
    </row>
    <row r="5" spans="1:13">
      <c r="A5" s="70" t="s">
        <v>2298</v>
      </c>
      <c r="B5" s="70" t="s">
        <v>2299</v>
      </c>
      <c r="D5" s="76">
        <v>9.59</v>
      </c>
      <c r="F5" s="78">
        <v>16.14</v>
      </c>
      <c r="G5" s="78">
        <v>14.59</v>
      </c>
      <c r="I5" s="76">
        <v>22.51</v>
      </c>
      <c r="J5" s="76">
        <v>17.88</v>
      </c>
      <c r="L5" s="78">
        <v>25.19</v>
      </c>
      <c r="M5" s="78">
        <v>24.52</v>
      </c>
    </row>
    <row r="6" spans="1:13">
      <c r="A6" s="70" t="s">
        <v>2229</v>
      </c>
      <c r="B6" s="70" t="s">
        <v>2299</v>
      </c>
      <c r="D6" s="76">
        <v>-9.59</v>
      </c>
      <c r="F6" s="78">
        <v>-36.130000000000003</v>
      </c>
      <c r="G6" s="78">
        <v>-30.62</v>
      </c>
      <c r="I6" s="76">
        <v>114.38</v>
      </c>
      <c r="J6" s="76">
        <v>119.71</v>
      </c>
      <c r="L6" s="78">
        <v>93.88</v>
      </c>
      <c r="M6" s="78">
        <v>98.16</v>
      </c>
    </row>
    <row r="7" spans="1:13">
      <c r="A7" s="70" t="s">
        <v>2231</v>
      </c>
      <c r="B7" s="70" t="s">
        <v>2232</v>
      </c>
      <c r="D7" s="76">
        <v>0</v>
      </c>
      <c r="F7" s="78">
        <v>161</v>
      </c>
      <c r="G7" s="78">
        <v>149</v>
      </c>
      <c r="I7" s="76">
        <v>0</v>
      </c>
      <c r="J7" s="76">
        <v>0</v>
      </c>
      <c r="L7" s="78">
        <v>112</v>
      </c>
      <c r="M7" s="78">
        <v>96</v>
      </c>
    </row>
    <row r="8" spans="1:13">
      <c r="A8" s="70" t="s">
        <v>2233</v>
      </c>
      <c r="B8" s="70" t="s">
        <v>2300</v>
      </c>
      <c r="D8" s="76">
        <v>0</v>
      </c>
      <c r="F8" s="78">
        <v>0</v>
      </c>
      <c r="G8" s="78">
        <v>0</v>
      </c>
      <c r="I8" s="76">
        <v>194</v>
      </c>
      <c r="J8" s="76">
        <v>186</v>
      </c>
      <c r="L8" s="78">
        <v>144</v>
      </c>
      <c r="M8" s="78">
        <v>117</v>
      </c>
    </row>
    <row r="9" spans="1:13">
      <c r="A9" s="70" t="s">
        <v>2234</v>
      </c>
      <c r="B9" s="70" t="s">
        <v>2237</v>
      </c>
      <c r="D9" s="76">
        <v>0</v>
      </c>
      <c r="F9" s="78">
        <v>0</v>
      </c>
      <c r="G9" s="78">
        <v>0</v>
      </c>
      <c r="I9" s="76">
        <v>82630.45</v>
      </c>
      <c r="J9" s="76">
        <v>82632.41</v>
      </c>
      <c r="L9" s="78">
        <v>82732.37</v>
      </c>
      <c r="M9" s="78">
        <v>82613.09</v>
      </c>
    </row>
    <row r="10" spans="1:13">
      <c r="A10" s="70" t="s">
        <v>2236</v>
      </c>
      <c r="B10" s="70" t="s">
        <v>2269</v>
      </c>
      <c r="D10" s="76">
        <v>0</v>
      </c>
      <c r="F10" s="78">
        <v>0</v>
      </c>
      <c r="G10" s="78">
        <v>0</v>
      </c>
      <c r="I10" s="76">
        <v>7521.08</v>
      </c>
      <c r="J10" s="76">
        <v>7521.25</v>
      </c>
      <c r="L10" s="78">
        <v>7530.3600000000006</v>
      </c>
      <c r="M10" s="78">
        <v>7519.5</v>
      </c>
    </row>
    <row r="11" spans="1:13">
      <c r="A11" s="70" t="s">
        <v>2238</v>
      </c>
      <c r="B11" s="70" t="s">
        <v>2285</v>
      </c>
      <c r="D11" s="76">
        <v>0</v>
      </c>
      <c r="F11" s="78">
        <v>791663.97</v>
      </c>
      <c r="G11" s="78">
        <v>812824.14</v>
      </c>
      <c r="I11" s="76">
        <v>0</v>
      </c>
      <c r="J11" s="76">
        <v>0</v>
      </c>
      <c r="L11" s="78">
        <v>644973.15999999992</v>
      </c>
      <c r="M11" s="78">
        <v>645194.56000000006</v>
      </c>
    </row>
    <row r="12" spans="1:13">
      <c r="A12" s="70" t="s">
        <v>2239</v>
      </c>
      <c r="B12" s="70" t="s">
        <v>2301</v>
      </c>
      <c r="D12" s="76">
        <v>100</v>
      </c>
      <c r="F12" s="78">
        <v>1.28</v>
      </c>
      <c r="G12" s="78">
        <v>1.99</v>
      </c>
      <c r="I12" s="76">
        <v>0.06</v>
      </c>
      <c r="J12" s="76">
        <v>0.14000000000000001</v>
      </c>
      <c r="L12" s="78">
        <v>0</v>
      </c>
      <c r="M12" s="78">
        <v>0.22</v>
      </c>
    </row>
    <row r="13" spans="1:13">
      <c r="A13" s="70" t="s">
        <v>2272</v>
      </c>
      <c r="B13" s="70" t="s">
        <v>2253</v>
      </c>
      <c r="D13" s="76">
        <v>100</v>
      </c>
      <c r="F13" s="78">
        <v>16.809999999999999</v>
      </c>
      <c r="G13" s="78">
        <v>5.67</v>
      </c>
      <c r="I13" s="76">
        <v>0.49</v>
      </c>
      <c r="J13" s="76">
        <v>0.16</v>
      </c>
      <c r="L13" s="78">
        <v>0.1</v>
      </c>
      <c r="M13" s="78">
        <v>0</v>
      </c>
    </row>
    <row r="14" spans="1:13">
      <c r="A14" s="70" t="s">
        <v>2302</v>
      </c>
      <c r="B14" s="70" t="s">
        <v>2301</v>
      </c>
      <c r="D14" s="76">
        <v>100</v>
      </c>
      <c r="F14" s="78">
        <v>13.36</v>
      </c>
      <c r="G14" s="78">
        <v>1.73</v>
      </c>
      <c r="I14" s="76">
        <v>0</v>
      </c>
      <c r="J14" s="76">
        <v>0.53</v>
      </c>
      <c r="L14" s="78">
        <v>0</v>
      </c>
      <c r="M14" s="78">
        <v>0</v>
      </c>
    </row>
    <row r="15" spans="1:13">
      <c r="A15" s="14" t="s">
        <v>2274</v>
      </c>
      <c r="B15" s="70" t="s">
        <v>2237</v>
      </c>
      <c r="D15" s="76">
        <v>37223</v>
      </c>
      <c r="F15" s="78">
        <v>2632.0600000000004</v>
      </c>
      <c r="G15" s="78">
        <v>4236.49</v>
      </c>
      <c r="I15" s="76">
        <v>20574.68</v>
      </c>
      <c r="J15" s="76">
        <v>20449.490000000002</v>
      </c>
      <c r="L15" s="78">
        <v>4369.67</v>
      </c>
      <c r="M15" s="78">
        <v>4350.3100000000004</v>
      </c>
    </row>
    <row r="16" spans="1:13">
      <c r="A16" s="72" t="s">
        <v>2275</v>
      </c>
      <c r="B16" s="70" t="s">
        <v>2237</v>
      </c>
      <c r="D16" s="76">
        <v>11985</v>
      </c>
      <c r="F16" s="78">
        <v>20171.91</v>
      </c>
      <c r="G16" s="78">
        <v>18237.14</v>
      </c>
      <c r="I16" s="76">
        <v>141365.06</v>
      </c>
      <c r="J16" s="76">
        <v>135285.92000000001</v>
      </c>
      <c r="L16" s="78">
        <v>144853.88</v>
      </c>
      <c r="M16" s="78">
        <v>143506.35999999999</v>
      </c>
    </row>
    <row r="17" spans="1:13">
      <c r="A17" s="72" t="s">
        <v>2303</v>
      </c>
      <c r="B17" s="70" t="s">
        <v>2299</v>
      </c>
      <c r="D17" s="76">
        <v>40.06</v>
      </c>
      <c r="F17" s="78">
        <v>3.56</v>
      </c>
      <c r="G17" s="78">
        <v>5.2</v>
      </c>
      <c r="I17" s="76">
        <v>27.27</v>
      </c>
      <c r="J17" s="76">
        <v>26.9</v>
      </c>
      <c r="L17" s="78">
        <v>10.14</v>
      </c>
      <c r="M17" s="78">
        <v>10.08</v>
      </c>
    </row>
    <row r="18" spans="1:13">
      <c r="A18" s="70" t="s">
        <v>2245</v>
      </c>
      <c r="B18" s="70" t="s">
        <v>2247</v>
      </c>
      <c r="D18" s="76">
        <v>0</v>
      </c>
      <c r="F18" s="78">
        <v>32.14</v>
      </c>
      <c r="G18" s="78">
        <v>33.01</v>
      </c>
      <c r="I18" s="76">
        <v>0</v>
      </c>
      <c r="J18" s="76">
        <v>0</v>
      </c>
      <c r="L18" s="78">
        <v>26.19</v>
      </c>
      <c r="M18" s="78">
        <v>26.2</v>
      </c>
    </row>
    <row r="19" spans="1:13">
      <c r="A19" s="70" t="s">
        <v>2277</v>
      </c>
      <c r="B19" s="70" t="s">
        <v>2247</v>
      </c>
      <c r="D19" s="76">
        <v>40.06</v>
      </c>
      <c r="F19" s="78">
        <v>-28.58</v>
      </c>
      <c r="G19" s="78">
        <v>-27.81</v>
      </c>
      <c r="I19" s="76">
        <v>27.27</v>
      </c>
      <c r="J19" s="76">
        <v>26.9</v>
      </c>
      <c r="L19" s="78">
        <v>-16.03</v>
      </c>
      <c r="M19" s="78">
        <v>-16.11</v>
      </c>
    </row>
    <row r="20" spans="1:13">
      <c r="A20" s="73" t="s">
        <v>2278</v>
      </c>
      <c r="B20" s="70" t="s">
        <v>2299</v>
      </c>
      <c r="D20" s="76">
        <v>-49.65</v>
      </c>
      <c r="F20" s="78">
        <v>-7.5500000000000007</v>
      </c>
      <c r="G20" s="78">
        <v>-2.82</v>
      </c>
      <c r="I20" s="76">
        <v>87.11999999999999</v>
      </c>
      <c r="J20" s="76">
        <v>92.81</v>
      </c>
      <c r="L20" s="78">
        <v>109.91</v>
      </c>
      <c r="M20" s="78">
        <v>114.28</v>
      </c>
    </row>
    <row r="21" spans="1:13">
      <c r="A21" s="1"/>
      <c r="B21" s="1"/>
      <c r="F21" s="78"/>
      <c r="G21" s="78"/>
      <c r="I21" s="76"/>
      <c r="J21" s="76"/>
    </row>
    <row r="22" spans="1:13">
      <c r="A22" s="1" t="s">
        <v>2304</v>
      </c>
      <c r="B22" s="1">
        <v>1</v>
      </c>
      <c r="F22" s="78"/>
      <c r="G22" s="78">
        <v>3.91</v>
      </c>
      <c r="I22" s="76"/>
      <c r="J22" s="76">
        <v>12.590000000000003</v>
      </c>
      <c r="M22" s="78">
        <v>21.939999999999998</v>
      </c>
    </row>
    <row r="23" spans="1:13">
      <c r="A23" s="1" t="s">
        <v>2305</v>
      </c>
      <c r="B23" s="1" t="s">
        <v>2301</v>
      </c>
      <c r="F23" s="78"/>
      <c r="G23" s="78">
        <v>488.37599999999998</v>
      </c>
      <c r="I23" s="76"/>
      <c r="J23" s="76">
        <v>13.5631</v>
      </c>
      <c r="M23" s="78">
        <v>19.196200000000001</v>
      </c>
    </row>
    <row r="24" spans="1:13">
      <c r="A24" s="1" t="s">
        <v>2306</v>
      </c>
      <c r="B24" s="1" t="s">
        <v>2307</v>
      </c>
      <c r="F24" s="78"/>
      <c r="G24" s="78">
        <v>86403</v>
      </c>
      <c r="I24" s="76"/>
      <c r="J24" s="76">
        <v>86404</v>
      </c>
      <c r="M24" s="78">
        <v>86403</v>
      </c>
    </row>
    <row r="25" spans="1:13">
      <c r="A25" s="1"/>
      <c r="B25" s="1"/>
      <c r="F25" s="78"/>
      <c r="G25" s="78"/>
      <c r="I25" s="76"/>
      <c r="J25" s="76"/>
    </row>
    <row r="26" spans="1:13">
      <c r="A26" s="1"/>
      <c r="B26" s="1"/>
      <c r="F26" s="78"/>
      <c r="G26" s="79"/>
      <c r="H26" s="80"/>
      <c r="I26" s="81"/>
      <c r="J26" s="79"/>
      <c r="K26" s="80"/>
      <c r="L26" s="79"/>
      <c r="M26" s="79"/>
    </row>
    <row r="27" spans="1:13">
      <c r="A27" s="1"/>
      <c r="B27" s="1"/>
      <c r="F27" s="78"/>
      <c r="G27" s="78"/>
      <c r="I27" s="76"/>
      <c r="J27" s="76"/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I18" sqref="I18"/>
    </sheetView>
  </sheetViews>
  <sheetFormatPr defaultRowHeight="13.9"/>
  <sheetData>
    <row r="1" spans="1:24" s="14" customFormat="1">
      <c r="D1" s="68" t="s">
        <v>2308</v>
      </c>
      <c r="O1" s="68" t="s">
        <v>2292</v>
      </c>
      <c r="Q1" s="33"/>
      <c r="R1" s="33"/>
      <c r="S1" s="33"/>
      <c r="T1" s="33"/>
      <c r="U1" s="33"/>
      <c r="V1" s="33"/>
      <c r="W1" s="33"/>
      <c r="X1" s="33"/>
    </row>
    <row r="2" spans="1:24" s="14" customFormat="1">
      <c r="A2" s="1" t="s">
        <v>2216</v>
      </c>
      <c r="B2" s="1"/>
      <c r="C2" s="1"/>
      <c r="D2" s="8">
        <v>70</v>
      </c>
      <c r="E2" s="33">
        <v>100</v>
      </c>
      <c r="F2" s="33">
        <v>130</v>
      </c>
      <c r="G2" s="33">
        <v>160</v>
      </c>
      <c r="H2" s="33">
        <v>190</v>
      </c>
      <c r="I2" s="33">
        <v>220</v>
      </c>
      <c r="J2" s="33">
        <v>250</v>
      </c>
      <c r="K2" s="33">
        <v>280</v>
      </c>
      <c r="L2" s="33">
        <v>310</v>
      </c>
      <c r="M2" s="33"/>
      <c r="O2" s="8">
        <v>70</v>
      </c>
      <c r="P2" s="33">
        <v>100</v>
      </c>
      <c r="Q2" s="33">
        <v>130</v>
      </c>
      <c r="R2" s="33">
        <v>160</v>
      </c>
      <c r="S2" s="33">
        <v>190</v>
      </c>
      <c r="T2" s="33">
        <v>220</v>
      </c>
      <c r="U2" s="33">
        <v>250</v>
      </c>
      <c r="V2" s="33">
        <v>280</v>
      </c>
      <c r="W2" s="33">
        <v>310</v>
      </c>
      <c r="X2" s="33"/>
    </row>
    <row r="3" spans="1:24" s="71" customFormat="1">
      <c r="A3" s="82" t="s">
        <v>2309</v>
      </c>
      <c r="B3" s="82" t="s">
        <v>2224</v>
      </c>
      <c r="C3" s="82"/>
      <c r="D3" s="71">
        <v>249.7</v>
      </c>
      <c r="E3" s="71">
        <v>290.95999999999998</v>
      </c>
      <c r="F3" s="71">
        <v>307.05</v>
      </c>
      <c r="G3" s="71">
        <v>311.10000000000002</v>
      </c>
      <c r="H3" s="71">
        <v>311.2</v>
      </c>
      <c r="I3" s="71">
        <v>321.49</v>
      </c>
      <c r="J3" s="71">
        <v>314.42</v>
      </c>
      <c r="K3" s="71">
        <v>306.19</v>
      </c>
      <c r="L3" s="71">
        <v>305.86</v>
      </c>
      <c r="O3" s="71">
        <v>371.87</v>
      </c>
      <c r="P3" s="71">
        <v>438.84</v>
      </c>
      <c r="Q3" s="71">
        <v>463.7</v>
      </c>
      <c r="R3" s="71">
        <v>486.48</v>
      </c>
      <c r="S3" s="71">
        <v>481.16</v>
      </c>
      <c r="T3" s="71">
        <v>483.03</v>
      </c>
      <c r="U3" s="71">
        <v>482.28</v>
      </c>
      <c r="V3" s="71">
        <v>493.73</v>
      </c>
      <c r="W3" s="71">
        <v>486.04</v>
      </c>
    </row>
    <row r="4" spans="1:24" s="71" customFormat="1">
      <c r="A4" s="82" t="s">
        <v>2310</v>
      </c>
      <c r="B4" s="82" t="s">
        <v>2247</v>
      </c>
      <c r="C4" s="82"/>
      <c r="D4" s="71">
        <v>-48.09</v>
      </c>
      <c r="E4" s="71">
        <v>-30.62</v>
      </c>
      <c r="F4" s="71">
        <v>-7.99</v>
      </c>
      <c r="G4" s="71">
        <v>16.510000000000002</v>
      </c>
      <c r="H4" s="71">
        <v>41.53</v>
      </c>
      <c r="I4" s="71">
        <v>66.36</v>
      </c>
      <c r="J4" s="71">
        <v>91.18</v>
      </c>
      <c r="K4" s="71">
        <v>116.58</v>
      </c>
      <c r="L4" s="71">
        <v>141.94</v>
      </c>
      <c r="N4" s="82" t="s">
        <v>2311</v>
      </c>
      <c r="O4" s="71">
        <v>94.83</v>
      </c>
      <c r="P4" s="71">
        <v>98.16</v>
      </c>
      <c r="Q4" s="71">
        <v>115.97</v>
      </c>
      <c r="R4" s="71">
        <v>134.69</v>
      </c>
      <c r="S4" s="71">
        <v>155.29</v>
      </c>
      <c r="T4" s="71">
        <v>175.89</v>
      </c>
      <c r="U4" s="71">
        <v>194.19</v>
      </c>
      <c r="V4" s="71">
        <v>215.13</v>
      </c>
      <c r="W4" s="71">
        <v>236.9</v>
      </c>
    </row>
    <row r="5" spans="1:24" s="71" customFormat="1">
      <c r="A5" s="82" t="s">
        <v>2312</v>
      </c>
      <c r="B5" s="82" t="s">
        <v>2313</v>
      </c>
      <c r="C5" s="82"/>
      <c r="D5" s="71">
        <v>119</v>
      </c>
      <c r="E5" s="71">
        <v>149</v>
      </c>
      <c r="F5" s="71">
        <v>163</v>
      </c>
      <c r="G5" s="71">
        <v>166</v>
      </c>
      <c r="H5" s="71">
        <v>167</v>
      </c>
      <c r="I5" s="71">
        <v>178</v>
      </c>
      <c r="J5" s="71">
        <v>169</v>
      </c>
      <c r="K5" s="71">
        <v>161</v>
      </c>
      <c r="L5" s="71">
        <v>160</v>
      </c>
      <c r="O5" s="71">
        <v>49</v>
      </c>
      <c r="P5" s="71">
        <v>96</v>
      </c>
      <c r="Q5" s="71">
        <v>112</v>
      </c>
      <c r="R5" s="71">
        <v>131</v>
      </c>
      <c r="S5" s="71">
        <v>127</v>
      </c>
      <c r="T5" s="71">
        <v>127</v>
      </c>
      <c r="U5" s="71">
        <v>128</v>
      </c>
      <c r="V5" s="71">
        <v>135</v>
      </c>
      <c r="W5" s="71">
        <v>131</v>
      </c>
    </row>
    <row r="6" spans="1:24" s="71" customFormat="1">
      <c r="A6" s="82" t="s">
        <v>2233</v>
      </c>
      <c r="B6" s="82" t="s">
        <v>2313</v>
      </c>
      <c r="C6" s="82"/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O6" s="71">
        <v>174</v>
      </c>
      <c r="P6" s="71">
        <v>117</v>
      </c>
      <c r="Q6" s="71">
        <v>123</v>
      </c>
      <c r="R6" s="83">
        <v>131</v>
      </c>
      <c r="S6" s="71">
        <v>127</v>
      </c>
      <c r="T6" s="71">
        <v>127</v>
      </c>
      <c r="U6" s="71">
        <v>130</v>
      </c>
      <c r="V6" s="71">
        <v>134</v>
      </c>
      <c r="W6" s="71">
        <v>131</v>
      </c>
    </row>
    <row r="7" spans="1:24" s="71" customFormat="1">
      <c r="A7" s="84" t="s">
        <v>2314</v>
      </c>
      <c r="B7" s="82" t="s">
        <v>2224</v>
      </c>
      <c r="C7" s="82"/>
      <c r="D7" s="71">
        <v>8.48</v>
      </c>
      <c r="E7" s="71">
        <v>5.2</v>
      </c>
      <c r="F7" s="71">
        <v>4.53</v>
      </c>
      <c r="G7" s="71">
        <v>4.3899999999999997</v>
      </c>
      <c r="H7" s="71">
        <v>4.3899999999999997</v>
      </c>
      <c r="I7" s="71">
        <v>4.34</v>
      </c>
      <c r="J7" s="71">
        <v>4.37</v>
      </c>
      <c r="K7" s="71">
        <v>4.41</v>
      </c>
      <c r="L7" s="71">
        <v>4.3899999999999997</v>
      </c>
      <c r="N7" s="84" t="s">
        <v>2315</v>
      </c>
      <c r="O7" s="71">
        <v>15.38</v>
      </c>
      <c r="P7" s="71">
        <v>10.08</v>
      </c>
      <c r="Q7" s="71">
        <v>9.5</v>
      </c>
      <c r="R7" s="71">
        <v>9.23</v>
      </c>
      <c r="S7" s="71">
        <v>9.1300000000000008</v>
      </c>
      <c r="T7" s="71">
        <v>9.1</v>
      </c>
      <c r="U7" s="71">
        <v>9.2200000000000006</v>
      </c>
      <c r="V7" s="71">
        <v>9.1199999999999992</v>
      </c>
      <c r="W7" s="71">
        <v>9.07</v>
      </c>
    </row>
    <row r="8" spans="1:24" s="71" customFormat="1">
      <c r="A8" s="82" t="s">
        <v>2316</v>
      </c>
      <c r="B8" s="82" t="s">
        <v>2317</v>
      </c>
      <c r="C8" s="82"/>
      <c r="D8" s="71">
        <v>29.7</v>
      </c>
      <c r="E8" s="71">
        <v>33.01</v>
      </c>
      <c r="F8" s="71">
        <v>33.74</v>
      </c>
      <c r="G8" s="71">
        <v>33.880000000000003</v>
      </c>
      <c r="H8" s="71">
        <v>33.89</v>
      </c>
      <c r="I8" s="71">
        <v>33.89</v>
      </c>
      <c r="J8" s="71">
        <v>33.909999999999997</v>
      </c>
      <c r="K8" s="71">
        <v>33.909999999999997</v>
      </c>
      <c r="L8" s="71">
        <v>33.909999999999997</v>
      </c>
      <c r="N8" s="82" t="s">
        <v>2318</v>
      </c>
      <c r="O8" s="71">
        <v>17.239999999999998</v>
      </c>
      <c r="P8" s="71">
        <v>26.2</v>
      </c>
      <c r="Q8" s="71">
        <v>26.97</v>
      </c>
      <c r="R8" s="71">
        <v>27.47</v>
      </c>
      <c r="S8" s="71">
        <v>27.59</v>
      </c>
      <c r="T8" s="71">
        <v>27.57</v>
      </c>
      <c r="U8" s="71">
        <v>27.56</v>
      </c>
      <c r="V8" s="71">
        <v>27.59</v>
      </c>
      <c r="W8" s="71">
        <v>27.63</v>
      </c>
    </row>
    <row r="9" spans="1:24" s="71" customFormat="1">
      <c r="A9" s="82" t="s">
        <v>2319</v>
      </c>
      <c r="B9" s="82" t="s">
        <v>2224</v>
      </c>
      <c r="C9" s="82"/>
      <c r="D9" s="71">
        <v>-21.22</v>
      </c>
      <c r="E9" s="71">
        <v>-27.81</v>
      </c>
      <c r="F9" s="71">
        <v>-29.21</v>
      </c>
      <c r="G9" s="71">
        <v>-29.49</v>
      </c>
      <c r="H9" s="71">
        <v>-29.5</v>
      </c>
      <c r="I9" s="71">
        <v>-29.55</v>
      </c>
      <c r="J9" s="71">
        <v>-29.54</v>
      </c>
      <c r="K9" s="71">
        <v>-29.5</v>
      </c>
      <c r="L9" s="71">
        <v>-29.53</v>
      </c>
      <c r="N9" s="82" t="s">
        <v>2320</v>
      </c>
      <c r="O9" s="71">
        <v>-1.86</v>
      </c>
      <c r="P9" s="71">
        <v>-16.11</v>
      </c>
      <c r="Q9" s="71">
        <v>-17.420000000000002</v>
      </c>
      <c r="R9" s="71">
        <v>-18.239999999999998</v>
      </c>
      <c r="S9" s="71">
        <v>-18.46</v>
      </c>
      <c r="T9" s="71">
        <v>-18.47</v>
      </c>
      <c r="U9" s="71">
        <v>-18.34</v>
      </c>
      <c r="V9" s="71">
        <v>-18.48</v>
      </c>
      <c r="W9" s="71">
        <v>-18.57</v>
      </c>
    </row>
    <row r="10" spans="1:24" s="71" customFormat="1">
      <c r="A10" s="82" t="s">
        <v>2321</v>
      </c>
      <c r="B10" s="82" t="s">
        <v>2317</v>
      </c>
      <c r="C10" s="82"/>
      <c r="D10" s="71">
        <v>-26.87</v>
      </c>
      <c r="E10" s="71">
        <v>-2.82</v>
      </c>
      <c r="F10" s="71">
        <v>21.23</v>
      </c>
      <c r="G10" s="71">
        <v>46</v>
      </c>
      <c r="H10" s="71">
        <v>71.03</v>
      </c>
      <c r="I10" s="71">
        <v>95.9</v>
      </c>
      <c r="J10" s="71">
        <v>120.72</v>
      </c>
      <c r="K10" s="71">
        <v>146.09</v>
      </c>
      <c r="L10" s="71">
        <v>171.47</v>
      </c>
      <c r="N10" s="71" t="s">
        <v>2322</v>
      </c>
      <c r="O10" s="71">
        <v>96.69</v>
      </c>
      <c r="P10" s="71">
        <v>114.28</v>
      </c>
      <c r="Q10" s="71">
        <v>133.44</v>
      </c>
      <c r="R10" s="71">
        <v>152.94</v>
      </c>
      <c r="S10" s="71">
        <v>173.75</v>
      </c>
      <c r="T10" s="71">
        <v>194.36</v>
      </c>
      <c r="U10" s="71">
        <v>212.54</v>
      </c>
      <c r="V10" s="71">
        <v>233.61</v>
      </c>
      <c r="W10" s="71">
        <v>255.47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"/>
  <sheetViews>
    <sheetView workbookViewId="0">
      <selection activeCell="J17" sqref="J17"/>
    </sheetView>
  </sheetViews>
  <sheetFormatPr defaultRowHeight="13.9"/>
  <sheetData>
    <row r="1" spans="2:27" s="85" customFormat="1">
      <c r="B1" s="86" t="s">
        <v>2216</v>
      </c>
      <c r="C1" s="85" t="s">
        <v>2292</v>
      </c>
      <c r="E1" s="87"/>
      <c r="F1" s="87"/>
      <c r="G1" s="87"/>
      <c r="H1" s="87"/>
      <c r="I1" s="87"/>
      <c r="L1" s="85" t="s">
        <v>2323</v>
      </c>
      <c r="U1" s="85" t="s">
        <v>2324</v>
      </c>
    </row>
    <row r="2" spans="2:27" s="33" customFormat="1">
      <c r="B2" s="8" t="s">
        <v>2325</v>
      </c>
      <c r="D2" s="33">
        <v>38</v>
      </c>
      <c r="E2" s="33">
        <v>76</v>
      </c>
      <c r="F2" s="33">
        <v>114</v>
      </c>
      <c r="G2" s="33">
        <v>152</v>
      </c>
      <c r="H2" s="33">
        <v>190</v>
      </c>
      <c r="I2" s="33">
        <v>228</v>
      </c>
      <c r="M2" s="33">
        <v>38</v>
      </c>
      <c r="N2" s="33">
        <v>76</v>
      </c>
      <c r="O2" s="33">
        <v>114</v>
      </c>
      <c r="P2" s="33">
        <v>152</v>
      </c>
      <c r="Q2" s="33">
        <v>190</v>
      </c>
      <c r="R2" s="33">
        <v>228</v>
      </c>
      <c r="V2" s="33">
        <v>38</v>
      </c>
      <c r="W2" s="33">
        <v>76</v>
      </c>
      <c r="X2" s="33">
        <v>114</v>
      </c>
      <c r="Y2" s="33">
        <v>152</v>
      </c>
      <c r="Z2" s="33">
        <v>190</v>
      </c>
      <c r="AA2" s="33">
        <v>228</v>
      </c>
    </row>
    <row r="3" spans="2:27" s="71" customFormat="1">
      <c r="B3" s="82" t="s">
        <v>2311</v>
      </c>
      <c r="D3" s="71">
        <v>98.16</v>
      </c>
      <c r="E3" s="71">
        <v>93.67</v>
      </c>
      <c r="F3" s="71">
        <v>93.55</v>
      </c>
      <c r="G3" s="71">
        <v>92.41</v>
      </c>
      <c r="H3" s="71">
        <v>91.28</v>
      </c>
      <c r="I3" s="71">
        <v>90.23</v>
      </c>
      <c r="K3" s="82" t="s">
        <v>2326</v>
      </c>
      <c r="M3" s="71">
        <v>119.71</v>
      </c>
      <c r="N3" s="71">
        <v>119.58</v>
      </c>
      <c r="O3" s="71">
        <v>119.45</v>
      </c>
      <c r="P3" s="71">
        <v>119.47</v>
      </c>
      <c r="Q3" s="71">
        <v>119.37</v>
      </c>
      <c r="R3" s="71">
        <v>118.94</v>
      </c>
      <c r="T3" s="82" t="s">
        <v>2327</v>
      </c>
      <c r="V3" s="71">
        <v>-30.62</v>
      </c>
      <c r="W3" s="71">
        <v>-33.880000000000003</v>
      </c>
      <c r="X3" s="71">
        <v>-34.14</v>
      </c>
      <c r="Y3" s="71">
        <v>-34.200000000000003</v>
      </c>
      <c r="Z3" s="71">
        <v>-33.96</v>
      </c>
      <c r="AA3" s="71">
        <v>-34.340000000000003</v>
      </c>
    </row>
    <row r="4" spans="2:27" s="71" customFormat="1">
      <c r="B4" s="82" t="s">
        <v>2328</v>
      </c>
      <c r="D4" s="71">
        <v>96</v>
      </c>
      <c r="E4" s="71">
        <v>126</v>
      </c>
      <c r="F4" s="71">
        <v>134</v>
      </c>
      <c r="G4" s="71">
        <v>144</v>
      </c>
      <c r="H4" s="71">
        <v>154</v>
      </c>
      <c r="I4" s="71">
        <v>162</v>
      </c>
      <c r="K4" s="82" t="s">
        <v>2328</v>
      </c>
      <c r="M4" s="71">
        <v>0</v>
      </c>
      <c r="N4" s="71">
        <v>0</v>
      </c>
      <c r="O4" s="71">
        <v>0</v>
      </c>
      <c r="P4" s="71">
        <v>0</v>
      </c>
      <c r="Q4" s="71">
        <v>0</v>
      </c>
      <c r="R4" s="71">
        <v>0</v>
      </c>
      <c r="T4" s="82" t="s">
        <v>2312</v>
      </c>
      <c r="V4" s="71">
        <v>149</v>
      </c>
      <c r="W4" s="71">
        <v>164</v>
      </c>
      <c r="X4" s="71">
        <v>180</v>
      </c>
      <c r="Y4" s="71">
        <v>183</v>
      </c>
      <c r="Z4" s="71">
        <v>189</v>
      </c>
      <c r="AA4" s="71">
        <v>186</v>
      </c>
    </row>
    <row r="5" spans="2:27" s="71" customFormat="1">
      <c r="B5" s="82" t="s">
        <v>2329</v>
      </c>
      <c r="D5" s="71">
        <v>117</v>
      </c>
      <c r="E5" s="71">
        <v>129</v>
      </c>
      <c r="F5" s="71">
        <v>134</v>
      </c>
      <c r="G5" s="71">
        <v>146</v>
      </c>
      <c r="H5" s="71">
        <v>156</v>
      </c>
      <c r="I5" s="71">
        <v>165</v>
      </c>
      <c r="K5" s="82" t="s">
        <v>2329</v>
      </c>
      <c r="M5" s="71">
        <v>186</v>
      </c>
      <c r="N5" s="71">
        <v>193</v>
      </c>
      <c r="O5" s="71">
        <v>189</v>
      </c>
      <c r="P5" s="71">
        <v>189</v>
      </c>
      <c r="Q5" s="71">
        <v>189</v>
      </c>
      <c r="R5" s="71">
        <v>214</v>
      </c>
      <c r="T5" s="82" t="s">
        <v>2329</v>
      </c>
      <c r="V5" s="71">
        <v>0</v>
      </c>
      <c r="W5" s="71">
        <v>0</v>
      </c>
      <c r="X5" s="71">
        <v>0</v>
      </c>
      <c r="Y5" s="71">
        <v>0</v>
      </c>
      <c r="Z5" s="71">
        <v>0</v>
      </c>
      <c r="AA5" s="71">
        <v>0</v>
      </c>
    </row>
    <row r="6" spans="2:27" s="71" customFormat="1">
      <c r="B6" s="84" t="s">
        <v>2330</v>
      </c>
      <c r="D6" s="71">
        <v>10.08</v>
      </c>
      <c r="E6" s="71">
        <v>18.420000000000002</v>
      </c>
      <c r="F6" s="71">
        <v>27.21</v>
      </c>
      <c r="G6" s="71">
        <v>36.4</v>
      </c>
      <c r="H6" s="71">
        <v>44.61</v>
      </c>
      <c r="I6" s="71">
        <v>53.38</v>
      </c>
      <c r="K6" s="84" t="s">
        <v>2331</v>
      </c>
      <c r="M6" s="71">
        <v>26.9</v>
      </c>
      <c r="N6" s="71">
        <v>53.7</v>
      </c>
      <c r="O6" s="71">
        <v>80.599999999999994</v>
      </c>
      <c r="P6" s="71">
        <v>107.53</v>
      </c>
      <c r="Q6" s="71">
        <v>134.32</v>
      </c>
      <c r="R6" s="71">
        <v>160.91</v>
      </c>
      <c r="T6" s="84" t="s">
        <v>2332</v>
      </c>
      <c r="V6" s="71">
        <v>5.2</v>
      </c>
      <c r="W6" s="71">
        <v>8.7899999999999991</v>
      </c>
      <c r="X6" s="71">
        <v>12.94</v>
      </c>
      <c r="Y6" s="71">
        <v>17.309999999999999</v>
      </c>
      <c r="Z6" s="71">
        <v>21.45</v>
      </c>
      <c r="AA6" s="71">
        <v>25.8</v>
      </c>
    </row>
    <row r="7" spans="2:27" s="71" customFormat="1">
      <c r="B7" s="82" t="s">
        <v>2318</v>
      </c>
      <c r="D7" s="71">
        <v>26.2</v>
      </c>
      <c r="E7" s="71">
        <v>54.93</v>
      </c>
      <c r="F7" s="71">
        <v>82.86</v>
      </c>
      <c r="G7" s="71">
        <v>110.1</v>
      </c>
      <c r="H7" s="71">
        <v>138.19999999999999</v>
      </c>
      <c r="I7" s="71">
        <v>165.82</v>
      </c>
      <c r="K7" s="82" t="s">
        <v>2333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71">
        <v>0</v>
      </c>
      <c r="T7" s="82" t="s">
        <v>2334</v>
      </c>
      <c r="V7" s="71">
        <v>33.01</v>
      </c>
      <c r="W7" s="71">
        <v>67.790000000000006</v>
      </c>
      <c r="X7" s="71">
        <v>101.73</v>
      </c>
      <c r="Y7" s="71">
        <v>135.66</v>
      </c>
      <c r="Z7" s="71">
        <v>169.57</v>
      </c>
      <c r="AA7" s="71">
        <v>203.49</v>
      </c>
    </row>
    <row r="8" spans="2:27" s="71" customFormat="1">
      <c r="B8" s="82" t="s">
        <v>2319</v>
      </c>
      <c r="D8" s="71">
        <v>-16.11</v>
      </c>
      <c r="E8" s="71">
        <v>-36.51</v>
      </c>
      <c r="F8" s="71">
        <v>-55.65</v>
      </c>
      <c r="G8" s="71">
        <v>-73.7</v>
      </c>
      <c r="H8" s="71">
        <v>-93.59</v>
      </c>
      <c r="I8" s="71">
        <v>-112.44</v>
      </c>
      <c r="K8" s="82" t="s">
        <v>2320</v>
      </c>
      <c r="M8" s="71">
        <v>26.9</v>
      </c>
      <c r="N8" s="71">
        <v>53.7</v>
      </c>
      <c r="O8" s="71">
        <v>80.599999999999994</v>
      </c>
      <c r="P8" s="71">
        <v>107.53</v>
      </c>
      <c r="Q8" s="71">
        <v>134.32</v>
      </c>
      <c r="R8" s="71">
        <v>160.91</v>
      </c>
      <c r="T8" s="82" t="s">
        <v>2320</v>
      </c>
      <c r="V8" s="71">
        <f>V6-V7</f>
        <v>-27.81</v>
      </c>
      <c r="W8" s="71">
        <v>-59</v>
      </c>
      <c r="X8" s="71">
        <v>-88.79</v>
      </c>
      <c r="Y8" s="71">
        <v>-118.35</v>
      </c>
      <c r="Z8" s="71">
        <v>-148.13</v>
      </c>
      <c r="AA8" s="71">
        <v>-177.69</v>
      </c>
    </row>
    <row r="9" spans="2:27" s="71" customFormat="1">
      <c r="B9" s="82" t="s">
        <v>2335</v>
      </c>
      <c r="D9" s="71">
        <v>114.28</v>
      </c>
      <c r="E9" s="71">
        <v>130.18</v>
      </c>
      <c r="F9" s="71">
        <v>149.19999999999999</v>
      </c>
      <c r="G9" s="71">
        <v>166.11</v>
      </c>
      <c r="H9" s="71">
        <v>184.87</v>
      </c>
      <c r="I9" s="71">
        <v>202.66</v>
      </c>
      <c r="K9" s="82" t="s">
        <v>2336</v>
      </c>
      <c r="M9" s="71">
        <v>92.81</v>
      </c>
      <c r="N9" s="71">
        <v>65.89</v>
      </c>
      <c r="O9" s="71">
        <v>38.85</v>
      </c>
      <c r="P9" s="71">
        <v>11.94</v>
      </c>
      <c r="Q9" s="71">
        <v>-14.95</v>
      </c>
      <c r="R9" s="71">
        <v>-41.97</v>
      </c>
      <c r="T9" s="82" t="s">
        <v>2337</v>
      </c>
      <c r="V9" s="71">
        <v>-2.82</v>
      </c>
      <c r="W9" s="71">
        <v>25.11</v>
      </c>
      <c r="X9" s="71">
        <v>54.65</v>
      </c>
      <c r="Y9" s="71">
        <v>84.15</v>
      </c>
      <c r="Z9" s="71">
        <v>114.17</v>
      </c>
      <c r="AA9" s="71">
        <v>143.34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7"/>
  <sheetViews>
    <sheetView workbookViewId="0">
      <selection activeCell="J21" sqref="J21"/>
    </sheetView>
  </sheetViews>
  <sheetFormatPr defaultRowHeight="13.9"/>
  <sheetData>
    <row r="1" spans="1:60" s="88" customFormat="1">
      <c r="A1" s="88" t="s">
        <v>2338</v>
      </c>
      <c r="C1" s="88">
        <f t="shared" ref="C1:J1" si="0">17.6/16.3</f>
        <v>1.0797546012269938</v>
      </c>
      <c r="D1" s="88">
        <f t="shared" si="0"/>
        <v>1.0797546012269938</v>
      </c>
      <c r="E1" s="88">
        <f t="shared" si="0"/>
        <v>1.0797546012269938</v>
      </c>
      <c r="F1" s="88">
        <f t="shared" si="0"/>
        <v>1.0797546012269938</v>
      </c>
      <c r="G1" s="88">
        <f t="shared" si="0"/>
        <v>1.0797546012269938</v>
      </c>
      <c r="H1" s="88">
        <f t="shared" si="0"/>
        <v>1.0797546012269938</v>
      </c>
      <c r="I1" s="88">
        <f t="shared" si="0"/>
        <v>1.0797546012269938</v>
      </c>
      <c r="J1" s="88">
        <f t="shared" si="0"/>
        <v>1.0797546012269938</v>
      </c>
      <c r="K1" s="88">
        <v>1</v>
      </c>
      <c r="L1" s="88">
        <v>1</v>
      </c>
      <c r="M1" s="88">
        <v>1</v>
      </c>
      <c r="N1" s="88">
        <v>1</v>
      </c>
      <c r="O1" s="88">
        <v>1</v>
      </c>
      <c r="P1" s="88">
        <v>1</v>
      </c>
      <c r="Q1" s="88">
        <v>1</v>
      </c>
      <c r="R1" s="88">
        <v>1</v>
      </c>
      <c r="S1" s="88">
        <v>0.75</v>
      </c>
      <c r="T1" s="88">
        <v>0.75</v>
      </c>
      <c r="U1" s="88">
        <v>0.75</v>
      </c>
      <c r="V1" s="88">
        <v>0.75</v>
      </c>
      <c r="W1" s="88">
        <v>0.75</v>
      </c>
      <c r="X1" s="88">
        <v>0.75</v>
      </c>
      <c r="Y1" s="88">
        <v>0.75</v>
      </c>
      <c r="Z1" s="88">
        <v>0.75</v>
      </c>
      <c r="AA1" s="88">
        <v>0.5</v>
      </c>
      <c r="AB1" s="88">
        <v>0.5</v>
      </c>
      <c r="AC1" s="88">
        <v>0.5</v>
      </c>
      <c r="AD1" s="88">
        <v>0.5</v>
      </c>
      <c r="AE1" s="88">
        <v>0.5</v>
      </c>
      <c r="AF1" s="88">
        <v>0.5</v>
      </c>
      <c r="AG1" s="88">
        <v>0.5</v>
      </c>
      <c r="AH1" s="88">
        <v>0.5</v>
      </c>
      <c r="AI1" s="88">
        <v>0.25</v>
      </c>
      <c r="AJ1" s="88">
        <v>0.25</v>
      </c>
      <c r="AK1" s="88">
        <v>0.25</v>
      </c>
      <c r="AL1" s="88">
        <v>0.25</v>
      </c>
      <c r="AM1" s="88">
        <v>0.25</v>
      </c>
      <c r="AN1" s="88">
        <v>0.25</v>
      </c>
      <c r="AO1" s="88">
        <v>0.25</v>
      </c>
      <c r="AP1" s="88">
        <v>0.1</v>
      </c>
      <c r="AQ1" s="88">
        <v>0.1</v>
      </c>
      <c r="AR1" s="88">
        <v>0.1</v>
      </c>
      <c r="AS1" s="88">
        <v>0.1</v>
      </c>
      <c r="AT1" s="88">
        <v>0.1</v>
      </c>
      <c r="AU1" s="88">
        <v>0.1</v>
      </c>
      <c r="AV1" s="88">
        <v>0.1</v>
      </c>
      <c r="AW1" s="88">
        <v>0.1</v>
      </c>
      <c r="AX1" s="88">
        <v>0</v>
      </c>
      <c r="AY1" s="88">
        <v>0</v>
      </c>
      <c r="AZ1" s="88">
        <v>0</v>
      </c>
      <c r="BA1" s="88">
        <v>0</v>
      </c>
      <c r="BB1" s="88">
        <v>0</v>
      </c>
      <c r="BC1" s="88">
        <v>0</v>
      </c>
    </row>
    <row r="2" spans="1:60" s="88" customFormat="1">
      <c r="A2" s="88" t="s">
        <v>2339</v>
      </c>
      <c r="C2" s="88">
        <f>7.5/1.7</f>
        <v>4.4117647058823533</v>
      </c>
      <c r="D2" s="88">
        <f>7.5/1.7/4*3</f>
        <v>3.3088235294117649</v>
      </c>
      <c r="E2" s="88">
        <f>7.5/1.7/2</f>
        <v>2.2058823529411766</v>
      </c>
      <c r="F2" s="88">
        <v>1</v>
      </c>
      <c r="G2" s="88">
        <v>0.75</v>
      </c>
      <c r="H2" s="88">
        <v>0.5</v>
      </c>
      <c r="I2" s="88">
        <v>0.25</v>
      </c>
      <c r="J2" s="88">
        <v>0</v>
      </c>
      <c r="K2" s="88">
        <f>7.5/1.7</f>
        <v>4.4117647058823533</v>
      </c>
      <c r="L2" s="88">
        <f>7.5/1.7/4*3</f>
        <v>3.3088235294117649</v>
      </c>
      <c r="M2" s="88">
        <f>7.5/1.7/2</f>
        <v>2.2058823529411766</v>
      </c>
      <c r="N2" s="88">
        <v>1</v>
      </c>
      <c r="O2" s="88">
        <v>0.75</v>
      </c>
      <c r="P2" s="88">
        <v>0.5</v>
      </c>
      <c r="Q2" s="88">
        <v>0.25</v>
      </c>
      <c r="R2" s="88">
        <v>0</v>
      </c>
      <c r="S2" s="88">
        <f>7.5/1.7</f>
        <v>4.4117647058823533</v>
      </c>
      <c r="T2" s="88">
        <f>7.5/1.7/4*3</f>
        <v>3.3088235294117649</v>
      </c>
      <c r="U2" s="88">
        <f>7.5/1.7/2</f>
        <v>2.2058823529411766</v>
      </c>
      <c r="V2" s="88">
        <v>1</v>
      </c>
      <c r="W2" s="88">
        <v>0.75</v>
      </c>
      <c r="X2" s="88">
        <v>0.5</v>
      </c>
      <c r="Y2" s="88">
        <v>0.25</v>
      </c>
      <c r="Z2" s="88">
        <v>0</v>
      </c>
      <c r="AA2" s="88">
        <f>7.5/1.7</f>
        <v>4.4117647058823533</v>
      </c>
      <c r="AB2" s="88">
        <f>7.5/1.7/4*3</f>
        <v>3.3088235294117649</v>
      </c>
      <c r="AC2" s="88">
        <f>7.5/1.7/2</f>
        <v>2.2058823529411766</v>
      </c>
      <c r="AD2" s="88">
        <v>1</v>
      </c>
      <c r="AE2" s="88">
        <v>0.75</v>
      </c>
      <c r="AF2" s="88">
        <v>0.5</v>
      </c>
      <c r="AG2" s="88">
        <v>0.25</v>
      </c>
      <c r="AH2" s="88">
        <v>0</v>
      </c>
      <c r="AI2" s="88">
        <f>7.5/1.7</f>
        <v>4.4117647058823533</v>
      </c>
      <c r="AJ2" s="88">
        <f>7.5/1.7/4*3</f>
        <v>3.3088235294117649</v>
      </c>
      <c r="AK2" s="88">
        <f>7.5/1.7/2</f>
        <v>2.2058823529411766</v>
      </c>
      <c r="AL2" s="88">
        <v>1</v>
      </c>
      <c r="AM2" s="88">
        <v>0.75</v>
      </c>
      <c r="AN2" s="88">
        <v>0.5</v>
      </c>
      <c r="AO2" s="88">
        <v>0.25</v>
      </c>
      <c r="AP2" s="88">
        <f>7.5/1.7</f>
        <v>4.4117647058823533</v>
      </c>
      <c r="AQ2" s="88">
        <f>7.5/1.7/4*3</f>
        <v>3.3088235294117649</v>
      </c>
      <c r="AR2" s="88">
        <f>7.5/1.7/2</f>
        <v>2.2058823529411766</v>
      </c>
      <c r="AS2" s="88">
        <v>1</v>
      </c>
      <c r="AT2" s="88">
        <v>0.75</v>
      </c>
      <c r="AU2" s="88">
        <v>0.5</v>
      </c>
      <c r="AV2" s="88">
        <v>0.25</v>
      </c>
      <c r="AW2" s="88">
        <v>0.1</v>
      </c>
      <c r="AX2" s="88">
        <v>0</v>
      </c>
      <c r="AY2" s="88">
        <v>4.4117647058823533</v>
      </c>
      <c r="AZ2" s="88">
        <v>3.3088235294117649</v>
      </c>
      <c r="BA2" s="88">
        <v>2.2058823529411766</v>
      </c>
      <c r="BB2" s="88">
        <v>1</v>
      </c>
      <c r="BC2" s="88">
        <v>0.75</v>
      </c>
    </row>
    <row r="3" spans="1:60" s="90" customFormat="1">
      <c r="A3" s="89" t="s">
        <v>2340</v>
      </c>
      <c r="B3" s="90" t="s">
        <v>2341</v>
      </c>
      <c r="C3" s="90">
        <f t="shared" ref="C3:AC3" si="1">C1*16.3</f>
        <v>17.600000000000001</v>
      </c>
      <c r="D3" s="90">
        <f t="shared" si="1"/>
        <v>17.600000000000001</v>
      </c>
      <c r="E3" s="90">
        <f t="shared" si="1"/>
        <v>17.600000000000001</v>
      </c>
      <c r="F3" s="90">
        <f t="shared" si="1"/>
        <v>17.600000000000001</v>
      </c>
      <c r="G3" s="90">
        <f t="shared" si="1"/>
        <v>17.600000000000001</v>
      </c>
      <c r="H3" s="90">
        <f t="shared" si="1"/>
        <v>17.600000000000001</v>
      </c>
      <c r="I3" s="90">
        <f t="shared" si="1"/>
        <v>17.600000000000001</v>
      </c>
      <c r="J3" s="90">
        <f t="shared" si="1"/>
        <v>17.600000000000001</v>
      </c>
      <c r="K3" s="90">
        <f t="shared" si="1"/>
        <v>16.3</v>
      </c>
      <c r="L3" s="90">
        <f t="shared" si="1"/>
        <v>16.3</v>
      </c>
      <c r="M3" s="90">
        <f t="shared" si="1"/>
        <v>16.3</v>
      </c>
      <c r="N3" s="90">
        <f t="shared" si="1"/>
        <v>16.3</v>
      </c>
      <c r="O3" s="90">
        <f t="shared" si="1"/>
        <v>16.3</v>
      </c>
      <c r="P3" s="90">
        <f t="shared" si="1"/>
        <v>16.3</v>
      </c>
      <c r="Q3" s="90">
        <f t="shared" si="1"/>
        <v>16.3</v>
      </c>
      <c r="R3" s="90">
        <f t="shared" si="1"/>
        <v>16.3</v>
      </c>
      <c r="S3" s="90">
        <f t="shared" si="1"/>
        <v>12.225000000000001</v>
      </c>
      <c r="T3" s="90">
        <f t="shared" si="1"/>
        <v>12.225000000000001</v>
      </c>
      <c r="U3" s="90">
        <f t="shared" si="1"/>
        <v>12.225000000000001</v>
      </c>
      <c r="V3" s="90">
        <f t="shared" si="1"/>
        <v>12.225000000000001</v>
      </c>
      <c r="W3" s="90">
        <f t="shared" si="1"/>
        <v>12.225000000000001</v>
      </c>
      <c r="X3" s="90">
        <f t="shared" si="1"/>
        <v>12.225000000000001</v>
      </c>
      <c r="Y3" s="90">
        <f t="shared" si="1"/>
        <v>12.225000000000001</v>
      </c>
      <c r="Z3" s="90">
        <f t="shared" si="1"/>
        <v>12.225000000000001</v>
      </c>
      <c r="AA3" s="90">
        <f t="shared" si="1"/>
        <v>8.15</v>
      </c>
      <c r="AB3" s="90">
        <f t="shared" si="1"/>
        <v>8.15</v>
      </c>
      <c r="AC3" s="90">
        <f t="shared" si="1"/>
        <v>8.15</v>
      </c>
      <c r="AD3" s="90">
        <f>AD1*16.3</f>
        <v>8.15</v>
      </c>
      <c r="AE3" s="90">
        <f t="shared" ref="AE3:AW3" si="2">AE1*16.3</f>
        <v>8.15</v>
      </c>
      <c r="AF3" s="90">
        <f t="shared" si="2"/>
        <v>8.15</v>
      </c>
      <c r="AG3" s="90">
        <f t="shared" si="2"/>
        <v>8.15</v>
      </c>
      <c r="AH3" s="90">
        <f t="shared" si="2"/>
        <v>8.15</v>
      </c>
      <c r="AI3" s="90">
        <f t="shared" si="2"/>
        <v>4.0750000000000002</v>
      </c>
      <c r="AJ3" s="90">
        <f t="shared" si="2"/>
        <v>4.0750000000000002</v>
      </c>
      <c r="AK3" s="90">
        <f t="shared" si="2"/>
        <v>4.0750000000000002</v>
      </c>
      <c r="AL3" s="90">
        <f t="shared" si="2"/>
        <v>4.0750000000000002</v>
      </c>
      <c r="AM3" s="90">
        <f t="shared" si="2"/>
        <v>4.0750000000000002</v>
      </c>
      <c r="AN3" s="90">
        <f t="shared" si="2"/>
        <v>4.0750000000000002</v>
      </c>
      <c r="AO3" s="90">
        <f t="shared" si="2"/>
        <v>4.0750000000000002</v>
      </c>
      <c r="AP3" s="90">
        <f t="shared" si="2"/>
        <v>1.6300000000000001</v>
      </c>
      <c r="AQ3" s="90">
        <f t="shared" si="2"/>
        <v>1.6300000000000001</v>
      </c>
      <c r="AR3" s="90">
        <f t="shared" si="2"/>
        <v>1.6300000000000001</v>
      </c>
      <c r="AS3" s="90">
        <f t="shared" si="2"/>
        <v>1.6300000000000001</v>
      </c>
      <c r="AT3" s="90">
        <f t="shared" si="2"/>
        <v>1.6300000000000001</v>
      </c>
      <c r="AU3" s="90">
        <f t="shared" si="2"/>
        <v>1.6300000000000001</v>
      </c>
      <c r="AV3" s="90">
        <f t="shared" si="2"/>
        <v>1.6300000000000001</v>
      </c>
      <c r="AW3" s="90">
        <f t="shared" si="2"/>
        <v>1.6300000000000001</v>
      </c>
      <c r="AX3" s="90">
        <f>AX1*16.3</f>
        <v>0</v>
      </c>
      <c r="AY3" s="90">
        <f t="shared" ref="AY3:BC3" si="3">AY1*16.3</f>
        <v>0</v>
      </c>
      <c r="AZ3" s="90">
        <f t="shared" si="3"/>
        <v>0</v>
      </c>
      <c r="BA3" s="90">
        <f t="shared" si="3"/>
        <v>0</v>
      </c>
      <c r="BB3" s="90">
        <f t="shared" si="3"/>
        <v>0</v>
      </c>
      <c r="BC3" s="90">
        <f t="shared" si="3"/>
        <v>0</v>
      </c>
      <c r="BD3" s="91"/>
      <c r="BE3" s="91"/>
      <c r="BF3" s="91"/>
      <c r="BG3" s="91"/>
      <c r="BH3" s="91"/>
    </row>
    <row r="4" spans="1:60" s="90" customFormat="1">
      <c r="A4" s="89" t="s">
        <v>2342</v>
      </c>
      <c r="B4" s="90" t="s">
        <v>2341</v>
      </c>
      <c r="C4" s="90">
        <f t="shared" ref="C4:AW4" si="4">C2*1.7</f>
        <v>7.5</v>
      </c>
      <c r="D4" s="90">
        <f t="shared" si="4"/>
        <v>5.625</v>
      </c>
      <c r="E4" s="90">
        <f t="shared" si="4"/>
        <v>3.75</v>
      </c>
      <c r="F4" s="90">
        <f t="shared" si="4"/>
        <v>1.7</v>
      </c>
      <c r="G4" s="90">
        <f t="shared" si="4"/>
        <v>1.2749999999999999</v>
      </c>
      <c r="H4" s="90">
        <f t="shared" si="4"/>
        <v>0.85</v>
      </c>
      <c r="I4" s="90">
        <f t="shared" si="4"/>
        <v>0.42499999999999999</v>
      </c>
      <c r="J4" s="90">
        <f t="shared" si="4"/>
        <v>0</v>
      </c>
      <c r="K4" s="90">
        <f t="shared" si="4"/>
        <v>7.5</v>
      </c>
      <c r="L4" s="90">
        <f t="shared" si="4"/>
        <v>5.625</v>
      </c>
      <c r="M4" s="90">
        <f t="shared" si="4"/>
        <v>3.75</v>
      </c>
      <c r="N4" s="90">
        <f t="shared" si="4"/>
        <v>1.7</v>
      </c>
      <c r="O4" s="90">
        <f t="shared" si="4"/>
        <v>1.2749999999999999</v>
      </c>
      <c r="P4" s="90">
        <f t="shared" si="4"/>
        <v>0.85</v>
      </c>
      <c r="Q4" s="90">
        <f t="shared" si="4"/>
        <v>0.42499999999999999</v>
      </c>
      <c r="R4" s="90">
        <f t="shared" si="4"/>
        <v>0</v>
      </c>
      <c r="S4" s="90">
        <f t="shared" si="4"/>
        <v>7.5</v>
      </c>
      <c r="T4" s="90">
        <f t="shared" si="4"/>
        <v>5.625</v>
      </c>
      <c r="U4" s="90">
        <f t="shared" si="4"/>
        <v>3.75</v>
      </c>
      <c r="V4" s="90">
        <f t="shared" si="4"/>
        <v>1.7</v>
      </c>
      <c r="W4" s="90">
        <f t="shared" si="4"/>
        <v>1.2749999999999999</v>
      </c>
      <c r="X4" s="90">
        <f t="shared" si="4"/>
        <v>0.85</v>
      </c>
      <c r="Y4" s="90">
        <f t="shared" si="4"/>
        <v>0.42499999999999999</v>
      </c>
      <c r="Z4" s="90">
        <f t="shared" si="4"/>
        <v>0</v>
      </c>
      <c r="AA4" s="90">
        <f t="shared" si="4"/>
        <v>7.5</v>
      </c>
      <c r="AB4" s="90">
        <f t="shared" si="4"/>
        <v>5.625</v>
      </c>
      <c r="AC4" s="90">
        <f t="shared" si="4"/>
        <v>3.75</v>
      </c>
      <c r="AD4" s="90">
        <f t="shared" si="4"/>
        <v>1.7</v>
      </c>
      <c r="AE4" s="90">
        <f t="shared" si="4"/>
        <v>1.2749999999999999</v>
      </c>
      <c r="AF4" s="90">
        <f t="shared" si="4"/>
        <v>0.85</v>
      </c>
      <c r="AG4" s="90">
        <f t="shared" si="4"/>
        <v>0.42499999999999999</v>
      </c>
      <c r="AH4" s="90">
        <f t="shared" si="4"/>
        <v>0</v>
      </c>
      <c r="AI4" s="90">
        <f t="shared" si="4"/>
        <v>7.5</v>
      </c>
      <c r="AJ4" s="90">
        <f t="shared" si="4"/>
        <v>5.625</v>
      </c>
      <c r="AK4" s="90">
        <f t="shared" si="4"/>
        <v>3.75</v>
      </c>
      <c r="AL4" s="90">
        <f t="shared" si="4"/>
        <v>1.7</v>
      </c>
      <c r="AM4" s="90">
        <f t="shared" si="4"/>
        <v>1.2749999999999999</v>
      </c>
      <c r="AN4" s="90">
        <f t="shared" si="4"/>
        <v>0.85</v>
      </c>
      <c r="AO4" s="90">
        <f t="shared" si="4"/>
        <v>0.42499999999999999</v>
      </c>
      <c r="AP4" s="90">
        <f t="shared" si="4"/>
        <v>7.5</v>
      </c>
      <c r="AQ4" s="90">
        <f t="shared" si="4"/>
        <v>5.625</v>
      </c>
      <c r="AR4" s="90">
        <f t="shared" si="4"/>
        <v>3.75</v>
      </c>
      <c r="AS4" s="90">
        <f t="shared" si="4"/>
        <v>1.7</v>
      </c>
      <c r="AT4" s="90">
        <f t="shared" si="4"/>
        <v>1.2749999999999999</v>
      </c>
      <c r="AU4" s="90">
        <f t="shared" si="4"/>
        <v>0.85</v>
      </c>
      <c r="AV4" s="90">
        <f t="shared" si="4"/>
        <v>0.42499999999999999</v>
      </c>
      <c r="AW4" s="90">
        <f t="shared" si="4"/>
        <v>0.17</v>
      </c>
      <c r="AX4" s="90">
        <f>AX2*1.7</f>
        <v>0</v>
      </c>
      <c r="AY4" s="90">
        <f t="shared" ref="AY4:BC4" si="5">AY2*1.7</f>
        <v>7.5</v>
      </c>
      <c r="AZ4" s="90">
        <f t="shared" si="5"/>
        <v>5.625</v>
      </c>
      <c r="BA4" s="90">
        <f t="shared" si="5"/>
        <v>3.75</v>
      </c>
      <c r="BB4" s="90">
        <f t="shared" si="5"/>
        <v>1.7</v>
      </c>
      <c r="BC4" s="90">
        <f t="shared" si="5"/>
        <v>1.2749999999999999</v>
      </c>
      <c r="BD4" s="91"/>
      <c r="BE4" s="91"/>
      <c r="BF4" s="91"/>
      <c r="BG4" s="91"/>
      <c r="BH4" s="91"/>
    </row>
    <row r="5" spans="1:60" s="92" customFormat="1">
      <c r="A5" s="70" t="s">
        <v>2263</v>
      </c>
      <c r="C5" s="92">
        <v>435.73</v>
      </c>
      <c r="D5" s="92">
        <v>443.28</v>
      </c>
      <c r="E5" s="92">
        <v>437.51</v>
      </c>
      <c r="F5" s="92">
        <v>472.61</v>
      </c>
      <c r="G5" s="92">
        <v>458.15</v>
      </c>
      <c r="H5" s="92">
        <v>467.39</v>
      </c>
      <c r="I5" s="92">
        <v>462.76</v>
      </c>
      <c r="J5" s="92">
        <v>461.95</v>
      </c>
      <c r="K5" s="92">
        <v>428.77</v>
      </c>
      <c r="L5" s="92">
        <v>461.39</v>
      </c>
      <c r="M5" s="92">
        <v>463.47</v>
      </c>
      <c r="N5" s="71">
        <v>474.05</v>
      </c>
      <c r="O5" s="71">
        <v>451.62</v>
      </c>
      <c r="P5" s="92">
        <v>467.39</v>
      </c>
      <c r="Q5" s="92">
        <v>461.29</v>
      </c>
      <c r="R5" s="92">
        <v>451.38</v>
      </c>
      <c r="S5" s="92">
        <v>461.01</v>
      </c>
      <c r="T5" s="92">
        <v>458.48</v>
      </c>
      <c r="U5" s="92">
        <v>464.73</v>
      </c>
      <c r="V5" s="92">
        <v>456.36</v>
      </c>
      <c r="W5" s="92">
        <v>473.61</v>
      </c>
      <c r="X5" s="92">
        <v>493.31</v>
      </c>
      <c r="Y5" s="92">
        <v>445.13</v>
      </c>
      <c r="Z5" s="92">
        <v>456.71</v>
      </c>
      <c r="AA5" s="92">
        <v>452.46</v>
      </c>
      <c r="AB5" s="92">
        <v>456.89</v>
      </c>
      <c r="AC5" s="92">
        <v>453.82</v>
      </c>
      <c r="AD5" s="92">
        <v>443.35</v>
      </c>
      <c r="AE5" s="92">
        <v>424.27</v>
      </c>
      <c r="AF5" s="92">
        <v>352.94</v>
      </c>
      <c r="AG5" s="92">
        <v>310.43</v>
      </c>
      <c r="AH5" s="92">
        <v>309.51</v>
      </c>
      <c r="AI5" s="92">
        <v>461.26</v>
      </c>
      <c r="AJ5" s="92">
        <v>446.48</v>
      </c>
      <c r="AK5" s="92">
        <v>396.57</v>
      </c>
      <c r="AL5" s="92">
        <v>299.51</v>
      </c>
      <c r="AM5" s="92">
        <v>303.39999999999998</v>
      </c>
      <c r="AN5" s="92">
        <v>295.05</v>
      </c>
      <c r="AO5" s="92">
        <v>300.75</v>
      </c>
      <c r="AP5" s="92">
        <v>458.21</v>
      </c>
      <c r="AQ5" s="92">
        <v>406.76</v>
      </c>
      <c r="AR5" s="92">
        <v>297.94</v>
      </c>
      <c r="AS5" s="92">
        <v>294.64999999999998</v>
      </c>
      <c r="AT5" s="92">
        <v>292.41000000000003</v>
      </c>
      <c r="AU5" s="93">
        <v>305.41000000000003</v>
      </c>
      <c r="AV5" s="93">
        <v>305.41000000000003</v>
      </c>
      <c r="AW5" s="92">
        <v>300.63</v>
      </c>
      <c r="AX5" s="71">
        <v>305.41000000000003</v>
      </c>
      <c r="AY5" s="92">
        <v>428.99</v>
      </c>
      <c r="AZ5" s="92">
        <v>328.04</v>
      </c>
      <c r="BA5" s="92">
        <v>296.45999999999998</v>
      </c>
      <c r="BB5" s="93">
        <v>305.41000000000003</v>
      </c>
      <c r="BC5" s="93">
        <v>305.41000000000003</v>
      </c>
    </row>
    <row r="6" spans="1:60" s="92" customFormat="1">
      <c r="A6" s="70" t="s">
        <v>2343</v>
      </c>
      <c r="C6" s="92">
        <v>242.9</v>
      </c>
      <c r="D6" s="92">
        <v>201.22</v>
      </c>
      <c r="E6" s="92">
        <v>161.05000000000001</v>
      </c>
      <c r="F6" s="92">
        <v>115.39</v>
      </c>
      <c r="G6" s="92">
        <v>106.26</v>
      </c>
      <c r="H6" s="92">
        <v>96.91</v>
      </c>
      <c r="I6" s="92">
        <v>88.12</v>
      </c>
      <c r="J6" s="92">
        <v>78.98</v>
      </c>
      <c r="K6" s="92">
        <v>226.26</v>
      </c>
      <c r="L6" s="92">
        <v>182.77</v>
      </c>
      <c r="M6" s="92">
        <v>141.54</v>
      </c>
      <c r="N6" s="71">
        <v>98.28</v>
      </c>
      <c r="O6" s="71">
        <v>88.83</v>
      </c>
      <c r="P6" s="92">
        <v>81.13</v>
      </c>
      <c r="Q6" s="92">
        <v>71.08</v>
      </c>
      <c r="R6" s="92">
        <v>62.07</v>
      </c>
      <c r="S6" s="92">
        <v>167.9</v>
      </c>
      <c r="T6" s="92">
        <v>127.5</v>
      </c>
      <c r="U6" s="92">
        <v>86.88</v>
      </c>
      <c r="V6" s="92">
        <v>44.33</v>
      </c>
      <c r="W6" s="92">
        <v>35.24</v>
      </c>
      <c r="X6" s="92">
        <v>24.73</v>
      </c>
      <c r="Y6" s="92">
        <v>16.97</v>
      </c>
      <c r="Z6" s="92">
        <v>6.85</v>
      </c>
      <c r="AA6" s="92">
        <v>113.16</v>
      </c>
      <c r="AB6" s="92">
        <v>72.75</v>
      </c>
      <c r="AC6" s="92">
        <v>33.04</v>
      </c>
      <c r="AD6" s="92">
        <v>-12.76</v>
      </c>
      <c r="AE6" s="92">
        <v>-20.86</v>
      </c>
      <c r="AF6" s="92">
        <v>-29.44</v>
      </c>
      <c r="AG6" s="92">
        <v>-30.4</v>
      </c>
      <c r="AH6" s="92">
        <v>-30.65</v>
      </c>
      <c r="AI6" s="92">
        <v>58.06</v>
      </c>
      <c r="AJ6" s="92">
        <v>19.420000000000002</v>
      </c>
      <c r="AK6" s="92">
        <v>-19.73</v>
      </c>
      <c r="AL6" s="92">
        <v>-30.47</v>
      </c>
      <c r="AM6" s="92">
        <v>-30.85</v>
      </c>
      <c r="AN6" s="92">
        <v>-30.21</v>
      </c>
      <c r="AO6" s="92">
        <v>-30.38</v>
      </c>
      <c r="AP6" s="92">
        <v>25.9</v>
      </c>
      <c r="AQ6" s="92">
        <v>-12.74</v>
      </c>
      <c r="AR6" s="92">
        <v>-30.16</v>
      </c>
      <c r="AS6" s="92">
        <v>-30.69</v>
      </c>
      <c r="AT6" s="92">
        <v>-30.4</v>
      </c>
      <c r="AU6" s="93">
        <v>-30.48</v>
      </c>
      <c r="AV6" s="93">
        <v>-30.48</v>
      </c>
      <c r="AW6" s="92">
        <v>-30.34</v>
      </c>
      <c r="AX6" s="71">
        <v>-30.48</v>
      </c>
      <c r="AY6" s="92">
        <v>5.17</v>
      </c>
      <c r="AZ6" s="92">
        <v>-29.41</v>
      </c>
      <c r="BA6" s="92">
        <v>-29.93</v>
      </c>
      <c r="BB6" s="93">
        <v>-30.48</v>
      </c>
      <c r="BC6" s="93">
        <v>-30.48</v>
      </c>
    </row>
    <row r="7" spans="1:60" s="92" customFormat="1">
      <c r="A7" s="70" t="s">
        <v>2344</v>
      </c>
      <c r="C7" s="92">
        <v>82</v>
      </c>
      <c r="D7" s="92">
        <v>90</v>
      </c>
      <c r="E7" s="92">
        <v>88</v>
      </c>
      <c r="F7" s="92">
        <v>115</v>
      </c>
      <c r="G7" s="92">
        <v>106</v>
      </c>
      <c r="H7" s="92">
        <v>113</v>
      </c>
      <c r="I7" s="92">
        <v>109</v>
      </c>
      <c r="J7" s="92">
        <v>110</v>
      </c>
      <c r="K7" s="92">
        <v>79</v>
      </c>
      <c r="L7" s="92">
        <v>103</v>
      </c>
      <c r="M7" s="92">
        <v>108</v>
      </c>
      <c r="N7" s="71">
        <v>113</v>
      </c>
      <c r="O7" s="71">
        <v>103</v>
      </c>
      <c r="P7" s="92">
        <v>111</v>
      </c>
      <c r="Q7" s="92">
        <v>110</v>
      </c>
      <c r="R7" s="92">
        <v>104</v>
      </c>
      <c r="S7" s="92">
        <v>107</v>
      </c>
      <c r="T7" s="92">
        <v>108</v>
      </c>
      <c r="U7" s="92">
        <v>114</v>
      </c>
      <c r="V7" s="92">
        <v>112</v>
      </c>
      <c r="W7" s="92">
        <v>125</v>
      </c>
      <c r="X7" s="92">
        <v>141</v>
      </c>
      <c r="Y7" s="92">
        <v>108</v>
      </c>
      <c r="Z7" s="92">
        <v>118</v>
      </c>
      <c r="AA7" s="92">
        <v>108</v>
      </c>
      <c r="AB7" s="92">
        <v>114</v>
      </c>
      <c r="AC7" s="92">
        <v>116</v>
      </c>
      <c r="AD7" s="92">
        <v>161</v>
      </c>
      <c r="AE7" s="92">
        <v>163</v>
      </c>
      <c r="AF7" s="92">
        <v>177</v>
      </c>
      <c r="AG7" s="92">
        <v>163</v>
      </c>
      <c r="AH7" s="92">
        <v>167</v>
      </c>
      <c r="AI7" s="92">
        <v>123</v>
      </c>
      <c r="AJ7" s="92">
        <v>115</v>
      </c>
      <c r="AK7" s="92">
        <v>140</v>
      </c>
      <c r="AL7" s="92">
        <v>159</v>
      </c>
      <c r="AM7" s="92">
        <v>163</v>
      </c>
      <c r="AN7" s="92">
        <v>153</v>
      </c>
      <c r="AO7" s="92">
        <v>160</v>
      </c>
      <c r="AP7" s="92">
        <v>124</v>
      </c>
      <c r="AQ7" s="92">
        <v>122</v>
      </c>
      <c r="AR7" s="92">
        <v>154</v>
      </c>
      <c r="AS7" s="92">
        <v>152</v>
      </c>
      <c r="AT7" s="92">
        <v>150</v>
      </c>
      <c r="AU7" s="94">
        <v>165</v>
      </c>
      <c r="AV7" s="94">
        <v>165</v>
      </c>
      <c r="AW7" s="92">
        <v>160</v>
      </c>
      <c r="AX7" s="92">
        <v>165</v>
      </c>
      <c r="AY7" s="92">
        <v>110</v>
      </c>
      <c r="AZ7" s="92">
        <v>163</v>
      </c>
      <c r="BA7" s="92">
        <v>156</v>
      </c>
      <c r="BB7" s="94">
        <v>165</v>
      </c>
      <c r="BC7" s="94">
        <v>165</v>
      </c>
    </row>
    <row r="8" spans="1:60" s="92" customFormat="1">
      <c r="A8" s="70" t="s">
        <v>2345</v>
      </c>
      <c r="C8" s="92">
        <v>134</v>
      </c>
      <c r="D8" s="92">
        <v>130</v>
      </c>
      <c r="E8" s="92">
        <v>128</v>
      </c>
      <c r="F8" s="92">
        <v>135</v>
      </c>
      <c r="G8" s="92">
        <v>123</v>
      </c>
      <c r="H8" s="92">
        <v>130</v>
      </c>
      <c r="I8" s="92">
        <v>126</v>
      </c>
      <c r="J8" s="92">
        <v>123</v>
      </c>
      <c r="K8" s="92">
        <v>135</v>
      </c>
      <c r="L8" s="92">
        <v>130</v>
      </c>
      <c r="M8" s="92">
        <v>127</v>
      </c>
      <c r="N8" s="71">
        <v>158</v>
      </c>
      <c r="O8" s="71">
        <v>120</v>
      </c>
      <c r="P8" s="92">
        <v>157</v>
      </c>
      <c r="Q8" s="92">
        <v>132</v>
      </c>
      <c r="R8" s="92">
        <v>122</v>
      </c>
      <c r="S8" s="92">
        <v>123</v>
      </c>
      <c r="T8" s="92">
        <v>125</v>
      </c>
      <c r="U8" s="92">
        <v>127</v>
      </c>
      <c r="V8" s="92">
        <v>128</v>
      </c>
      <c r="W8" s="92">
        <v>155</v>
      </c>
      <c r="X8" s="92">
        <v>159</v>
      </c>
      <c r="Y8" s="92">
        <v>119</v>
      </c>
      <c r="Z8" s="92">
        <v>123</v>
      </c>
      <c r="AA8" s="92">
        <v>121</v>
      </c>
      <c r="AB8" s="92">
        <v>128</v>
      </c>
      <c r="AC8" s="92">
        <v>125</v>
      </c>
      <c r="AD8" s="92">
        <v>94</v>
      </c>
      <c r="AE8" s="92">
        <v>72</v>
      </c>
      <c r="AF8" s="92">
        <v>25</v>
      </c>
      <c r="AG8" s="92">
        <v>6</v>
      </c>
      <c r="AH8" s="92">
        <v>2</v>
      </c>
      <c r="AI8" s="92">
        <v>128</v>
      </c>
      <c r="AJ8" s="92">
        <v>124</v>
      </c>
      <c r="AK8" s="92">
        <v>63</v>
      </c>
      <c r="AL8" s="92">
        <v>0</v>
      </c>
      <c r="AM8" s="92">
        <v>0</v>
      </c>
      <c r="AN8" s="92">
        <v>0</v>
      </c>
      <c r="AO8" s="92">
        <v>0</v>
      </c>
      <c r="AP8" s="92">
        <v>128</v>
      </c>
      <c r="AQ8" s="92">
        <v>81</v>
      </c>
      <c r="AR8" s="92">
        <v>1</v>
      </c>
      <c r="AS8" s="92">
        <v>0</v>
      </c>
      <c r="AT8" s="92">
        <v>0</v>
      </c>
      <c r="AU8" s="94">
        <v>0</v>
      </c>
      <c r="AV8" s="94">
        <v>0</v>
      </c>
      <c r="AW8" s="92">
        <v>0</v>
      </c>
      <c r="AX8" s="92">
        <v>0</v>
      </c>
      <c r="AY8" s="92">
        <v>113</v>
      </c>
      <c r="AZ8" s="92">
        <v>18</v>
      </c>
      <c r="BA8" s="92">
        <v>0</v>
      </c>
      <c r="BB8" s="94">
        <v>0</v>
      </c>
      <c r="BC8" s="94">
        <v>0</v>
      </c>
    </row>
    <row r="9" spans="1:60" s="92" customFormat="1">
      <c r="A9" s="70" t="s">
        <v>2346</v>
      </c>
      <c r="C9" s="92">
        <v>9.25</v>
      </c>
      <c r="D9" s="92">
        <v>8.4700000000000006</v>
      </c>
      <c r="E9" s="92">
        <v>8.42</v>
      </c>
      <c r="F9" s="92">
        <v>7.55</v>
      </c>
      <c r="G9" s="92">
        <v>7.43</v>
      </c>
      <c r="H9" s="92">
        <v>7.44</v>
      </c>
      <c r="I9" s="92">
        <v>7.48</v>
      </c>
      <c r="J9" s="92">
        <v>7.3</v>
      </c>
      <c r="K9" s="92">
        <v>9.5500000000000007</v>
      </c>
      <c r="L9" s="92">
        <v>7.95</v>
      </c>
      <c r="M9" s="92">
        <v>7.46</v>
      </c>
      <c r="N9" s="71">
        <v>8.39</v>
      </c>
      <c r="O9" s="71">
        <v>7.54</v>
      </c>
      <c r="P9" s="92">
        <v>8.4600000000000009</v>
      </c>
      <c r="Q9" s="92">
        <v>7.56</v>
      </c>
      <c r="R9" s="92">
        <v>7.39</v>
      </c>
      <c r="S9" s="92">
        <v>7.5</v>
      </c>
      <c r="T9" s="92">
        <v>7.34</v>
      </c>
      <c r="U9" s="92">
        <v>7.1</v>
      </c>
      <c r="V9" s="92">
        <v>7.04</v>
      </c>
      <c r="W9" s="92">
        <v>7.94</v>
      </c>
      <c r="X9" s="92">
        <v>7.26</v>
      </c>
      <c r="Y9" s="92">
        <v>7.05</v>
      </c>
      <c r="Z9" s="92">
        <v>6.74</v>
      </c>
      <c r="AA9" s="92">
        <v>7.08</v>
      </c>
      <c r="AB9" s="92">
        <v>6.94</v>
      </c>
      <c r="AC9" s="92">
        <v>6.67</v>
      </c>
      <c r="AD9" s="92">
        <v>6.1</v>
      </c>
      <c r="AE9" s="92">
        <v>5.49</v>
      </c>
      <c r="AF9" s="92">
        <v>3.57</v>
      </c>
      <c r="AG9" s="92">
        <v>3.13</v>
      </c>
      <c r="AH9" s="92">
        <v>2.86</v>
      </c>
      <c r="AI9" s="92">
        <v>6.41</v>
      </c>
      <c r="AJ9" s="92">
        <v>6.42</v>
      </c>
      <c r="AK9" s="92">
        <v>5.51</v>
      </c>
      <c r="AL9" s="92">
        <v>2.9</v>
      </c>
      <c r="AM9" s="92">
        <v>2.82</v>
      </c>
      <c r="AN9" s="92">
        <v>2.97</v>
      </c>
      <c r="AO9" s="92">
        <v>2.99</v>
      </c>
      <c r="AP9" s="92">
        <v>6.15</v>
      </c>
      <c r="AQ9" s="92">
        <v>5.94</v>
      </c>
      <c r="AR9" s="92">
        <v>2.96</v>
      </c>
      <c r="AS9" s="92">
        <v>2.73</v>
      </c>
      <c r="AT9" s="92">
        <v>2.89</v>
      </c>
      <c r="AU9" s="93">
        <v>2.94</v>
      </c>
      <c r="AV9" s="93">
        <v>2.94</v>
      </c>
      <c r="AW9" s="92">
        <v>2.96</v>
      </c>
      <c r="AX9" s="71">
        <v>2.94</v>
      </c>
      <c r="AY9" s="92">
        <v>6.37</v>
      </c>
      <c r="AZ9" s="92">
        <v>3.46</v>
      </c>
      <c r="BA9" s="92">
        <v>3.26</v>
      </c>
      <c r="BB9" s="93">
        <v>2.94</v>
      </c>
      <c r="BC9" s="93">
        <v>2.94</v>
      </c>
    </row>
    <row r="10" spans="1:60" s="92" customFormat="1">
      <c r="A10" s="70" t="s">
        <v>2347</v>
      </c>
      <c r="C10" s="92">
        <v>21.75</v>
      </c>
      <c r="D10" s="92">
        <v>23.62</v>
      </c>
      <c r="E10" s="92">
        <v>24.22</v>
      </c>
      <c r="F10" s="92">
        <v>26.12</v>
      </c>
      <c r="G10" s="92">
        <v>26.5</v>
      </c>
      <c r="H10" s="92">
        <v>26.64</v>
      </c>
      <c r="I10" s="92">
        <v>26.73</v>
      </c>
      <c r="J10" s="92">
        <v>27.1</v>
      </c>
      <c r="K10" s="92">
        <v>21.69</v>
      </c>
      <c r="L10" s="92">
        <v>24.69</v>
      </c>
      <c r="M10" s="92">
        <v>26.04</v>
      </c>
      <c r="N10" s="71">
        <v>25.37</v>
      </c>
      <c r="O10" s="71">
        <v>26.73</v>
      </c>
      <c r="P10" s="92">
        <v>25.49</v>
      </c>
      <c r="Q10" s="92">
        <v>26.91</v>
      </c>
      <c r="R10" s="92">
        <v>27.3</v>
      </c>
      <c r="S10" s="92">
        <v>26.13</v>
      </c>
      <c r="T10" s="92">
        <v>26.84</v>
      </c>
      <c r="U10" s="92">
        <v>27.67</v>
      </c>
      <c r="V10" s="92">
        <v>28.21</v>
      </c>
      <c r="W10" s="92">
        <v>27.35</v>
      </c>
      <c r="X10" s="92">
        <v>28.08</v>
      </c>
      <c r="Y10" s="92">
        <v>28.68</v>
      </c>
      <c r="Z10" s="92">
        <v>29.17</v>
      </c>
      <c r="AA10" s="92">
        <v>27.71</v>
      </c>
      <c r="AB10" s="92">
        <v>28.35</v>
      </c>
      <c r="AC10" s="92">
        <v>29.24</v>
      </c>
      <c r="AD10" s="92">
        <v>30.11</v>
      </c>
      <c r="AE10" s="92">
        <v>30.83</v>
      </c>
      <c r="AF10" s="92">
        <v>32.4</v>
      </c>
      <c r="AG10" s="92">
        <v>32.89</v>
      </c>
      <c r="AH10" s="92">
        <v>33.14</v>
      </c>
      <c r="AI10" s="92">
        <v>29.56</v>
      </c>
      <c r="AJ10" s="92">
        <v>30.03</v>
      </c>
      <c r="AK10" s="92">
        <v>31.13</v>
      </c>
      <c r="AL10" s="92">
        <v>33.06</v>
      </c>
      <c r="AM10" s="92">
        <v>33.200000000000003</v>
      </c>
      <c r="AN10" s="92">
        <v>33.03</v>
      </c>
      <c r="AO10" s="92">
        <v>33.03</v>
      </c>
      <c r="AP10" s="92">
        <v>30.43</v>
      </c>
      <c r="AQ10" s="92">
        <v>30.93</v>
      </c>
      <c r="AR10" s="92">
        <v>33.06</v>
      </c>
      <c r="AS10" s="92">
        <v>33.29</v>
      </c>
      <c r="AT10" s="92">
        <v>33.130000000000003</v>
      </c>
      <c r="AU10" s="93">
        <v>33.08</v>
      </c>
      <c r="AV10" s="93">
        <v>33.08</v>
      </c>
      <c r="AW10" s="92">
        <v>33.11</v>
      </c>
      <c r="AX10" s="71">
        <v>33.08</v>
      </c>
      <c r="AY10" s="92">
        <v>30.79</v>
      </c>
      <c r="AZ10" s="92">
        <v>32.74</v>
      </c>
      <c r="BA10" s="92">
        <v>32.799999999999997</v>
      </c>
      <c r="BB10" s="93">
        <v>33.08</v>
      </c>
      <c r="BC10" s="93">
        <v>33.08</v>
      </c>
    </row>
    <row r="11" spans="1:60" s="92" customFormat="1">
      <c r="A11" s="70" t="s">
        <v>2348</v>
      </c>
      <c r="C11" s="92">
        <v>-12.5</v>
      </c>
      <c r="D11" s="92">
        <v>-15.15</v>
      </c>
      <c r="E11" s="92">
        <v>-15.8</v>
      </c>
      <c r="F11" s="92">
        <v>-18.57</v>
      </c>
      <c r="G11" s="92">
        <v>-19.059999999999999</v>
      </c>
      <c r="H11" s="92">
        <v>-19.2</v>
      </c>
      <c r="I11" s="92">
        <v>-19.25</v>
      </c>
      <c r="J11" s="92">
        <v>-19.8</v>
      </c>
      <c r="K11" s="92">
        <v>-12.15</v>
      </c>
      <c r="L11" s="92">
        <v>-16.75</v>
      </c>
      <c r="M11" s="92">
        <v>-18.579999999999998</v>
      </c>
      <c r="N11" s="71">
        <v>-16.97</v>
      </c>
      <c r="O11" s="71">
        <v>-19.190000000000001</v>
      </c>
      <c r="P11" s="92">
        <v>-17.02</v>
      </c>
      <c r="Q11" s="92">
        <v>-19.350000000000001</v>
      </c>
      <c r="R11" s="92">
        <v>-19.91</v>
      </c>
      <c r="S11" s="92">
        <v>-18.64</v>
      </c>
      <c r="T11" s="92">
        <v>-19.5</v>
      </c>
      <c r="U11" s="92">
        <v>-20.57</v>
      </c>
      <c r="V11" s="92">
        <v>-21.17</v>
      </c>
      <c r="W11" s="92">
        <v>-19.399999999999999</v>
      </c>
      <c r="X11" s="92">
        <v>-20.81</v>
      </c>
      <c r="Y11" s="92">
        <v>-21.62</v>
      </c>
      <c r="Z11" s="92">
        <v>-22.43</v>
      </c>
      <c r="AA11" s="92">
        <v>-20.63</v>
      </c>
      <c r="AB11" s="92">
        <v>-21.41</v>
      </c>
      <c r="AC11" s="92">
        <v>-22.56</v>
      </c>
      <c r="AD11" s="92">
        <v>-24.01</v>
      </c>
      <c r="AE11" s="92">
        <v>-25.34</v>
      </c>
      <c r="AF11" s="92">
        <v>-28.84</v>
      </c>
      <c r="AG11" s="92">
        <v>-29.76</v>
      </c>
      <c r="AH11" s="92">
        <v>-30.28</v>
      </c>
      <c r="AI11" s="92">
        <v>-23.14</v>
      </c>
      <c r="AJ11" s="92">
        <v>-23.61</v>
      </c>
      <c r="AK11" s="92">
        <v>-25.62</v>
      </c>
      <c r="AL11" s="92">
        <v>-30.16</v>
      </c>
      <c r="AM11" s="92">
        <v>-30.39</v>
      </c>
      <c r="AN11" s="92">
        <v>-30.06</v>
      </c>
      <c r="AO11" s="92">
        <v>-30.04</v>
      </c>
      <c r="AP11" s="92">
        <v>-24.28</v>
      </c>
      <c r="AQ11" s="92">
        <v>-24.99</v>
      </c>
      <c r="AR11" s="92">
        <v>-30.1</v>
      </c>
      <c r="AS11" s="92">
        <v>-30.56</v>
      </c>
      <c r="AT11" s="92">
        <v>-30.23</v>
      </c>
      <c r="AU11" s="93">
        <v>-30.13</v>
      </c>
      <c r="AV11" s="93">
        <v>-30.13</v>
      </c>
      <c r="AW11" s="92">
        <v>-30.14</v>
      </c>
      <c r="AX11" s="71">
        <v>-30.13</v>
      </c>
      <c r="AY11" s="92">
        <v>-24.42</v>
      </c>
      <c r="AZ11" s="92">
        <v>-29.29</v>
      </c>
      <c r="BA11" s="92">
        <v>-29.54</v>
      </c>
      <c r="BB11" s="93">
        <v>-30.13</v>
      </c>
      <c r="BC11" s="93">
        <v>-30.13</v>
      </c>
    </row>
    <row r="12" spans="1:60" s="92" customFormat="1">
      <c r="A12" s="73" t="s">
        <v>2349</v>
      </c>
      <c r="C12" s="92">
        <v>255.4</v>
      </c>
      <c r="D12" s="92">
        <v>216.37</v>
      </c>
      <c r="E12" s="92">
        <v>176.85</v>
      </c>
      <c r="F12" s="92">
        <v>133.96</v>
      </c>
      <c r="G12" s="92">
        <v>125.33</v>
      </c>
      <c r="H12" s="92">
        <v>116.11</v>
      </c>
      <c r="I12" s="92">
        <v>107.37</v>
      </c>
      <c r="J12" s="92">
        <v>98.79</v>
      </c>
      <c r="K12" s="92">
        <v>238.41</v>
      </c>
      <c r="L12" s="92">
        <v>199.52</v>
      </c>
      <c r="M12" s="92">
        <v>160.12</v>
      </c>
      <c r="N12" s="71">
        <v>115.25</v>
      </c>
      <c r="O12" s="71">
        <v>108.02</v>
      </c>
      <c r="P12" s="92">
        <v>98.16</v>
      </c>
      <c r="Q12" s="92">
        <v>90.43</v>
      </c>
      <c r="R12" s="92">
        <v>81.97</v>
      </c>
      <c r="S12" s="92">
        <v>186.54</v>
      </c>
      <c r="T12" s="92">
        <v>147</v>
      </c>
      <c r="U12" s="92">
        <v>107.45</v>
      </c>
      <c r="V12" s="92">
        <v>65.5</v>
      </c>
      <c r="W12" s="92">
        <v>54.64</v>
      </c>
      <c r="X12" s="92">
        <v>45.54</v>
      </c>
      <c r="Y12" s="92">
        <v>38.590000000000003</v>
      </c>
      <c r="Z12" s="92">
        <v>29.37</v>
      </c>
      <c r="AA12" s="92">
        <v>133.79</v>
      </c>
      <c r="AB12" s="92">
        <v>94.16</v>
      </c>
      <c r="AC12" s="92">
        <v>55.6</v>
      </c>
      <c r="AD12" s="92">
        <v>11.25</v>
      </c>
      <c r="AE12" s="92">
        <v>4.4800000000000004</v>
      </c>
      <c r="AF12" s="92">
        <v>-0.6</v>
      </c>
      <c r="AG12" s="92">
        <v>-0.64</v>
      </c>
      <c r="AH12" s="92">
        <v>-0.37</v>
      </c>
      <c r="AI12" s="92">
        <v>81.2</v>
      </c>
      <c r="AJ12" s="92">
        <v>43.02</v>
      </c>
      <c r="AK12" s="92">
        <v>5.9</v>
      </c>
      <c r="AL12" s="92">
        <v>-0.31</v>
      </c>
      <c r="AM12" s="92">
        <v>-0.47</v>
      </c>
      <c r="AN12" s="92">
        <v>-0.16</v>
      </c>
      <c r="AO12" s="92">
        <v>-0.34</v>
      </c>
      <c r="AP12" s="92">
        <v>50.18</v>
      </c>
      <c r="AQ12" s="92">
        <v>12.25</v>
      </c>
      <c r="AR12" s="92">
        <v>-0.06</v>
      </c>
      <c r="AS12" s="92">
        <v>-0.13</v>
      </c>
      <c r="AT12" s="92">
        <v>-0.17</v>
      </c>
      <c r="AU12" s="93">
        <v>-0.35</v>
      </c>
      <c r="AV12" s="93">
        <v>-0.35</v>
      </c>
      <c r="AW12" s="92">
        <v>-0.2</v>
      </c>
      <c r="AX12" s="71">
        <v>-0.35</v>
      </c>
      <c r="AY12" s="92">
        <v>29.59</v>
      </c>
      <c r="AZ12" s="92">
        <v>-0.12</v>
      </c>
      <c r="BA12" s="92">
        <v>-0.39</v>
      </c>
      <c r="BB12" s="93">
        <v>-0.35</v>
      </c>
      <c r="BC12" s="93">
        <v>-0.35</v>
      </c>
    </row>
    <row r="13" spans="1:60" s="92" customFormat="1">
      <c r="A13" s="70" t="s">
        <v>2350</v>
      </c>
      <c r="C13" s="92">
        <v>255.4</v>
      </c>
      <c r="D13" s="92">
        <v>216.37</v>
      </c>
      <c r="E13" s="92">
        <v>176.85</v>
      </c>
      <c r="F13" s="92">
        <v>133.96</v>
      </c>
      <c r="G13" s="92">
        <v>125.33</v>
      </c>
      <c r="H13" s="92">
        <v>116.11</v>
      </c>
      <c r="I13" s="92">
        <v>107.37</v>
      </c>
      <c r="J13" s="92">
        <v>98.79</v>
      </c>
      <c r="K13" s="92">
        <v>238.41</v>
      </c>
      <c r="L13" s="92">
        <v>199.52</v>
      </c>
      <c r="M13" s="92">
        <v>160.12</v>
      </c>
      <c r="N13" s="71">
        <v>115.25</v>
      </c>
      <c r="O13" s="71">
        <v>108.02</v>
      </c>
      <c r="P13" s="92">
        <v>98.16</v>
      </c>
      <c r="Q13" s="92">
        <v>90.43</v>
      </c>
      <c r="R13" s="92">
        <v>81.97</v>
      </c>
      <c r="S13" s="92">
        <v>186.54</v>
      </c>
      <c r="T13" s="92">
        <v>147</v>
      </c>
      <c r="U13" s="92">
        <v>107.45</v>
      </c>
      <c r="V13" s="92">
        <v>65.5</v>
      </c>
      <c r="W13" s="92">
        <v>54.64</v>
      </c>
      <c r="X13" s="92">
        <v>45.54</v>
      </c>
      <c r="Y13" s="92">
        <v>38.590000000000003</v>
      </c>
      <c r="Z13" s="92">
        <v>29.37</v>
      </c>
      <c r="AA13" s="92">
        <v>133.79</v>
      </c>
      <c r="AB13" s="92">
        <v>94.16</v>
      </c>
      <c r="AC13" s="92">
        <v>55.6</v>
      </c>
      <c r="AD13" s="92">
        <v>11.25</v>
      </c>
      <c r="AE13" s="92">
        <v>4.4800000000000004</v>
      </c>
      <c r="AF13" s="92">
        <v>-0.6</v>
      </c>
      <c r="AG13" s="92">
        <v>-0.64</v>
      </c>
      <c r="AH13" s="92">
        <v>-0.37</v>
      </c>
      <c r="AI13" s="92">
        <v>81.2</v>
      </c>
      <c r="AJ13" s="92">
        <v>43.02</v>
      </c>
      <c r="AK13" s="92">
        <v>5.9</v>
      </c>
      <c r="AL13" s="71">
        <v>-2.82</v>
      </c>
      <c r="AM13" s="71">
        <v>-2.82</v>
      </c>
      <c r="AN13" s="71">
        <v>-2.82</v>
      </c>
      <c r="AO13" s="71">
        <v>-2.82</v>
      </c>
      <c r="AP13" s="92">
        <v>50.18</v>
      </c>
      <c r="AQ13" s="92">
        <v>12.25</v>
      </c>
      <c r="AR13" s="92">
        <v>-0.06</v>
      </c>
      <c r="AS13" s="71">
        <v>-2.82</v>
      </c>
      <c r="AT13" s="71">
        <v>-2.82</v>
      </c>
      <c r="AU13" s="71">
        <v>-2.82</v>
      </c>
      <c r="AV13" s="71">
        <v>-2.82</v>
      </c>
      <c r="AW13" s="71">
        <v>-2.82</v>
      </c>
      <c r="AX13" s="71">
        <v>-2.82</v>
      </c>
      <c r="AY13" s="92">
        <v>29.59</v>
      </c>
      <c r="AZ13" s="92">
        <v>-0.12</v>
      </c>
      <c r="BA13" s="71">
        <v>-2.82</v>
      </c>
      <c r="BB13" s="71">
        <v>-2.82</v>
      </c>
      <c r="BC13" s="71">
        <v>-2.82</v>
      </c>
    </row>
    <row r="14" spans="1:60" s="92" customFormat="1">
      <c r="A14" s="70"/>
    </row>
    <row r="15" spans="1:60" s="92" customFormat="1">
      <c r="A15" s="70"/>
    </row>
    <row r="16" spans="1:60" s="92" customFormat="1">
      <c r="A16" s="70"/>
    </row>
    <row r="17" spans="1:55" s="92" customFormat="1">
      <c r="A17" s="92" t="s">
        <v>2351</v>
      </c>
      <c r="C17" s="92">
        <f t="shared" ref="C17:BC17" si="6">C6/C5</f>
        <v>0.55745530489064332</v>
      </c>
      <c r="D17" s="92">
        <f t="shared" si="6"/>
        <v>0.45393430788666306</v>
      </c>
      <c r="E17" s="92">
        <f t="shared" si="6"/>
        <v>0.36810587186578597</v>
      </c>
      <c r="F17" s="92">
        <f t="shared" si="6"/>
        <v>0.24415479994075454</v>
      </c>
      <c r="G17" s="92">
        <f t="shared" si="6"/>
        <v>0.23193277310924373</v>
      </c>
      <c r="H17" s="92">
        <f t="shared" si="6"/>
        <v>0.20734290421275595</v>
      </c>
      <c r="I17" s="92">
        <f t="shared" si="6"/>
        <v>0.19042268130348347</v>
      </c>
      <c r="J17" s="92">
        <f t="shared" si="6"/>
        <v>0.17097088429483712</v>
      </c>
      <c r="K17" s="92">
        <f>K6/K5</f>
        <v>0.52769550108449748</v>
      </c>
      <c r="L17" s="92">
        <f t="shared" si="6"/>
        <v>0.39612908819003451</v>
      </c>
      <c r="M17" s="92">
        <f t="shared" si="6"/>
        <v>0.30539193475305842</v>
      </c>
      <c r="N17" s="92">
        <f t="shared" si="6"/>
        <v>0.20731990296382238</v>
      </c>
      <c r="O17" s="92">
        <f t="shared" si="6"/>
        <v>0.19669190912714229</v>
      </c>
      <c r="P17" s="92">
        <f t="shared" si="6"/>
        <v>0.17358094952823125</v>
      </c>
      <c r="Q17" s="92">
        <f t="shared" si="6"/>
        <v>0.15408961824448827</v>
      </c>
      <c r="R17" s="92">
        <f t="shared" si="6"/>
        <v>0.13751163099827196</v>
      </c>
      <c r="S17" s="92">
        <f t="shared" si="6"/>
        <v>0.36420034272575436</v>
      </c>
      <c r="T17" s="92">
        <f t="shared" si="6"/>
        <v>0.27809282847670563</v>
      </c>
      <c r="U17" s="92">
        <f t="shared" si="6"/>
        <v>0.18694725969918016</v>
      </c>
      <c r="V17" s="92">
        <f t="shared" si="6"/>
        <v>9.7138224208957832E-2</v>
      </c>
      <c r="W17" s="92">
        <f t="shared" si="6"/>
        <v>7.4407212685542956E-2</v>
      </c>
      <c r="X17" s="92">
        <f t="shared" si="6"/>
        <v>5.0130749427337779E-2</v>
      </c>
      <c r="Y17" s="92">
        <f t="shared" si="6"/>
        <v>3.8123694201693883E-2</v>
      </c>
      <c r="Z17" s="92">
        <f t="shared" si="6"/>
        <v>1.4998576777386087E-2</v>
      </c>
      <c r="AA17" s="92">
        <f t="shared" si="6"/>
        <v>0.25009945630552977</v>
      </c>
      <c r="AB17" s="92">
        <f t="shared" si="6"/>
        <v>0.159228698373788</v>
      </c>
      <c r="AC17" s="92">
        <f t="shared" si="6"/>
        <v>7.2804195496011637E-2</v>
      </c>
      <c r="AD17" s="92">
        <f t="shared" si="6"/>
        <v>-2.8780872899515055E-2</v>
      </c>
      <c r="AE17" s="92">
        <f t="shared" si="6"/>
        <v>-4.9166804157729747E-2</v>
      </c>
      <c r="AF17" s="92">
        <f t="shared" si="6"/>
        <v>-8.3413611378704594E-2</v>
      </c>
      <c r="AG17" s="92">
        <f t="shared" si="6"/>
        <v>-9.7928679573494826E-2</v>
      </c>
      <c r="AH17" s="92">
        <f t="shared" si="6"/>
        <v>-9.9027495072857089E-2</v>
      </c>
      <c r="AI17" s="92">
        <f t="shared" si="6"/>
        <v>0.12587260980791745</v>
      </c>
      <c r="AJ17" s="92">
        <f t="shared" si="6"/>
        <v>4.349578928507436E-2</v>
      </c>
      <c r="AK17" s="92">
        <f t="shared" si="6"/>
        <v>-4.9751620142723857E-2</v>
      </c>
      <c r="AL17" s="92">
        <f t="shared" si="6"/>
        <v>-0.1017328302894728</v>
      </c>
      <c r="AM17" s="92">
        <f t="shared" si="6"/>
        <v>-0.10168094924192486</v>
      </c>
      <c r="AN17" s="92">
        <f t="shared" si="6"/>
        <v>-0.10238942552109812</v>
      </c>
      <c r="AO17" s="92">
        <f t="shared" si="6"/>
        <v>-0.10101413133832086</v>
      </c>
      <c r="AP17" s="92">
        <f t="shared" si="6"/>
        <v>5.6524301084655504E-2</v>
      </c>
      <c r="AQ17" s="92">
        <f t="shared" si="6"/>
        <v>-3.1320680499557482E-2</v>
      </c>
      <c r="AR17" s="92">
        <f t="shared" si="6"/>
        <v>-0.10122843525542055</v>
      </c>
      <c r="AS17" s="92">
        <f t="shared" si="6"/>
        <v>-0.10415747497030377</v>
      </c>
      <c r="AT17" s="92">
        <f t="shared" si="6"/>
        <v>-0.10396361273554254</v>
      </c>
      <c r="AU17" s="92">
        <f t="shared" si="6"/>
        <v>-9.9800268491535962E-2</v>
      </c>
      <c r="AV17" s="92">
        <f t="shared" si="6"/>
        <v>-9.9800268491535962E-2</v>
      </c>
      <c r="AW17" s="92">
        <f t="shared" si="6"/>
        <v>-0.10092139839670027</v>
      </c>
      <c r="AX17" s="92">
        <f t="shared" si="6"/>
        <v>-9.9800268491535962E-2</v>
      </c>
      <c r="AY17" s="92">
        <f t="shared" si="6"/>
        <v>1.2051562973495885E-2</v>
      </c>
      <c r="AZ17" s="92">
        <f t="shared" si="6"/>
        <v>-8.9653700768198993E-2</v>
      </c>
      <c r="BA17" s="92">
        <f t="shared" si="6"/>
        <v>-0.10095797072117656</v>
      </c>
      <c r="BB17" s="92">
        <f t="shared" si="6"/>
        <v>-9.9800268491535962E-2</v>
      </c>
      <c r="BC17" s="92">
        <f t="shared" si="6"/>
        <v>-9.9800268491535962E-2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3"/>
  <sheetViews>
    <sheetView workbookViewId="0">
      <selection activeCell="F12" sqref="F12"/>
    </sheetView>
  </sheetViews>
  <sheetFormatPr defaultRowHeight="13.9"/>
  <cols>
    <col min="3" max="3" width="78.33203125" customWidth="1"/>
    <col min="4" max="4" width="18.1328125" customWidth="1"/>
    <col min="5" max="5" width="12.33203125" customWidth="1"/>
  </cols>
  <sheetData>
    <row r="1" spans="1:6" s="9" customFormat="1">
      <c r="A1" s="8" t="s">
        <v>1249</v>
      </c>
      <c r="B1" s="8" t="s">
        <v>1250</v>
      </c>
      <c r="C1" s="8" t="s">
        <v>1523</v>
      </c>
      <c r="D1" s="8" t="s">
        <v>1524</v>
      </c>
      <c r="E1" s="8" t="s">
        <v>1525</v>
      </c>
      <c r="F1" s="8" t="s">
        <v>2</v>
      </c>
    </row>
    <row r="2" spans="1:6">
      <c r="A2" s="1" t="s">
        <v>1251</v>
      </c>
      <c r="B2" s="1" t="s">
        <v>1252</v>
      </c>
      <c r="C2" s="1" t="s">
        <v>1253</v>
      </c>
      <c r="D2" s="1" t="s">
        <v>1254</v>
      </c>
      <c r="E2" s="1" t="s">
        <v>1254</v>
      </c>
      <c r="F2" s="1" t="s">
        <v>1255</v>
      </c>
    </row>
    <row r="3" spans="1:6">
      <c r="A3" s="1" t="s">
        <v>1256</v>
      </c>
      <c r="B3" s="5" t="s">
        <v>1257</v>
      </c>
      <c r="C3" s="1" t="s">
        <v>1258</v>
      </c>
      <c r="D3" s="1" t="s">
        <v>1259</v>
      </c>
      <c r="E3" s="1" t="s">
        <v>1260</v>
      </c>
      <c r="F3" s="1" t="s">
        <v>1255</v>
      </c>
    </row>
    <row r="4" spans="1:6">
      <c r="A4" s="1" t="s">
        <v>1261</v>
      </c>
      <c r="B4" s="1" t="s">
        <v>1262</v>
      </c>
      <c r="C4" s="1" t="s">
        <v>1263</v>
      </c>
      <c r="D4" s="1" t="s">
        <v>1264</v>
      </c>
      <c r="E4" s="1" t="s">
        <v>1265</v>
      </c>
      <c r="F4" s="1" t="s">
        <v>1255</v>
      </c>
    </row>
    <row r="5" spans="1:6">
      <c r="A5" s="1" t="s">
        <v>1266</v>
      </c>
      <c r="B5" s="1" t="s">
        <v>1267</v>
      </c>
      <c r="C5" s="1" t="s">
        <v>1268</v>
      </c>
      <c r="D5" s="1" t="s">
        <v>1269</v>
      </c>
      <c r="E5" s="1" t="s">
        <v>1270</v>
      </c>
      <c r="F5" s="1" t="s">
        <v>1255</v>
      </c>
    </row>
    <row r="6" spans="1:6">
      <c r="A6" s="1" t="s">
        <v>1271</v>
      </c>
      <c r="B6" s="5" t="s">
        <v>1272</v>
      </c>
      <c r="C6" s="1" t="s">
        <v>1273</v>
      </c>
      <c r="D6" s="1" t="s">
        <v>1274</v>
      </c>
      <c r="E6" s="1" t="s">
        <v>1103</v>
      </c>
      <c r="F6" s="1" t="s">
        <v>1255</v>
      </c>
    </row>
    <row r="7" spans="1:6">
      <c r="A7" s="1" t="s">
        <v>1275</v>
      </c>
      <c r="B7" s="1" t="s">
        <v>1276</v>
      </c>
      <c r="C7" s="1" t="s">
        <v>1277</v>
      </c>
      <c r="D7" s="1" t="s">
        <v>1278</v>
      </c>
      <c r="E7" s="1" t="s">
        <v>1103</v>
      </c>
      <c r="F7" s="1" t="s">
        <v>1255</v>
      </c>
    </row>
    <row r="8" spans="1:6">
      <c r="A8" s="1" t="s">
        <v>1279</v>
      </c>
      <c r="B8" s="1" t="s">
        <v>1280</v>
      </c>
      <c r="C8" s="1" t="s">
        <v>1281</v>
      </c>
      <c r="D8" s="1" t="s">
        <v>1282</v>
      </c>
      <c r="E8" s="1" t="s">
        <v>1283</v>
      </c>
      <c r="F8" s="1" t="s">
        <v>1255</v>
      </c>
    </row>
    <row r="9" spans="1:6">
      <c r="A9" s="1" t="s">
        <v>1284</v>
      </c>
      <c r="B9" s="5" t="s">
        <v>1285</v>
      </c>
      <c r="C9" s="1" t="s">
        <v>1286</v>
      </c>
      <c r="D9" s="1" t="s">
        <v>1287</v>
      </c>
      <c r="E9" s="1" t="s">
        <v>1082</v>
      </c>
      <c r="F9" s="1" t="s">
        <v>1255</v>
      </c>
    </row>
    <row r="10" spans="1:6">
      <c r="A10" s="1" t="s">
        <v>1288</v>
      </c>
      <c r="B10" s="1" t="s">
        <v>1289</v>
      </c>
      <c r="C10" s="1" t="s">
        <v>1290</v>
      </c>
      <c r="D10" s="1" t="s">
        <v>1291</v>
      </c>
      <c r="E10" s="1" t="s">
        <v>1292</v>
      </c>
      <c r="F10" s="1" t="s">
        <v>1255</v>
      </c>
    </row>
    <row r="11" spans="1:6">
      <c r="A11" s="1" t="s">
        <v>1293</v>
      </c>
      <c r="B11" s="1" t="s">
        <v>1294</v>
      </c>
      <c r="C11" s="1" t="s">
        <v>1295</v>
      </c>
      <c r="D11" s="1" t="s">
        <v>1296</v>
      </c>
      <c r="E11" s="1" t="s">
        <v>1297</v>
      </c>
      <c r="F11" s="1" t="s">
        <v>1255</v>
      </c>
    </row>
    <row r="12" spans="1:6">
      <c r="A12" s="1" t="s">
        <v>1298</v>
      </c>
      <c r="B12" s="5" t="s">
        <v>1299</v>
      </c>
      <c r="C12" s="1" t="s">
        <v>1300</v>
      </c>
      <c r="D12" s="1" t="s">
        <v>1301</v>
      </c>
      <c r="E12" s="1" t="s">
        <v>1135</v>
      </c>
      <c r="F12" s="1" t="s">
        <v>1255</v>
      </c>
    </row>
    <row r="13" spans="1:6">
      <c r="A13" s="1" t="s">
        <v>1302</v>
      </c>
      <c r="B13" s="1" t="s">
        <v>1303</v>
      </c>
      <c r="C13" s="1" t="s">
        <v>1304</v>
      </c>
      <c r="D13" s="1" t="s">
        <v>1305</v>
      </c>
      <c r="E13" s="1" t="s">
        <v>1306</v>
      </c>
      <c r="F13" s="1" t="s">
        <v>1255</v>
      </c>
    </row>
    <row r="14" spans="1:6">
      <c r="A14" s="1" t="s">
        <v>1307</v>
      </c>
      <c r="B14" s="1" t="s">
        <v>1308</v>
      </c>
      <c r="C14" s="1" t="s">
        <v>1309</v>
      </c>
      <c r="D14" s="1" t="s">
        <v>1310</v>
      </c>
      <c r="E14" s="1" t="s">
        <v>1311</v>
      </c>
      <c r="F14" s="1" t="s">
        <v>1255</v>
      </c>
    </row>
    <row r="15" spans="1:6">
      <c r="A15" s="1" t="s">
        <v>1312</v>
      </c>
      <c r="B15" s="5" t="s">
        <v>1313</v>
      </c>
      <c r="C15" s="1" t="s">
        <v>1314</v>
      </c>
      <c r="D15" s="1" t="s">
        <v>1311</v>
      </c>
      <c r="E15" s="1" t="s">
        <v>1311</v>
      </c>
      <c r="F15" s="1" t="s">
        <v>1255</v>
      </c>
    </row>
    <row r="16" spans="1:6">
      <c r="A16" s="1" t="s">
        <v>1315</v>
      </c>
      <c r="B16" s="1" t="s">
        <v>1316</v>
      </c>
      <c r="C16" s="1" t="s">
        <v>1317</v>
      </c>
      <c r="D16" s="1" t="s">
        <v>1318</v>
      </c>
      <c r="E16" s="1" t="s">
        <v>1319</v>
      </c>
      <c r="F16" s="1" t="s">
        <v>1255</v>
      </c>
    </row>
    <row r="17" spans="1:6">
      <c r="A17" s="1" t="s">
        <v>1320</v>
      </c>
      <c r="B17" s="1" t="s">
        <v>1321</v>
      </c>
      <c r="C17" s="1" t="s">
        <v>1322</v>
      </c>
      <c r="D17" s="1" t="s">
        <v>1323</v>
      </c>
      <c r="E17" s="1" t="s">
        <v>1324</v>
      </c>
      <c r="F17" s="1" t="s">
        <v>1255</v>
      </c>
    </row>
    <row r="18" spans="1:6">
      <c r="A18" s="1" t="s">
        <v>1325</v>
      </c>
      <c r="B18" s="5" t="s">
        <v>1326</v>
      </c>
      <c r="C18" s="1" t="s">
        <v>1327</v>
      </c>
      <c r="D18" s="1" t="s">
        <v>1328</v>
      </c>
      <c r="E18" s="1" t="s">
        <v>1116</v>
      </c>
      <c r="F18" s="1" t="s">
        <v>1255</v>
      </c>
    </row>
    <row r="19" spans="1:6">
      <c r="A19" s="1" t="s">
        <v>1329</v>
      </c>
      <c r="B19" s="1" t="s">
        <v>1330</v>
      </c>
      <c r="C19" s="1" t="s">
        <v>1331</v>
      </c>
      <c r="D19" s="1" t="s">
        <v>1166</v>
      </c>
      <c r="E19" s="1" t="s">
        <v>1166</v>
      </c>
      <c r="F19" s="1" t="s">
        <v>1255</v>
      </c>
    </row>
    <row r="20" spans="1:6">
      <c r="A20" s="1" t="s">
        <v>1332</v>
      </c>
      <c r="B20" s="1" t="s">
        <v>1333</v>
      </c>
      <c r="C20" s="1" t="s">
        <v>1334</v>
      </c>
      <c r="D20" s="1" t="s">
        <v>1335</v>
      </c>
      <c r="E20" s="1" t="s">
        <v>1166</v>
      </c>
      <c r="F20" s="1" t="s">
        <v>1255</v>
      </c>
    </row>
    <row r="21" spans="1:6">
      <c r="A21" s="1" t="s">
        <v>1336</v>
      </c>
      <c r="B21" s="5" t="s">
        <v>1337</v>
      </c>
      <c r="C21" s="1" t="s">
        <v>1338</v>
      </c>
      <c r="D21" s="1" t="s">
        <v>1339</v>
      </c>
      <c r="E21" s="1" t="s">
        <v>1340</v>
      </c>
      <c r="F21" s="1" t="s">
        <v>1255</v>
      </c>
    </row>
    <row r="22" spans="1:6">
      <c r="A22" s="1" t="s">
        <v>1341</v>
      </c>
      <c r="B22" s="1" t="s">
        <v>1342</v>
      </c>
      <c r="C22" s="1" t="s">
        <v>1343</v>
      </c>
      <c r="D22" s="1" t="s">
        <v>1344</v>
      </c>
      <c r="E22" s="1" t="s">
        <v>1345</v>
      </c>
      <c r="F22" s="1" t="s">
        <v>1255</v>
      </c>
    </row>
    <row r="23" spans="1:6">
      <c r="A23" s="1" t="s">
        <v>1346</v>
      </c>
      <c r="B23" s="1" t="s">
        <v>1347</v>
      </c>
      <c r="C23" s="1" t="s">
        <v>1348</v>
      </c>
      <c r="D23" s="1" t="s">
        <v>1070</v>
      </c>
      <c r="E23" s="1" t="s">
        <v>1070</v>
      </c>
      <c r="F23" s="1" t="s">
        <v>1255</v>
      </c>
    </row>
    <row r="24" spans="1:6">
      <c r="A24" s="1" t="s">
        <v>1349</v>
      </c>
      <c r="B24" s="5" t="s">
        <v>1350</v>
      </c>
      <c r="C24" s="1" t="s">
        <v>1351</v>
      </c>
      <c r="D24" s="1" t="s">
        <v>1352</v>
      </c>
      <c r="E24" s="1" t="s">
        <v>1353</v>
      </c>
      <c r="F24" s="1" t="s">
        <v>1255</v>
      </c>
    </row>
    <row r="25" spans="1:6">
      <c r="A25" s="1" t="s">
        <v>1354</v>
      </c>
      <c r="B25" s="1" t="s">
        <v>1355</v>
      </c>
      <c r="C25" s="1" t="s">
        <v>1356</v>
      </c>
      <c r="D25" s="1" t="s">
        <v>1357</v>
      </c>
      <c r="E25" s="1" t="s">
        <v>1358</v>
      </c>
      <c r="F25" s="1" t="s">
        <v>1255</v>
      </c>
    </row>
    <row r="26" spans="1:6">
      <c r="A26" s="1" t="s">
        <v>1359</v>
      </c>
      <c r="B26" s="1" t="s">
        <v>1360</v>
      </c>
      <c r="C26" s="1" t="s">
        <v>1361</v>
      </c>
      <c r="D26" s="1" t="s">
        <v>1362</v>
      </c>
      <c r="E26" s="1" t="s">
        <v>1143</v>
      </c>
      <c r="F26" s="1" t="s">
        <v>1255</v>
      </c>
    </row>
    <row r="27" spans="1:6">
      <c r="A27" s="1" t="s">
        <v>1363</v>
      </c>
      <c r="B27" s="5" t="s">
        <v>1364</v>
      </c>
      <c r="C27" s="1" t="s">
        <v>1365</v>
      </c>
      <c r="D27" s="1" t="s">
        <v>1366</v>
      </c>
      <c r="E27" s="1" t="s">
        <v>1367</v>
      </c>
      <c r="F27" s="1" t="s">
        <v>1255</v>
      </c>
    </row>
    <row r="28" spans="1:6">
      <c r="A28" s="1" t="s">
        <v>1368</v>
      </c>
      <c r="B28" s="1" t="s">
        <v>1369</v>
      </c>
      <c r="C28" s="1" t="s">
        <v>1370</v>
      </c>
      <c r="D28" s="1" t="s">
        <v>1371</v>
      </c>
      <c r="E28" s="1" t="s">
        <v>1112</v>
      </c>
      <c r="F28" s="1" t="s">
        <v>1255</v>
      </c>
    </row>
    <row r="29" spans="1:6">
      <c r="A29" s="1" t="s">
        <v>1372</v>
      </c>
      <c r="B29" s="1" t="s">
        <v>1373</v>
      </c>
      <c r="C29" s="1" t="s">
        <v>1374</v>
      </c>
      <c r="D29" s="1" t="s">
        <v>1112</v>
      </c>
      <c r="E29" s="1" t="s">
        <v>1112</v>
      </c>
      <c r="F29" s="1" t="s">
        <v>1255</v>
      </c>
    </row>
    <row r="30" spans="1:6">
      <c r="A30" s="1" t="s">
        <v>1375</v>
      </c>
      <c r="B30" s="5" t="s">
        <v>1376</v>
      </c>
      <c r="C30" s="1" t="s">
        <v>1377</v>
      </c>
      <c r="D30" s="1" t="s">
        <v>1378</v>
      </c>
      <c r="E30" s="1" t="s">
        <v>1379</v>
      </c>
      <c r="F30" s="1" t="s">
        <v>1255</v>
      </c>
    </row>
    <row r="31" spans="1:6">
      <c r="A31" s="1" t="s">
        <v>1380</v>
      </c>
      <c r="B31" s="1" t="s">
        <v>1381</v>
      </c>
      <c r="C31" s="1" t="s">
        <v>1382</v>
      </c>
      <c r="D31" s="1" t="s">
        <v>1383</v>
      </c>
      <c r="E31" s="1" t="s">
        <v>1078</v>
      </c>
      <c r="F31" s="1" t="s">
        <v>1255</v>
      </c>
    </row>
    <row r="32" spans="1:6">
      <c r="A32" s="1" t="s">
        <v>1384</v>
      </c>
      <c r="B32" s="1" t="s">
        <v>1385</v>
      </c>
      <c r="C32" s="1" t="s">
        <v>1386</v>
      </c>
      <c r="D32" s="1" t="s">
        <v>1131</v>
      </c>
      <c r="E32" s="1" t="s">
        <v>1131</v>
      </c>
      <c r="F32" s="1" t="s">
        <v>1255</v>
      </c>
    </row>
    <row r="33" spans="1:6">
      <c r="A33" s="1" t="s">
        <v>1387</v>
      </c>
      <c r="B33" s="5" t="s">
        <v>1388</v>
      </c>
      <c r="C33" s="1" t="s">
        <v>1389</v>
      </c>
      <c r="D33" s="1" t="s">
        <v>1390</v>
      </c>
      <c r="E33" s="1" t="s">
        <v>1025</v>
      </c>
      <c r="F33" s="1" t="s">
        <v>1255</v>
      </c>
    </row>
    <row r="34" spans="1:6">
      <c r="A34" s="1" t="s">
        <v>1391</v>
      </c>
      <c r="B34" s="1" t="s">
        <v>1392</v>
      </c>
      <c r="C34" s="1" t="s">
        <v>1393</v>
      </c>
      <c r="D34" s="1" t="s">
        <v>1394</v>
      </c>
      <c r="E34" s="1" t="s">
        <v>1025</v>
      </c>
      <c r="F34" s="1" t="s">
        <v>1255</v>
      </c>
    </row>
    <row r="35" spans="1:6">
      <c r="A35" s="1" t="s">
        <v>1395</v>
      </c>
      <c r="B35" s="1" t="s">
        <v>1396</v>
      </c>
      <c r="C35" s="1" t="s">
        <v>1397</v>
      </c>
      <c r="D35" s="1" t="s">
        <v>1398</v>
      </c>
      <c r="E35" s="1" t="s">
        <v>1229</v>
      </c>
      <c r="F35" s="1" t="s">
        <v>1255</v>
      </c>
    </row>
    <row r="36" spans="1:6">
      <c r="A36" s="1" t="s">
        <v>1399</v>
      </c>
      <c r="B36" s="5" t="s">
        <v>1400</v>
      </c>
      <c r="C36" s="1" t="s">
        <v>1401</v>
      </c>
      <c r="D36" s="1" t="s">
        <v>1402</v>
      </c>
      <c r="E36" s="1" t="s">
        <v>1403</v>
      </c>
      <c r="F36" s="1" t="s">
        <v>1255</v>
      </c>
    </row>
    <row r="37" spans="1:6">
      <c r="A37" s="1" t="s">
        <v>1404</v>
      </c>
      <c r="B37" s="1" t="s">
        <v>1405</v>
      </c>
      <c r="C37" s="1" t="s">
        <v>1406</v>
      </c>
      <c r="D37" s="1" t="s">
        <v>1407</v>
      </c>
      <c r="E37" s="1" t="s">
        <v>1056</v>
      </c>
      <c r="F37" s="1" t="s">
        <v>1255</v>
      </c>
    </row>
    <row r="38" spans="1:6">
      <c r="A38" s="1" t="s">
        <v>1408</v>
      </c>
      <c r="B38" s="1" t="s">
        <v>1409</v>
      </c>
      <c r="C38" s="1" t="s">
        <v>1410</v>
      </c>
      <c r="D38" s="1" t="s">
        <v>1411</v>
      </c>
      <c r="E38" s="1" t="s">
        <v>1074</v>
      </c>
      <c r="F38" s="1" t="s">
        <v>1255</v>
      </c>
    </row>
    <row r="39" spans="1:6">
      <c r="A39" s="1" t="s">
        <v>1412</v>
      </c>
      <c r="B39" s="5" t="s">
        <v>1413</v>
      </c>
      <c r="C39" s="1" t="s">
        <v>1414</v>
      </c>
      <c r="D39" s="1" t="s">
        <v>1415</v>
      </c>
      <c r="E39" s="1" t="s">
        <v>1416</v>
      </c>
      <c r="F39" s="1" t="s">
        <v>1255</v>
      </c>
    </row>
    <row r="40" spans="1:6">
      <c r="A40" s="1" t="s">
        <v>1417</v>
      </c>
      <c r="B40" s="1" t="s">
        <v>1418</v>
      </c>
      <c r="C40" s="1" t="s">
        <v>1419</v>
      </c>
      <c r="D40" s="1" t="s">
        <v>1420</v>
      </c>
      <c r="E40" s="1" t="s">
        <v>1421</v>
      </c>
      <c r="F40" s="1" t="s">
        <v>1255</v>
      </c>
    </row>
    <row r="41" spans="1:6">
      <c r="A41" s="1" t="s">
        <v>1422</v>
      </c>
      <c r="B41" s="1" t="s">
        <v>1423</v>
      </c>
      <c r="C41" s="1" t="s">
        <v>1424</v>
      </c>
      <c r="D41" s="1" t="s">
        <v>1425</v>
      </c>
      <c r="E41" s="1" t="s">
        <v>1037</v>
      </c>
      <c r="F41" s="1" t="s">
        <v>1255</v>
      </c>
    </row>
    <row r="42" spans="1:6">
      <c r="A42" s="1" t="s">
        <v>1426</v>
      </c>
      <c r="B42" s="5" t="s">
        <v>1427</v>
      </c>
      <c r="C42" s="1" t="s">
        <v>1428</v>
      </c>
      <c r="D42" s="1" t="s">
        <v>1429</v>
      </c>
      <c r="E42" s="1" t="s">
        <v>1430</v>
      </c>
      <c r="F42" s="1" t="s">
        <v>1255</v>
      </c>
    </row>
    <row r="43" spans="1:6">
      <c r="A43" s="1" t="s">
        <v>1431</v>
      </c>
      <c r="B43" s="1" t="s">
        <v>1432</v>
      </c>
      <c r="C43" s="1" t="s">
        <v>1433</v>
      </c>
      <c r="D43" s="1" t="s">
        <v>1021</v>
      </c>
      <c r="E43" s="1" t="s">
        <v>1021</v>
      </c>
      <c r="F43" s="1" t="s">
        <v>1255</v>
      </c>
    </row>
    <row r="44" spans="1:6">
      <c r="A44" s="1" t="s">
        <v>1434</v>
      </c>
      <c r="B44" s="1" t="s">
        <v>1435</v>
      </c>
      <c r="C44" s="6" t="s">
        <v>1436</v>
      </c>
      <c r="D44" s="6" t="s">
        <v>1437</v>
      </c>
      <c r="E44" s="7" t="s">
        <v>1438</v>
      </c>
      <c r="F44" s="1" t="s">
        <v>1255</v>
      </c>
    </row>
    <row r="45" spans="1:6">
      <c r="A45" s="1" t="s">
        <v>1439</v>
      </c>
      <c r="B45" s="5" t="s">
        <v>1440</v>
      </c>
      <c r="C45" s="1" t="s">
        <v>1441</v>
      </c>
      <c r="D45" s="1" t="s">
        <v>1442</v>
      </c>
      <c r="E45" s="1" t="s">
        <v>1236</v>
      </c>
      <c r="F45" s="1" t="s">
        <v>1255</v>
      </c>
    </row>
    <row r="46" spans="1:6">
      <c r="A46" s="1" t="s">
        <v>1443</v>
      </c>
      <c r="B46" s="1" t="s">
        <v>1444</v>
      </c>
      <c r="C46" s="1" t="s">
        <v>1445</v>
      </c>
      <c r="D46" s="1" t="s">
        <v>1446</v>
      </c>
      <c r="E46" s="1" t="s">
        <v>1236</v>
      </c>
      <c r="F46" s="1" t="s">
        <v>1255</v>
      </c>
    </row>
    <row r="47" spans="1:6">
      <c r="A47" s="1" t="s">
        <v>1447</v>
      </c>
      <c r="B47" s="1" t="s">
        <v>1448</v>
      </c>
      <c r="C47" s="1" t="s">
        <v>1449</v>
      </c>
      <c r="D47" s="1" t="s">
        <v>1450</v>
      </c>
      <c r="E47" s="1" t="s">
        <v>1451</v>
      </c>
      <c r="F47" s="1" t="s">
        <v>1255</v>
      </c>
    </row>
    <row r="48" spans="1:6">
      <c r="A48" s="1" t="s">
        <v>1452</v>
      </c>
      <c r="B48" s="5" t="s">
        <v>1453</v>
      </c>
      <c r="C48" s="1" t="s">
        <v>1454</v>
      </c>
      <c r="D48" s="1" t="s">
        <v>1455</v>
      </c>
      <c r="E48" s="1" t="s">
        <v>1456</v>
      </c>
      <c r="F48" s="1" t="s">
        <v>1255</v>
      </c>
    </row>
    <row r="49" spans="1:6">
      <c r="A49" s="1" t="s">
        <v>1457</v>
      </c>
      <c r="B49" s="1" t="s">
        <v>1458</v>
      </c>
      <c r="C49" s="1" t="s">
        <v>1459</v>
      </c>
      <c r="D49" s="1" t="s">
        <v>1033</v>
      </c>
      <c r="E49" s="1" t="s">
        <v>1033</v>
      </c>
      <c r="F49" s="1" t="s">
        <v>1255</v>
      </c>
    </row>
    <row r="50" spans="1:6">
      <c r="A50" s="1" t="s">
        <v>1460</v>
      </c>
      <c r="B50" s="1" t="s">
        <v>1461</v>
      </c>
      <c r="C50" s="1" t="s">
        <v>1462</v>
      </c>
      <c r="D50" s="1" t="s">
        <v>1463</v>
      </c>
      <c r="E50" s="1" t="s">
        <v>1464</v>
      </c>
      <c r="F50" s="1" t="s">
        <v>1255</v>
      </c>
    </row>
    <row r="51" spans="1:6">
      <c r="A51" s="1" t="s">
        <v>1465</v>
      </c>
      <c r="B51" s="5" t="s">
        <v>1466</v>
      </c>
      <c r="C51" s="1" t="s">
        <v>1467</v>
      </c>
      <c r="D51" s="1" t="s">
        <v>1468</v>
      </c>
      <c r="E51" s="1" t="s">
        <v>1469</v>
      </c>
      <c r="F51" s="1" t="s">
        <v>1255</v>
      </c>
    </row>
    <row r="52" spans="1:6">
      <c r="A52" s="1" t="s">
        <v>1470</v>
      </c>
      <c r="B52" s="1" t="s">
        <v>1471</v>
      </c>
      <c r="C52" s="1" t="s">
        <v>1472</v>
      </c>
      <c r="D52" s="1" t="s">
        <v>1473</v>
      </c>
      <c r="E52" s="1" t="s">
        <v>1474</v>
      </c>
      <c r="F52" s="1" t="s">
        <v>1255</v>
      </c>
    </row>
    <row r="53" spans="1:6">
      <c r="A53" s="1" t="s">
        <v>1475</v>
      </c>
      <c r="B53" s="1" t="s">
        <v>1476</v>
      </c>
      <c r="C53" s="1" t="s">
        <v>1477</v>
      </c>
      <c r="D53" s="1" t="s">
        <v>1478</v>
      </c>
      <c r="E53" s="1" t="s">
        <v>1469</v>
      </c>
      <c r="F53" s="1" t="s">
        <v>1255</v>
      </c>
    </row>
    <row r="54" spans="1:6">
      <c r="A54" s="1" t="s">
        <v>1479</v>
      </c>
      <c r="B54" s="5" t="s">
        <v>1480</v>
      </c>
      <c r="C54" s="1" t="s">
        <v>1481</v>
      </c>
      <c r="D54" s="1" t="s">
        <v>1482</v>
      </c>
      <c r="E54" s="1" t="s">
        <v>1198</v>
      </c>
      <c r="F54" s="1" t="s">
        <v>1255</v>
      </c>
    </row>
    <row r="55" spans="1:6">
      <c r="A55" s="1" t="s">
        <v>1483</v>
      </c>
      <c r="B55" s="1" t="s">
        <v>1484</v>
      </c>
      <c r="C55" s="1" t="s">
        <v>1485</v>
      </c>
      <c r="D55" s="1" t="s">
        <v>1486</v>
      </c>
      <c r="E55" s="1" t="s">
        <v>1198</v>
      </c>
      <c r="F55" s="1" t="s">
        <v>1255</v>
      </c>
    </row>
    <row r="56" spans="1:6">
      <c r="A56" s="1" t="s">
        <v>1487</v>
      </c>
      <c r="B56" s="1" t="s">
        <v>1488</v>
      </c>
      <c r="C56" s="1" t="s">
        <v>1489</v>
      </c>
      <c r="D56" s="1" t="s">
        <v>1490</v>
      </c>
      <c r="E56" s="1" t="s">
        <v>1491</v>
      </c>
      <c r="F56" s="1" t="s">
        <v>1255</v>
      </c>
    </row>
    <row r="57" spans="1:6">
      <c r="A57" s="1" t="s">
        <v>1492</v>
      </c>
      <c r="B57" s="5" t="s">
        <v>1493</v>
      </c>
      <c r="C57" s="1" t="s">
        <v>1494</v>
      </c>
      <c r="D57" s="1" t="s">
        <v>1495</v>
      </c>
      <c r="E57" s="1" t="s">
        <v>1198</v>
      </c>
      <c r="F57" s="1" t="s">
        <v>1255</v>
      </c>
    </row>
    <row r="58" spans="1:6">
      <c r="A58" s="1" t="s">
        <v>1496</v>
      </c>
      <c r="B58" s="1" t="s">
        <v>1497</v>
      </c>
      <c r="C58" s="1" t="s">
        <v>1498</v>
      </c>
      <c r="D58" s="1" t="s">
        <v>1198</v>
      </c>
      <c r="E58" s="1" t="s">
        <v>1198</v>
      </c>
      <c r="F58" s="1" t="s">
        <v>1255</v>
      </c>
    </row>
    <row r="59" spans="1:6">
      <c r="A59" s="1" t="s">
        <v>1499</v>
      </c>
      <c r="B59" s="1" t="s">
        <v>1500</v>
      </c>
      <c r="C59" s="1" t="s">
        <v>1501</v>
      </c>
      <c r="D59" s="1" t="s">
        <v>1502</v>
      </c>
      <c r="E59" s="1" t="s">
        <v>1214</v>
      </c>
      <c r="F59" s="1" t="s">
        <v>1255</v>
      </c>
    </row>
    <row r="60" spans="1:6">
      <c r="A60" s="1" t="s">
        <v>1503</v>
      </c>
      <c r="B60" s="5" t="s">
        <v>1504</v>
      </c>
      <c r="C60" s="1" t="s">
        <v>1505</v>
      </c>
      <c r="D60" s="1" t="s">
        <v>1506</v>
      </c>
      <c r="E60" s="1" t="s">
        <v>1506</v>
      </c>
      <c r="F60" s="1" t="s">
        <v>1255</v>
      </c>
    </row>
    <row r="61" spans="1:6">
      <c r="A61" s="1" t="s">
        <v>1507</v>
      </c>
      <c r="B61" s="1" t="s">
        <v>1508</v>
      </c>
      <c r="C61" s="1" t="s">
        <v>1509</v>
      </c>
      <c r="D61" s="1" t="s">
        <v>1510</v>
      </c>
      <c r="E61" s="1" t="s">
        <v>1044</v>
      </c>
      <c r="F61" s="1" t="s">
        <v>1255</v>
      </c>
    </row>
    <row r="62" spans="1:6">
      <c r="A62" s="1" t="s">
        <v>1511</v>
      </c>
      <c r="B62" s="1" t="s">
        <v>1512</v>
      </c>
      <c r="C62" s="1" t="s">
        <v>1513</v>
      </c>
      <c r="D62" s="1" t="s">
        <v>1514</v>
      </c>
      <c r="E62" s="1" t="s">
        <v>1044</v>
      </c>
      <c r="F62" s="1" t="s">
        <v>1255</v>
      </c>
    </row>
    <row r="63" spans="1:6">
      <c r="A63" s="1" t="s">
        <v>1515</v>
      </c>
      <c r="B63" s="5" t="s">
        <v>1516</v>
      </c>
      <c r="C63" s="1" t="s">
        <v>1517</v>
      </c>
      <c r="D63" s="1" t="s">
        <v>1518</v>
      </c>
      <c r="E63" s="1" t="s">
        <v>1519</v>
      </c>
      <c r="F63" s="1" t="s">
        <v>1255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5"/>
  <sheetViews>
    <sheetView workbookViewId="0">
      <selection activeCell="E10" sqref="E10"/>
    </sheetView>
  </sheetViews>
  <sheetFormatPr defaultRowHeight="13.9"/>
  <cols>
    <col min="1" max="2" width="9.06640625" style="1"/>
    <col min="3" max="3" width="51.19921875" style="1" customWidth="1"/>
    <col min="4" max="4" width="13.46484375" style="1" customWidth="1"/>
    <col min="5" max="5" width="9.06640625" style="1"/>
  </cols>
  <sheetData>
    <row r="1" spans="1:5" s="9" customFormat="1">
      <c r="A1" s="8" t="s">
        <v>1016</v>
      </c>
      <c r="B1" s="8" t="s">
        <v>1017</v>
      </c>
      <c r="C1" s="8" t="s">
        <v>1526</v>
      </c>
      <c r="D1" s="8" t="s">
        <v>1527</v>
      </c>
      <c r="E1" s="8" t="s">
        <v>1528</v>
      </c>
    </row>
    <row r="2" spans="1:5">
      <c r="A2" s="1" t="s">
        <v>1018</v>
      </c>
      <c r="B2" s="1" t="s">
        <v>1019</v>
      </c>
      <c r="C2" s="1" t="s">
        <v>1020</v>
      </c>
      <c r="D2" s="1" t="s">
        <v>1021</v>
      </c>
      <c r="E2" s="1" t="s">
        <v>7</v>
      </c>
    </row>
    <row r="3" spans="1:5">
      <c r="A3" s="1" t="s">
        <v>1022</v>
      </c>
      <c r="B3" s="1" t="s">
        <v>1023</v>
      </c>
      <c r="C3" s="1" t="s">
        <v>1024</v>
      </c>
      <c r="D3" s="1" t="s">
        <v>1025</v>
      </c>
      <c r="E3" s="1" t="s">
        <v>207</v>
      </c>
    </row>
    <row r="4" spans="1:5">
      <c r="A4" s="1" t="s">
        <v>1026</v>
      </c>
      <c r="B4" s="1" t="s">
        <v>1027</v>
      </c>
      <c r="C4" s="1" t="s">
        <v>1028</v>
      </c>
      <c r="D4" s="1" t="s">
        <v>1029</v>
      </c>
      <c r="E4" s="1" t="s">
        <v>207</v>
      </c>
    </row>
    <row r="5" spans="1:5">
      <c r="A5" s="1" t="s">
        <v>1030</v>
      </c>
      <c r="B5" s="1" t="s">
        <v>1031</v>
      </c>
      <c r="C5" s="1" t="s">
        <v>1032</v>
      </c>
      <c r="D5" s="1" t="s">
        <v>1033</v>
      </c>
      <c r="E5" s="1" t="s">
        <v>7</v>
      </c>
    </row>
    <row r="6" spans="1:5">
      <c r="A6" s="1" t="s">
        <v>1034</v>
      </c>
      <c r="B6" s="1" t="s">
        <v>1035</v>
      </c>
      <c r="C6" s="1" t="s">
        <v>1036</v>
      </c>
      <c r="D6" s="1" t="s">
        <v>1037</v>
      </c>
      <c r="E6" s="1" t="s">
        <v>7</v>
      </c>
    </row>
    <row r="7" spans="1:5">
      <c r="A7" s="1" t="s">
        <v>1038</v>
      </c>
      <c r="B7" s="1" t="s">
        <v>1039</v>
      </c>
      <c r="C7" s="1" t="s">
        <v>1040</v>
      </c>
      <c r="D7" s="1" t="s">
        <v>1025</v>
      </c>
      <c r="E7" s="1" t="s">
        <v>7</v>
      </c>
    </row>
    <row r="8" spans="1:5">
      <c r="A8" s="1" t="s">
        <v>1041</v>
      </c>
      <c r="B8" s="1" t="s">
        <v>1042</v>
      </c>
      <c r="C8" s="1" t="s">
        <v>1043</v>
      </c>
      <c r="D8" s="1" t="s">
        <v>1044</v>
      </c>
      <c r="E8" s="1" t="s">
        <v>207</v>
      </c>
    </row>
    <row r="9" spans="1:5">
      <c r="A9" s="1" t="s">
        <v>1045</v>
      </c>
      <c r="B9" s="1" t="s">
        <v>1046</v>
      </c>
      <c r="C9" s="1" t="s">
        <v>1047</v>
      </c>
      <c r="D9" s="1" t="s">
        <v>1048</v>
      </c>
      <c r="E9" s="1" t="s">
        <v>7</v>
      </c>
    </row>
    <row r="10" spans="1:5">
      <c r="A10" s="1" t="s">
        <v>1049</v>
      </c>
      <c r="B10" s="1" t="s">
        <v>1050</v>
      </c>
      <c r="C10" s="1" t="s">
        <v>1051</v>
      </c>
      <c r="D10" s="1" t="s">
        <v>1052</v>
      </c>
      <c r="E10" s="1" t="s">
        <v>7</v>
      </c>
    </row>
    <row r="11" spans="1:5">
      <c r="A11" s="1" t="s">
        <v>1053</v>
      </c>
      <c r="B11" s="1" t="s">
        <v>1054</v>
      </c>
      <c r="C11" s="1" t="s">
        <v>1055</v>
      </c>
      <c r="D11" s="1" t="s">
        <v>1056</v>
      </c>
      <c r="E11" s="1" t="s">
        <v>207</v>
      </c>
    </row>
    <row r="12" spans="1:5">
      <c r="A12" s="1" t="s">
        <v>1057</v>
      </c>
      <c r="B12" s="1" t="s">
        <v>1058</v>
      </c>
      <c r="C12" s="1" t="s">
        <v>1059</v>
      </c>
      <c r="D12" s="1" t="s">
        <v>1029</v>
      </c>
      <c r="E12" s="1" t="s">
        <v>207</v>
      </c>
    </row>
    <row r="13" spans="1:5">
      <c r="A13" s="1" t="s">
        <v>1060</v>
      </c>
      <c r="B13" s="1" t="s">
        <v>1061</v>
      </c>
      <c r="C13" s="1" t="s">
        <v>1062</v>
      </c>
      <c r="D13" s="1" t="s">
        <v>1029</v>
      </c>
      <c r="E13" s="1" t="s">
        <v>207</v>
      </c>
    </row>
    <row r="14" spans="1:5">
      <c r="A14" s="1" t="s">
        <v>1063</v>
      </c>
      <c r="B14" s="1" t="s">
        <v>1064</v>
      </c>
      <c r="C14" s="1" t="s">
        <v>1065</v>
      </c>
      <c r="D14" s="1" t="s">
        <v>1066</v>
      </c>
      <c r="E14" s="1" t="s">
        <v>7</v>
      </c>
    </row>
    <row r="15" spans="1:5">
      <c r="A15" s="1" t="s">
        <v>1067</v>
      </c>
      <c r="B15" s="1" t="s">
        <v>1068</v>
      </c>
      <c r="C15" s="1" t="s">
        <v>1069</v>
      </c>
      <c r="D15" s="1" t="s">
        <v>1070</v>
      </c>
      <c r="E15" s="1" t="s">
        <v>207</v>
      </c>
    </row>
    <row r="16" spans="1:5">
      <c r="A16" s="1" t="s">
        <v>1071</v>
      </c>
      <c r="B16" s="1" t="s">
        <v>1072</v>
      </c>
      <c r="C16" s="1" t="s">
        <v>1073</v>
      </c>
      <c r="D16" s="1" t="s">
        <v>1074</v>
      </c>
      <c r="E16" s="1" t="s">
        <v>7</v>
      </c>
    </row>
    <row r="17" spans="1:5">
      <c r="A17" s="1" t="s">
        <v>1075</v>
      </c>
      <c r="B17" s="1" t="s">
        <v>1076</v>
      </c>
      <c r="C17" s="1" t="s">
        <v>1077</v>
      </c>
      <c r="D17" s="1" t="s">
        <v>1078</v>
      </c>
      <c r="E17" s="1" t="s">
        <v>7</v>
      </c>
    </row>
    <row r="18" spans="1:5">
      <c r="A18" s="1" t="s">
        <v>1079</v>
      </c>
      <c r="B18" s="1" t="s">
        <v>1080</v>
      </c>
      <c r="C18" s="1" t="s">
        <v>1081</v>
      </c>
      <c r="D18" s="1" t="s">
        <v>1082</v>
      </c>
      <c r="E18" s="1" t="s">
        <v>7</v>
      </c>
    </row>
    <row r="19" spans="1:5">
      <c r="A19" s="1" t="s">
        <v>1083</v>
      </c>
      <c r="B19" s="1" t="s">
        <v>1084</v>
      </c>
      <c r="C19" s="1" t="s">
        <v>1085</v>
      </c>
      <c r="D19" s="1" t="s">
        <v>1033</v>
      </c>
      <c r="E19" s="1" t="s">
        <v>207</v>
      </c>
    </row>
    <row r="20" spans="1:5">
      <c r="A20" s="1" t="s">
        <v>1086</v>
      </c>
      <c r="B20" s="1" t="s">
        <v>1087</v>
      </c>
      <c r="C20" s="1" t="s">
        <v>1088</v>
      </c>
      <c r="D20" s="1" t="s">
        <v>1052</v>
      </c>
      <c r="E20" s="1" t="s">
        <v>207</v>
      </c>
    </row>
    <row r="21" spans="1:5">
      <c r="A21" s="1" t="s">
        <v>1089</v>
      </c>
      <c r="B21" s="1" t="s">
        <v>1090</v>
      </c>
      <c r="C21" s="1" t="s">
        <v>1091</v>
      </c>
      <c r="D21" s="1" t="s">
        <v>1029</v>
      </c>
      <c r="E21" s="1" t="s">
        <v>207</v>
      </c>
    </row>
    <row r="22" spans="1:5">
      <c r="A22" s="1" t="s">
        <v>1092</v>
      </c>
      <c r="B22" s="1" t="s">
        <v>1093</v>
      </c>
      <c r="C22" s="1" t="s">
        <v>1094</v>
      </c>
      <c r="D22" s="1" t="s">
        <v>1095</v>
      </c>
      <c r="E22" s="1" t="s">
        <v>207</v>
      </c>
    </row>
    <row r="23" spans="1:5">
      <c r="A23" s="1" t="s">
        <v>1096</v>
      </c>
      <c r="B23" s="1" t="s">
        <v>1097</v>
      </c>
      <c r="C23" s="1" t="s">
        <v>1098</v>
      </c>
      <c r="D23" s="1" t="s">
        <v>1099</v>
      </c>
      <c r="E23" s="1" t="s">
        <v>207</v>
      </c>
    </row>
    <row r="24" spans="1:5">
      <c r="A24" s="1" t="s">
        <v>1100</v>
      </c>
      <c r="B24" s="1" t="s">
        <v>1101</v>
      </c>
      <c r="C24" s="1" t="s">
        <v>1102</v>
      </c>
      <c r="D24" s="1" t="s">
        <v>1103</v>
      </c>
      <c r="E24" s="1" t="s">
        <v>7</v>
      </c>
    </row>
    <row r="25" spans="1:5">
      <c r="A25" s="1" t="s">
        <v>1104</v>
      </c>
      <c r="B25" s="1" t="s">
        <v>1105</v>
      </c>
      <c r="C25" s="1" t="s">
        <v>1047</v>
      </c>
      <c r="D25" s="1" t="s">
        <v>1048</v>
      </c>
      <c r="E25" s="1" t="s">
        <v>207</v>
      </c>
    </row>
    <row r="26" spans="1:5">
      <c r="A26" s="1" t="s">
        <v>1106</v>
      </c>
      <c r="B26" s="1" t="s">
        <v>1107</v>
      </c>
      <c r="C26" s="1" t="s">
        <v>1108</v>
      </c>
      <c r="D26" s="1" t="s">
        <v>1056</v>
      </c>
      <c r="E26" s="1" t="s">
        <v>207</v>
      </c>
    </row>
    <row r="27" spans="1:5">
      <c r="A27" s="1" t="s">
        <v>1109</v>
      </c>
      <c r="B27" s="1" t="s">
        <v>1110</v>
      </c>
      <c r="C27" s="1" t="s">
        <v>1111</v>
      </c>
      <c r="D27" s="1" t="s">
        <v>1112</v>
      </c>
      <c r="E27" s="1" t="s">
        <v>7</v>
      </c>
    </row>
    <row r="28" spans="1:5">
      <c r="A28" s="1" t="s">
        <v>1113</v>
      </c>
      <c r="B28" s="1" t="s">
        <v>1114</v>
      </c>
      <c r="C28" s="1" t="s">
        <v>1115</v>
      </c>
      <c r="D28" s="1" t="s">
        <v>1116</v>
      </c>
      <c r="E28" s="1" t="s">
        <v>7</v>
      </c>
    </row>
    <row r="29" spans="1:5">
      <c r="A29" s="1" t="s">
        <v>1117</v>
      </c>
      <c r="B29" s="1" t="s">
        <v>1118</v>
      </c>
      <c r="C29" s="1" t="s">
        <v>1119</v>
      </c>
      <c r="D29" s="1" t="s">
        <v>1078</v>
      </c>
      <c r="E29" s="1" t="s">
        <v>207</v>
      </c>
    </row>
    <row r="30" spans="1:5">
      <c r="A30" s="1" t="s">
        <v>1120</v>
      </c>
      <c r="B30" s="1" t="s">
        <v>1121</v>
      </c>
      <c r="C30" s="1" t="s">
        <v>1122</v>
      </c>
      <c r="D30" s="1" t="s">
        <v>1123</v>
      </c>
      <c r="E30" s="1" t="s">
        <v>7</v>
      </c>
    </row>
    <row r="31" spans="1:5">
      <c r="A31" s="1" t="s">
        <v>1124</v>
      </c>
      <c r="B31" s="1" t="s">
        <v>1125</v>
      </c>
      <c r="C31" s="1" t="s">
        <v>1126</v>
      </c>
      <c r="D31" s="1" t="s">
        <v>1127</v>
      </c>
      <c r="E31" s="1" t="s">
        <v>207</v>
      </c>
    </row>
    <row r="32" spans="1:5">
      <c r="A32" s="1" t="s">
        <v>1128</v>
      </c>
      <c r="B32" s="1" t="s">
        <v>1129</v>
      </c>
      <c r="C32" s="1" t="s">
        <v>1130</v>
      </c>
      <c r="D32" s="1" t="s">
        <v>1131</v>
      </c>
      <c r="E32" s="1" t="s">
        <v>207</v>
      </c>
    </row>
    <row r="33" spans="1:5">
      <c r="A33" s="1" t="s">
        <v>1132</v>
      </c>
      <c r="B33" s="1" t="s">
        <v>1133</v>
      </c>
      <c r="C33" s="1" t="s">
        <v>1134</v>
      </c>
      <c r="D33" s="1" t="s">
        <v>1135</v>
      </c>
      <c r="E33" s="1" t="s">
        <v>207</v>
      </c>
    </row>
    <row r="34" spans="1:5">
      <c r="A34" s="1" t="s">
        <v>1136</v>
      </c>
      <c r="B34" s="1" t="s">
        <v>1137</v>
      </c>
      <c r="C34" s="1" t="s">
        <v>1138</v>
      </c>
      <c r="D34" s="1" t="s">
        <v>1139</v>
      </c>
      <c r="E34" s="1" t="s">
        <v>207</v>
      </c>
    </row>
    <row r="35" spans="1:5">
      <c r="A35" s="1" t="s">
        <v>1140</v>
      </c>
      <c r="B35" s="1" t="s">
        <v>1141</v>
      </c>
      <c r="C35" s="1" t="s">
        <v>1142</v>
      </c>
      <c r="D35" s="1" t="s">
        <v>1143</v>
      </c>
      <c r="E35" s="1" t="s">
        <v>7</v>
      </c>
    </row>
    <row r="36" spans="1:5">
      <c r="A36" s="1" t="s">
        <v>1144</v>
      </c>
      <c r="B36" s="1" t="s">
        <v>1145</v>
      </c>
      <c r="C36" s="1" t="s">
        <v>1146</v>
      </c>
      <c r="D36" s="1" t="s">
        <v>1147</v>
      </c>
      <c r="E36" s="1" t="s">
        <v>1148</v>
      </c>
    </row>
    <row r="37" spans="1:5">
      <c r="A37" s="1" t="s">
        <v>1149</v>
      </c>
      <c r="B37" s="1" t="s">
        <v>1150</v>
      </c>
      <c r="C37" s="1" t="s">
        <v>1151</v>
      </c>
      <c r="D37" s="1" t="s">
        <v>1152</v>
      </c>
      <c r="E37" s="1" t="s">
        <v>207</v>
      </c>
    </row>
    <row r="38" spans="1:5">
      <c r="A38" s="1" t="s">
        <v>1153</v>
      </c>
      <c r="B38" s="1" t="s">
        <v>1154</v>
      </c>
      <c r="C38" s="1" t="s">
        <v>1155</v>
      </c>
      <c r="D38" s="1" t="s">
        <v>1143</v>
      </c>
      <c r="E38" s="1" t="s">
        <v>207</v>
      </c>
    </row>
    <row r="39" spans="1:5">
      <c r="A39" s="1" t="s">
        <v>1156</v>
      </c>
      <c r="B39" s="1" t="s">
        <v>1157</v>
      </c>
      <c r="C39" s="1" t="s">
        <v>1158</v>
      </c>
      <c r="D39" s="1" t="s">
        <v>1159</v>
      </c>
      <c r="E39" s="1" t="s">
        <v>207</v>
      </c>
    </row>
    <row r="40" spans="1:5">
      <c r="A40" s="1" t="s">
        <v>1160</v>
      </c>
      <c r="B40" s="1" t="s">
        <v>1161</v>
      </c>
      <c r="C40" s="1" t="s">
        <v>1162</v>
      </c>
      <c r="D40" s="1" t="s">
        <v>1044</v>
      </c>
      <c r="E40" s="1" t="s">
        <v>207</v>
      </c>
    </row>
    <row r="41" spans="1:5">
      <c r="A41" s="1" t="s">
        <v>1163</v>
      </c>
      <c r="B41" s="1" t="s">
        <v>1164</v>
      </c>
      <c r="C41" s="1" t="s">
        <v>1165</v>
      </c>
      <c r="D41" s="1" t="s">
        <v>1166</v>
      </c>
      <c r="E41" s="1" t="s">
        <v>207</v>
      </c>
    </row>
    <row r="42" spans="1:5">
      <c r="A42" s="1" t="s">
        <v>1167</v>
      </c>
      <c r="B42" s="1" t="s">
        <v>1168</v>
      </c>
      <c r="C42" s="1" t="s">
        <v>1169</v>
      </c>
      <c r="D42" s="1" t="s">
        <v>1021</v>
      </c>
      <c r="E42" s="1" t="s">
        <v>7</v>
      </c>
    </row>
    <row r="43" spans="1:5">
      <c r="A43" s="1" t="s">
        <v>1170</v>
      </c>
      <c r="B43" s="1" t="s">
        <v>1171</v>
      </c>
      <c r="C43" s="1" t="s">
        <v>1172</v>
      </c>
      <c r="D43" s="1" t="s">
        <v>1173</v>
      </c>
      <c r="E43" s="1" t="s">
        <v>207</v>
      </c>
    </row>
    <row r="44" spans="1:5">
      <c r="A44" s="1" t="s">
        <v>1174</v>
      </c>
      <c r="B44" s="1" t="s">
        <v>1175</v>
      </c>
      <c r="C44" s="1" t="s">
        <v>1176</v>
      </c>
      <c r="D44" s="1" t="s">
        <v>1056</v>
      </c>
      <c r="E44" s="1" t="s">
        <v>207</v>
      </c>
    </row>
    <row r="45" spans="1:5">
      <c r="A45" s="1" t="s">
        <v>1177</v>
      </c>
      <c r="B45" s="1" t="s">
        <v>1178</v>
      </c>
      <c r="C45" s="1" t="s">
        <v>1179</v>
      </c>
      <c r="D45" s="1" t="s">
        <v>1180</v>
      </c>
      <c r="E45" s="1" t="s">
        <v>1148</v>
      </c>
    </row>
    <row r="46" spans="1:5">
      <c r="A46" s="1" t="s">
        <v>1181</v>
      </c>
      <c r="B46" s="1" t="s">
        <v>1182</v>
      </c>
      <c r="C46" s="1" t="s">
        <v>1183</v>
      </c>
      <c r="D46" s="1" t="s">
        <v>1056</v>
      </c>
      <c r="E46" s="1" t="s">
        <v>207</v>
      </c>
    </row>
    <row r="47" spans="1:5">
      <c r="A47" s="1" t="s">
        <v>1184</v>
      </c>
      <c r="B47" s="1" t="s">
        <v>1185</v>
      </c>
      <c r="C47" s="1" t="s">
        <v>1186</v>
      </c>
      <c r="D47" s="1" t="s">
        <v>1187</v>
      </c>
      <c r="E47" s="1" t="s">
        <v>207</v>
      </c>
    </row>
    <row r="48" spans="1:5">
      <c r="A48" s="1" t="s">
        <v>1188</v>
      </c>
      <c r="B48" s="1" t="s">
        <v>1189</v>
      </c>
      <c r="C48" s="1" t="s">
        <v>1190</v>
      </c>
      <c r="D48" s="1" t="s">
        <v>1191</v>
      </c>
      <c r="E48" s="1" t="s">
        <v>7</v>
      </c>
    </row>
    <row r="49" spans="1:5">
      <c r="A49" s="1" t="s">
        <v>1192</v>
      </c>
      <c r="B49" s="1" t="s">
        <v>1193</v>
      </c>
      <c r="C49" s="1" t="s">
        <v>1194</v>
      </c>
      <c r="D49" s="1" t="s">
        <v>1044</v>
      </c>
      <c r="E49" s="1" t="s">
        <v>207</v>
      </c>
    </row>
    <row r="50" spans="1:5">
      <c r="A50" s="1" t="s">
        <v>1195</v>
      </c>
      <c r="B50" s="1" t="s">
        <v>1196</v>
      </c>
      <c r="C50" s="1" t="s">
        <v>1197</v>
      </c>
      <c r="D50" s="1" t="s">
        <v>1198</v>
      </c>
      <c r="E50" s="1" t="s">
        <v>207</v>
      </c>
    </row>
    <row r="51" spans="1:5">
      <c r="A51" s="1" t="s">
        <v>1199</v>
      </c>
      <c r="B51" s="1" t="s">
        <v>1200</v>
      </c>
      <c r="C51" s="1" t="s">
        <v>1201</v>
      </c>
      <c r="D51" s="1" t="s">
        <v>1103</v>
      </c>
      <c r="E51" s="1" t="s">
        <v>7</v>
      </c>
    </row>
    <row r="52" spans="1:5">
      <c r="A52" s="1" t="s">
        <v>1202</v>
      </c>
      <c r="B52" s="1" t="s">
        <v>1203</v>
      </c>
      <c r="C52" s="1" t="s">
        <v>1204</v>
      </c>
      <c r="D52" s="1" t="s">
        <v>1078</v>
      </c>
      <c r="E52" s="1" t="s">
        <v>7</v>
      </c>
    </row>
    <row r="53" spans="1:5">
      <c r="A53" s="1" t="s">
        <v>1205</v>
      </c>
      <c r="B53" s="1" t="s">
        <v>1206</v>
      </c>
      <c r="C53" s="1" t="s">
        <v>1207</v>
      </c>
      <c r="D53" s="1" t="s">
        <v>1078</v>
      </c>
      <c r="E53" s="1" t="s">
        <v>7</v>
      </c>
    </row>
    <row r="54" spans="1:5">
      <c r="A54" s="1" t="s">
        <v>1208</v>
      </c>
      <c r="B54" s="1" t="s">
        <v>1209</v>
      </c>
      <c r="C54" s="1" t="s">
        <v>1210</v>
      </c>
      <c r="D54" s="1" t="s">
        <v>1198</v>
      </c>
      <c r="E54" s="1" t="s">
        <v>207</v>
      </c>
    </row>
    <row r="55" spans="1:5">
      <c r="A55" s="1" t="s">
        <v>1211</v>
      </c>
      <c r="B55" s="1" t="s">
        <v>1212</v>
      </c>
      <c r="C55" s="1" t="s">
        <v>1213</v>
      </c>
      <c r="D55" s="1" t="s">
        <v>1214</v>
      </c>
      <c r="E55" s="1" t="s">
        <v>7</v>
      </c>
    </row>
    <row r="56" spans="1:5">
      <c r="A56" s="1" t="s">
        <v>1215</v>
      </c>
      <c r="B56" s="1" t="s">
        <v>1216</v>
      </c>
      <c r="C56" s="1" t="s">
        <v>1217</v>
      </c>
      <c r="D56" s="1" t="s">
        <v>1218</v>
      </c>
      <c r="E56" s="1" t="s">
        <v>7</v>
      </c>
    </row>
    <row r="57" spans="1:5">
      <c r="A57" s="1" t="s">
        <v>1219</v>
      </c>
      <c r="B57" s="1" t="s">
        <v>1220</v>
      </c>
      <c r="C57" s="1" t="s">
        <v>1221</v>
      </c>
      <c r="D57" s="1" t="s">
        <v>1152</v>
      </c>
      <c r="E57" s="1" t="s">
        <v>207</v>
      </c>
    </row>
    <row r="58" spans="1:5">
      <c r="A58" s="1" t="s">
        <v>1222</v>
      </c>
      <c r="B58" s="1" t="s">
        <v>1223</v>
      </c>
      <c r="C58" s="1" t="s">
        <v>1224</v>
      </c>
      <c r="D58" s="1" t="s">
        <v>1225</v>
      </c>
      <c r="E58" s="1" t="s">
        <v>7</v>
      </c>
    </row>
    <row r="59" spans="1:5">
      <c r="A59" s="1" t="s">
        <v>1226</v>
      </c>
      <c r="B59" s="1" t="s">
        <v>1227</v>
      </c>
      <c r="C59" s="1" t="s">
        <v>1228</v>
      </c>
      <c r="D59" s="1" t="s">
        <v>1229</v>
      </c>
      <c r="E59" s="1" t="s">
        <v>7</v>
      </c>
    </row>
    <row r="60" spans="1:5">
      <c r="A60" s="1" t="s">
        <v>1230</v>
      </c>
      <c r="B60" s="1" t="s">
        <v>1231</v>
      </c>
      <c r="C60" s="1" t="s">
        <v>1232</v>
      </c>
      <c r="D60" s="1" t="s">
        <v>1070</v>
      </c>
      <c r="E60" s="1" t="s">
        <v>207</v>
      </c>
    </row>
    <row r="61" spans="1:5">
      <c r="A61" s="1" t="s">
        <v>1233</v>
      </c>
      <c r="B61" s="1" t="s">
        <v>1234</v>
      </c>
      <c r="C61" s="1" t="s">
        <v>1235</v>
      </c>
      <c r="D61" s="1" t="s">
        <v>1236</v>
      </c>
      <c r="E61" s="1" t="s">
        <v>7</v>
      </c>
    </row>
    <row r="62" spans="1:5">
      <c r="A62" s="1" t="s">
        <v>1237</v>
      </c>
      <c r="B62" s="1" t="s">
        <v>1238</v>
      </c>
      <c r="C62" s="1" t="s">
        <v>1239</v>
      </c>
      <c r="D62" s="1" t="s">
        <v>1240</v>
      </c>
      <c r="E62" s="1" t="s">
        <v>1148</v>
      </c>
    </row>
    <row r="63" spans="1:5">
      <c r="A63" s="1" t="s">
        <v>1241</v>
      </c>
      <c r="B63" s="1" t="s">
        <v>1242</v>
      </c>
      <c r="C63" s="1" t="s">
        <v>1243</v>
      </c>
      <c r="D63" s="1" t="s">
        <v>1078</v>
      </c>
      <c r="E63" s="1" t="s">
        <v>7</v>
      </c>
    </row>
    <row r="64" spans="1:5">
      <c r="A64" s="1" t="s">
        <v>1244</v>
      </c>
      <c r="B64" s="1" t="s">
        <v>1245</v>
      </c>
      <c r="C64" s="1" t="s">
        <v>1246</v>
      </c>
      <c r="D64" s="1" t="s">
        <v>1112</v>
      </c>
      <c r="E64" s="1" t="s">
        <v>207</v>
      </c>
    </row>
    <row r="65" spans="1:5">
      <c r="A65" s="1" t="s">
        <v>1247</v>
      </c>
      <c r="B65" s="1" t="s">
        <v>1248</v>
      </c>
      <c r="C65" s="1" t="s">
        <v>1162</v>
      </c>
      <c r="D65" s="1" t="s">
        <v>1044</v>
      </c>
      <c r="E65" s="1" t="s">
        <v>207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3"/>
  <sheetViews>
    <sheetView workbookViewId="0">
      <selection activeCell="D5" sqref="D5"/>
    </sheetView>
  </sheetViews>
  <sheetFormatPr defaultRowHeight="13.9"/>
  <cols>
    <col min="3" max="3" width="18.19921875" customWidth="1"/>
  </cols>
  <sheetData>
    <row r="1" spans="1:4" s="9" customFormat="1">
      <c r="A1" s="8" t="s">
        <v>796</v>
      </c>
      <c r="B1" s="8" t="s">
        <v>797</v>
      </c>
      <c r="C1" s="8" t="s">
        <v>1521</v>
      </c>
      <c r="D1" s="8" t="s">
        <v>1528</v>
      </c>
    </row>
    <row r="2" spans="1:4">
      <c r="A2" s="1" t="s">
        <v>798</v>
      </c>
      <c r="B2" s="1" t="s">
        <v>799</v>
      </c>
      <c r="C2" s="4" t="s">
        <v>800</v>
      </c>
      <c r="D2" s="1" t="s">
        <v>801</v>
      </c>
    </row>
    <row r="3" spans="1:4">
      <c r="A3" s="1" t="s">
        <v>802</v>
      </c>
      <c r="B3" s="1" t="s">
        <v>803</v>
      </c>
      <c r="C3" s="4" t="s">
        <v>804</v>
      </c>
      <c r="D3" s="1" t="s">
        <v>801</v>
      </c>
    </row>
    <row r="4" spans="1:4">
      <c r="A4" s="1" t="s">
        <v>805</v>
      </c>
      <c r="B4" s="1" t="s">
        <v>806</v>
      </c>
      <c r="C4" s="4" t="s">
        <v>807</v>
      </c>
      <c r="D4" s="1" t="s">
        <v>801</v>
      </c>
    </row>
    <row r="5" spans="1:4">
      <c r="A5" s="1" t="s">
        <v>808</v>
      </c>
      <c r="B5" s="1" t="s">
        <v>809</v>
      </c>
      <c r="C5" s="4" t="s">
        <v>810</v>
      </c>
      <c r="D5" s="1" t="s">
        <v>7</v>
      </c>
    </row>
    <row r="6" spans="1:4">
      <c r="A6" s="1" t="s">
        <v>811</v>
      </c>
      <c r="B6" s="1" t="s">
        <v>812</v>
      </c>
      <c r="C6" s="4" t="s">
        <v>813</v>
      </c>
      <c r="D6" s="1" t="s">
        <v>7</v>
      </c>
    </row>
    <row r="7" spans="1:4">
      <c r="A7" s="1" t="s">
        <v>814</v>
      </c>
      <c r="B7" s="1" t="s">
        <v>815</v>
      </c>
      <c r="C7" s="4" t="s">
        <v>816</v>
      </c>
      <c r="D7" s="1" t="s">
        <v>801</v>
      </c>
    </row>
    <row r="8" spans="1:4">
      <c r="A8" s="1" t="s">
        <v>817</v>
      </c>
      <c r="B8" s="1" t="s">
        <v>818</v>
      </c>
      <c r="C8" s="4" t="s">
        <v>819</v>
      </c>
      <c r="D8" s="1" t="s">
        <v>7</v>
      </c>
    </row>
    <row r="9" spans="1:4">
      <c r="A9" s="1" t="s">
        <v>820</v>
      </c>
      <c r="B9" s="1" t="s">
        <v>821</v>
      </c>
      <c r="C9" s="4" t="s">
        <v>822</v>
      </c>
      <c r="D9" s="1" t="s">
        <v>7</v>
      </c>
    </row>
    <row r="10" spans="1:4">
      <c r="A10" s="1" t="s">
        <v>823</v>
      </c>
      <c r="B10" s="1" t="s">
        <v>824</v>
      </c>
      <c r="C10" s="4" t="s">
        <v>825</v>
      </c>
      <c r="D10" s="1" t="s">
        <v>7</v>
      </c>
    </row>
    <row r="11" spans="1:4">
      <c r="A11" s="1" t="s">
        <v>826</v>
      </c>
      <c r="B11" s="1" t="s">
        <v>827</v>
      </c>
      <c r="C11" s="4" t="s">
        <v>828</v>
      </c>
      <c r="D11" s="1" t="s">
        <v>801</v>
      </c>
    </row>
    <row r="12" spans="1:4">
      <c r="A12" s="1" t="s">
        <v>829</v>
      </c>
      <c r="B12" s="1" t="s">
        <v>830</v>
      </c>
      <c r="C12" s="4" t="s">
        <v>831</v>
      </c>
      <c r="D12" s="1" t="s">
        <v>801</v>
      </c>
    </row>
    <row r="13" spans="1:4">
      <c r="A13" s="1" t="s">
        <v>832</v>
      </c>
      <c r="B13" s="1" t="s">
        <v>833</v>
      </c>
      <c r="C13" s="4" t="s">
        <v>834</v>
      </c>
      <c r="D13" s="1" t="s">
        <v>7</v>
      </c>
    </row>
    <row r="14" spans="1:4">
      <c r="A14" s="1" t="s">
        <v>835</v>
      </c>
      <c r="B14" s="1" t="s">
        <v>836</v>
      </c>
      <c r="C14" s="4" t="s">
        <v>837</v>
      </c>
      <c r="D14" s="1" t="s">
        <v>7</v>
      </c>
    </row>
    <row r="15" spans="1:4">
      <c r="A15" s="1" t="s">
        <v>838</v>
      </c>
      <c r="B15" s="1" t="s">
        <v>839</v>
      </c>
      <c r="C15" s="4" t="s">
        <v>840</v>
      </c>
      <c r="D15" s="1" t="s">
        <v>801</v>
      </c>
    </row>
    <row r="16" spans="1:4">
      <c r="A16" s="1" t="s">
        <v>841</v>
      </c>
      <c r="B16" s="1" t="s">
        <v>842</v>
      </c>
      <c r="C16" s="4" t="s">
        <v>843</v>
      </c>
      <c r="D16" s="1" t="s">
        <v>801</v>
      </c>
    </row>
    <row r="17" spans="1:4">
      <c r="A17" s="1" t="s">
        <v>844</v>
      </c>
      <c r="B17" s="1" t="s">
        <v>845</v>
      </c>
      <c r="C17" s="4" t="s">
        <v>846</v>
      </c>
      <c r="D17" s="1" t="s">
        <v>7</v>
      </c>
    </row>
    <row r="18" spans="1:4">
      <c r="A18" s="1" t="s">
        <v>847</v>
      </c>
      <c r="B18" s="1" t="s">
        <v>848</v>
      </c>
      <c r="C18" s="4" t="s">
        <v>849</v>
      </c>
      <c r="D18" s="1" t="s">
        <v>801</v>
      </c>
    </row>
    <row r="19" spans="1:4">
      <c r="A19" s="1" t="s">
        <v>850</v>
      </c>
      <c r="B19" s="1" t="s">
        <v>851</v>
      </c>
      <c r="C19" s="4" t="s">
        <v>852</v>
      </c>
      <c r="D19" s="1" t="s">
        <v>801</v>
      </c>
    </row>
    <row r="20" spans="1:4">
      <c r="A20" s="1" t="s">
        <v>853</v>
      </c>
      <c r="B20" s="1" t="s">
        <v>854</v>
      </c>
      <c r="C20" s="4" t="s">
        <v>855</v>
      </c>
      <c r="D20" s="1" t="s">
        <v>801</v>
      </c>
    </row>
    <row r="21" spans="1:4">
      <c r="A21" s="1" t="s">
        <v>856</v>
      </c>
      <c r="B21" s="1" t="s">
        <v>857</v>
      </c>
      <c r="C21" s="4" t="s">
        <v>858</v>
      </c>
      <c r="D21" s="1" t="s">
        <v>7</v>
      </c>
    </row>
    <row r="22" spans="1:4">
      <c r="A22" s="1" t="s">
        <v>859</v>
      </c>
      <c r="B22" s="1" t="s">
        <v>860</v>
      </c>
      <c r="C22" s="4" t="s">
        <v>861</v>
      </c>
      <c r="D22" s="1" t="s">
        <v>801</v>
      </c>
    </row>
    <row r="23" spans="1:4">
      <c r="A23" s="1" t="s">
        <v>862</v>
      </c>
      <c r="B23" s="1" t="s">
        <v>863</v>
      </c>
      <c r="C23" s="4" t="s">
        <v>864</v>
      </c>
      <c r="D23" s="1" t="s">
        <v>865</v>
      </c>
    </row>
    <row r="24" spans="1:4">
      <c r="A24" s="1" t="s">
        <v>866</v>
      </c>
      <c r="B24" s="1" t="s">
        <v>867</v>
      </c>
      <c r="C24" s="4" t="s">
        <v>868</v>
      </c>
      <c r="D24" s="1" t="s">
        <v>7</v>
      </c>
    </row>
    <row r="25" spans="1:4">
      <c r="A25" s="1" t="s">
        <v>869</v>
      </c>
      <c r="B25" s="1" t="s">
        <v>870</v>
      </c>
      <c r="C25" s="4" t="s">
        <v>871</v>
      </c>
      <c r="D25" s="1" t="s">
        <v>801</v>
      </c>
    </row>
    <row r="26" spans="1:4">
      <c r="A26" s="1" t="s">
        <v>872</v>
      </c>
      <c r="B26" s="1" t="s">
        <v>873</v>
      </c>
      <c r="C26" s="4" t="s">
        <v>874</v>
      </c>
      <c r="D26" s="1" t="s">
        <v>801</v>
      </c>
    </row>
    <row r="27" spans="1:4">
      <c r="A27" s="1" t="s">
        <v>875</v>
      </c>
      <c r="B27" s="1" t="s">
        <v>876</v>
      </c>
      <c r="C27" s="4" t="s">
        <v>877</v>
      </c>
      <c r="D27" s="1" t="s">
        <v>801</v>
      </c>
    </row>
    <row r="28" spans="1:4">
      <c r="A28" s="1" t="s">
        <v>878</v>
      </c>
      <c r="B28" s="1" t="s">
        <v>879</v>
      </c>
      <c r="C28" s="4" t="s">
        <v>880</v>
      </c>
      <c r="D28" s="1" t="s">
        <v>7</v>
      </c>
    </row>
    <row r="29" spans="1:4">
      <c r="A29" s="1" t="s">
        <v>881</v>
      </c>
      <c r="B29" s="1" t="s">
        <v>882</v>
      </c>
      <c r="C29" s="4" t="s">
        <v>883</v>
      </c>
      <c r="D29" s="1" t="s">
        <v>865</v>
      </c>
    </row>
    <row r="30" spans="1:4">
      <c r="A30" s="1" t="s">
        <v>884</v>
      </c>
      <c r="B30" s="1" t="s">
        <v>885</v>
      </c>
      <c r="C30" s="4" t="s">
        <v>886</v>
      </c>
      <c r="D30" s="1" t="s">
        <v>801</v>
      </c>
    </row>
    <row r="31" spans="1:4">
      <c r="A31" s="1" t="s">
        <v>887</v>
      </c>
      <c r="B31" s="1" t="s">
        <v>888</v>
      </c>
      <c r="C31" s="4" t="s">
        <v>889</v>
      </c>
      <c r="D31" s="1" t="s">
        <v>7</v>
      </c>
    </row>
    <row r="32" spans="1:4">
      <c r="A32" s="1" t="s">
        <v>890</v>
      </c>
      <c r="B32" s="1" t="s">
        <v>891</v>
      </c>
      <c r="C32" s="4" t="s">
        <v>892</v>
      </c>
      <c r="D32" s="1" t="s">
        <v>7</v>
      </c>
    </row>
    <row r="33" spans="1:4">
      <c r="A33" s="1" t="s">
        <v>893</v>
      </c>
      <c r="B33" s="1" t="s">
        <v>894</v>
      </c>
      <c r="C33" s="4" t="s">
        <v>895</v>
      </c>
      <c r="D33" s="1" t="s">
        <v>7</v>
      </c>
    </row>
    <row r="34" spans="1:4">
      <c r="A34" s="1" t="s">
        <v>896</v>
      </c>
      <c r="B34" s="1" t="s">
        <v>897</v>
      </c>
      <c r="C34" s="4" t="s">
        <v>898</v>
      </c>
      <c r="D34" s="1" t="s">
        <v>7</v>
      </c>
    </row>
    <row r="35" spans="1:4">
      <c r="A35" s="1" t="s">
        <v>899</v>
      </c>
      <c r="B35" s="1" t="s">
        <v>900</v>
      </c>
      <c r="C35" s="4" t="s">
        <v>901</v>
      </c>
      <c r="D35" s="1" t="s">
        <v>801</v>
      </c>
    </row>
    <row r="36" spans="1:4">
      <c r="A36" s="1" t="s">
        <v>902</v>
      </c>
      <c r="B36" s="1" t="s">
        <v>903</v>
      </c>
      <c r="C36" s="4" t="s">
        <v>904</v>
      </c>
      <c r="D36" s="1" t="s">
        <v>7</v>
      </c>
    </row>
    <row r="37" spans="1:4">
      <c r="A37" s="1" t="s">
        <v>905</v>
      </c>
      <c r="B37" s="1" t="s">
        <v>906</v>
      </c>
      <c r="C37" s="4" t="s">
        <v>907</v>
      </c>
      <c r="D37" s="1" t="s">
        <v>7</v>
      </c>
    </row>
    <row r="38" spans="1:4">
      <c r="A38" s="1" t="s">
        <v>908</v>
      </c>
      <c r="B38" s="1" t="s">
        <v>909</v>
      </c>
      <c r="C38" s="4" t="s">
        <v>910</v>
      </c>
      <c r="D38" s="1" t="s">
        <v>7</v>
      </c>
    </row>
    <row r="39" spans="1:4">
      <c r="A39" s="1" t="s">
        <v>911</v>
      </c>
      <c r="B39" s="1" t="s">
        <v>912</v>
      </c>
      <c r="C39" s="4" t="s">
        <v>913</v>
      </c>
      <c r="D39" s="1" t="s">
        <v>801</v>
      </c>
    </row>
    <row r="40" spans="1:4">
      <c r="A40" s="1" t="s">
        <v>914</v>
      </c>
      <c r="B40" s="1" t="s">
        <v>915</v>
      </c>
      <c r="C40" s="4" t="s">
        <v>916</v>
      </c>
      <c r="D40" s="1" t="s">
        <v>7</v>
      </c>
    </row>
    <row r="41" spans="1:4">
      <c r="A41" s="1" t="s">
        <v>917</v>
      </c>
      <c r="B41" s="1" t="s">
        <v>918</v>
      </c>
      <c r="C41" s="4" t="s">
        <v>919</v>
      </c>
      <c r="D41" s="1" t="s">
        <v>801</v>
      </c>
    </row>
    <row r="42" spans="1:4">
      <c r="A42" s="1" t="s">
        <v>920</v>
      </c>
      <c r="B42" s="1" t="s">
        <v>921</v>
      </c>
      <c r="C42" s="4" t="s">
        <v>922</v>
      </c>
      <c r="D42" s="1" t="s">
        <v>801</v>
      </c>
    </row>
    <row r="43" spans="1:4">
      <c r="A43" s="1" t="s">
        <v>923</v>
      </c>
      <c r="B43" s="1" t="s">
        <v>924</v>
      </c>
      <c r="C43" s="4" t="s">
        <v>925</v>
      </c>
      <c r="D43" s="1" t="s">
        <v>7</v>
      </c>
    </row>
    <row r="44" spans="1:4">
      <c r="A44" s="1" t="s">
        <v>926</v>
      </c>
      <c r="B44" s="1" t="s">
        <v>927</v>
      </c>
      <c r="C44" s="4" t="s">
        <v>928</v>
      </c>
      <c r="D44" s="1" t="s">
        <v>7</v>
      </c>
    </row>
    <row r="45" spans="1:4">
      <c r="A45" s="1" t="s">
        <v>929</v>
      </c>
      <c r="B45" s="1" t="s">
        <v>930</v>
      </c>
      <c r="C45" s="4" t="s">
        <v>931</v>
      </c>
      <c r="D45" s="1" t="s">
        <v>801</v>
      </c>
    </row>
    <row r="46" spans="1:4">
      <c r="A46" s="1" t="s">
        <v>932</v>
      </c>
      <c r="B46" s="1" t="s">
        <v>933</v>
      </c>
      <c r="C46" s="4" t="s">
        <v>934</v>
      </c>
      <c r="D46" s="1" t="s">
        <v>7</v>
      </c>
    </row>
    <row r="47" spans="1:4">
      <c r="A47" s="1" t="s">
        <v>935</v>
      </c>
      <c r="B47" s="1" t="s">
        <v>936</v>
      </c>
      <c r="C47" s="4" t="s">
        <v>937</v>
      </c>
      <c r="D47" s="1" t="s">
        <v>7</v>
      </c>
    </row>
    <row r="48" spans="1:4">
      <c r="A48" s="1" t="s">
        <v>938</v>
      </c>
      <c r="B48" s="1" t="s">
        <v>939</v>
      </c>
      <c r="C48" s="4" t="s">
        <v>940</v>
      </c>
      <c r="D48" s="1" t="s">
        <v>801</v>
      </c>
    </row>
    <row r="49" spans="1:4">
      <c r="A49" s="1" t="s">
        <v>941</v>
      </c>
      <c r="B49" s="1" t="s">
        <v>942</v>
      </c>
      <c r="C49" s="4" t="s">
        <v>943</v>
      </c>
      <c r="D49" s="1" t="s">
        <v>801</v>
      </c>
    </row>
    <row r="50" spans="1:4">
      <c r="A50" s="1" t="s">
        <v>944</v>
      </c>
      <c r="B50" s="1" t="s">
        <v>945</v>
      </c>
      <c r="C50" s="4" t="s">
        <v>946</v>
      </c>
      <c r="D50" s="1" t="s">
        <v>801</v>
      </c>
    </row>
    <row r="51" spans="1:4">
      <c r="A51" s="1" t="s">
        <v>947</v>
      </c>
      <c r="B51" s="1" t="s">
        <v>948</v>
      </c>
      <c r="C51" s="4" t="s">
        <v>949</v>
      </c>
      <c r="D51" s="1" t="s">
        <v>801</v>
      </c>
    </row>
    <row r="52" spans="1:4">
      <c r="A52" s="1" t="s">
        <v>950</v>
      </c>
      <c r="B52" s="1" t="s">
        <v>951</v>
      </c>
      <c r="C52" s="4" t="s">
        <v>952</v>
      </c>
      <c r="D52" s="1" t="s">
        <v>7</v>
      </c>
    </row>
    <row r="53" spans="1:4">
      <c r="A53" s="1" t="s">
        <v>953</v>
      </c>
      <c r="B53" s="1" t="s">
        <v>954</v>
      </c>
      <c r="C53" s="4" t="s">
        <v>955</v>
      </c>
      <c r="D53" s="1" t="s">
        <v>7</v>
      </c>
    </row>
    <row r="54" spans="1:4">
      <c r="A54" s="1" t="s">
        <v>956</v>
      </c>
      <c r="B54" s="1" t="s">
        <v>957</v>
      </c>
      <c r="C54" s="4" t="s">
        <v>958</v>
      </c>
      <c r="D54" s="1" t="s">
        <v>7</v>
      </c>
    </row>
    <row r="55" spans="1:4">
      <c r="A55" s="1" t="s">
        <v>959</v>
      </c>
      <c r="B55" s="1" t="s">
        <v>960</v>
      </c>
      <c r="C55" s="4" t="s">
        <v>961</v>
      </c>
      <c r="D55" s="1" t="s">
        <v>801</v>
      </c>
    </row>
    <row r="56" spans="1:4">
      <c r="A56" s="1" t="s">
        <v>962</v>
      </c>
      <c r="B56" s="1" t="s">
        <v>963</v>
      </c>
      <c r="C56" s="4" t="s">
        <v>964</v>
      </c>
      <c r="D56" s="1" t="s">
        <v>7</v>
      </c>
    </row>
    <row r="57" spans="1:4">
      <c r="A57" s="1" t="s">
        <v>965</v>
      </c>
      <c r="B57" s="1" t="s">
        <v>966</v>
      </c>
      <c r="C57" s="4" t="s">
        <v>967</v>
      </c>
      <c r="D57" s="1" t="s">
        <v>7</v>
      </c>
    </row>
    <row r="58" spans="1:4">
      <c r="A58" s="1" t="s">
        <v>968</v>
      </c>
      <c r="B58" s="1" t="s">
        <v>969</v>
      </c>
      <c r="C58" s="4" t="s">
        <v>970</v>
      </c>
      <c r="D58" s="1" t="s">
        <v>801</v>
      </c>
    </row>
    <row r="59" spans="1:4">
      <c r="A59" s="1" t="s">
        <v>971</v>
      </c>
      <c r="B59" s="1" t="s">
        <v>972</v>
      </c>
      <c r="C59" s="4" t="s">
        <v>973</v>
      </c>
      <c r="D59" s="1" t="s">
        <v>7</v>
      </c>
    </row>
    <row r="60" spans="1:4">
      <c r="A60" s="1" t="s">
        <v>974</v>
      </c>
      <c r="B60" s="1" t="s">
        <v>975</v>
      </c>
      <c r="C60" s="4" t="s">
        <v>976</v>
      </c>
      <c r="D60" s="1" t="s">
        <v>7</v>
      </c>
    </row>
    <row r="61" spans="1:4">
      <c r="A61" s="1" t="s">
        <v>977</v>
      </c>
      <c r="B61" s="1" t="s">
        <v>978</v>
      </c>
      <c r="C61" s="4" t="s">
        <v>979</v>
      </c>
      <c r="D61" s="1" t="s">
        <v>801</v>
      </c>
    </row>
    <row r="62" spans="1:4">
      <c r="A62" s="1" t="s">
        <v>980</v>
      </c>
      <c r="B62" s="1" t="s">
        <v>981</v>
      </c>
      <c r="C62" s="4" t="s">
        <v>982</v>
      </c>
      <c r="D62" s="1" t="s">
        <v>801</v>
      </c>
    </row>
    <row r="63" spans="1:4">
      <c r="A63" s="1" t="s">
        <v>983</v>
      </c>
      <c r="B63" s="1" t="s">
        <v>984</v>
      </c>
      <c r="C63" s="4" t="s">
        <v>985</v>
      </c>
      <c r="D63" s="1" t="s">
        <v>7</v>
      </c>
    </row>
    <row r="64" spans="1:4">
      <c r="A64" s="1" t="s">
        <v>986</v>
      </c>
      <c r="B64" s="1" t="s">
        <v>987</v>
      </c>
      <c r="C64" s="4" t="s">
        <v>988</v>
      </c>
      <c r="D64" s="1" t="s">
        <v>7</v>
      </c>
    </row>
    <row r="65" spans="1:4">
      <c r="A65" s="1" t="s">
        <v>989</v>
      </c>
      <c r="B65" s="1" t="s">
        <v>990</v>
      </c>
      <c r="C65" s="4" t="s">
        <v>991</v>
      </c>
      <c r="D65" s="1" t="s">
        <v>801</v>
      </c>
    </row>
    <row r="66" spans="1:4">
      <c r="A66" s="1" t="s">
        <v>992</v>
      </c>
      <c r="B66" s="1" t="s">
        <v>993</v>
      </c>
      <c r="C66" s="4" t="s">
        <v>994</v>
      </c>
      <c r="D66" s="1" t="s">
        <v>7</v>
      </c>
    </row>
    <row r="67" spans="1:4">
      <c r="A67" s="1" t="s">
        <v>995</v>
      </c>
      <c r="B67" s="1" t="s">
        <v>996</v>
      </c>
      <c r="C67" s="4" t="s">
        <v>997</v>
      </c>
      <c r="D67" s="1" t="s">
        <v>801</v>
      </c>
    </row>
    <row r="68" spans="1:4">
      <c r="A68" s="1" t="s">
        <v>998</v>
      </c>
      <c r="B68" s="1" t="s">
        <v>999</v>
      </c>
      <c r="C68" s="4" t="s">
        <v>1000</v>
      </c>
      <c r="D68" s="1" t="s">
        <v>801</v>
      </c>
    </row>
    <row r="69" spans="1:4">
      <c r="A69" s="1" t="s">
        <v>1001</v>
      </c>
      <c r="B69" s="1" t="s">
        <v>1002</v>
      </c>
      <c r="C69" s="4" t="s">
        <v>1003</v>
      </c>
      <c r="D69" s="1" t="s">
        <v>801</v>
      </c>
    </row>
    <row r="70" spans="1:4">
      <c r="A70" s="1" t="s">
        <v>1004</v>
      </c>
      <c r="B70" s="1" t="s">
        <v>1005</v>
      </c>
      <c r="C70" s="4" t="s">
        <v>1006</v>
      </c>
      <c r="D70" s="1" t="s">
        <v>801</v>
      </c>
    </row>
    <row r="71" spans="1:4">
      <c r="A71" s="1" t="s">
        <v>1007</v>
      </c>
      <c r="B71" s="1" t="s">
        <v>1008</v>
      </c>
      <c r="C71" s="4" t="s">
        <v>1009</v>
      </c>
      <c r="D71" s="1" t="s">
        <v>7</v>
      </c>
    </row>
    <row r="72" spans="1:4">
      <c r="A72" s="1" t="s">
        <v>1010</v>
      </c>
      <c r="B72" s="1" t="s">
        <v>1011</v>
      </c>
      <c r="C72" s="4" t="s">
        <v>1012</v>
      </c>
      <c r="D72" s="1" t="s">
        <v>7</v>
      </c>
    </row>
    <row r="73" spans="1:4">
      <c r="A73" s="1" t="s">
        <v>1013</v>
      </c>
      <c r="B73" s="1" t="s">
        <v>1014</v>
      </c>
      <c r="C73" s="4" t="s">
        <v>1015</v>
      </c>
      <c r="D73" s="1" t="s">
        <v>801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topLeftCell="A421" workbookViewId="0"/>
  </sheetViews>
  <sheetFormatPr defaultRowHeight="13.9"/>
  <cols>
    <col min="1" max="4" width="9.06640625" style="34"/>
  </cols>
  <sheetData>
    <row r="1" spans="1:4">
      <c r="A1" s="34" t="s">
        <v>1735</v>
      </c>
      <c r="B1" s="34" t="s">
        <v>1945</v>
      </c>
      <c r="C1" s="34" t="s">
        <v>1736</v>
      </c>
      <c r="D1" s="34" t="s">
        <v>1737</v>
      </c>
    </row>
    <row r="2" spans="1:4">
      <c r="A2" s="34" t="s">
        <v>1738</v>
      </c>
      <c r="B2" s="34" t="s">
        <v>1739</v>
      </c>
      <c r="C2" s="34">
        <v>44.019695499999997</v>
      </c>
      <c r="D2" s="34">
        <v>-89.775533800000005</v>
      </c>
    </row>
    <row r="3" spans="1:4">
      <c r="A3" s="34" t="s">
        <v>1740</v>
      </c>
      <c r="B3" s="34" t="s">
        <v>1741</v>
      </c>
      <c r="C3" s="34">
        <v>46.979496900000001</v>
      </c>
      <c r="D3" s="34">
        <v>-90.482489200000003</v>
      </c>
    </row>
    <row r="4" spans="1:4">
      <c r="A4" s="34" t="s">
        <v>805</v>
      </c>
      <c r="B4" s="34" t="s">
        <v>1742</v>
      </c>
      <c r="C4" s="34">
        <v>45.360757399999997</v>
      </c>
      <c r="D4" s="34">
        <v>-91.776948000000004</v>
      </c>
    </row>
    <row r="5" spans="1:4">
      <c r="A5" s="34" t="s">
        <v>808</v>
      </c>
      <c r="B5" s="34" t="s">
        <v>1743</v>
      </c>
      <c r="C5" s="34">
        <v>46.6650481</v>
      </c>
      <c r="D5" s="34">
        <v>-91.122200699999993</v>
      </c>
    </row>
    <row r="6" spans="1:4">
      <c r="A6" s="34" t="s">
        <v>811</v>
      </c>
      <c r="B6" s="34" t="s">
        <v>1744</v>
      </c>
      <c r="C6" s="34">
        <v>44.456167399999998</v>
      </c>
      <c r="D6" s="34">
        <v>-87.933480299999999</v>
      </c>
    </row>
    <row r="7" spans="1:4">
      <c r="A7" s="34" t="s">
        <v>814</v>
      </c>
      <c r="B7" s="34" t="s">
        <v>1745</v>
      </c>
      <c r="C7" s="34">
        <v>44.310235400000003</v>
      </c>
      <c r="D7" s="34">
        <v>-91.753881699999994</v>
      </c>
    </row>
    <row r="8" spans="1:4">
      <c r="A8" s="34" t="s">
        <v>817</v>
      </c>
      <c r="B8" s="34" t="s">
        <v>1746</v>
      </c>
      <c r="C8" s="34">
        <v>45.8051186</v>
      </c>
      <c r="D8" s="34">
        <v>-92.288813099999999</v>
      </c>
    </row>
    <row r="9" spans="1:4">
      <c r="A9" s="34" t="s">
        <v>820</v>
      </c>
      <c r="B9" s="34" t="s">
        <v>1747</v>
      </c>
      <c r="C9" s="34">
        <v>44.158608200000003</v>
      </c>
      <c r="D9" s="34">
        <v>-88.246118300000006</v>
      </c>
    </row>
    <row r="10" spans="1:4">
      <c r="A10" s="34" t="s">
        <v>823</v>
      </c>
      <c r="B10" s="34" t="s">
        <v>1748</v>
      </c>
      <c r="C10" s="34">
        <v>45.067375200000001</v>
      </c>
      <c r="D10" s="34">
        <v>-91.292466599999997</v>
      </c>
    </row>
    <row r="11" spans="1:4">
      <c r="A11" s="34" t="s">
        <v>826</v>
      </c>
      <c r="B11" s="34" t="s">
        <v>1749</v>
      </c>
      <c r="C11" s="34">
        <v>44.848073499999998</v>
      </c>
      <c r="D11" s="34">
        <v>-90.753280899999993</v>
      </c>
    </row>
    <row r="12" spans="1:4">
      <c r="A12" s="34" t="s">
        <v>829</v>
      </c>
      <c r="B12" s="34" t="s">
        <v>1750</v>
      </c>
      <c r="C12" s="34">
        <v>43.404663200000002</v>
      </c>
      <c r="D12" s="34">
        <v>-89.322695400000001</v>
      </c>
    </row>
    <row r="13" spans="1:4">
      <c r="A13" s="34" t="s">
        <v>832</v>
      </c>
      <c r="B13" s="34" t="s">
        <v>1751</v>
      </c>
      <c r="C13" s="34">
        <v>43.249154699999998</v>
      </c>
      <c r="D13" s="34">
        <v>-90.829400199999995</v>
      </c>
    </row>
    <row r="14" spans="1:4">
      <c r="A14" s="34" t="s">
        <v>835</v>
      </c>
      <c r="B14" s="34" t="s">
        <v>1752</v>
      </c>
      <c r="C14" s="34">
        <v>43.018607299999999</v>
      </c>
      <c r="D14" s="34">
        <v>-89.549763200000001</v>
      </c>
    </row>
    <row r="15" spans="1:4">
      <c r="A15" s="34" t="s">
        <v>838</v>
      </c>
      <c r="B15" s="34" t="s">
        <v>1753</v>
      </c>
      <c r="C15" s="34">
        <v>43.399421500000003</v>
      </c>
      <c r="D15" s="34">
        <v>-88.710896399999996</v>
      </c>
    </row>
    <row r="16" spans="1:4">
      <c r="A16" s="34" t="s">
        <v>841</v>
      </c>
      <c r="B16" s="34" t="s">
        <v>1754</v>
      </c>
      <c r="C16" s="34">
        <v>44.834130199999997</v>
      </c>
      <c r="D16" s="34">
        <v>-87.377048799999997</v>
      </c>
    </row>
    <row r="17" spans="1:4">
      <c r="A17" s="34" t="s">
        <v>844</v>
      </c>
      <c r="B17" s="34" t="s">
        <v>1755</v>
      </c>
      <c r="C17" s="34">
        <v>46.349001199999996</v>
      </c>
      <c r="D17" s="34">
        <v>-91.757688900000005</v>
      </c>
    </row>
    <row r="18" spans="1:4">
      <c r="A18" s="34" t="s">
        <v>847</v>
      </c>
      <c r="B18" s="34" t="s">
        <v>1756</v>
      </c>
      <c r="C18" s="34">
        <v>44.909416</v>
      </c>
      <c r="D18" s="34">
        <v>-91.909923800000001</v>
      </c>
    </row>
    <row r="19" spans="1:4">
      <c r="A19" s="34" t="s">
        <v>850</v>
      </c>
      <c r="B19" s="34" t="s">
        <v>1757</v>
      </c>
      <c r="C19" s="34">
        <v>44.7683909</v>
      </c>
      <c r="D19" s="34">
        <v>-91.289103600000004</v>
      </c>
    </row>
    <row r="20" spans="1:4">
      <c r="A20" s="34" t="s">
        <v>853</v>
      </c>
      <c r="B20" s="34" t="s">
        <v>1758</v>
      </c>
      <c r="C20" s="34">
        <v>45.8161658</v>
      </c>
      <c r="D20" s="34">
        <v>-88.354752399999995</v>
      </c>
    </row>
    <row r="21" spans="1:4">
      <c r="A21" s="34" t="s">
        <v>856</v>
      </c>
      <c r="B21" s="34" t="s">
        <v>1759</v>
      </c>
      <c r="C21" s="34">
        <v>43.700837900000003</v>
      </c>
      <c r="D21" s="34">
        <v>-88.246118300000006</v>
      </c>
    </row>
    <row r="22" spans="1:4">
      <c r="A22" s="34" t="s">
        <v>859</v>
      </c>
      <c r="B22" s="34" t="s">
        <v>1760</v>
      </c>
      <c r="C22" s="34">
        <v>45.670449699999999</v>
      </c>
      <c r="D22" s="34">
        <v>-88.837580700000004</v>
      </c>
    </row>
    <row r="23" spans="1:4">
      <c r="A23" s="34" t="s">
        <v>862</v>
      </c>
      <c r="B23" s="34" t="s">
        <v>1761</v>
      </c>
      <c r="C23" s="34">
        <v>42.939701499999998</v>
      </c>
      <c r="D23" s="34">
        <v>-90.677304599999999</v>
      </c>
    </row>
    <row r="24" spans="1:4">
      <c r="A24" s="34" t="s">
        <v>866</v>
      </c>
      <c r="B24" s="34" t="s">
        <v>1762</v>
      </c>
      <c r="C24" s="34">
        <v>42.628733599999997</v>
      </c>
      <c r="D24" s="34">
        <v>-89.625164600000005</v>
      </c>
    </row>
    <row r="25" spans="1:4">
      <c r="A25" s="34" t="s">
        <v>869</v>
      </c>
      <c r="B25" s="34" t="s">
        <v>1763</v>
      </c>
      <c r="C25" s="34">
        <v>43.863117000000003</v>
      </c>
      <c r="D25" s="34">
        <v>-89.017933200000002</v>
      </c>
    </row>
    <row r="26" spans="1:4">
      <c r="A26" s="34" t="s">
        <v>872</v>
      </c>
      <c r="B26" s="34" t="s">
        <v>1764</v>
      </c>
      <c r="C26" s="34">
        <v>42.941673700000003</v>
      </c>
      <c r="D26" s="34">
        <v>-90.074676699999998</v>
      </c>
    </row>
    <row r="27" spans="1:4">
      <c r="A27" s="34" t="s">
        <v>875</v>
      </c>
      <c r="B27" s="34" t="s">
        <v>1765</v>
      </c>
      <c r="C27" s="34">
        <v>46.285511399999997</v>
      </c>
      <c r="D27" s="34">
        <v>-90.234773399999995</v>
      </c>
    </row>
    <row r="28" spans="1:4">
      <c r="A28" s="34" t="s">
        <v>878</v>
      </c>
      <c r="B28" s="34" t="s">
        <v>1766</v>
      </c>
      <c r="C28" s="34">
        <v>44.320654900000001</v>
      </c>
      <c r="D28" s="34">
        <v>-90.829400199999995</v>
      </c>
    </row>
    <row r="29" spans="1:4">
      <c r="A29" s="34" t="s">
        <v>881</v>
      </c>
      <c r="B29" s="34" t="s">
        <v>1767</v>
      </c>
      <c r="C29" s="34">
        <v>43.089927000000003</v>
      </c>
      <c r="D29" s="34">
        <v>-88.710896399999996</v>
      </c>
    </row>
    <row r="30" spans="1:4">
      <c r="A30" s="34" t="s">
        <v>884</v>
      </c>
      <c r="B30" s="34" t="s">
        <v>1768</v>
      </c>
      <c r="C30" s="34">
        <v>43.867297899999997</v>
      </c>
      <c r="D30" s="34">
        <v>-90.074676699999998</v>
      </c>
    </row>
    <row r="31" spans="1:4">
      <c r="A31" s="34" t="s">
        <v>887</v>
      </c>
      <c r="B31" s="34" t="s">
        <v>1769</v>
      </c>
      <c r="C31" s="34">
        <v>42.581095400000002</v>
      </c>
      <c r="D31" s="34">
        <v>-88.053375200000005</v>
      </c>
    </row>
    <row r="32" spans="1:4">
      <c r="A32" s="34" t="s">
        <v>890</v>
      </c>
      <c r="B32" s="34" t="s">
        <v>1770</v>
      </c>
      <c r="C32" s="34">
        <v>44.520259899999999</v>
      </c>
      <c r="D32" s="34">
        <v>-87.381072700000004</v>
      </c>
    </row>
    <row r="33" spans="1:4">
      <c r="A33" s="34" t="s">
        <v>893</v>
      </c>
      <c r="B33" s="34" t="s">
        <v>1771</v>
      </c>
      <c r="C33" s="34">
        <v>43.861702299999997</v>
      </c>
      <c r="D33" s="34">
        <v>-91.135301999999996</v>
      </c>
    </row>
    <row r="34" spans="1:4">
      <c r="A34" s="34" t="s">
        <v>896</v>
      </c>
      <c r="B34" s="34" t="s">
        <v>1772</v>
      </c>
      <c r="C34" s="34">
        <v>42.629320300000003</v>
      </c>
      <c r="D34" s="34">
        <v>-90.074676699999998</v>
      </c>
    </row>
    <row r="35" spans="1:4">
      <c r="A35" s="34" t="s">
        <v>899</v>
      </c>
      <c r="B35" s="34" t="s">
        <v>1773</v>
      </c>
      <c r="C35" s="34">
        <v>45.220083000000002</v>
      </c>
      <c r="D35" s="34">
        <v>-89.010213300000004</v>
      </c>
    </row>
    <row r="36" spans="1:4">
      <c r="A36" s="34" t="s">
        <v>902</v>
      </c>
      <c r="B36" s="34" t="s">
        <v>1774</v>
      </c>
      <c r="C36" s="34">
        <v>45.374310199999996</v>
      </c>
      <c r="D36" s="34">
        <v>-89.772579899999997</v>
      </c>
    </row>
    <row r="37" spans="1:4">
      <c r="A37" s="34" t="s">
        <v>905</v>
      </c>
      <c r="B37" s="34" t="s">
        <v>1775</v>
      </c>
      <c r="C37" s="34">
        <v>44.109588000000002</v>
      </c>
      <c r="D37" s="34">
        <v>-87.775236800000002</v>
      </c>
    </row>
    <row r="38" spans="1:4">
      <c r="A38" s="34" t="s">
        <v>908</v>
      </c>
      <c r="B38" s="34" t="s">
        <v>1776</v>
      </c>
      <c r="C38" s="34">
        <v>44.850451999999997</v>
      </c>
      <c r="D38" s="34">
        <v>-89.850501199999997</v>
      </c>
    </row>
    <row r="39" spans="1:4">
      <c r="A39" s="34" t="s">
        <v>911</v>
      </c>
      <c r="B39" s="34" t="s">
        <v>1777</v>
      </c>
      <c r="C39" s="34">
        <v>45.358196100000001</v>
      </c>
      <c r="D39" s="34">
        <v>-88.064960600000006</v>
      </c>
    </row>
    <row r="40" spans="1:4">
      <c r="A40" s="34" t="s">
        <v>914</v>
      </c>
      <c r="B40" s="34" t="s">
        <v>1778</v>
      </c>
      <c r="C40" s="34">
        <v>43.865321999999999</v>
      </c>
      <c r="D40" s="34">
        <v>-89.322695400000001</v>
      </c>
    </row>
    <row r="41" spans="1:4">
      <c r="A41" s="34" t="s">
        <v>917</v>
      </c>
      <c r="B41" s="34" t="s">
        <v>1779</v>
      </c>
      <c r="C41" s="34">
        <v>44.885779200000002</v>
      </c>
      <c r="D41" s="34">
        <v>-88.650794300000001</v>
      </c>
    </row>
    <row r="42" spans="1:4">
      <c r="A42" s="34" t="s">
        <v>920</v>
      </c>
      <c r="B42" s="34" t="s">
        <v>1780</v>
      </c>
      <c r="C42" s="34">
        <v>43.038794899999999</v>
      </c>
      <c r="D42" s="34">
        <v>-87.906533400000001</v>
      </c>
    </row>
    <row r="43" spans="1:4">
      <c r="A43" s="34" t="s">
        <v>923</v>
      </c>
      <c r="B43" s="34" t="s">
        <v>1781</v>
      </c>
      <c r="C43" s="34">
        <v>43.941204499999998</v>
      </c>
      <c r="D43" s="34">
        <v>-90.753280899999993</v>
      </c>
    </row>
    <row r="44" spans="1:4">
      <c r="A44" s="34" t="s">
        <v>926</v>
      </c>
      <c r="B44" s="34" t="s">
        <v>1782</v>
      </c>
      <c r="C44" s="34">
        <v>44.833299099999998</v>
      </c>
      <c r="D44" s="34">
        <v>-88.011847299999999</v>
      </c>
    </row>
    <row r="45" spans="1:4">
      <c r="A45" s="34" t="s">
        <v>929</v>
      </c>
      <c r="B45" s="34" t="s">
        <v>1783</v>
      </c>
      <c r="C45" s="34">
        <v>45.675080100000002</v>
      </c>
      <c r="D45" s="34">
        <v>-89.461656399999995</v>
      </c>
    </row>
    <row r="46" spans="1:4">
      <c r="A46" s="34" t="s">
        <v>932</v>
      </c>
      <c r="B46" s="34" t="s">
        <v>1784</v>
      </c>
      <c r="C46" s="34">
        <v>44.463654499999997</v>
      </c>
      <c r="D46" s="34">
        <v>-88.4016041</v>
      </c>
    </row>
    <row r="47" spans="1:4">
      <c r="A47" s="34" t="s">
        <v>935</v>
      </c>
      <c r="B47" s="34" t="s">
        <v>1785</v>
      </c>
      <c r="C47" s="34">
        <v>43.367713000000002</v>
      </c>
      <c r="D47" s="34">
        <v>-87.927308999999994</v>
      </c>
    </row>
    <row r="48" spans="1:4">
      <c r="A48" s="34" t="s">
        <v>938</v>
      </c>
      <c r="B48" s="34" t="s">
        <v>1786</v>
      </c>
      <c r="C48" s="34">
        <v>44.6451183</v>
      </c>
      <c r="D48" s="34">
        <v>-92.027319000000006</v>
      </c>
    </row>
    <row r="49" spans="1:4">
      <c r="A49" s="34" t="s">
        <v>941</v>
      </c>
      <c r="B49" s="34" t="s">
        <v>1787</v>
      </c>
      <c r="C49" s="34">
        <v>44.750892100000002</v>
      </c>
      <c r="D49" s="34">
        <v>-92.381362100000004</v>
      </c>
    </row>
    <row r="50" spans="1:4">
      <c r="A50" s="34" t="s">
        <v>944</v>
      </c>
      <c r="B50" s="34" t="s">
        <v>1788</v>
      </c>
      <c r="C50" s="34">
        <v>45.425934499999997</v>
      </c>
      <c r="D50" s="34">
        <v>-92.338843900000001</v>
      </c>
    </row>
    <row r="51" spans="1:4">
      <c r="A51" s="34" t="s">
        <v>947</v>
      </c>
      <c r="B51" s="34" t="s">
        <v>1789</v>
      </c>
      <c r="C51" s="34">
        <v>44.473595699999997</v>
      </c>
      <c r="D51" s="34">
        <v>-89.474217699999997</v>
      </c>
    </row>
    <row r="52" spans="1:4">
      <c r="A52" s="34" t="s">
        <v>950</v>
      </c>
      <c r="B52" s="34" t="s">
        <v>1790</v>
      </c>
      <c r="C52" s="34">
        <v>45.751166599999998</v>
      </c>
      <c r="D52" s="34">
        <v>-90.462214399999993</v>
      </c>
    </row>
    <row r="53" spans="1:4">
      <c r="A53" s="34" t="s">
        <v>953</v>
      </c>
      <c r="B53" s="34" t="s">
        <v>1791</v>
      </c>
      <c r="C53" s="34">
        <v>42.727212999999999</v>
      </c>
      <c r="D53" s="34">
        <v>-88.0326922</v>
      </c>
    </row>
    <row r="54" spans="1:4">
      <c r="A54" s="34" t="s">
        <v>956</v>
      </c>
      <c r="B54" s="34" t="s">
        <v>1792</v>
      </c>
      <c r="C54" s="34">
        <v>43.406049699999997</v>
      </c>
      <c r="D54" s="34">
        <v>-90.374835399999995</v>
      </c>
    </row>
    <row r="55" spans="1:4">
      <c r="A55" s="34" t="s">
        <v>959</v>
      </c>
      <c r="B55" s="34" t="s">
        <v>1793</v>
      </c>
      <c r="C55" s="34">
        <v>42.625150599999998</v>
      </c>
      <c r="D55" s="34">
        <v>-89.017933200000002</v>
      </c>
    </row>
    <row r="56" spans="1:4">
      <c r="A56" s="34" t="s">
        <v>962</v>
      </c>
      <c r="B56" s="34" t="s">
        <v>1794</v>
      </c>
      <c r="C56" s="34">
        <v>45.519364899999999</v>
      </c>
      <c r="D56" s="34">
        <v>-91.1563029</v>
      </c>
    </row>
    <row r="57" spans="1:4">
      <c r="A57" s="34" t="s">
        <v>965</v>
      </c>
      <c r="B57" s="34" t="s">
        <v>1795</v>
      </c>
      <c r="C57" s="34">
        <v>45.0497844</v>
      </c>
      <c r="D57" s="34">
        <v>-92.387569499999998</v>
      </c>
    </row>
    <row r="58" spans="1:4">
      <c r="A58" s="34" t="s">
        <v>968</v>
      </c>
      <c r="B58" s="34" t="s">
        <v>1796</v>
      </c>
      <c r="C58" s="34">
        <v>43.406637500000002</v>
      </c>
      <c r="D58" s="34">
        <v>-89.925323300000002</v>
      </c>
    </row>
    <row r="59" spans="1:4">
      <c r="A59" s="34" t="s">
        <v>971</v>
      </c>
      <c r="B59" s="34" t="s">
        <v>1797</v>
      </c>
      <c r="C59" s="34">
        <v>45.822016900000001</v>
      </c>
      <c r="D59" s="34">
        <v>-91.168588600000007</v>
      </c>
    </row>
    <row r="60" spans="1:4">
      <c r="A60" s="34" t="s">
        <v>974</v>
      </c>
      <c r="B60" s="34" t="s">
        <v>1798</v>
      </c>
      <c r="C60" s="34">
        <v>44.7683909</v>
      </c>
      <c r="D60" s="34">
        <v>-88.710896399999996</v>
      </c>
    </row>
    <row r="61" spans="1:4">
      <c r="A61" s="34" t="s">
        <v>977</v>
      </c>
      <c r="B61" s="34" t="s">
        <v>1799</v>
      </c>
      <c r="C61" s="34">
        <v>43.717359500000001</v>
      </c>
      <c r="D61" s="34">
        <v>-87.928480199999996</v>
      </c>
    </row>
    <row r="62" spans="1:4">
      <c r="A62" s="34" t="s">
        <v>980</v>
      </c>
      <c r="B62" s="34" t="s">
        <v>1800</v>
      </c>
      <c r="C62" s="34">
        <v>45.223132499999998</v>
      </c>
      <c r="D62" s="34">
        <v>-90.529916</v>
      </c>
    </row>
    <row r="63" spans="1:4">
      <c r="A63" s="34" t="s">
        <v>983</v>
      </c>
      <c r="B63" s="34" t="s">
        <v>1801</v>
      </c>
      <c r="C63" s="34">
        <v>44.239759200000002</v>
      </c>
      <c r="D63" s="34">
        <v>-91.366215999999994</v>
      </c>
    </row>
    <row r="64" spans="1:4">
      <c r="A64" s="34" t="s">
        <v>986</v>
      </c>
      <c r="B64" s="34" t="s">
        <v>1802</v>
      </c>
      <c r="C64" s="34">
        <v>43.557696800000002</v>
      </c>
      <c r="D64" s="34">
        <v>-90.829400199999995</v>
      </c>
    </row>
    <row r="65" spans="1:4">
      <c r="A65" s="34" t="s">
        <v>989</v>
      </c>
      <c r="B65" s="34" t="s">
        <v>1803</v>
      </c>
      <c r="C65" s="34">
        <v>45.978793899999999</v>
      </c>
      <c r="D65" s="34">
        <v>-89.455916200000004</v>
      </c>
    </row>
    <row r="66" spans="1:4">
      <c r="A66" s="34" t="s">
        <v>992</v>
      </c>
      <c r="B66" s="34" t="s">
        <v>1804</v>
      </c>
      <c r="C66" s="34">
        <v>42.620283399999998</v>
      </c>
      <c r="D66" s="34">
        <v>-88.556531000000007</v>
      </c>
    </row>
    <row r="67" spans="1:4">
      <c r="A67" s="34" t="s">
        <v>995</v>
      </c>
      <c r="B67" s="34" t="s">
        <v>1805</v>
      </c>
      <c r="C67" s="34">
        <v>45.965718600000002</v>
      </c>
      <c r="D67" s="34">
        <v>-91.814894600000002</v>
      </c>
    </row>
    <row r="68" spans="1:4">
      <c r="A68" s="34" t="s">
        <v>998</v>
      </c>
      <c r="B68" s="34" t="s">
        <v>1806</v>
      </c>
      <c r="C68" s="34">
        <v>43.393258600000003</v>
      </c>
      <c r="D68" s="34">
        <v>-88.246118300000006</v>
      </c>
    </row>
    <row r="69" spans="1:4">
      <c r="A69" s="34" t="s">
        <v>1001</v>
      </c>
      <c r="B69" s="34" t="s">
        <v>1807</v>
      </c>
      <c r="C69" s="34">
        <v>43.007259900000001</v>
      </c>
      <c r="D69" s="34">
        <v>-88.323930899999993</v>
      </c>
    </row>
    <row r="70" spans="1:4">
      <c r="A70" s="34" t="s">
        <v>1004</v>
      </c>
      <c r="B70" s="34" t="s">
        <v>1808</v>
      </c>
      <c r="C70" s="34">
        <v>44.4705941</v>
      </c>
      <c r="D70" s="34">
        <v>-89.017933200000002</v>
      </c>
    </row>
    <row r="71" spans="1:4">
      <c r="A71" s="34" t="s">
        <v>1007</v>
      </c>
      <c r="B71" s="34" t="s">
        <v>1809</v>
      </c>
      <c r="C71" s="34">
        <v>44.131312800000003</v>
      </c>
      <c r="D71" s="34">
        <v>-89.208677300000005</v>
      </c>
    </row>
    <row r="72" spans="1:4">
      <c r="A72" s="34" t="s">
        <v>1010</v>
      </c>
      <c r="B72" s="34" t="s">
        <v>1810</v>
      </c>
      <c r="C72" s="34">
        <v>44.012667899999997</v>
      </c>
      <c r="D72" s="34">
        <v>-88.710896399999996</v>
      </c>
    </row>
    <row r="73" spans="1:4">
      <c r="A73" s="34" t="s">
        <v>1013</v>
      </c>
      <c r="B73" s="34" t="s">
        <v>1811</v>
      </c>
      <c r="C73" s="34">
        <v>44.474777400000001</v>
      </c>
      <c r="D73" s="34">
        <v>-90.074676699999998</v>
      </c>
    </row>
    <row r="74" spans="1:4">
      <c r="A74" s="34" t="s">
        <v>1812</v>
      </c>
      <c r="B74" s="34" t="s">
        <v>1813</v>
      </c>
      <c r="C74" s="34">
        <v>43.952722000000001</v>
      </c>
      <c r="D74" s="34">
        <v>-89.657218999999998</v>
      </c>
    </row>
    <row r="75" spans="1:4">
      <c r="A75" s="34" t="s">
        <v>8</v>
      </c>
      <c r="B75" s="34" t="s">
        <v>9</v>
      </c>
      <c r="C75" s="34">
        <v>43.888786400000001</v>
      </c>
      <c r="D75" s="34">
        <v>-89.677463900000006</v>
      </c>
    </row>
    <row r="76" spans="1:4">
      <c r="A76" s="34" t="s">
        <v>12</v>
      </c>
      <c r="B76" s="34" t="s">
        <v>13</v>
      </c>
      <c r="C76" s="34">
        <v>44.366640699999998</v>
      </c>
      <c r="D76" s="34">
        <v>-88.259081800000004</v>
      </c>
    </row>
    <row r="77" spans="1:4">
      <c r="A77" s="34" t="s">
        <v>16</v>
      </c>
      <c r="B77" s="34" t="s">
        <v>17</v>
      </c>
      <c r="C77" s="34">
        <v>45.505208000000003</v>
      </c>
      <c r="D77" s="34">
        <v>-91.755447000000004</v>
      </c>
    </row>
    <row r="78" spans="1:4">
      <c r="A78" s="34" t="s">
        <v>20</v>
      </c>
      <c r="B78" s="34" t="s">
        <v>21</v>
      </c>
      <c r="C78" s="34">
        <v>45.208625300000001</v>
      </c>
      <c r="D78" s="34">
        <v>-91.890834499999997</v>
      </c>
    </row>
    <row r="79" spans="1:4">
      <c r="A79" s="34" t="s">
        <v>23</v>
      </c>
      <c r="B79" s="34" t="s">
        <v>24</v>
      </c>
      <c r="C79" s="34">
        <v>45.4788</v>
      </c>
      <c r="D79" s="34">
        <v>-91.834340999999995</v>
      </c>
    </row>
    <row r="80" spans="1:4">
      <c r="A80" s="34" t="s">
        <v>27</v>
      </c>
      <c r="B80" s="34" t="s">
        <v>28</v>
      </c>
      <c r="C80" s="34">
        <v>45.409592400000001</v>
      </c>
      <c r="D80" s="34">
        <v>-92.036400900000004</v>
      </c>
    </row>
    <row r="81" spans="1:4">
      <c r="A81" s="34" t="s">
        <v>30</v>
      </c>
      <c r="B81" s="34" t="s">
        <v>31</v>
      </c>
      <c r="C81" s="34">
        <v>45.330174</v>
      </c>
      <c r="D81" s="34">
        <v>-91.543636000000006</v>
      </c>
    </row>
    <row r="82" spans="1:4">
      <c r="A82" s="34" t="s">
        <v>33</v>
      </c>
      <c r="B82" s="34" t="s">
        <v>34</v>
      </c>
      <c r="C82" s="34">
        <v>44.253726</v>
      </c>
      <c r="D82" s="34">
        <v>-88.088249000000005</v>
      </c>
    </row>
    <row r="83" spans="1:4">
      <c r="A83" s="34" t="s">
        <v>37</v>
      </c>
      <c r="B83" s="34" t="s">
        <v>38</v>
      </c>
      <c r="C83" s="34">
        <v>44.327973399999998</v>
      </c>
      <c r="D83" s="34">
        <v>-87.972922600000004</v>
      </c>
    </row>
    <row r="84" spans="1:4">
      <c r="A84" s="34" t="s">
        <v>40</v>
      </c>
      <c r="B84" s="34" t="s">
        <v>41</v>
      </c>
      <c r="C84" s="34">
        <v>44.272016999999998</v>
      </c>
      <c r="D84" s="34">
        <v>-87.971349000000004</v>
      </c>
    </row>
    <row r="85" spans="1:4">
      <c r="A85" s="34" t="s">
        <v>43</v>
      </c>
      <c r="B85" s="34" t="s">
        <v>44</v>
      </c>
      <c r="C85" s="34">
        <v>44.282747999999998</v>
      </c>
      <c r="D85" s="34">
        <v>-88.108356000000001</v>
      </c>
    </row>
    <row r="86" spans="1:4">
      <c r="A86" s="34" t="s">
        <v>47</v>
      </c>
      <c r="B86" s="34" t="s">
        <v>48</v>
      </c>
      <c r="C86" s="34">
        <v>44.540205</v>
      </c>
      <c r="D86" s="34">
        <v>-87.789123000000004</v>
      </c>
    </row>
    <row r="87" spans="1:4">
      <c r="A87" s="34" t="s">
        <v>50</v>
      </c>
      <c r="B87" s="34" t="s">
        <v>51</v>
      </c>
      <c r="C87" s="34">
        <v>44.314036000000002</v>
      </c>
      <c r="D87" s="34">
        <v>-87.911237999999997</v>
      </c>
    </row>
    <row r="88" spans="1:4">
      <c r="A88" s="34" t="s">
        <v>53</v>
      </c>
      <c r="B88" s="34" t="s">
        <v>54</v>
      </c>
      <c r="C88" s="34">
        <v>44.340873999999999</v>
      </c>
      <c r="D88" s="34">
        <v>-88.133286999999996</v>
      </c>
    </row>
    <row r="89" spans="1:4">
      <c r="A89" s="34" t="s">
        <v>56</v>
      </c>
      <c r="B89" s="34" t="s">
        <v>57</v>
      </c>
      <c r="C89" s="34">
        <v>44.664352200000003</v>
      </c>
      <c r="D89" s="34">
        <v>-88.150788800000001</v>
      </c>
    </row>
    <row r="90" spans="1:4">
      <c r="A90" s="34" t="s">
        <v>59</v>
      </c>
      <c r="B90" s="34" t="s">
        <v>60</v>
      </c>
      <c r="C90" s="34">
        <v>44.315446000000001</v>
      </c>
      <c r="D90" s="34">
        <v>-88.042710999999997</v>
      </c>
    </row>
    <row r="91" spans="1:4">
      <c r="A91" s="34" t="s">
        <v>62</v>
      </c>
      <c r="B91" s="34" t="s">
        <v>63</v>
      </c>
      <c r="C91" s="34">
        <v>44.347681199999997</v>
      </c>
      <c r="D91" s="34">
        <v>-88.161333799999994</v>
      </c>
    </row>
    <row r="92" spans="1:4">
      <c r="A92" s="34" t="s">
        <v>65</v>
      </c>
      <c r="B92" s="34" t="s">
        <v>66</v>
      </c>
      <c r="C92" s="34">
        <v>44.435093000000002</v>
      </c>
      <c r="D92" s="34">
        <v>-88.1878739</v>
      </c>
    </row>
    <row r="93" spans="1:4">
      <c r="A93" s="34" t="s">
        <v>68</v>
      </c>
      <c r="B93" s="34" t="s">
        <v>69</v>
      </c>
      <c r="C93" s="34">
        <v>44.409053999999998</v>
      </c>
      <c r="D93" s="34">
        <v>-87.904770999999997</v>
      </c>
    </row>
    <row r="94" spans="1:4">
      <c r="A94" s="34" t="s">
        <v>71</v>
      </c>
      <c r="B94" s="34" t="s">
        <v>72</v>
      </c>
      <c r="C94" s="34">
        <v>44.501776499999998</v>
      </c>
      <c r="D94" s="34">
        <v>-87.801453499999994</v>
      </c>
    </row>
    <row r="95" spans="1:4">
      <c r="A95" s="34" t="s">
        <v>74</v>
      </c>
      <c r="B95" s="34" t="s">
        <v>75</v>
      </c>
      <c r="C95" s="34">
        <v>44.3926874</v>
      </c>
      <c r="D95" s="34">
        <v>-88.0903074</v>
      </c>
    </row>
    <row r="96" spans="1:4">
      <c r="A96" s="34" t="s">
        <v>77</v>
      </c>
      <c r="B96" s="34" t="s">
        <v>78</v>
      </c>
      <c r="C96" s="34">
        <v>44.334034000000003</v>
      </c>
      <c r="D96" s="34">
        <v>-88.168627999999998</v>
      </c>
    </row>
    <row r="97" spans="1:4">
      <c r="A97" s="34" t="s">
        <v>80</v>
      </c>
      <c r="B97" s="34" t="s">
        <v>81</v>
      </c>
      <c r="C97" s="34">
        <v>44.337989999999998</v>
      </c>
      <c r="D97" s="34">
        <v>-88.191383200000004</v>
      </c>
    </row>
    <row r="98" spans="1:4">
      <c r="A98" s="34" t="s">
        <v>83</v>
      </c>
      <c r="B98" s="34" t="s">
        <v>84</v>
      </c>
      <c r="C98" s="34">
        <v>44.257303999999998</v>
      </c>
      <c r="D98" s="34">
        <v>-87.961376000000001</v>
      </c>
    </row>
    <row r="99" spans="1:4">
      <c r="A99" s="34" t="s">
        <v>86</v>
      </c>
      <c r="B99" s="34" t="s">
        <v>87</v>
      </c>
      <c r="C99" s="34">
        <v>44.299468300000001</v>
      </c>
      <c r="D99" s="34">
        <v>-88.110763000000006</v>
      </c>
    </row>
    <row r="100" spans="1:4">
      <c r="A100" s="34" t="s">
        <v>89</v>
      </c>
      <c r="B100" s="34" t="s">
        <v>90</v>
      </c>
      <c r="C100" s="34">
        <v>44.006886199999997</v>
      </c>
      <c r="D100" s="34">
        <v>-87.922346300000001</v>
      </c>
    </row>
    <row r="101" spans="1:4">
      <c r="A101" s="34" t="s">
        <v>92</v>
      </c>
      <c r="B101" s="34" t="s">
        <v>93</v>
      </c>
      <c r="C101" s="34">
        <v>44.619570199999998</v>
      </c>
      <c r="D101" s="34">
        <v>-91.872932500000005</v>
      </c>
    </row>
    <row r="102" spans="1:4">
      <c r="A102" s="34" t="s">
        <v>96</v>
      </c>
      <c r="B102" s="34" t="s">
        <v>97</v>
      </c>
      <c r="C102" s="34">
        <v>44.505608100000003</v>
      </c>
      <c r="D102" s="34">
        <v>-91.950622300000006</v>
      </c>
    </row>
    <row r="103" spans="1:4">
      <c r="A103" s="34" t="s">
        <v>99</v>
      </c>
      <c r="B103" s="34" t="s">
        <v>100</v>
      </c>
      <c r="C103" s="34">
        <v>44.265450299999998</v>
      </c>
      <c r="D103" s="34">
        <v>-91.848123900000004</v>
      </c>
    </row>
    <row r="104" spans="1:4">
      <c r="A104" s="34" t="s">
        <v>102</v>
      </c>
      <c r="B104" s="34" t="s">
        <v>103</v>
      </c>
      <c r="C104" s="34">
        <v>45.762307</v>
      </c>
      <c r="D104" s="34">
        <v>-92.631092899999999</v>
      </c>
    </row>
    <row r="105" spans="1:4">
      <c r="A105" s="34" t="s">
        <v>106</v>
      </c>
      <c r="B105" s="34" t="s">
        <v>107</v>
      </c>
      <c r="C105" s="34">
        <v>44.106741100000001</v>
      </c>
      <c r="D105" s="34">
        <v>-88.053320299999996</v>
      </c>
    </row>
    <row r="106" spans="1:4">
      <c r="A106" s="34" t="s">
        <v>110</v>
      </c>
      <c r="B106" s="34" t="s">
        <v>111</v>
      </c>
      <c r="C106" s="34">
        <v>44.226715200000001</v>
      </c>
      <c r="D106" s="34">
        <v>-88.146686599999995</v>
      </c>
    </row>
    <row r="107" spans="1:4">
      <c r="A107" s="34" t="s">
        <v>113</v>
      </c>
      <c r="B107" s="34" t="s">
        <v>114</v>
      </c>
      <c r="C107" s="34">
        <v>44.097000999999999</v>
      </c>
      <c r="D107" s="34">
        <v>-88.147436999999996</v>
      </c>
    </row>
    <row r="108" spans="1:4">
      <c r="A108" s="34" t="s">
        <v>116</v>
      </c>
      <c r="B108" s="34" t="s">
        <v>117</v>
      </c>
      <c r="C108" s="34">
        <v>44.238872999999998</v>
      </c>
      <c r="D108" s="34">
        <v>-88.057051999999999</v>
      </c>
    </row>
    <row r="109" spans="1:4">
      <c r="A109" s="34" t="s">
        <v>119</v>
      </c>
      <c r="B109" s="34" t="s">
        <v>120</v>
      </c>
      <c r="C109" s="34">
        <v>44.057567300000002</v>
      </c>
      <c r="D109" s="34">
        <v>-88.153081200000003</v>
      </c>
    </row>
    <row r="110" spans="1:4">
      <c r="A110" s="34" t="s">
        <v>122</v>
      </c>
      <c r="B110" s="34" t="s">
        <v>123</v>
      </c>
      <c r="C110" s="34">
        <v>44.121958300000003</v>
      </c>
      <c r="D110" s="34">
        <v>-88.185131600000005</v>
      </c>
    </row>
    <row r="111" spans="1:4">
      <c r="A111" s="34" t="s">
        <v>126</v>
      </c>
      <c r="B111" s="34" t="s">
        <v>127</v>
      </c>
      <c r="C111" s="34">
        <v>44.203572000000001</v>
      </c>
      <c r="D111" s="34">
        <v>-88.106757000000002</v>
      </c>
    </row>
    <row r="112" spans="1:4">
      <c r="A112" s="34" t="s">
        <v>129</v>
      </c>
      <c r="B112" s="34" t="s">
        <v>130</v>
      </c>
      <c r="C112" s="34">
        <v>44.122421000000003</v>
      </c>
      <c r="D112" s="34">
        <v>-88.112622000000002</v>
      </c>
    </row>
    <row r="113" spans="1:4">
      <c r="A113" s="34" t="s">
        <v>132</v>
      </c>
      <c r="B113" s="34" t="s">
        <v>133</v>
      </c>
      <c r="C113" s="34">
        <v>44.235045</v>
      </c>
      <c r="D113" s="34">
        <v>-88.060980000000001</v>
      </c>
    </row>
    <row r="114" spans="1:4">
      <c r="A114" s="34" t="s">
        <v>135</v>
      </c>
      <c r="B114" s="34" t="s">
        <v>136</v>
      </c>
      <c r="C114" s="34">
        <v>44.965924700000002</v>
      </c>
      <c r="D114" s="34">
        <v>-90.9746861</v>
      </c>
    </row>
    <row r="115" spans="1:4">
      <c r="A115" s="34" t="s">
        <v>139</v>
      </c>
      <c r="B115" s="34" t="s">
        <v>140</v>
      </c>
      <c r="C115" s="34">
        <v>44.901921999999999</v>
      </c>
      <c r="D115" s="34">
        <v>-91.497806999999995</v>
      </c>
    </row>
    <row r="116" spans="1:4">
      <c r="A116" s="34" t="s">
        <v>142</v>
      </c>
      <c r="B116" s="34" t="s">
        <v>143</v>
      </c>
      <c r="C116" s="34">
        <v>45.0032736</v>
      </c>
      <c r="D116" s="34">
        <v>-90.352642900000006</v>
      </c>
    </row>
    <row r="117" spans="1:4">
      <c r="A117" s="34" t="s">
        <v>146</v>
      </c>
      <c r="B117" s="34" t="s">
        <v>147</v>
      </c>
      <c r="C117" s="34">
        <v>44.8511138</v>
      </c>
      <c r="D117" s="34">
        <v>-90.234797400000005</v>
      </c>
    </row>
    <row r="118" spans="1:4">
      <c r="A118" s="34" t="s">
        <v>149</v>
      </c>
      <c r="B118" s="34" t="s">
        <v>150</v>
      </c>
      <c r="C118" s="34">
        <v>44.610753899999999</v>
      </c>
      <c r="D118" s="34">
        <v>-90.536198299999995</v>
      </c>
    </row>
    <row r="119" spans="1:4">
      <c r="A119" s="34" t="s">
        <v>152</v>
      </c>
      <c r="B119" s="34" t="s">
        <v>153</v>
      </c>
      <c r="C119" s="34">
        <v>44.757329200000001</v>
      </c>
      <c r="D119" s="34">
        <v>-90.259134399999994</v>
      </c>
    </row>
    <row r="120" spans="1:4">
      <c r="A120" s="34" t="s">
        <v>155</v>
      </c>
      <c r="B120" s="34" t="s">
        <v>156</v>
      </c>
      <c r="C120" s="34">
        <v>44.944526500000002</v>
      </c>
      <c r="D120" s="34">
        <v>-90.760151199999996</v>
      </c>
    </row>
    <row r="121" spans="1:4">
      <c r="A121" s="34" t="s">
        <v>158</v>
      </c>
      <c r="B121" s="34" t="s">
        <v>159</v>
      </c>
      <c r="C121" s="34">
        <v>44.705272000000001</v>
      </c>
      <c r="D121" s="34">
        <v>-90.435282000000001</v>
      </c>
    </row>
    <row r="122" spans="1:4">
      <c r="A122" s="34" t="s">
        <v>161</v>
      </c>
      <c r="B122" s="34" t="s">
        <v>162</v>
      </c>
      <c r="C122" s="34">
        <v>44.523899999999998</v>
      </c>
      <c r="D122" s="34">
        <v>-90.748724300000006</v>
      </c>
    </row>
    <row r="123" spans="1:4">
      <c r="A123" s="34" t="s">
        <v>164</v>
      </c>
      <c r="B123" s="34" t="s">
        <v>165</v>
      </c>
      <c r="C123" s="34">
        <v>45.017360600000004</v>
      </c>
      <c r="D123" s="34">
        <v>-90.355686300000002</v>
      </c>
    </row>
    <row r="124" spans="1:4">
      <c r="A124" s="34" t="s">
        <v>167</v>
      </c>
      <c r="B124" s="34" t="s">
        <v>168</v>
      </c>
      <c r="C124" s="34">
        <v>42.788921899999998</v>
      </c>
      <c r="D124" s="34">
        <v>-89.813553600000006</v>
      </c>
    </row>
    <row r="125" spans="1:4">
      <c r="A125" s="34" t="s">
        <v>170</v>
      </c>
      <c r="B125" s="34" t="s">
        <v>171</v>
      </c>
      <c r="C125" s="34">
        <v>44.6407302</v>
      </c>
      <c r="D125" s="34">
        <v>-90.377142800000001</v>
      </c>
    </row>
    <row r="126" spans="1:4">
      <c r="A126" s="34" t="s">
        <v>173</v>
      </c>
      <c r="B126" s="34" t="s">
        <v>174</v>
      </c>
      <c r="C126" s="34">
        <v>43.272438299999997</v>
      </c>
      <c r="D126" s="34">
        <v>-89.421943200000001</v>
      </c>
    </row>
    <row r="127" spans="1:4">
      <c r="A127" s="34" t="s">
        <v>177</v>
      </c>
      <c r="B127" s="34" t="s">
        <v>178</v>
      </c>
      <c r="C127" s="34">
        <v>43.290203099999999</v>
      </c>
      <c r="D127" s="34">
        <v>-89.324757399999996</v>
      </c>
    </row>
    <row r="128" spans="1:4">
      <c r="A128" s="34" t="s">
        <v>180</v>
      </c>
      <c r="B128" s="34" t="s">
        <v>181</v>
      </c>
      <c r="C128" s="34">
        <v>43.262742699999997</v>
      </c>
      <c r="D128" s="34">
        <v>-89.421748699999995</v>
      </c>
    </row>
    <row r="129" spans="1:4">
      <c r="A129" s="34" t="s">
        <v>183</v>
      </c>
      <c r="B129" s="34" t="s">
        <v>184</v>
      </c>
      <c r="C129" s="34">
        <v>43.150987000000001</v>
      </c>
      <c r="D129" s="34">
        <v>-89.072552999999999</v>
      </c>
    </row>
    <row r="130" spans="1:4">
      <c r="A130" s="34" t="s">
        <v>186</v>
      </c>
      <c r="B130" s="34" t="s">
        <v>187</v>
      </c>
      <c r="C130" s="34">
        <v>43.222611999999998</v>
      </c>
      <c r="D130" s="34">
        <v>-89.144126999999997</v>
      </c>
    </row>
    <row r="131" spans="1:4">
      <c r="A131" s="34" t="s">
        <v>189</v>
      </c>
      <c r="B131" s="34" t="s">
        <v>190</v>
      </c>
      <c r="C131" s="34">
        <v>42.873460999999999</v>
      </c>
      <c r="D131" s="34">
        <v>-89.522407999999999</v>
      </c>
    </row>
    <row r="132" spans="1:4">
      <c r="A132" s="34" t="s">
        <v>192</v>
      </c>
      <c r="B132" s="34" t="s">
        <v>193</v>
      </c>
      <c r="C132" s="34">
        <v>43.133923000000003</v>
      </c>
      <c r="D132" s="34">
        <v>-89.176236000000003</v>
      </c>
    </row>
    <row r="133" spans="1:4">
      <c r="A133" s="34" t="s">
        <v>195</v>
      </c>
      <c r="B133" s="34" t="s">
        <v>196</v>
      </c>
      <c r="C133" s="34">
        <v>43.219504000000001</v>
      </c>
      <c r="D133" s="34">
        <v>-89.484778000000006</v>
      </c>
    </row>
    <row r="134" spans="1:4">
      <c r="A134" s="34" t="s">
        <v>198</v>
      </c>
      <c r="B134" s="34" t="s">
        <v>199</v>
      </c>
      <c r="C134" s="34">
        <v>43.161296900000004</v>
      </c>
      <c r="D134" s="34">
        <v>-89.170065500000007</v>
      </c>
    </row>
    <row r="135" spans="1:4">
      <c r="A135" s="34" t="s">
        <v>201</v>
      </c>
      <c r="B135" s="34" t="s">
        <v>202</v>
      </c>
      <c r="C135" s="34">
        <v>43.125592699999999</v>
      </c>
      <c r="D135" s="34">
        <v>-89.551138600000002</v>
      </c>
    </row>
    <row r="136" spans="1:4">
      <c r="A136" s="34" t="s">
        <v>204</v>
      </c>
      <c r="B136" s="34" t="s">
        <v>205</v>
      </c>
      <c r="C136" s="34">
        <v>43.214886999999997</v>
      </c>
      <c r="D136" s="34">
        <v>-89.479005999999998</v>
      </c>
    </row>
    <row r="137" spans="1:4">
      <c r="A137" s="34" t="s">
        <v>208</v>
      </c>
      <c r="B137" s="34" t="s">
        <v>209</v>
      </c>
      <c r="C137" s="34">
        <v>43.127558000000001</v>
      </c>
      <c r="D137" s="34">
        <v>-89.543803999999994</v>
      </c>
    </row>
    <row r="138" spans="1:4">
      <c r="A138" s="34" t="s">
        <v>211</v>
      </c>
      <c r="B138" s="34" t="s">
        <v>212</v>
      </c>
      <c r="C138" s="34">
        <v>43.574064</v>
      </c>
      <c r="D138" s="34">
        <v>-88.450539000000006</v>
      </c>
    </row>
    <row r="139" spans="1:4">
      <c r="A139" s="34" t="s">
        <v>215</v>
      </c>
      <c r="B139" s="34" t="s">
        <v>216</v>
      </c>
      <c r="C139" s="34">
        <v>43.234300900000001</v>
      </c>
      <c r="D139" s="34">
        <v>-88.966055999999995</v>
      </c>
    </row>
    <row r="140" spans="1:4">
      <c r="A140" s="34" t="s">
        <v>218</v>
      </c>
      <c r="B140" s="34" t="s">
        <v>219</v>
      </c>
      <c r="C140" s="34">
        <v>43.487582000000003</v>
      </c>
      <c r="D140" s="34">
        <v>-88.432642000000001</v>
      </c>
    </row>
    <row r="141" spans="1:4">
      <c r="A141" s="34" t="s">
        <v>221</v>
      </c>
      <c r="B141" s="34" t="s">
        <v>222</v>
      </c>
      <c r="C141" s="34">
        <v>43.512320099999997</v>
      </c>
      <c r="D141" s="34">
        <v>-88.775420199999999</v>
      </c>
    </row>
    <row r="142" spans="1:4">
      <c r="A142" s="34" t="s">
        <v>224</v>
      </c>
      <c r="B142" s="34" t="s">
        <v>225</v>
      </c>
      <c r="C142" s="34">
        <v>43.398446100000001</v>
      </c>
      <c r="D142" s="34">
        <v>-88.681231699999998</v>
      </c>
    </row>
    <row r="143" spans="1:4">
      <c r="A143" s="34" t="s">
        <v>227</v>
      </c>
      <c r="B143" s="34" t="s">
        <v>228</v>
      </c>
      <c r="C143" s="34">
        <v>44.736683900000003</v>
      </c>
      <c r="D143" s="34">
        <v>-87.502754899999999</v>
      </c>
    </row>
    <row r="144" spans="1:4">
      <c r="A144" s="34" t="s">
        <v>231</v>
      </c>
      <c r="B144" s="34" t="s">
        <v>232</v>
      </c>
      <c r="C144" s="34">
        <v>44.772644800000002</v>
      </c>
      <c r="D144" s="34">
        <v>-91.939458400000007</v>
      </c>
    </row>
    <row r="145" spans="1:4">
      <c r="A145" s="34" t="s">
        <v>235</v>
      </c>
      <c r="B145" s="34" t="s">
        <v>236</v>
      </c>
      <c r="C145" s="34">
        <v>45.147021100000003</v>
      </c>
      <c r="D145" s="34">
        <v>-91.666094799999996</v>
      </c>
    </row>
    <row r="146" spans="1:4">
      <c r="A146" s="34" t="s">
        <v>238</v>
      </c>
      <c r="B146" s="34" t="s">
        <v>239</v>
      </c>
      <c r="C146" s="34">
        <v>44.892394299999999</v>
      </c>
      <c r="D146" s="34">
        <v>-91.659736100000003</v>
      </c>
    </row>
    <row r="147" spans="1:4">
      <c r="A147" s="34" t="s">
        <v>241</v>
      </c>
      <c r="B147" s="34" t="s">
        <v>242</v>
      </c>
      <c r="C147" s="34">
        <v>45.008615900000002</v>
      </c>
      <c r="D147" s="34">
        <v>-91.760821800000002</v>
      </c>
    </row>
    <row r="148" spans="1:4">
      <c r="A148" s="34" t="s">
        <v>244</v>
      </c>
      <c r="B148" s="34" t="s">
        <v>245</v>
      </c>
      <c r="C148" s="34">
        <v>44.623206000000003</v>
      </c>
      <c r="D148" s="34">
        <v>-91.425370000000001</v>
      </c>
    </row>
    <row r="149" spans="1:4">
      <c r="A149" s="34" t="s">
        <v>248</v>
      </c>
      <c r="B149" s="34" t="s">
        <v>249</v>
      </c>
      <c r="C149" s="34">
        <v>43.835417999999997</v>
      </c>
      <c r="D149" s="34">
        <v>-88.293543999999997</v>
      </c>
    </row>
    <row r="150" spans="1:4">
      <c r="A150" s="34" t="s">
        <v>252</v>
      </c>
      <c r="B150" s="34" t="s">
        <v>253</v>
      </c>
      <c r="C150" s="34">
        <v>43.692145600000003</v>
      </c>
      <c r="D150" s="34">
        <v>-88.362416400000001</v>
      </c>
    </row>
    <row r="151" spans="1:4">
      <c r="A151" s="34" t="s">
        <v>255</v>
      </c>
      <c r="B151" s="34" t="s">
        <v>256</v>
      </c>
      <c r="C151" s="34">
        <v>43.565222800000001</v>
      </c>
      <c r="D151" s="34">
        <v>-88.370813100000007</v>
      </c>
    </row>
    <row r="152" spans="1:4">
      <c r="A152" s="34" t="s">
        <v>258</v>
      </c>
      <c r="B152" s="34" t="s">
        <v>259</v>
      </c>
      <c r="C152" s="34">
        <v>43.661022600000003</v>
      </c>
      <c r="D152" s="34">
        <v>-88.5026096</v>
      </c>
    </row>
    <row r="153" spans="1:4">
      <c r="A153" s="34" t="s">
        <v>261</v>
      </c>
      <c r="B153" s="34" t="s">
        <v>262</v>
      </c>
      <c r="C153" s="34">
        <v>43.668894799999997</v>
      </c>
      <c r="D153" s="34">
        <v>-88.865461499999995</v>
      </c>
    </row>
    <row r="154" spans="1:4">
      <c r="A154" s="34" t="s">
        <v>264</v>
      </c>
      <c r="B154" s="34" t="s">
        <v>265</v>
      </c>
      <c r="C154" s="34">
        <v>43.906892200000001</v>
      </c>
      <c r="D154" s="34">
        <v>-88.2924711</v>
      </c>
    </row>
    <row r="155" spans="1:4">
      <c r="A155" s="34" t="s">
        <v>267</v>
      </c>
      <c r="B155" s="34" t="s">
        <v>268</v>
      </c>
      <c r="C155" s="34">
        <v>43.933456999999997</v>
      </c>
      <c r="D155" s="34">
        <v>-88.184374000000005</v>
      </c>
    </row>
    <row r="156" spans="1:4">
      <c r="A156" s="34" t="s">
        <v>270</v>
      </c>
      <c r="B156" s="34" t="s">
        <v>271</v>
      </c>
      <c r="C156" s="34">
        <v>43.686573000000003</v>
      </c>
      <c r="D156" s="34">
        <v>-88.398594000000003</v>
      </c>
    </row>
    <row r="157" spans="1:4">
      <c r="A157" s="34" t="s">
        <v>273</v>
      </c>
      <c r="B157" s="34" t="s">
        <v>274</v>
      </c>
      <c r="C157" s="34">
        <v>43.8181248</v>
      </c>
      <c r="D157" s="34">
        <v>-88.324048300000001</v>
      </c>
    </row>
    <row r="158" spans="1:4">
      <c r="A158" s="34" t="s">
        <v>276</v>
      </c>
      <c r="B158" s="34" t="s">
        <v>277</v>
      </c>
      <c r="C158" s="34">
        <v>43.863818000000002</v>
      </c>
      <c r="D158" s="34">
        <v>-88.617178899999999</v>
      </c>
    </row>
    <row r="159" spans="1:4">
      <c r="A159" s="34" t="s">
        <v>279</v>
      </c>
      <c r="B159" s="34" t="s">
        <v>280</v>
      </c>
      <c r="C159" s="34">
        <v>43.867770999999998</v>
      </c>
      <c r="D159" s="34">
        <v>-88.717945</v>
      </c>
    </row>
    <row r="160" spans="1:4">
      <c r="A160" s="34" t="s">
        <v>282</v>
      </c>
      <c r="B160" s="34" t="s">
        <v>283</v>
      </c>
      <c r="C160" s="34">
        <v>43.862695000000002</v>
      </c>
      <c r="D160" s="34">
        <v>-88.521647999999999</v>
      </c>
    </row>
    <row r="161" spans="1:4">
      <c r="A161" s="34" t="s">
        <v>285</v>
      </c>
      <c r="B161" s="34" t="s">
        <v>286</v>
      </c>
      <c r="C161" s="34">
        <v>43.6780951</v>
      </c>
      <c r="D161" s="34">
        <v>-88.355497299999996</v>
      </c>
    </row>
    <row r="162" spans="1:4">
      <c r="A162" s="34" t="s">
        <v>288</v>
      </c>
      <c r="B162" s="34" t="s">
        <v>289</v>
      </c>
      <c r="C162" s="34">
        <v>43.726016000000001</v>
      </c>
      <c r="D162" s="34">
        <v>-88.398931000000005</v>
      </c>
    </row>
    <row r="163" spans="1:4">
      <c r="A163" s="34" t="s">
        <v>291</v>
      </c>
      <c r="B163" s="34" t="s">
        <v>292</v>
      </c>
      <c r="C163" s="34">
        <v>42.934880100000001</v>
      </c>
      <c r="D163" s="34">
        <v>-91.090402999999995</v>
      </c>
    </row>
    <row r="164" spans="1:4">
      <c r="A164" s="34" t="s">
        <v>295</v>
      </c>
      <c r="B164" s="34" t="s">
        <v>296</v>
      </c>
      <c r="C164" s="34">
        <v>42.679625199999997</v>
      </c>
      <c r="D164" s="34">
        <v>-90.583114600000002</v>
      </c>
    </row>
    <row r="165" spans="1:4">
      <c r="A165" s="34" t="s">
        <v>298</v>
      </c>
      <c r="B165" s="34" t="s">
        <v>299</v>
      </c>
      <c r="C165" s="34">
        <v>42.864587999999998</v>
      </c>
      <c r="D165" s="34">
        <v>-90.696185299999996</v>
      </c>
    </row>
    <row r="166" spans="1:4">
      <c r="A166" s="34" t="s">
        <v>301</v>
      </c>
      <c r="B166" s="34" t="s">
        <v>302</v>
      </c>
      <c r="C166" s="34">
        <v>43.006585700000002</v>
      </c>
      <c r="D166" s="34">
        <v>-90.602896999999999</v>
      </c>
    </row>
    <row r="167" spans="1:4">
      <c r="A167" s="34" t="s">
        <v>304</v>
      </c>
      <c r="B167" s="34" t="s">
        <v>305</v>
      </c>
      <c r="C167" s="34">
        <v>43.7013946</v>
      </c>
      <c r="D167" s="34">
        <v>-89.051151000000004</v>
      </c>
    </row>
    <row r="168" spans="1:4">
      <c r="A168" s="34" t="s">
        <v>308</v>
      </c>
      <c r="B168" s="34" t="s">
        <v>309</v>
      </c>
      <c r="C168" s="34">
        <v>43.7057395</v>
      </c>
      <c r="D168" s="34">
        <v>-89.051013400000002</v>
      </c>
    </row>
    <row r="169" spans="1:4">
      <c r="A169" s="34" t="s">
        <v>311</v>
      </c>
      <c r="B169" s="34" t="s">
        <v>312</v>
      </c>
      <c r="C169" s="34">
        <v>43.634875000000001</v>
      </c>
      <c r="D169" s="34">
        <v>-89.004733999999999</v>
      </c>
    </row>
    <row r="170" spans="1:4">
      <c r="A170" s="34" t="s">
        <v>314</v>
      </c>
      <c r="B170" s="34" t="s">
        <v>315</v>
      </c>
      <c r="C170" s="34">
        <v>43.971248799999998</v>
      </c>
      <c r="D170" s="34">
        <v>-89.0123277</v>
      </c>
    </row>
    <row r="171" spans="1:4">
      <c r="A171" s="34" t="s">
        <v>317</v>
      </c>
      <c r="B171" s="34" t="s">
        <v>318</v>
      </c>
      <c r="C171" s="34">
        <v>42.771712299999997</v>
      </c>
      <c r="D171" s="34">
        <v>-89.423346600000002</v>
      </c>
    </row>
    <row r="172" spans="1:4">
      <c r="A172" s="34" t="s">
        <v>321</v>
      </c>
      <c r="B172" s="34" t="s">
        <v>322</v>
      </c>
      <c r="C172" s="34">
        <v>42.646127700000001</v>
      </c>
      <c r="D172" s="34">
        <v>-89.387002600000002</v>
      </c>
    </row>
    <row r="173" spans="1:4">
      <c r="A173" s="34" t="s">
        <v>324</v>
      </c>
      <c r="B173" s="34" t="s">
        <v>325</v>
      </c>
      <c r="C173" s="34">
        <v>42.736021999999998</v>
      </c>
      <c r="D173" s="34">
        <v>-89.663736</v>
      </c>
    </row>
    <row r="174" spans="1:4">
      <c r="A174" s="34" t="s">
        <v>327</v>
      </c>
      <c r="B174" s="34" t="s">
        <v>328</v>
      </c>
      <c r="C174" s="34">
        <v>42.601331500000001</v>
      </c>
      <c r="D174" s="34">
        <v>-89.391756400000006</v>
      </c>
    </row>
    <row r="175" spans="1:4">
      <c r="A175" s="34" t="s">
        <v>330</v>
      </c>
      <c r="B175" s="34" t="s">
        <v>331</v>
      </c>
      <c r="C175" s="34">
        <v>44.223827800000002</v>
      </c>
      <c r="D175" s="34">
        <v>-91.085115500000001</v>
      </c>
    </row>
    <row r="176" spans="1:4">
      <c r="A176" s="34" t="s">
        <v>334</v>
      </c>
      <c r="B176" s="34" t="s">
        <v>335</v>
      </c>
      <c r="C176" s="34">
        <v>44.318888700000002</v>
      </c>
      <c r="D176" s="34">
        <v>-91.064976700000003</v>
      </c>
    </row>
    <row r="177" spans="1:4">
      <c r="A177" s="34" t="s">
        <v>337</v>
      </c>
      <c r="B177" s="34" t="s">
        <v>338</v>
      </c>
      <c r="C177" s="34">
        <v>44.436541599999998</v>
      </c>
      <c r="D177" s="34">
        <v>-90.936541599999998</v>
      </c>
    </row>
    <row r="178" spans="1:4">
      <c r="A178" s="34" t="s">
        <v>340</v>
      </c>
      <c r="B178" s="34" t="s">
        <v>341</v>
      </c>
      <c r="C178" s="34">
        <v>44.126124099999998</v>
      </c>
      <c r="D178" s="34">
        <v>-90.996634099999994</v>
      </c>
    </row>
    <row r="179" spans="1:4">
      <c r="A179" s="34" t="s">
        <v>343</v>
      </c>
      <c r="B179" s="34" t="s">
        <v>344</v>
      </c>
      <c r="C179" s="34">
        <v>44.401341799999997</v>
      </c>
      <c r="D179" s="34">
        <v>-91.105385100000007</v>
      </c>
    </row>
    <row r="180" spans="1:4">
      <c r="A180" s="34" t="s">
        <v>346</v>
      </c>
      <c r="B180" s="34" t="s">
        <v>347</v>
      </c>
      <c r="C180" s="34">
        <v>42.973292000000001</v>
      </c>
      <c r="D180" s="34">
        <v>-88.775481999999997</v>
      </c>
    </row>
    <row r="181" spans="1:4">
      <c r="A181" s="34" t="s">
        <v>350</v>
      </c>
      <c r="B181" s="34" t="s">
        <v>351</v>
      </c>
      <c r="C181" s="34">
        <v>42.868704000000001</v>
      </c>
      <c r="D181" s="34">
        <v>-88.868785000000003</v>
      </c>
    </row>
    <row r="182" spans="1:4">
      <c r="A182" s="34" t="s">
        <v>353</v>
      </c>
      <c r="B182" s="34" t="s">
        <v>354</v>
      </c>
      <c r="C182" s="34">
        <v>43.136545499999997</v>
      </c>
      <c r="D182" s="34">
        <v>-88.722133499999998</v>
      </c>
    </row>
    <row r="183" spans="1:4">
      <c r="A183" s="34" t="s">
        <v>356</v>
      </c>
      <c r="B183" s="34" t="s">
        <v>357</v>
      </c>
      <c r="C183" s="34">
        <v>43.163074600000002</v>
      </c>
      <c r="D183" s="34">
        <v>-88.574254999999994</v>
      </c>
    </row>
    <row r="184" spans="1:4">
      <c r="A184" s="34" t="s">
        <v>359</v>
      </c>
      <c r="B184" s="34" t="s">
        <v>360</v>
      </c>
      <c r="C184" s="34">
        <v>44.221257299999998</v>
      </c>
      <c r="D184" s="34">
        <v>-89.955867100000006</v>
      </c>
    </row>
    <row r="185" spans="1:4">
      <c r="A185" s="34" t="s">
        <v>363</v>
      </c>
      <c r="B185" s="34" t="s">
        <v>364</v>
      </c>
      <c r="C185" s="34">
        <v>44.369335900000003</v>
      </c>
      <c r="D185" s="34">
        <v>-87.549177999999998</v>
      </c>
    </row>
    <row r="186" spans="1:4">
      <c r="A186" s="34" t="s">
        <v>367</v>
      </c>
      <c r="B186" s="34" t="s">
        <v>368</v>
      </c>
      <c r="C186" s="34">
        <v>44.612413500000002</v>
      </c>
      <c r="D186" s="34">
        <v>-87.763085200000006</v>
      </c>
    </row>
    <row r="187" spans="1:4">
      <c r="A187" s="34" t="s">
        <v>370</v>
      </c>
      <c r="B187" s="34" t="s">
        <v>371</v>
      </c>
      <c r="C187" s="34">
        <v>44.663093000000003</v>
      </c>
      <c r="D187" s="34">
        <v>-87.588471999999996</v>
      </c>
    </row>
    <row r="188" spans="1:4">
      <c r="A188" s="34" t="s">
        <v>373</v>
      </c>
      <c r="B188" s="34" t="s">
        <v>374</v>
      </c>
      <c r="C188" s="34">
        <v>44.367396900000003</v>
      </c>
      <c r="D188" s="34">
        <v>-87.665802999999997</v>
      </c>
    </row>
    <row r="189" spans="1:4">
      <c r="A189" s="34" t="s">
        <v>376</v>
      </c>
      <c r="B189" s="34" t="s">
        <v>377</v>
      </c>
      <c r="C189" s="34">
        <v>44.6183421</v>
      </c>
      <c r="D189" s="34">
        <v>-87.581522899999996</v>
      </c>
    </row>
    <row r="190" spans="1:4">
      <c r="A190" s="34" t="s">
        <v>379</v>
      </c>
      <c r="B190" s="34" t="s">
        <v>380</v>
      </c>
      <c r="C190" s="34">
        <v>44.601945000000001</v>
      </c>
      <c r="D190" s="34">
        <v>-87.565269000000001</v>
      </c>
    </row>
    <row r="191" spans="1:4">
      <c r="A191" s="34" t="s">
        <v>382</v>
      </c>
      <c r="B191" s="34" t="s">
        <v>383</v>
      </c>
      <c r="C191" s="34">
        <v>44.479872899999997</v>
      </c>
      <c r="D191" s="34">
        <v>-87.574372600000004</v>
      </c>
    </row>
    <row r="192" spans="1:4">
      <c r="A192" s="34" t="s">
        <v>385</v>
      </c>
      <c r="B192" s="34" t="s">
        <v>386</v>
      </c>
      <c r="C192" s="34">
        <v>44.546913000000004</v>
      </c>
      <c r="D192" s="34">
        <v>-87.580979999999997</v>
      </c>
    </row>
    <row r="193" spans="1:4">
      <c r="A193" s="34" t="s">
        <v>388</v>
      </c>
      <c r="B193" s="34" t="s">
        <v>389</v>
      </c>
      <c r="C193" s="34">
        <v>44.616287</v>
      </c>
      <c r="D193" s="34">
        <v>-87.633949999999999</v>
      </c>
    </row>
    <row r="194" spans="1:4">
      <c r="A194" s="34" t="s">
        <v>391</v>
      </c>
      <c r="B194" s="34" t="s">
        <v>392</v>
      </c>
      <c r="C194" s="34">
        <v>44.499710399999998</v>
      </c>
      <c r="D194" s="34">
        <v>-87.595588100000001</v>
      </c>
    </row>
    <row r="195" spans="1:4">
      <c r="A195" s="34" t="s">
        <v>394</v>
      </c>
      <c r="B195" s="34" t="s">
        <v>395</v>
      </c>
      <c r="C195" s="34">
        <v>44.441777199999997</v>
      </c>
      <c r="D195" s="34">
        <v>-87.684551299999995</v>
      </c>
    </row>
    <row r="196" spans="1:4">
      <c r="A196" s="34" t="s">
        <v>397</v>
      </c>
      <c r="B196" s="34" t="s">
        <v>398</v>
      </c>
      <c r="C196" s="34">
        <v>44.514428000000002</v>
      </c>
      <c r="D196" s="34">
        <v>-87.7320359</v>
      </c>
    </row>
    <row r="197" spans="1:4">
      <c r="A197" s="34" t="s">
        <v>400</v>
      </c>
      <c r="B197" s="34" t="s">
        <v>401</v>
      </c>
      <c r="C197" s="34">
        <v>44.597805999999999</v>
      </c>
      <c r="D197" s="34">
        <v>-87.731243000000006</v>
      </c>
    </row>
    <row r="198" spans="1:4">
      <c r="A198" s="34" t="s">
        <v>403</v>
      </c>
      <c r="B198" s="34" t="s">
        <v>404</v>
      </c>
      <c r="C198" s="34">
        <v>44.516226199999998</v>
      </c>
      <c r="D198" s="34">
        <v>-87.704175000000006</v>
      </c>
    </row>
    <row r="199" spans="1:4">
      <c r="A199" s="34" t="s">
        <v>406</v>
      </c>
      <c r="B199" s="34" t="s">
        <v>407</v>
      </c>
      <c r="C199" s="34">
        <v>44.409104900000003</v>
      </c>
      <c r="D199" s="34">
        <v>-87.539651000000006</v>
      </c>
    </row>
    <row r="200" spans="1:4">
      <c r="A200" s="34" t="s">
        <v>409</v>
      </c>
      <c r="B200" s="34" t="s">
        <v>410</v>
      </c>
      <c r="C200" s="34">
        <v>42.632818499999999</v>
      </c>
      <c r="D200" s="34">
        <v>-89.946067999999997</v>
      </c>
    </row>
    <row r="201" spans="1:4">
      <c r="A201" s="34" t="s">
        <v>413</v>
      </c>
      <c r="B201" s="34" t="s">
        <v>414</v>
      </c>
      <c r="C201" s="34">
        <v>42.653357100000001</v>
      </c>
      <c r="D201" s="34">
        <v>-90.291845800000004</v>
      </c>
    </row>
    <row r="202" spans="1:4">
      <c r="A202" s="34" t="s">
        <v>416</v>
      </c>
      <c r="B202" s="34" t="s">
        <v>417</v>
      </c>
      <c r="C202" s="34">
        <v>42.785343500000003</v>
      </c>
      <c r="D202" s="34">
        <v>-90.256516599999998</v>
      </c>
    </row>
    <row r="203" spans="1:4">
      <c r="A203" s="34" t="s">
        <v>419</v>
      </c>
      <c r="B203" s="34" t="s">
        <v>420</v>
      </c>
      <c r="C203" s="34">
        <v>42.568895499999996</v>
      </c>
      <c r="D203" s="34">
        <v>-89.879844800000001</v>
      </c>
    </row>
    <row r="204" spans="1:4">
      <c r="A204" s="34" t="s">
        <v>422</v>
      </c>
      <c r="B204" s="34" t="s">
        <v>423</v>
      </c>
      <c r="C204" s="34">
        <v>42.653357100000001</v>
      </c>
      <c r="D204" s="34">
        <v>-90.291845800000004</v>
      </c>
    </row>
    <row r="205" spans="1:4">
      <c r="A205" s="34" t="s">
        <v>425</v>
      </c>
      <c r="B205" s="34" t="s">
        <v>426</v>
      </c>
      <c r="C205" s="34">
        <v>45.260918400000001</v>
      </c>
      <c r="D205" s="34">
        <v>-89.132012900000007</v>
      </c>
    </row>
    <row r="206" spans="1:4">
      <c r="A206" s="34" t="s">
        <v>429</v>
      </c>
      <c r="B206" s="34" t="s">
        <v>430</v>
      </c>
      <c r="C206" s="34">
        <v>45.195714600000002</v>
      </c>
      <c r="D206" s="34">
        <v>-89.031590199999997</v>
      </c>
    </row>
    <row r="207" spans="1:4">
      <c r="A207" s="34" t="s">
        <v>432</v>
      </c>
      <c r="B207" s="34" t="s">
        <v>433</v>
      </c>
      <c r="C207" s="34">
        <v>44.037154600000001</v>
      </c>
      <c r="D207" s="34">
        <v>-87.894531000000001</v>
      </c>
    </row>
    <row r="208" spans="1:4">
      <c r="A208" s="34" t="s">
        <v>436</v>
      </c>
      <c r="B208" s="34" t="s">
        <v>437</v>
      </c>
      <c r="C208" s="34">
        <v>44.115082000000001</v>
      </c>
      <c r="D208" s="34">
        <v>-87.879446000000002</v>
      </c>
    </row>
    <row r="209" spans="1:4">
      <c r="A209" s="34" t="s">
        <v>439</v>
      </c>
      <c r="B209" s="34" t="s">
        <v>440</v>
      </c>
      <c r="C209" s="34">
        <v>44.115082000000001</v>
      </c>
      <c r="D209" s="34">
        <v>-87.879446000000002</v>
      </c>
    </row>
    <row r="210" spans="1:4">
      <c r="A210" s="34" t="s">
        <v>441</v>
      </c>
      <c r="B210" s="34" t="s">
        <v>442</v>
      </c>
      <c r="C210" s="34">
        <v>44.090496999999999</v>
      </c>
      <c r="D210" s="34">
        <v>-87.870987999999997</v>
      </c>
    </row>
    <row r="211" spans="1:4">
      <c r="A211" s="34" t="s">
        <v>444</v>
      </c>
      <c r="B211" s="34" t="s">
        <v>445</v>
      </c>
      <c r="C211" s="34">
        <v>43.979008299999997</v>
      </c>
      <c r="D211" s="34">
        <v>-87.821797000000004</v>
      </c>
    </row>
    <row r="212" spans="1:4">
      <c r="A212" s="34" t="s">
        <v>447</v>
      </c>
      <c r="B212" s="34" t="s">
        <v>448</v>
      </c>
      <c r="C212" s="34">
        <v>43.991883000000001</v>
      </c>
      <c r="D212" s="34">
        <v>-87.758921000000001</v>
      </c>
    </row>
    <row r="213" spans="1:4">
      <c r="A213" s="34" t="s">
        <v>450</v>
      </c>
      <c r="B213" s="34" t="s">
        <v>451</v>
      </c>
      <c r="C213" s="34">
        <v>44.031182999999999</v>
      </c>
      <c r="D213" s="34">
        <v>-87.900082999999995</v>
      </c>
    </row>
    <row r="214" spans="1:4">
      <c r="A214" s="34" t="s">
        <v>453</v>
      </c>
      <c r="B214" s="34" t="s">
        <v>454</v>
      </c>
      <c r="C214" s="34">
        <v>44.162424000000001</v>
      </c>
      <c r="D214" s="34">
        <v>-88.007005000000007</v>
      </c>
    </row>
    <row r="215" spans="1:4">
      <c r="A215" s="34" t="s">
        <v>456</v>
      </c>
      <c r="B215" s="34" t="s">
        <v>457</v>
      </c>
      <c r="C215" s="34">
        <v>44.196494999999999</v>
      </c>
      <c r="D215" s="34">
        <v>-87.832180899999997</v>
      </c>
    </row>
    <row r="216" spans="1:4">
      <c r="A216" s="34" t="s">
        <v>459</v>
      </c>
      <c r="B216" s="34" t="s">
        <v>460</v>
      </c>
      <c r="C216" s="34">
        <v>43.950587900000002</v>
      </c>
      <c r="D216" s="34">
        <v>-87.746530899999996</v>
      </c>
    </row>
    <row r="217" spans="1:4">
      <c r="A217" s="34" t="s">
        <v>462</v>
      </c>
      <c r="B217" s="34" t="s">
        <v>463</v>
      </c>
      <c r="C217" s="34">
        <v>43.925592000000002</v>
      </c>
      <c r="D217" s="34">
        <v>-87.779208999999994</v>
      </c>
    </row>
    <row r="218" spans="1:4">
      <c r="A218" s="34" t="s">
        <v>465</v>
      </c>
      <c r="B218" s="34" t="s">
        <v>466</v>
      </c>
      <c r="C218" s="34">
        <v>43.962606000000001</v>
      </c>
      <c r="D218" s="34">
        <v>-87.919631899999999</v>
      </c>
    </row>
    <row r="219" spans="1:4">
      <c r="A219" s="34" t="s">
        <v>468</v>
      </c>
      <c r="B219" s="34" t="s">
        <v>469</v>
      </c>
      <c r="C219" s="34">
        <v>43.922701000000004</v>
      </c>
      <c r="D219" s="34">
        <v>-87.868522999999996</v>
      </c>
    </row>
    <row r="220" spans="1:4">
      <c r="A220" s="34" t="s">
        <v>471</v>
      </c>
      <c r="B220" s="34" t="s">
        <v>472</v>
      </c>
      <c r="C220" s="34">
        <v>43.979109100000002</v>
      </c>
      <c r="D220" s="34">
        <v>-87.801584300000002</v>
      </c>
    </row>
    <row r="221" spans="1:4">
      <c r="A221" s="34" t="s">
        <v>474</v>
      </c>
      <c r="B221" s="34" t="s">
        <v>475</v>
      </c>
      <c r="C221" s="34">
        <v>44.256712</v>
      </c>
      <c r="D221" s="34">
        <v>-87.525264000000007</v>
      </c>
    </row>
    <row r="222" spans="1:4">
      <c r="A222" s="34" t="s">
        <v>477</v>
      </c>
      <c r="B222" s="34" t="s">
        <v>478</v>
      </c>
      <c r="C222" s="34">
        <v>44.138624</v>
      </c>
      <c r="D222" s="34">
        <v>-87.741410999999999</v>
      </c>
    </row>
    <row r="223" spans="1:4">
      <c r="A223" s="34" t="s">
        <v>480</v>
      </c>
      <c r="B223" s="34" t="s">
        <v>481</v>
      </c>
      <c r="C223" s="34">
        <v>44.249487000000002</v>
      </c>
      <c r="D223" s="34">
        <v>-87.584866000000005</v>
      </c>
    </row>
    <row r="224" spans="1:4">
      <c r="A224" s="34" t="s">
        <v>483</v>
      </c>
      <c r="B224" s="34" t="s">
        <v>484</v>
      </c>
      <c r="C224" s="34">
        <v>44.161355999999998</v>
      </c>
      <c r="D224" s="34">
        <v>-87.829194999999999</v>
      </c>
    </row>
    <row r="225" spans="1:4">
      <c r="A225" s="34" t="s">
        <v>486</v>
      </c>
      <c r="B225" s="34" t="s">
        <v>487</v>
      </c>
      <c r="C225" s="34">
        <v>44.958083199999997</v>
      </c>
      <c r="D225" s="34">
        <v>-89.767959000000005</v>
      </c>
    </row>
    <row r="226" spans="1:4">
      <c r="A226" s="34" t="s">
        <v>490</v>
      </c>
      <c r="B226" s="34" t="s">
        <v>491</v>
      </c>
      <c r="C226" s="34">
        <v>44.899765000000002</v>
      </c>
      <c r="D226" s="34">
        <v>-90.168363999999997</v>
      </c>
    </row>
    <row r="227" spans="1:4">
      <c r="A227" s="34" t="s">
        <v>493</v>
      </c>
      <c r="B227" s="34" t="s">
        <v>494</v>
      </c>
      <c r="C227" s="34">
        <v>44.901322999999998</v>
      </c>
      <c r="D227" s="34">
        <v>-89.958202</v>
      </c>
    </row>
    <row r="228" spans="1:4">
      <c r="A228" s="34" t="s">
        <v>496</v>
      </c>
      <c r="B228" s="34" t="s">
        <v>497</v>
      </c>
      <c r="C228" s="34">
        <v>44.834921000000001</v>
      </c>
      <c r="D228" s="34">
        <v>-90.262512000000001</v>
      </c>
    </row>
    <row r="229" spans="1:4">
      <c r="A229" s="34" t="s">
        <v>499</v>
      </c>
      <c r="B229" s="34" t="s">
        <v>500</v>
      </c>
      <c r="C229" s="34">
        <v>44.800970900000003</v>
      </c>
      <c r="D229" s="34">
        <v>-90.170057</v>
      </c>
    </row>
    <row r="230" spans="1:4">
      <c r="A230" s="34" t="s">
        <v>502</v>
      </c>
      <c r="B230" s="34" t="s">
        <v>503</v>
      </c>
      <c r="C230" s="34">
        <v>45.032389000000002</v>
      </c>
      <c r="D230" s="34">
        <v>-90.121009000000001</v>
      </c>
    </row>
    <row r="231" spans="1:4">
      <c r="A231" s="34" t="s">
        <v>505</v>
      </c>
      <c r="B231" s="34" t="s">
        <v>506</v>
      </c>
      <c r="C231" s="34">
        <v>44.844099</v>
      </c>
      <c r="D231" s="34">
        <v>-89.264930000000007</v>
      </c>
    </row>
    <row r="232" spans="1:4">
      <c r="A232" s="34" t="s">
        <v>508</v>
      </c>
      <c r="B232" s="34" t="s">
        <v>509</v>
      </c>
      <c r="C232" s="34">
        <v>45.033063900000002</v>
      </c>
      <c r="D232" s="34">
        <v>-90.047409999999999</v>
      </c>
    </row>
    <row r="233" spans="1:4">
      <c r="A233" s="34" t="s">
        <v>511</v>
      </c>
      <c r="B233" s="34" t="s">
        <v>512</v>
      </c>
      <c r="C233" s="34">
        <v>44.940446999999999</v>
      </c>
      <c r="D233" s="34">
        <v>-89.259026199999994</v>
      </c>
    </row>
    <row r="234" spans="1:4">
      <c r="A234" s="34" t="s">
        <v>514</v>
      </c>
      <c r="B234" s="34" t="s">
        <v>515</v>
      </c>
      <c r="C234" s="34">
        <v>45.118811299999997</v>
      </c>
      <c r="D234" s="34">
        <v>-89.492021500000007</v>
      </c>
    </row>
    <row r="235" spans="1:4">
      <c r="A235" s="34" t="s">
        <v>517</v>
      </c>
      <c r="B235" s="34" t="s">
        <v>518</v>
      </c>
      <c r="C235" s="34">
        <v>45.115721999999998</v>
      </c>
      <c r="D235" s="34">
        <v>-87.965176999999997</v>
      </c>
    </row>
    <row r="236" spans="1:4">
      <c r="A236" s="34" t="s">
        <v>521</v>
      </c>
      <c r="B236" s="34" t="s">
        <v>522</v>
      </c>
      <c r="C236" s="34">
        <v>45.062663000000001</v>
      </c>
      <c r="D236" s="34">
        <v>-88.063297000000006</v>
      </c>
    </row>
    <row r="237" spans="1:4">
      <c r="A237" s="34" t="s">
        <v>524</v>
      </c>
      <c r="B237" s="34" t="s">
        <v>525</v>
      </c>
      <c r="C237" s="34">
        <v>45.137756000000003</v>
      </c>
      <c r="D237" s="34">
        <v>-88.055660000000003</v>
      </c>
    </row>
    <row r="238" spans="1:4">
      <c r="A238" s="34" t="s">
        <v>527</v>
      </c>
      <c r="B238" s="34" t="s">
        <v>528</v>
      </c>
      <c r="C238" s="34">
        <v>45.161060900000003</v>
      </c>
      <c r="D238" s="34">
        <v>-88.019515999999996</v>
      </c>
    </row>
    <row r="239" spans="1:4">
      <c r="A239" s="34" t="s">
        <v>530</v>
      </c>
      <c r="B239" s="34" t="s">
        <v>531</v>
      </c>
      <c r="C239" s="34">
        <v>44.032548800000001</v>
      </c>
      <c r="D239" s="34">
        <v>-89.517386999999999</v>
      </c>
    </row>
    <row r="240" spans="1:4">
      <c r="A240" s="34" t="s">
        <v>534</v>
      </c>
      <c r="B240" s="34" t="s">
        <v>535</v>
      </c>
      <c r="C240" s="34">
        <v>43.984088999999997</v>
      </c>
      <c r="D240" s="34">
        <v>-90.585256999999999</v>
      </c>
    </row>
    <row r="241" spans="1:4">
      <c r="A241" s="34" t="s">
        <v>538</v>
      </c>
      <c r="B241" s="34" t="s">
        <v>539</v>
      </c>
      <c r="C241" s="34">
        <v>43.744995600000003</v>
      </c>
      <c r="D241" s="34">
        <v>-90.776757599999996</v>
      </c>
    </row>
    <row r="242" spans="1:4">
      <c r="A242" s="34" t="s">
        <v>541</v>
      </c>
      <c r="B242" s="34" t="s">
        <v>542</v>
      </c>
      <c r="C242" s="34">
        <v>43.737048000000001</v>
      </c>
      <c r="D242" s="34">
        <v>-90.793888899999999</v>
      </c>
    </row>
    <row r="243" spans="1:4">
      <c r="A243" s="34" t="s">
        <v>544</v>
      </c>
      <c r="B243" s="34" t="s">
        <v>545</v>
      </c>
      <c r="C243" s="34">
        <v>44.896921900000002</v>
      </c>
      <c r="D243" s="34">
        <v>-88.302267099999995</v>
      </c>
    </row>
    <row r="244" spans="1:4">
      <c r="A244" s="34" t="s">
        <v>548</v>
      </c>
      <c r="B244" s="34" t="s">
        <v>549</v>
      </c>
      <c r="C244" s="34">
        <v>44.907694900000003</v>
      </c>
      <c r="D244" s="34">
        <v>-88.201485000000005</v>
      </c>
    </row>
    <row r="245" spans="1:4">
      <c r="A245" s="34" t="s">
        <v>551</v>
      </c>
      <c r="B245" s="34" t="s">
        <v>552</v>
      </c>
      <c r="C245" s="34">
        <v>44.993569000000001</v>
      </c>
      <c r="D245" s="34">
        <v>-88.443136899999999</v>
      </c>
    </row>
    <row r="246" spans="1:4">
      <c r="A246" s="34" t="s">
        <v>554</v>
      </c>
      <c r="B246" s="34" t="s">
        <v>555</v>
      </c>
      <c r="C246" s="34">
        <v>44.839345000000002</v>
      </c>
      <c r="D246" s="34">
        <v>-88.200804000000005</v>
      </c>
    </row>
    <row r="247" spans="1:4">
      <c r="A247" s="34" t="s">
        <v>557</v>
      </c>
      <c r="B247" s="34" t="s">
        <v>558</v>
      </c>
      <c r="C247" s="34">
        <v>44.976673900000002</v>
      </c>
      <c r="D247" s="34">
        <v>-88.356743499999993</v>
      </c>
    </row>
    <row r="248" spans="1:4">
      <c r="A248" s="34" t="s">
        <v>560</v>
      </c>
      <c r="B248" s="34" t="s">
        <v>561</v>
      </c>
      <c r="C248" s="34">
        <v>44.470981999999999</v>
      </c>
      <c r="D248" s="34">
        <v>-88.460847999999999</v>
      </c>
    </row>
    <row r="249" spans="1:4">
      <c r="A249" s="34" t="s">
        <v>564</v>
      </c>
      <c r="B249" s="34" t="s">
        <v>565</v>
      </c>
      <c r="C249" s="34">
        <v>44.531613900000004</v>
      </c>
      <c r="D249" s="34">
        <v>-88.420435900000001</v>
      </c>
    </row>
    <row r="250" spans="1:4">
      <c r="A250" s="34" t="s">
        <v>567</v>
      </c>
      <c r="B250" s="34" t="s">
        <v>568</v>
      </c>
      <c r="C250" s="34">
        <v>44.269727899999999</v>
      </c>
      <c r="D250" s="34">
        <v>-88.214347200000006</v>
      </c>
    </row>
    <row r="251" spans="1:4">
      <c r="A251" s="34" t="s">
        <v>570</v>
      </c>
      <c r="B251" s="34" t="s">
        <v>571</v>
      </c>
      <c r="C251" s="34">
        <v>44.395144999999999</v>
      </c>
      <c r="D251" s="34">
        <v>-88.234639999999999</v>
      </c>
    </row>
    <row r="252" spans="1:4">
      <c r="A252" s="34" t="s">
        <v>573</v>
      </c>
      <c r="B252" s="34" t="s">
        <v>574</v>
      </c>
      <c r="C252" s="34">
        <v>44.5203883</v>
      </c>
      <c r="D252" s="34">
        <v>-88.736958299999998</v>
      </c>
    </row>
    <row r="253" spans="1:4">
      <c r="A253" s="34" t="s">
        <v>576</v>
      </c>
      <c r="B253" s="34" t="s">
        <v>577</v>
      </c>
      <c r="C253" s="34">
        <v>44.388485000000003</v>
      </c>
      <c r="D253" s="34">
        <v>-88.314504999999997</v>
      </c>
    </row>
    <row r="254" spans="1:4">
      <c r="A254" s="34" t="s">
        <v>579</v>
      </c>
      <c r="B254" s="34" t="s">
        <v>580</v>
      </c>
      <c r="C254" s="34">
        <v>44.312820199999997</v>
      </c>
      <c r="D254" s="34">
        <v>-88.199231299999994</v>
      </c>
    </row>
    <row r="255" spans="1:4">
      <c r="A255" s="34" t="s">
        <v>582</v>
      </c>
      <c r="B255" s="34" t="s">
        <v>583</v>
      </c>
      <c r="C255" s="34">
        <v>44.486825000000003</v>
      </c>
      <c r="D255" s="34">
        <v>-88.724621200000001</v>
      </c>
    </row>
    <row r="256" spans="1:4">
      <c r="A256" s="34" t="s">
        <v>585</v>
      </c>
      <c r="B256" s="34" t="s">
        <v>586</v>
      </c>
      <c r="C256" s="34">
        <v>44.366371999999998</v>
      </c>
      <c r="D256" s="34">
        <v>-88.258730400000005</v>
      </c>
    </row>
    <row r="257" spans="1:4">
      <c r="A257" s="34" t="s">
        <v>588</v>
      </c>
      <c r="B257" s="34" t="s">
        <v>589</v>
      </c>
      <c r="C257" s="34">
        <v>44.369790999999999</v>
      </c>
      <c r="D257" s="34">
        <v>-88.229303000000002</v>
      </c>
    </row>
    <row r="258" spans="1:4">
      <c r="A258" s="34" t="s">
        <v>591</v>
      </c>
      <c r="B258" s="34" t="s">
        <v>592</v>
      </c>
      <c r="C258" s="34">
        <v>43.422519000000001</v>
      </c>
      <c r="D258" s="34">
        <v>-87.908514999999994</v>
      </c>
    </row>
    <row r="259" spans="1:4">
      <c r="A259" s="34" t="s">
        <v>595</v>
      </c>
      <c r="B259" s="34" t="s">
        <v>596</v>
      </c>
      <c r="C259" s="34">
        <v>43.427712</v>
      </c>
      <c r="D259" s="34">
        <v>-87.985899000000003</v>
      </c>
    </row>
    <row r="260" spans="1:4">
      <c r="A260" s="34" t="s">
        <v>598</v>
      </c>
      <c r="B260" s="34" t="s">
        <v>599</v>
      </c>
      <c r="C260" s="34">
        <v>43.455540499999998</v>
      </c>
      <c r="D260" s="34">
        <v>-87.9417902</v>
      </c>
    </row>
    <row r="261" spans="1:4">
      <c r="A261" s="34" t="s">
        <v>601</v>
      </c>
      <c r="B261" s="34" t="s">
        <v>602</v>
      </c>
      <c r="C261" s="34">
        <v>44.6332077</v>
      </c>
      <c r="D261" s="34">
        <v>-91.872868699999998</v>
      </c>
    </row>
    <row r="262" spans="1:4">
      <c r="A262" s="34" t="s">
        <v>605</v>
      </c>
      <c r="B262" s="34" t="s">
        <v>606</v>
      </c>
      <c r="C262" s="34">
        <v>44.619570199999998</v>
      </c>
      <c r="D262" s="34">
        <v>-91.872932500000005</v>
      </c>
    </row>
    <row r="263" spans="1:4">
      <c r="A263" s="34" t="s">
        <v>608</v>
      </c>
      <c r="B263" s="34" t="s">
        <v>609</v>
      </c>
      <c r="C263" s="34">
        <v>44.679499</v>
      </c>
      <c r="D263" s="34">
        <v>-92.265119999999996</v>
      </c>
    </row>
    <row r="264" spans="1:4">
      <c r="A264" s="34" t="s">
        <v>612</v>
      </c>
      <c r="B264" s="34" t="s">
        <v>613</v>
      </c>
      <c r="C264" s="34">
        <v>45.219989699999999</v>
      </c>
      <c r="D264" s="34">
        <v>-92.375699299999994</v>
      </c>
    </row>
    <row r="265" spans="1:4">
      <c r="A265" s="34" t="s">
        <v>616</v>
      </c>
      <c r="B265" s="34" t="s">
        <v>617</v>
      </c>
      <c r="C265" s="34">
        <v>45.719217899999997</v>
      </c>
      <c r="D265" s="34">
        <v>-92.230141700000004</v>
      </c>
    </row>
    <row r="266" spans="1:4">
      <c r="A266" s="34" t="s">
        <v>619</v>
      </c>
      <c r="B266" s="34" t="s">
        <v>620</v>
      </c>
      <c r="C266" s="34">
        <v>45.3457176</v>
      </c>
      <c r="D266" s="34">
        <v>-92.529672399999995</v>
      </c>
    </row>
    <row r="267" spans="1:4">
      <c r="A267" s="34" t="s">
        <v>622</v>
      </c>
      <c r="B267" s="34" t="s">
        <v>623</v>
      </c>
      <c r="C267" s="34">
        <v>44.503997900000002</v>
      </c>
      <c r="D267" s="34">
        <v>-89.314593900000006</v>
      </c>
    </row>
    <row r="268" spans="1:4">
      <c r="A268" s="34" t="s">
        <v>626</v>
      </c>
      <c r="B268" s="34" t="s">
        <v>627</v>
      </c>
      <c r="C268" s="34">
        <v>45.639963999999999</v>
      </c>
      <c r="D268" s="34">
        <v>-90.340631299999998</v>
      </c>
    </row>
    <row r="269" spans="1:4">
      <c r="A269" s="34" t="s">
        <v>630</v>
      </c>
      <c r="B269" s="34" t="s">
        <v>631</v>
      </c>
      <c r="C269" s="34">
        <v>43.272130799999999</v>
      </c>
      <c r="D269" s="34">
        <v>-90.360449099999997</v>
      </c>
    </row>
    <row r="270" spans="1:4">
      <c r="A270" s="34" t="s">
        <v>634</v>
      </c>
      <c r="B270" s="34" t="s">
        <v>635</v>
      </c>
      <c r="C270" s="34">
        <v>42.737750800000001</v>
      </c>
      <c r="D270" s="34">
        <v>-89.360785399999997</v>
      </c>
    </row>
    <row r="271" spans="1:4">
      <c r="A271" s="34" t="s">
        <v>638</v>
      </c>
      <c r="B271" s="34" t="s">
        <v>639</v>
      </c>
      <c r="C271" s="34">
        <v>43.186309799999997</v>
      </c>
      <c r="D271" s="34">
        <v>-90.073883600000002</v>
      </c>
    </row>
    <row r="272" spans="1:4">
      <c r="A272" s="34" t="s">
        <v>642</v>
      </c>
      <c r="B272" s="34" t="s">
        <v>643</v>
      </c>
      <c r="C272" s="34">
        <v>45.7477947</v>
      </c>
      <c r="D272" s="34">
        <v>-91.194653400000007</v>
      </c>
    </row>
    <row r="273" spans="1:4">
      <c r="A273" s="34" t="s">
        <v>646</v>
      </c>
      <c r="B273" s="34" t="s">
        <v>647</v>
      </c>
      <c r="C273" s="34">
        <v>44.644199299999997</v>
      </c>
      <c r="D273" s="34">
        <v>-88.324707500000002</v>
      </c>
    </row>
    <row r="274" spans="1:4">
      <c r="A274" s="34" t="s">
        <v>650</v>
      </c>
      <c r="B274" s="34" t="s">
        <v>651</v>
      </c>
      <c r="C274" s="34">
        <v>44.780723799999997</v>
      </c>
      <c r="D274" s="34">
        <v>-88.291792999999998</v>
      </c>
    </row>
    <row r="275" spans="1:4">
      <c r="A275" s="34" t="s">
        <v>653</v>
      </c>
      <c r="B275" s="34" t="s">
        <v>654</v>
      </c>
      <c r="C275" s="34">
        <v>44.796600699999999</v>
      </c>
      <c r="D275" s="34">
        <v>-88.646735699999994</v>
      </c>
    </row>
    <row r="276" spans="1:4">
      <c r="A276" s="34" t="s">
        <v>656</v>
      </c>
      <c r="B276" s="34" t="s">
        <v>657</v>
      </c>
      <c r="C276" s="34">
        <v>44.918888500000001</v>
      </c>
      <c r="D276" s="34">
        <v>-89.143582899999998</v>
      </c>
    </row>
    <row r="277" spans="1:4">
      <c r="A277" s="34" t="s">
        <v>659</v>
      </c>
      <c r="B277" s="34" t="s">
        <v>660</v>
      </c>
      <c r="C277" s="34">
        <v>44.704912</v>
      </c>
      <c r="D277" s="34">
        <v>-88.414498399999999</v>
      </c>
    </row>
    <row r="278" spans="1:4">
      <c r="A278" s="34" t="s">
        <v>662</v>
      </c>
      <c r="B278" s="34" t="s">
        <v>663</v>
      </c>
      <c r="C278" s="34">
        <v>44.8608318</v>
      </c>
      <c r="D278" s="34">
        <v>-89.021718899999996</v>
      </c>
    </row>
    <row r="279" spans="1:4">
      <c r="A279" s="34" t="s">
        <v>665</v>
      </c>
      <c r="B279" s="34" t="s">
        <v>666</v>
      </c>
      <c r="C279" s="34">
        <v>44.741137500000001</v>
      </c>
      <c r="D279" s="34">
        <v>-88.384515899999997</v>
      </c>
    </row>
    <row r="280" spans="1:4">
      <c r="A280" s="34" t="s">
        <v>668</v>
      </c>
      <c r="B280" s="34" t="s">
        <v>669</v>
      </c>
      <c r="C280" s="34">
        <v>43.859352399999999</v>
      </c>
      <c r="D280" s="34">
        <v>-88.076578799999993</v>
      </c>
    </row>
    <row r="281" spans="1:4">
      <c r="A281" s="34" t="s">
        <v>672</v>
      </c>
      <c r="B281" s="34" t="s">
        <v>673</v>
      </c>
      <c r="C281" s="34">
        <v>43.723914999999998</v>
      </c>
      <c r="D281" s="34">
        <v>-88.062775999999999</v>
      </c>
    </row>
    <row r="282" spans="1:4">
      <c r="A282" s="34" t="s">
        <v>675</v>
      </c>
      <c r="B282" s="34" t="s">
        <v>676</v>
      </c>
      <c r="C282" s="34">
        <v>43.804743299999998</v>
      </c>
      <c r="D282" s="34">
        <v>-87.858215900000005</v>
      </c>
    </row>
    <row r="283" spans="1:4">
      <c r="A283" s="34" t="s">
        <v>678</v>
      </c>
      <c r="B283" s="34" t="s">
        <v>679</v>
      </c>
      <c r="C283" s="34">
        <v>43.770840999999997</v>
      </c>
      <c r="D283" s="34">
        <v>-87.924136000000004</v>
      </c>
    </row>
    <row r="284" spans="1:4">
      <c r="A284" s="34" t="s">
        <v>681</v>
      </c>
      <c r="B284" s="34" t="s">
        <v>682</v>
      </c>
      <c r="C284" s="34">
        <v>43.646808</v>
      </c>
      <c r="D284" s="34">
        <v>-88.067301999999998</v>
      </c>
    </row>
    <row r="285" spans="1:4">
      <c r="A285" s="34" t="s">
        <v>684</v>
      </c>
      <c r="B285" s="34" t="s">
        <v>685</v>
      </c>
      <c r="C285" s="34">
        <v>43.871617000000001</v>
      </c>
      <c r="D285" s="34">
        <v>-88.074068999999994</v>
      </c>
    </row>
    <row r="286" spans="1:4">
      <c r="A286" s="34" t="s">
        <v>687</v>
      </c>
      <c r="B286" s="34" t="s">
        <v>688</v>
      </c>
      <c r="C286" s="34">
        <v>43.754161000000003</v>
      </c>
      <c r="D286" s="34">
        <v>-87.841576500000002</v>
      </c>
    </row>
    <row r="287" spans="1:4">
      <c r="A287" s="34" t="s">
        <v>690</v>
      </c>
      <c r="B287" s="34" t="s">
        <v>691</v>
      </c>
      <c r="C287" s="34">
        <v>43.644951200000001</v>
      </c>
      <c r="D287" s="34">
        <v>-87.799791200000001</v>
      </c>
    </row>
    <row r="288" spans="1:4">
      <c r="A288" s="34" t="s">
        <v>693</v>
      </c>
      <c r="B288" s="34" t="s">
        <v>694</v>
      </c>
      <c r="C288" s="34">
        <v>43.571302000000003</v>
      </c>
      <c r="D288" s="34">
        <v>-87.932719800000001</v>
      </c>
    </row>
    <row r="289" spans="1:4">
      <c r="A289" s="34" t="s">
        <v>696</v>
      </c>
      <c r="B289" s="34" t="s">
        <v>697</v>
      </c>
      <c r="C289" s="34">
        <v>45.008952000000001</v>
      </c>
      <c r="D289" s="34">
        <v>-92.3882859</v>
      </c>
    </row>
    <row r="290" spans="1:4">
      <c r="A290" s="34" t="s">
        <v>700</v>
      </c>
      <c r="B290" s="34" t="s">
        <v>701</v>
      </c>
      <c r="C290" s="34">
        <v>44.924002899999998</v>
      </c>
      <c r="D290" s="34">
        <v>-92.465849700000007</v>
      </c>
    </row>
    <row r="291" spans="1:4">
      <c r="A291" s="34" t="s">
        <v>703</v>
      </c>
      <c r="B291" s="34" t="s">
        <v>704</v>
      </c>
      <c r="C291" s="34">
        <v>45.049993899999997</v>
      </c>
      <c r="D291" s="34">
        <v>-92.375088399999996</v>
      </c>
    </row>
    <row r="292" spans="1:4">
      <c r="A292" s="34" t="s">
        <v>706</v>
      </c>
      <c r="B292" s="34" t="s">
        <v>707</v>
      </c>
      <c r="C292" s="34">
        <v>44.974464599999997</v>
      </c>
      <c r="D292" s="34">
        <v>-92.275946599999997</v>
      </c>
    </row>
    <row r="293" spans="1:4">
      <c r="A293" s="34" t="s">
        <v>709</v>
      </c>
      <c r="B293" s="34" t="s">
        <v>710</v>
      </c>
      <c r="C293" s="34">
        <v>44.101045399999997</v>
      </c>
      <c r="D293" s="34">
        <v>-91.351922299999998</v>
      </c>
    </row>
    <row r="294" spans="1:4">
      <c r="A294" s="34" t="s">
        <v>713</v>
      </c>
      <c r="B294" s="34" t="s">
        <v>714</v>
      </c>
      <c r="C294" s="34">
        <v>44.466029499999998</v>
      </c>
      <c r="D294" s="34">
        <v>-91.239645800000005</v>
      </c>
    </row>
    <row r="295" spans="1:4">
      <c r="A295" s="34" t="s">
        <v>716</v>
      </c>
      <c r="B295" s="34" t="s">
        <v>717</v>
      </c>
      <c r="C295" s="34">
        <v>44.567219000000001</v>
      </c>
      <c r="D295" s="34">
        <v>-91.387316600000005</v>
      </c>
    </row>
    <row r="296" spans="1:4">
      <c r="A296" s="34" t="s">
        <v>719</v>
      </c>
      <c r="B296" s="34" t="s">
        <v>720</v>
      </c>
      <c r="C296" s="34">
        <v>44.252784699999999</v>
      </c>
      <c r="D296" s="34">
        <v>-91.473426000000003</v>
      </c>
    </row>
    <row r="297" spans="1:4">
      <c r="A297" s="34" t="s">
        <v>722</v>
      </c>
      <c r="B297" s="34" t="s">
        <v>723</v>
      </c>
      <c r="C297" s="34">
        <v>43.483707099999997</v>
      </c>
      <c r="D297" s="34">
        <v>-90.504433000000006</v>
      </c>
    </row>
    <row r="298" spans="1:4">
      <c r="A298" s="34" t="s">
        <v>726</v>
      </c>
      <c r="B298" s="34" t="s">
        <v>727</v>
      </c>
      <c r="C298" s="34">
        <v>43.604312200000003</v>
      </c>
      <c r="D298" s="34">
        <v>-91.081491900000003</v>
      </c>
    </row>
    <row r="299" spans="1:4">
      <c r="A299" s="34" t="s">
        <v>729</v>
      </c>
      <c r="B299" s="34" t="s">
        <v>730</v>
      </c>
      <c r="C299" s="34">
        <v>43.618779000000004</v>
      </c>
      <c r="D299" s="34">
        <v>-90.387911000000003</v>
      </c>
    </row>
    <row r="300" spans="1:4">
      <c r="A300" s="34" t="s">
        <v>732</v>
      </c>
      <c r="B300" s="34" t="s">
        <v>733</v>
      </c>
      <c r="C300" s="34">
        <v>43.623068799999999</v>
      </c>
      <c r="D300" s="34">
        <v>-90.690827400000003</v>
      </c>
    </row>
    <row r="301" spans="1:4">
      <c r="A301" s="34" t="s">
        <v>735</v>
      </c>
      <c r="B301" s="34" t="s">
        <v>736</v>
      </c>
      <c r="C301" s="34">
        <v>42.803930000000001</v>
      </c>
      <c r="D301" s="34">
        <v>-88.686926999999997</v>
      </c>
    </row>
    <row r="302" spans="1:4">
      <c r="A302" s="34" t="s">
        <v>739</v>
      </c>
      <c r="B302" s="34" t="s">
        <v>740</v>
      </c>
      <c r="C302" s="34">
        <v>42.591683600000003</v>
      </c>
      <c r="D302" s="34">
        <v>-88.433430099999995</v>
      </c>
    </row>
    <row r="303" spans="1:4">
      <c r="A303" s="34" t="s">
        <v>742</v>
      </c>
      <c r="B303" s="34" t="s">
        <v>743</v>
      </c>
      <c r="C303" s="34">
        <v>42.521045999999998</v>
      </c>
      <c r="D303" s="34">
        <v>-88.483013</v>
      </c>
    </row>
    <row r="304" spans="1:4">
      <c r="A304" s="34" t="s">
        <v>745</v>
      </c>
      <c r="B304" s="34" t="s">
        <v>746</v>
      </c>
      <c r="C304" s="34">
        <v>45.690120999999998</v>
      </c>
      <c r="D304" s="34">
        <v>-91.992615000000001</v>
      </c>
    </row>
    <row r="305" spans="1:4">
      <c r="A305" s="34" t="s">
        <v>749</v>
      </c>
      <c r="B305" s="34" t="s">
        <v>750</v>
      </c>
      <c r="C305" s="34">
        <v>43.5399861</v>
      </c>
      <c r="D305" s="34">
        <v>-88.361524799999998</v>
      </c>
    </row>
    <row r="306" spans="1:4">
      <c r="A306" s="34" t="s">
        <v>753</v>
      </c>
      <c r="B306" s="34" t="s">
        <v>754</v>
      </c>
      <c r="C306" s="34">
        <v>43.499095199999999</v>
      </c>
      <c r="D306" s="34">
        <v>-88.090679699999995</v>
      </c>
    </row>
    <row r="307" spans="1:4">
      <c r="A307" s="34" t="s">
        <v>756</v>
      </c>
      <c r="B307" s="34" t="s">
        <v>757</v>
      </c>
      <c r="C307" s="34">
        <v>43.417176699999999</v>
      </c>
      <c r="D307" s="34">
        <v>-88.367797300000007</v>
      </c>
    </row>
    <row r="308" spans="1:4">
      <c r="A308" s="34" t="s">
        <v>759</v>
      </c>
      <c r="B308" s="34" t="s">
        <v>760</v>
      </c>
      <c r="C308" s="34">
        <v>43.49071</v>
      </c>
      <c r="D308" s="34">
        <v>-88.304271</v>
      </c>
    </row>
    <row r="309" spans="1:4">
      <c r="A309" s="34" t="s">
        <v>762</v>
      </c>
      <c r="B309" s="34" t="s">
        <v>763</v>
      </c>
      <c r="C309" s="34">
        <v>44.359303799999999</v>
      </c>
      <c r="D309" s="34">
        <v>-88.723598899999999</v>
      </c>
    </row>
    <row r="310" spans="1:4">
      <c r="A310" s="34" t="s">
        <v>766</v>
      </c>
      <c r="B310" s="34" t="s">
        <v>767</v>
      </c>
      <c r="C310" s="34">
        <v>44.595905999999999</v>
      </c>
      <c r="D310" s="34">
        <v>-88.789992999999996</v>
      </c>
    </row>
    <row r="311" spans="1:4">
      <c r="A311" s="34" t="s">
        <v>769</v>
      </c>
      <c r="B311" s="34" t="s">
        <v>770</v>
      </c>
      <c r="C311" s="34">
        <v>44.301568899999999</v>
      </c>
      <c r="D311" s="34">
        <v>-88.9612695</v>
      </c>
    </row>
    <row r="312" spans="1:4">
      <c r="A312" s="34" t="s">
        <v>772</v>
      </c>
      <c r="B312" s="34" t="s">
        <v>773</v>
      </c>
      <c r="C312" s="34">
        <v>44.041323499999997</v>
      </c>
      <c r="D312" s="34">
        <v>-88.986998400000004</v>
      </c>
    </row>
    <row r="313" spans="1:4">
      <c r="A313" s="34" t="s">
        <v>776</v>
      </c>
      <c r="B313" s="34" t="s">
        <v>777</v>
      </c>
      <c r="C313" s="34">
        <v>44.170156599999999</v>
      </c>
      <c r="D313" s="34">
        <v>-88.960549099999994</v>
      </c>
    </row>
    <row r="314" spans="1:4">
      <c r="A314" s="34" t="s">
        <v>779</v>
      </c>
      <c r="B314" s="34" t="s">
        <v>780</v>
      </c>
      <c r="C314" s="34">
        <v>44.146298000000002</v>
      </c>
      <c r="D314" s="34">
        <v>-88.651705000000007</v>
      </c>
    </row>
    <row r="315" spans="1:4">
      <c r="A315" s="34" t="s">
        <v>783</v>
      </c>
      <c r="B315" s="34" t="s">
        <v>784</v>
      </c>
      <c r="C315" s="34">
        <v>44.369922000000003</v>
      </c>
      <c r="D315" s="34">
        <v>-88.258893999999998</v>
      </c>
    </row>
    <row r="316" spans="1:4">
      <c r="A316" s="34" t="s">
        <v>786</v>
      </c>
      <c r="B316" s="34" t="s">
        <v>787</v>
      </c>
      <c r="C316" s="34">
        <v>43.895023000000002</v>
      </c>
      <c r="D316" s="34">
        <v>-88.549789000000004</v>
      </c>
    </row>
    <row r="317" spans="1:4">
      <c r="A317" s="34" t="s">
        <v>789</v>
      </c>
      <c r="B317" s="34" t="s">
        <v>790</v>
      </c>
      <c r="C317" s="34">
        <v>44.590176</v>
      </c>
      <c r="D317" s="34">
        <v>-90.235843000000003</v>
      </c>
    </row>
    <row r="318" spans="1:4">
      <c r="A318" s="34" t="s">
        <v>793</v>
      </c>
      <c r="B318" s="34" t="s">
        <v>794</v>
      </c>
      <c r="C318" s="34">
        <v>44.585090000000001</v>
      </c>
      <c r="D318" s="34">
        <v>-90.019385999999997</v>
      </c>
    </row>
    <row r="319" spans="1:4">
      <c r="A319" s="34" t="s">
        <v>1814</v>
      </c>
      <c r="B319" s="34" t="s">
        <v>1815</v>
      </c>
      <c r="C319" s="34">
        <v>46.592442800000001</v>
      </c>
      <c r="D319" s="34">
        <v>-90.883798200000001</v>
      </c>
    </row>
    <row r="320" spans="1:4">
      <c r="A320" s="34" t="s">
        <v>1816</v>
      </c>
      <c r="B320" s="34" t="s">
        <v>1817</v>
      </c>
      <c r="C320" s="34">
        <v>45.506068200000001</v>
      </c>
      <c r="D320" s="34">
        <v>-91.738225</v>
      </c>
    </row>
    <row r="321" spans="1:4">
      <c r="A321" s="34" t="s">
        <v>1818</v>
      </c>
      <c r="B321" s="34" t="s">
        <v>1262</v>
      </c>
      <c r="C321" s="34">
        <v>44.936905400000001</v>
      </c>
      <c r="D321" s="34">
        <v>-91.392934800000006</v>
      </c>
    </row>
    <row r="322" spans="1:4">
      <c r="A322" s="34" t="s">
        <v>1819</v>
      </c>
      <c r="B322" s="34" t="s">
        <v>1267</v>
      </c>
      <c r="C322" s="34">
        <v>42.916946199999998</v>
      </c>
      <c r="D322" s="34">
        <v>-89.217893700000005</v>
      </c>
    </row>
    <row r="323" spans="1:4">
      <c r="A323" s="34" t="s">
        <v>1820</v>
      </c>
      <c r="B323" s="34" t="s">
        <v>1272</v>
      </c>
      <c r="C323" s="34">
        <v>43.183604600000002</v>
      </c>
      <c r="D323" s="34">
        <v>-89.213725400000001</v>
      </c>
    </row>
    <row r="324" spans="1:4">
      <c r="A324" s="34" t="s">
        <v>1821</v>
      </c>
      <c r="B324" s="34" t="s">
        <v>1276</v>
      </c>
      <c r="C324" s="34">
        <v>43.032412299999997</v>
      </c>
      <c r="D324" s="34">
        <v>-89.384320599999995</v>
      </c>
    </row>
    <row r="325" spans="1:4">
      <c r="A325" s="34" t="s">
        <v>1822</v>
      </c>
      <c r="B325" s="34" t="s">
        <v>1280</v>
      </c>
      <c r="C325" s="34">
        <v>43.457769200000001</v>
      </c>
      <c r="D325" s="34">
        <v>-88.837328999999997</v>
      </c>
    </row>
    <row r="326" spans="1:4">
      <c r="A326" s="34" t="s">
        <v>1823</v>
      </c>
      <c r="B326" s="34" t="s">
        <v>1285</v>
      </c>
      <c r="C326" s="34">
        <v>44.8341639</v>
      </c>
      <c r="D326" s="34">
        <v>-87.377041899999995</v>
      </c>
    </row>
    <row r="327" spans="1:4">
      <c r="A327" s="34" t="s">
        <v>1824</v>
      </c>
      <c r="B327" s="34" t="s">
        <v>1289</v>
      </c>
      <c r="C327" s="34">
        <v>46.720773700000002</v>
      </c>
      <c r="D327" s="34">
        <v>-92.104079600000006</v>
      </c>
    </row>
    <row r="328" spans="1:4">
      <c r="A328" s="34" t="s">
        <v>1825</v>
      </c>
      <c r="B328" s="34" t="s">
        <v>1294</v>
      </c>
      <c r="C328" s="34">
        <v>44.875518300000003</v>
      </c>
      <c r="D328" s="34">
        <v>-91.919342200000003</v>
      </c>
    </row>
    <row r="329" spans="1:4">
      <c r="A329" s="34" t="s">
        <v>1826</v>
      </c>
      <c r="B329" s="34" t="s">
        <v>1299</v>
      </c>
      <c r="C329" s="34">
        <v>44.680238600000003</v>
      </c>
      <c r="D329" s="34">
        <v>-91.119875500000006</v>
      </c>
    </row>
    <row r="330" spans="1:4">
      <c r="A330" s="34" t="s">
        <v>1827</v>
      </c>
      <c r="B330" s="34" t="s">
        <v>1303</v>
      </c>
      <c r="C330" s="34">
        <v>44.811349</v>
      </c>
      <c r="D330" s="34">
        <v>-91.498494100000002</v>
      </c>
    </row>
    <row r="331" spans="1:4">
      <c r="A331" s="34" t="s">
        <v>1828</v>
      </c>
      <c r="B331" s="34" t="s">
        <v>1308</v>
      </c>
      <c r="C331" s="34">
        <v>43.633321899999999</v>
      </c>
      <c r="D331" s="34">
        <v>-88.729551900000004</v>
      </c>
    </row>
    <row r="332" spans="1:4">
      <c r="A332" s="34" t="s">
        <v>1829</v>
      </c>
      <c r="B332" s="34" t="s">
        <v>1313</v>
      </c>
      <c r="C332" s="34">
        <v>43.77</v>
      </c>
      <c r="D332" s="34">
        <v>-88.45</v>
      </c>
    </row>
    <row r="333" spans="1:4">
      <c r="A333" s="34" t="s">
        <v>1830</v>
      </c>
      <c r="B333" s="34" t="s">
        <v>1316</v>
      </c>
      <c r="C333" s="34">
        <v>42.734160000000003</v>
      </c>
      <c r="D333" s="34">
        <v>-90.478462100000002</v>
      </c>
    </row>
    <row r="334" spans="1:4">
      <c r="A334" s="34" t="s">
        <v>1831</v>
      </c>
      <c r="B334" s="34" t="s">
        <v>1321</v>
      </c>
      <c r="C334" s="34">
        <v>42.601119400000002</v>
      </c>
      <c r="D334" s="34">
        <v>-89.638453200000001</v>
      </c>
    </row>
    <row r="335" spans="1:4">
      <c r="A335" s="34" t="s">
        <v>1832</v>
      </c>
      <c r="B335" s="34" t="s">
        <v>1326</v>
      </c>
      <c r="C335" s="34">
        <v>43.968036400000003</v>
      </c>
      <c r="D335" s="34">
        <v>-88.943447599999999</v>
      </c>
    </row>
    <row r="336" spans="1:4">
      <c r="A336" s="34" t="s">
        <v>1833</v>
      </c>
      <c r="B336" s="34" t="s">
        <v>1330</v>
      </c>
      <c r="C336" s="34">
        <v>43.005559400000003</v>
      </c>
      <c r="D336" s="34">
        <v>-88.807327299999997</v>
      </c>
    </row>
    <row r="337" spans="1:4">
      <c r="A337" s="34" t="s">
        <v>1834</v>
      </c>
      <c r="B337" s="34" t="s">
        <v>1333</v>
      </c>
      <c r="C337" s="34">
        <v>42.833620500000002</v>
      </c>
      <c r="D337" s="34">
        <v>-88.7323272</v>
      </c>
    </row>
    <row r="338" spans="1:4">
      <c r="A338" s="34" t="s">
        <v>1835</v>
      </c>
      <c r="B338" s="34" t="s">
        <v>1337</v>
      </c>
      <c r="C338" s="34">
        <v>43.194721100000002</v>
      </c>
      <c r="D338" s="34">
        <v>-88.728991800000003</v>
      </c>
    </row>
    <row r="339" spans="1:4">
      <c r="A339" s="34" t="s">
        <v>1836</v>
      </c>
      <c r="B339" s="34" t="s">
        <v>1342</v>
      </c>
      <c r="C339" s="34">
        <v>42.512407400000001</v>
      </c>
      <c r="D339" s="34">
        <v>-88.120735100000005</v>
      </c>
    </row>
    <row r="340" spans="1:4">
      <c r="A340" s="34" t="s">
        <v>1837</v>
      </c>
      <c r="B340" s="34" t="s">
        <v>1347</v>
      </c>
      <c r="C340" s="34">
        <v>42.564798000000003</v>
      </c>
      <c r="D340" s="34">
        <v>-87.830414500000003</v>
      </c>
    </row>
    <row r="341" spans="1:4">
      <c r="A341" s="34" t="s">
        <v>1838</v>
      </c>
      <c r="B341" s="34" t="s">
        <v>1350</v>
      </c>
      <c r="C341" s="34">
        <v>44.608888399999998</v>
      </c>
      <c r="D341" s="34">
        <v>-87.432589100000001</v>
      </c>
    </row>
    <row r="342" spans="1:4">
      <c r="A342" s="34" t="s">
        <v>1839</v>
      </c>
      <c r="B342" s="34" t="s">
        <v>1355</v>
      </c>
      <c r="C342" s="34">
        <v>43.801355600000001</v>
      </c>
      <c r="D342" s="34">
        <v>-91.239580700000005</v>
      </c>
    </row>
    <row r="343" spans="1:4">
      <c r="A343" s="34" t="s">
        <v>1840</v>
      </c>
      <c r="B343" s="34" t="s">
        <v>1360</v>
      </c>
      <c r="C343" s="34">
        <v>45.471079199999998</v>
      </c>
      <c r="D343" s="34">
        <v>-89.729859399999995</v>
      </c>
    </row>
    <row r="344" spans="1:4">
      <c r="A344" s="34" t="s">
        <v>1841</v>
      </c>
      <c r="B344" s="34" t="s">
        <v>1364</v>
      </c>
      <c r="C344" s="34">
        <v>45.1805223</v>
      </c>
      <c r="D344" s="34">
        <v>-89.683458999999999</v>
      </c>
    </row>
    <row r="345" spans="1:4">
      <c r="A345" s="34" t="s">
        <v>1842</v>
      </c>
      <c r="B345" s="34" t="s">
        <v>1369</v>
      </c>
      <c r="C345" s="34">
        <v>44.153884400000003</v>
      </c>
      <c r="D345" s="34">
        <v>-87.569247799999999</v>
      </c>
    </row>
    <row r="346" spans="1:4">
      <c r="A346" s="34" t="s">
        <v>1843</v>
      </c>
      <c r="B346" s="34" t="s">
        <v>1373</v>
      </c>
      <c r="C346" s="34">
        <v>44.09</v>
      </c>
      <c r="D346" s="34">
        <v>-87.66</v>
      </c>
    </row>
    <row r="347" spans="1:4">
      <c r="A347" s="34" t="s">
        <v>1844</v>
      </c>
      <c r="B347" s="34" t="s">
        <v>1376</v>
      </c>
      <c r="C347" s="34">
        <v>44.959135199999999</v>
      </c>
      <c r="D347" s="34">
        <v>-89.630122099999994</v>
      </c>
    </row>
    <row r="348" spans="1:4">
      <c r="A348" s="34" t="s">
        <v>1845</v>
      </c>
      <c r="B348" s="34" t="s">
        <v>1381</v>
      </c>
      <c r="C348" s="34">
        <v>44.959135199999999</v>
      </c>
      <c r="D348" s="34">
        <v>-89.630122099999994</v>
      </c>
    </row>
    <row r="349" spans="1:4">
      <c r="A349" s="34" t="s">
        <v>1846</v>
      </c>
      <c r="B349" s="34" t="s">
        <v>1385</v>
      </c>
      <c r="C349" s="34">
        <v>45.099984900000003</v>
      </c>
      <c r="D349" s="34">
        <v>-87.630662299999997</v>
      </c>
    </row>
    <row r="350" spans="1:4">
      <c r="A350" s="34" t="s">
        <v>1847</v>
      </c>
      <c r="B350" s="34" t="s">
        <v>1388</v>
      </c>
      <c r="C350" s="34">
        <v>42.910572199999997</v>
      </c>
      <c r="D350" s="34">
        <v>-87.860636700000001</v>
      </c>
    </row>
    <row r="351" spans="1:4">
      <c r="A351" s="34" t="s">
        <v>1848</v>
      </c>
      <c r="B351" s="34" t="s">
        <v>1392</v>
      </c>
      <c r="C351" s="34">
        <v>42.971207100000001</v>
      </c>
      <c r="D351" s="34">
        <v>-87.904057100000003</v>
      </c>
    </row>
    <row r="352" spans="1:4">
      <c r="A352" s="34" t="s">
        <v>1849</v>
      </c>
      <c r="B352" s="34" t="s">
        <v>1396</v>
      </c>
      <c r="C352" s="34">
        <v>43.944132799999998</v>
      </c>
      <c r="D352" s="34">
        <v>-90.812911799999995</v>
      </c>
    </row>
    <row r="353" spans="1:4">
      <c r="A353" s="34" t="s">
        <v>1850</v>
      </c>
      <c r="B353" s="34" t="s">
        <v>1400</v>
      </c>
      <c r="C353" s="34">
        <v>45.636622799999998</v>
      </c>
      <c r="D353" s="34">
        <v>-89.412075299999998</v>
      </c>
    </row>
    <row r="354" spans="1:4">
      <c r="A354" s="34" t="s">
        <v>1851</v>
      </c>
      <c r="B354" s="34" t="s">
        <v>1405</v>
      </c>
      <c r="C354" s="34">
        <v>44.245544899999999</v>
      </c>
      <c r="D354" s="34">
        <v>-88.353074699999993</v>
      </c>
    </row>
    <row r="355" spans="1:4">
      <c r="A355" s="34" t="s">
        <v>1852</v>
      </c>
      <c r="B355" s="34" t="s">
        <v>1409</v>
      </c>
      <c r="C355" s="34">
        <v>43.319726500000002</v>
      </c>
      <c r="D355" s="34">
        <v>-87.953422599999996</v>
      </c>
    </row>
    <row r="356" spans="1:4">
      <c r="A356" s="34" t="s">
        <v>1853</v>
      </c>
      <c r="B356" s="34" t="s">
        <v>1413</v>
      </c>
      <c r="C356" s="34">
        <v>43.387224699999997</v>
      </c>
      <c r="D356" s="34">
        <v>-87.875643999999994</v>
      </c>
    </row>
    <row r="357" spans="1:4">
      <c r="A357" s="34" t="s">
        <v>1854</v>
      </c>
      <c r="B357" s="34" t="s">
        <v>1418</v>
      </c>
      <c r="C357" s="34">
        <v>45.251907199999998</v>
      </c>
      <c r="D357" s="34">
        <v>-92.271299600000006</v>
      </c>
    </row>
    <row r="358" spans="1:4">
      <c r="A358" s="34" t="s">
        <v>1855</v>
      </c>
      <c r="B358" s="34" t="s">
        <v>1423</v>
      </c>
      <c r="C358" s="34">
        <v>44.5235792</v>
      </c>
      <c r="D358" s="34">
        <v>-89.574562999999998</v>
      </c>
    </row>
    <row r="359" spans="1:4">
      <c r="A359" s="34" t="s">
        <v>1856</v>
      </c>
      <c r="B359" s="34" t="s">
        <v>1427</v>
      </c>
      <c r="C359" s="34">
        <v>42.6780726</v>
      </c>
      <c r="D359" s="34">
        <v>-88.276202600000005</v>
      </c>
    </row>
    <row r="360" spans="1:4">
      <c r="A360" s="34" t="s">
        <v>1857</v>
      </c>
      <c r="B360" s="34" t="s">
        <v>1432</v>
      </c>
      <c r="C360" s="34">
        <v>42.696441200000002</v>
      </c>
      <c r="D360" s="34">
        <v>-87.805840200000006</v>
      </c>
    </row>
    <row r="361" spans="1:4">
      <c r="A361" s="34" t="s">
        <v>1858</v>
      </c>
      <c r="B361" s="34" t="s">
        <v>1435</v>
      </c>
      <c r="C361" s="34">
        <v>43.334705300000003</v>
      </c>
      <c r="D361" s="34">
        <v>-90.386792799999995</v>
      </c>
    </row>
    <row r="362" spans="1:4">
      <c r="A362" s="34" t="s">
        <v>1859</v>
      </c>
      <c r="B362" s="34" t="s">
        <v>1440</v>
      </c>
      <c r="C362" s="34">
        <v>42.5083482</v>
      </c>
      <c r="D362" s="34">
        <v>-89.031776500000007</v>
      </c>
    </row>
    <row r="363" spans="1:4">
      <c r="A363" s="34" t="s">
        <v>1860</v>
      </c>
      <c r="B363" s="34" t="s">
        <v>1444</v>
      </c>
      <c r="C363" s="34">
        <v>42.6442233</v>
      </c>
      <c r="D363" s="34">
        <v>-88.960536500000003</v>
      </c>
    </row>
    <row r="364" spans="1:4">
      <c r="A364" s="34" t="s">
        <v>1861</v>
      </c>
      <c r="B364" s="34" t="s">
        <v>1448</v>
      </c>
      <c r="C364" s="34">
        <v>44.974689599999998</v>
      </c>
      <c r="D364" s="34">
        <v>-92.756870300000003</v>
      </c>
    </row>
    <row r="365" spans="1:4">
      <c r="A365" s="34" t="s">
        <v>1862</v>
      </c>
      <c r="B365" s="34" t="s">
        <v>1453</v>
      </c>
      <c r="C365" s="34">
        <v>43.748605400000002</v>
      </c>
      <c r="D365" s="34">
        <v>-87.977037899999999</v>
      </c>
    </row>
    <row r="366" spans="1:4">
      <c r="A366" s="34" t="s">
        <v>1863</v>
      </c>
      <c r="B366" s="34" t="s">
        <v>1458</v>
      </c>
      <c r="C366" s="34">
        <v>43.701305400000003</v>
      </c>
      <c r="D366" s="34">
        <v>-87.727112300000002</v>
      </c>
    </row>
    <row r="367" spans="1:4">
      <c r="A367" s="34" t="s">
        <v>1864</v>
      </c>
      <c r="B367" s="34" t="s">
        <v>1461</v>
      </c>
      <c r="C367" s="34">
        <v>42.6330703</v>
      </c>
      <c r="D367" s="34">
        <v>-88.6437138</v>
      </c>
    </row>
    <row r="368" spans="1:4">
      <c r="A368" s="34" t="s">
        <v>1865</v>
      </c>
      <c r="B368" s="34" t="s">
        <v>1466</v>
      </c>
      <c r="C368" s="34">
        <v>43.3238919</v>
      </c>
      <c r="D368" s="34">
        <v>-88.166759900000002</v>
      </c>
    </row>
    <row r="369" spans="1:4">
      <c r="A369" s="34" t="s">
        <v>1866</v>
      </c>
      <c r="B369" s="34" t="s">
        <v>1471</v>
      </c>
      <c r="C369" s="34">
        <v>43.317779399999999</v>
      </c>
      <c r="D369" s="34">
        <v>-88.3789862</v>
      </c>
    </row>
    <row r="370" spans="1:4">
      <c r="A370" s="34" t="s">
        <v>1867</v>
      </c>
      <c r="B370" s="34" t="s">
        <v>1476</v>
      </c>
      <c r="C370" s="34">
        <v>43.425277600000001</v>
      </c>
      <c r="D370" s="34">
        <v>-88.183427699999996</v>
      </c>
    </row>
    <row r="371" spans="1:4">
      <c r="A371" s="34" t="s">
        <v>1868</v>
      </c>
      <c r="B371" s="34" t="s">
        <v>1480</v>
      </c>
      <c r="C371" s="34">
        <v>42.866680299999999</v>
      </c>
      <c r="D371" s="34">
        <v>-88.333427400000005</v>
      </c>
    </row>
    <row r="372" spans="1:4">
      <c r="A372" s="34" t="s">
        <v>1869</v>
      </c>
      <c r="B372" s="34" t="s">
        <v>1484</v>
      </c>
      <c r="C372" s="34">
        <v>43.037372300000001</v>
      </c>
      <c r="D372" s="34">
        <v>-88.391902599999995</v>
      </c>
    </row>
    <row r="373" spans="1:4">
      <c r="A373" s="34" t="s">
        <v>1870</v>
      </c>
      <c r="B373" s="34" t="s">
        <v>1488</v>
      </c>
      <c r="C373" s="34">
        <v>43.111673099999997</v>
      </c>
      <c r="D373" s="34">
        <v>-88.499265899999997</v>
      </c>
    </row>
    <row r="374" spans="1:4">
      <c r="A374" s="34" t="s">
        <v>1871</v>
      </c>
      <c r="B374" s="34" t="s">
        <v>1493</v>
      </c>
      <c r="C374" s="34">
        <v>43.071738199999999</v>
      </c>
      <c r="D374" s="34">
        <v>-88.099845000000002</v>
      </c>
    </row>
    <row r="375" spans="1:4">
      <c r="A375" s="34" t="s">
        <v>1872</v>
      </c>
      <c r="B375" s="34" t="s">
        <v>1497</v>
      </c>
      <c r="C375" s="34">
        <v>43.015059000000001</v>
      </c>
      <c r="D375" s="34">
        <v>-88.197414800000004</v>
      </c>
    </row>
    <row r="376" spans="1:4">
      <c r="A376" s="34" t="s">
        <v>1873</v>
      </c>
      <c r="B376" s="34" t="s">
        <v>1500</v>
      </c>
      <c r="C376" s="34">
        <v>44.392758200000003</v>
      </c>
      <c r="D376" s="34">
        <v>-88.739825600000003</v>
      </c>
    </row>
    <row r="377" spans="1:4">
      <c r="A377" s="34" t="s">
        <v>1874</v>
      </c>
      <c r="B377" s="34" t="s">
        <v>1504</v>
      </c>
      <c r="C377" s="34">
        <v>44.358034799999999</v>
      </c>
      <c r="D377" s="34">
        <v>-89.085946399999997</v>
      </c>
    </row>
    <row r="378" spans="1:4">
      <c r="A378" s="34" t="s">
        <v>1875</v>
      </c>
      <c r="B378" s="34" t="s">
        <v>1508</v>
      </c>
      <c r="C378" s="34">
        <v>44.202208400000004</v>
      </c>
      <c r="D378" s="34">
        <v>-88.446497300000004</v>
      </c>
    </row>
    <row r="379" spans="1:4">
      <c r="A379" s="34" t="s">
        <v>1876</v>
      </c>
      <c r="B379" s="34" t="s">
        <v>1512</v>
      </c>
      <c r="C379" s="34">
        <v>44.079550300000001</v>
      </c>
      <c r="D379" s="34">
        <v>-88.545262199999996</v>
      </c>
    </row>
    <row r="380" spans="1:4">
      <c r="A380" s="34" t="s">
        <v>1877</v>
      </c>
      <c r="B380" s="34" t="s">
        <v>1516</v>
      </c>
      <c r="C380" s="34">
        <v>44.383576300000001</v>
      </c>
      <c r="D380" s="34">
        <v>-89.817346499999999</v>
      </c>
    </row>
    <row r="381" spans="1:4">
      <c r="A381" s="34" t="s">
        <v>1878</v>
      </c>
      <c r="B381" s="34" t="s">
        <v>1879</v>
      </c>
      <c r="C381" s="34">
        <v>42.707478399999999</v>
      </c>
      <c r="D381" s="34">
        <v>-87.869763000000006</v>
      </c>
    </row>
    <row r="382" spans="1:4">
      <c r="A382" s="34" t="s">
        <v>1880</v>
      </c>
      <c r="B382" s="34" t="s">
        <v>1023</v>
      </c>
      <c r="C382" s="34">
        <v>42.850515999999999</v>
      </c>
      <c r="D382" s="34">
        <v>-88.069074000000001</v>
      </c>
    </row>
    <row r="383" spans="1:4">
      <c r="A383" s="34" t="s">
        <v>1881</v>
      </c>
      <c r="B383" s="34" t="s">
        <v>1027</v>
      </c>
      <c r="C383" s="34">
        <v>43.969729700000002</v>
      </c>
      <c r="D383" s="34">
        <v>-89.347265500000006</v>
      </c>
    </row>
    <row r="384" spans="1:4">
      <c r="A384" s="34" t="s">
        <v>1882</v>
      </c>
      <c r="B384" s="34" t="s">
        <v>1031</v>
      </c>
      <c r="C384" s="34">
        <v>43.817976299999998</v>
      </c>
      <c r="D384" s="34">
        <v>-87.743238300000002</v>
      </c>
    </row>
    <row r="385" spans="1:4">
      <c r="A385" s="34" t="s">
        <v>1883</v>
      </c>
      <c r="B385" s="34" t="s">
        <v>1035</v>
      </c>
      <c r="C385" s="34">
        <v>44.456200000000003</v>
      </c>
      <c r="D385" s="34">
        <v>-89.500699999999995</v>
      </c>
    </row>
    <row r="386" spans="1:4">
      <c r="A386" s="34" t="s">
        <v>1884</v>
      </c>
      <c r="B386" s="34" t="s">
        <v>1039</v>
      </c>
      <c r="C386" s="34">
        <v>42.915303999999999</v>
      </c>
      <c r="D386" s="34">
        <v>-87.941421000000005</v>
      </c>
    </row>
    <row r="387" spans="1:4">
      <c r="A387" s="34" t="s">
        <v>1885</v>
      </c>
      <c r="B387" s="34" t="s">
        <v>1042</v>
      </c>
      <c r="C387" s="34">
        <v>44.015753599999996</v>
      </c>
      <c r="D387" s="34">
        <v>-88.541702200000003</v>
      </c>
    </row>
    <row r="388" spans="1:4">
      <c r="A388" s="34" t="s">
        <v>1886</v>
      </c>
      <c r="B388" s="34" t="s">
        <v>1046</v>
      </c>
      <c r="C388" s="34">
        <v>43.561644700000002</v>
      </c>
      <c r="D388" s="34">
        <v>-89.492161100000004</v>
      </c>
    </row>
    <row r="389" spans="1:4">
      <c r="A389" s="34" t="s">
        <v>1887</v>
      </c>
      <c r="B389" s="34" t="s">
        <v>1050</v>
      </c>
      <c r="C389" s="34">
        <v>43.1781644</v>
      </c>
      <c r="D389" s="34">
        <v>-87.981232199999994</v>
      </c>
    </row>
    <row r="390" spans="1:4">
      <c r="A390" s="34" t="s">
        <v>1888</v>
      </c>
      <c r="B390" s="34" t="s">
        <v>1054</v>
      </c>
      <c r="C390" s="34">
        <v>44.258678500000002</v>
      </c>
      <c r="D390" s="34">
        <v>-88.4106539</v>
      </c>
    </row>
    <row r="391" spans="1:4">
      <c r="A391" s="34" t="s">
        <v>1889</v>
      </c>
      <c r="B391" s="34" t="s">
        <v>1058</v>
      </c>
      <c r="C391" s="34">
        <v>44.370762900000003</v>
      </c>
      <c r="D391" s="34">
        <v>-89.811499999999995</v>
      </c>
    </row>
    <row r="392" spans="1:4">
      <c r="A392" s="34" t="s">
        <v>1890</v>
      </c>
      <c r="B392" s="34" t="s">
        <v>1061</v>
      </c>
      <c r="C392" s="34">
        <v>46.702798000000001</v>
      </c>
      <c r="D392" s="34">
        <v>-92.078447999999995</v>
      </c>
    </row>
    <row r="393" spans="1:4">
      <c r="A393" s="34" t="s">
        <v>1891</v>
      </c>
      <c r="B393" s="34" t="s">
        <v>1064</v>
      </c>
      <c r="C393" s="34">
        <v>46.672505700000002</v>
      </c>
      <c r="D393" s="34">
        <v>-91.967139000000003</v>
      </c>
    </row>
    <row r="394" spans="1:4">
      <c r="A394" s="34" t="s">
        <v>1892</v>
      </c>
      <c r="B394" s="34" t="s">
        <v>1068</v>
      </c>
      <c r="C394" s="34">
        <v>42.566139999999997</v>
      </c>
      <c r="D394" s="34">
        <v>-87.949250000000006</v>
      </c>
    </row>
    <row r="395" spans="1:4">
      <c r="A395" s="34" t="s">
        <v>1893</v>
      </c>
      <c r="B395" s="34" t="s">
        <v>1072</v>
      </c>
      <c r="C395" s="34">
        <v>43.186964000000003</v>
      </c>
      <c r="D395" s="34">
        <v>-88.063498100000004</v>
      </c>
    </row>
    <row r="396" spans="1:4">
      <c r="A396" s="34" t="s">
        <v>1894</v>
      </c>
      <c r="B396" s="34" t="s">
        <v>1076</v>
      </c>
      <c r="C396" s="34">
        <v>44.789491699999999</v>
      </c>
      <c r="D396" s="34">
        <v>-89.693766800000006</v>
      </c>
    </row>
    <row r="397" spans="1:4">
      <c r="A397" s="34" t="s">
        <v>1895</v>
      </c>
      <c r="B397" s="34" t="s">
        <v>1080</v>
      </c>
      <c r="C397" s="34">
        <v>45.386612900000003</v>
      </c>
      <c r="D397" s="34">
        <v>-86.887176999999994</v>
      </c>
    </row>
    <row r="398" spans="1:4">
      <c r="A398" s="34" t="s">
        <v>1896</v>
      </c>
      <c r="B398" s="34" t="s">
        <v>1084</v>
      </c>
      <c r="C398" s="34">
        <v>43.7154715</v>
      </c>
      <c r="D398" s="34">
        <v>-87.705864399999996</v>
      </c>
    </row>
    <row r="399" spans="1:4">
      <c r="A399" s="34" t="s">
        <v>1897</v>
      </c>
      <c r="B399" s="34" t="s">
        <v>1087</v>
      </c>
      <c r="C399" s="34">
        <v>44.456167399999998</v>
      </c>
      <c r="D399" s="34">
        <v>-87.933480299999999</v>
      </c>
    </row>
    <row r="400" spans="1:4">
      <c r="A400" s="34" t="s">
        <v>1898</v>
      </c>
      <c r="B400" s="34" t="s">
        <v>1090</v>
      </c>
      <c r="C400" s="34">
        <v>44.411078500000002</v>
      </c>
      <c r="D400" s="34">
        <v>-89.855401200000003</v>
      </c>
    </row>
    <row r="401" spans="1:4">
      <c r="A401" s="34" t="s">
        <v>1899</v>
      </c>
      <c r="B401" s="34" t="s">
        <v>1093</v>
      </c>
      <c r="C401" s="34">
        <v>43.526930200000002</v>
      </c>
      <c r="D401" s="34">
        <v>-89.997798299999999</v>
      </c>
    </row>
    <row r="402" spans="1:4">
      <c r="A402" s="34" t="s">
        <v>1900</v>
      </c>
      <c r="B402" s="34" t="s">
        <v>1097</v>
      </c>
      <c r="C402" s="34">
        <v>44.4772113</v>
      </c>
      <c r="D402" s="34">
        <v>-87.579779099999996</v>
      </c>
    </row>
    <row r="403" spans="1:4">
      <c r="A403" s="34" t="s">
        <v>1901</v>
      </c>
      <c r="B403" s="34" t="s">
        <v>1101</v>
      </c>
      <c r="C403" s="34">
        <v>43.046756299999998</v>
      </c>
      <c r="D403" s="34">
        <v>-89.263830299999995</v>
      </c>
    </row>
    <row r="404" spans="1:4">
      <c r="A404" s="34" t="s">
        <v>1902</v>
      </c>
      <c r="B404" s="34" t="s">
        <v>1105</v>
      </c>
      <c r="C404" s="34">
        <v>43.561644700000002</v>
      </c>
      <c r="D404" s="34">
        <v>-89.492161100000004</v>
      </c>
    </row>
    <row r="405" spans="1:4">
      <c r="A405" s="34" t="s">
        <v>1903</v>
      </c>
      <c r="B405" s="34" t="s">
        <v>1107</v>
      </c>
      <c r="C405" s="34">
        <v>44.271431800000002</v>
      </c>
      <c r="D405" s="34">
        <v>-88.301452499999996</v>
      </c>
    </row>
    <row r="406" spans="1:4">
      <c r="A406" s="34" t="s">
        <v>1904</v>
      </c>
      <c r="B406" s="34" t="s">
        <v>1110</v>
      </c>
      <c r="C406" s="34">
        <v>44.172663</v>
      </c>
      <c r="D406" s="34">
        <v>-87.840597000000002</v>
      </c>
    </row>
    <row r="407" spans="1:4">
      <c r="A407" s="34" t="s">
        <v>1905</v>
      </c>
      <c r="B407" s="34" t="s">
        <v>1114</v>
      </c>
      <c r="C407" s="34">
        <v>43.871105100000001</v>
      </c>
      <c r="D407" s="34">
        <v>-88.914680899999993</v>
      </c>
    </row>
    <row r="408" spans="1:4">
      <c r="A408" s="34" t="s">
        <v>1906</v>
      </c>
      <c r="B408" s="34" t="s">
        <v>1118</v>
      </c>
      <c r="C408" s="34">
        <v>44.803962900000002</v>
      </c>
      <c r="D408" s="34">
        <v>-89.432481899999999</v>
      </c>
    </row>
    <row r="409" spans="1:4">
      <c r="A409" s="34" t="s">
        <v>1907</v>
      </c>
      <c r="B409" s="34" t="s">
        <v>1121</v>
      </c>
      <c r="C409" s="34">
        <v>43.463231</v>
      </c>
      <c r="D409" s="34">
        <v>-88.553827999999996</v>
      </c>
    </row>
    <row r="410" spans="1:4">
      <c r="A410" s="34" t="s">
        <v>1908</v>
      </c>
      <c r="B410" s="34" t="s">
        <v>1125</v>
      </c>
      <c r="C410" s="34">
        <v>44.770928499999997</v>
      </c>
      <c r="D410" s="34">
        <v>-88.5580195</v>
      </c>
    </row>
    <row r="411" spans="1:4">
      <c r="A411" s="34" t="s">
        <v>1909</v>
      </c>
      <c r="B411" s="34" t="s">
        <v>1129</v>
      </c>
      <c r="C411" s="34">
        <v>45.233514599999999</v>
      </c>
      <c r="D411" s="34">
        <v>-88.083751800000002</v>
      </c>
    </row>
    <row r="412" spans="1:4">
      <c r="A412" s="34" t="s">
        <v>1910</v>
      </c>
      <c r="B412" s="34" t="s">
        <v>1133</v>
      </c>
      <c r="C412" s="34">
        <v>44.834370999999997</v>
      </c>
      <c r="D412" s="34">
        <v>-91.374224999999996</v>
      </c>
    </row>
    <row r="413" spans="1:4">
      <c r="A413" s="34" t="s">
        <v>1911</v>
      </c>
      <c r="B413" s="34" t="s">
        <v>1137</v>
      </c>
      <c r="C413" s="34">
        <v>45.972082100000002</v>
      </c>
      <c r="D413" s="34">
        <v>-89.414880100000005</v>
      </c>
    </row>
    <row r="414" spans="1:4">
      <c r="A414" s="34" t="s">
        <v>1912</v>
      </c>
      <c r="B414" s="34" t="s">
        <v>1141</v>
      </c>
      <c r="C414" s="34">
        <v>45.445102800000001</v>
      </c>
      <c r="D414" s="34">
        <v>-89.737458700000005</v>
      </c>
    </row>
    <row r="415" spans="1:4">
      <c r="A415" s="34" t="s">
        <v>1913</v>
      </c>
      <c r="B415" s="34" t="s">
        <v>1145</v>
      </c>
      <c r="C415" s="34">
        <v>42.874190200000001</v>
      </c>
      <c r="D415" s="34">
        <v>-90.671862899999994</v>
      </c>
    </row>
    <row r="416" spans="1:4">
      <c r="A416" s="34" t="s">
        <v>1914</v>
      </c>
      <c r="B416" s="34" t="s">
        <v>1150</v>
      </c>
      <c r="C416" s="34">
        <v>44.107731999999999</v>
      </c>
      <c r="D416" s="34">
        <v>-88.191685000000007</v>
      </c>
    </row>
    <row r="417" spans="1:4">
      <c r="A417" s="34" t="s">
        <v>1915</v>
      </c>
      <c r="B417" s="34" t="s">
        <v>1154</v>
      </c>
      <c r="C417" s="34">
        <v>45.187357400000003</v>
      </c>
      <c r="D417" s="34">
        <v>-89.671779799999996</v>
      </c>
    </row>
    <row r="418" spans="1:4">
      <c r="A418" s="34" t="s">
        <v>1916</v>
      </c>
      <c r="B418" s="34" t="s">
        <v>1157</v>
      </c>
      <c r="C418" s="34">
        <v>44.024917100000003</v>
      </c>
      <c r="D418" s="34">
        <v>-89.841871600000005</v>
      </c>
    </row>
    <row r="419" spans="1:4">
      <c r="A419" s="34" t="s">
        <v>1917</v>
      </c>
      <c r="B419" s="34" t="s">
        <v>1161</v>
      </c>
      <c r="C419" s="34">
        <v>44.083344699999998</v>
      </c>
      <c r="D419" s="34">
        <v>-88.532111900000004</v>
      </c>
    </row>
    <row r="420" spans="1:4">
      <c r="A420" s="34" t="s">
        <v>1918</v>
      </c>
      <c r="B420" s="34" t="s">
        <v>1164</v>
      </c>
      <c r="C420" s="34">
        <v>43.089252999999999</v>
      </c>
      <c r="D420" s="34">
        <v>-88.748861000000005</v>
      </c>
    </row>
    <row r="421" spans="1:4">
      <c r="A421" s="34" t="s">
        <v>1919</v>
      </c>
      <c r="B421" s="34" t="s">
        <v>1168</v>
      </c>
      <c r="C421" s="34">
        <v>42.707405000000001</v>
      </c>
      <c r="D421" s="34">
        <v>-87.869819000000007</v>
      </c>
    </row>
    <row r="422" spans="1:4">
      <c r="A422" s="34" t="s">
        <v>1920</v>
      </c>
      <c r="B422" s="34" t="s">
        <v>1171</v>
      </c>
      <c r="C422" s="34">
        <v>46.815485099999997</v>
      </c>
      <c r="D422" s="34">
        <v>-90.829821999999993</v>
      </c>
    </row>
    <row r="423" spans="1:4">
      <c r="A423" s="34" t="s">
        <v>1921</v>
      </c>
      <c r="B423" s="34" t="s">
        <v>1175</v>
      </c>
      <c r="C423" s="34">
        <v>44.259274400000002</v>
      </c>
      <c r="D423" s="34">
        <v>-88.410099900000006</v>
      </c>
    </row>
    <row r="424" spans="1:4">
      <c r="A424" s="34" t="s">
        <v>1922</v>
      </c>
      <c r="B424" s="34" t="s">
        <v>1178</v>
      </c>
      <c r="C424" s="34">
        <v>42.648888999999997</v>
      </c>
      <c r="D424" s="34">
        <v>-88.721699299999997</v>
      </c>
    </row>
    <row r="425" spans="1:4">
      <c r="A425" s="34" t="s">
        <v>1923</v>
      </c>
      <c r="B425" s="34" t="s">
        <v>1182</v>
      </c>
      <c r="C425" s="34">
        <v>44.289820599999999</v>
      </c>
      <c r="D425" s="34">
        <v>-88.335056699999996</v>
      </c>
    </row>
    <row r="426" spans="1:4">
      <c r="A426" s="34" t="s">
        <v>1924</v>
      </c>
      <c r="B426" s="34" t="s">
        <v>1185</v>
      </c>
      <c r="C426" s="34">
        <v>43.801355600000001</v>
      </c>
      <c r="D426" s="34">
        <v>-91.239580700000005</v>
      </c>
    </row>
    <row r="427" spans="1:4">
      <c r="A427" s="34" t="s">
        <v>1925</v>
      </c>
      <c r="B427" s="34" t="s">
        <v>1189</v>
      </c>
      <c r="C427" s="34">
        <v>43.592370000000003</v>
      </c>
      <c r="D427" s="34">
        <v>-90.845632499999994</v>
      </c>
    </row>
    <row r="428" spans="1:4">
      <c r="A428" s="34" t="s">
        <v>1926</v>
      </c>
      <c r="B428" s="34" t="s">
        <v>1193</v>
      </c>
      <c r="C428" s="34">
        <v>44.038994000000002</v>
      </c>
      <c r="D428" s="34">
        <v>-88.531922699999996</v>
      </c>
    </row>
    <row r="429" spans="1:4">
      <c r="A429" s="34" t="s">
        <v>1927</v>
      </c>
      <c r="B429" s="34" t="s">
        <v>1196</v>
      </c>
      <c r="C429" s="34">
        <v>42.852382400000003</v>
      </c>
      <c r="D429" s="34">
        <v>-88.072698799999998</v>
      </c>
    </row>
    <row r="430" spans="1:4">
      <c r="A430" s="34" t="s">
        <v>1928</v>
      </c>
      <c r="B430" s="34" t="s">
        <v>1200</v>
      </c>
      <c r="C430" s="34">
        <v>43.148503699999999</v>
      </c>
      <c r="D430" s="34">
        <v>-89.273443200000003</v>
      </c>
    </row>
    <row r="431" spans="1:4">
      <c r="A431" s="34" t="s">
        <v>1929</v>
      </c>
      <c r="B431" s="34" t="s">
        <v>1203</v>
      </c>
      <c r="C431" s="34">
        <v>44.954941400000003</v>
      </c>
      <c r="D431" s="34">
        <v>-89.664664599999995</v>
      </c>
    </row>
    <row r="432" spans="1:4">
      <c r="A432" s="34" t="s">
        <v>1930</v>
      </c>
      <c r="B432" s="34" t="s">
        <v>1206</v>
      </c>
      <c r="C432" s="34">
        <v>44.885412700000003</v>
      </c>
      <c r="D432" s="34">
        <v>-89.388428000000005</v>
      </c>
    </row>
    <row r="433" spans="1:4">
      <c r="A433" s="34" t="s">
        <v>1931</v>
      </c>
      <c r="B433" s="34" t="s">
        <v>1209</v>
      </c>
      <c r="C433" s="34">
        <v>43.012610899999999</v>
      </c>
      <c r="D433" s="34">
        <v>-88.191380899999999</v>
      </c>
    </row>
    <row r="434" spans="1:4">
      <c r="A434" s="34" t="s">
        <v>1932</v>
      </c>
      <c r="B434" s="34" t="s">
        <v>1212</v>
      </c>
      <c r="C434" s="34">
        <v>44.532291000000001</v>
      </c>
      <c r="D434" s="34">
        <v>-88.850755500000005</v>
      </c>
    </row>
    <row r="435" spans="1:4">
      <c r="A435" s="34" t="s">
        <v>1933</v>
      </c>
      <c r="B435" s="34" t="s">
        <v>1216</v>
      </c>
      <c r="C435" s="34">
        <v>45.519364899999999</v>
      </c>
      <c r="D435" s="34">
        <v>-91.1563029</v>
      </c>
    </row>
    <row r="436" spans="1:4">
      <c r="A436" s="34" t="s">
        <v>1934</v>
      </c>
      <c r="B436" s="34" t="s">
        <v>1220</v>
      </c>
      <c r="C436" s="34">
        <v>46.689889399999998</v>
      </c>
      <c r="D436" s="34">
        <v>-92.068303999999998</v>
      </c>
    </row>
    <row r="437" spans="1:4">
      <c r="A437" s="34" t="s">
        <v>1935</v>
      </c>
      <c r="B437" s="34" t="s">
        <v>1223</v>
      </c>
      <c r="C437" s="34">
        <v>46.670802000000002</v>
      </c>
      <c r="D437" s="34">
        <v>-90.910170800000003</v>
      </c>
    </row>
    <row r="438" spans="1:4">
      <c r="A438" s="34" t="s">
        <v>1936</v>
      </c>
      <c r="B438" s="34" t="s">
        <v>1227</v>
      </c>
      <c r="C438" s="34">
        <v>42.629247200000002</v>
      </c>
      <c r="D438" s="34">
        <v>-89.463363700000002</v>
      </c>
    </row>
    <row r="439" spans="1:4">
      <c r="A439" s="34" t="s">
        <v>1937</v>
      </c>
      <c r="B439" s="34" t="s">
        <v>1231</v>
      </c>
      <c r="C439" s="34">
        <v>42.582913099999999</v>
      </c>
      <c r="D439" s="34">
        <v>-88.044808799999998</v>
      </c>
    </row>
    <row r="440" spans="1:4">
      <c r="A440" s="34" t="s">
        <v>1938</v>
      </c>
      <c r="B440" s="34" t="s">
        <v>1234</v>
      </c>
      <c r="C440" s="34">
        <v>42.648910700000002</v>
      </c>
      <c r="D440" s="34">
        <v>-89.056376700000001</v>
      </c>
    </row>
    <row r="441" spans="1:4">
      <c r="A441" s="34" t="s">
        <v>1939</v>
      </c>
      <c r="B441" s="34" t="s">
        <v>1238</v>
      </c>
      <c r="C441" s="34">
        <v>44.252522200000001</v>
      </c>
      <c r="D441" s="34">
        <v>-91.812332400000003</v>
      </c>
    </row>
    <row r="442" spans="1:4">
      <c r="A442" s="34" t="s">
        <v>1940</v>
      </c>
      <c r="B442" s="34" t="s">
        <v>1242</v>
      </c>
      <c r="C442" s="34">
        <v>44.939538499999998</v>
      </c>
      <c r="D442" s="34">
        <v>-89.838567900000001</v>
      </c>
    </row>
    <row r="443" spans="1:4">
      <c r="A443" s="34" t="s">
        <v>1941</v>
      </c>
      <c r="B443" s="34" t="s">
        <v>1245</v>
      </c>
      <c r="C443" s="34">
        <v>44.172663</v>
      </c>
      <c r="D443" s="34">
        <v>-87.840597000000002</v>
      </c>
    </row>
    <row r="444" spans="1:4">
      <c r="A444" s="34" t="s">
        <v>1942</v>
      </c>
      <c r="B444" s="34" t="s">
        <v>1248</v>
      </c>
      <c r="C444" s="34">
        <v>44.083344699999998</v>
      </c>
      <c r="D444" s="34">
        <v>-88.532111900000004</v>
      </c>
    </row>
    <row r="445" spans="1:4">
      <c r="A445" s="34" t="s">
        <v>1943</v>
      </c>
      <c r="B445" s="34" t="s">
        <v>1944</v>
      </c>
      <c r="C445" s="34">
        <v>44.4391283</v>
      </c>
      <c r="D445" s="34">
        <v>-90.124576000000005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49"/>
  <sheetViews>
    <sheetView workbookViewId="0">
      <selection activeCell="V10" sqref="V10"/>
    </sheetView>
  </sheetViews>
  <sheetFormatPr defaultRowHeight="13.9"/>
  <cols>
    <col min="1" max="1" width="9.06640625" style="17"/>
    <col min="2" max="2" width="17.1328125" style="17" customWidth="1"/>
    <col min="3" max="3" width="8.9296875" style="17" customWidth="1"/>
    <col min="4" max="4" width="10.6640625" style="21" customWidth="1"/>
    <col min="5" max="5" width="12.46484375" style="21" customWidth="1"/>
    <col min="6" max="7" width="10.3984375" style="17" customWidth="1"/>
    <col min="8" max="8" width="14.1328125" style="17" customWidth="1"/>
    <col min="9" max="11" width="10.3984375" style="17" customWidth="1"/>
    <col min="12" max="12" width="19.6640625" style="20" customWidth="1"/>
    <col min="13" max="16" width="10.3984375" style="17" customWidth="1"/>
    <col min="17" max="17" width="14.265625" style="17" customWidth="1"/>
    <col min="18" max="18" width="15.73046875" style="17" customWidth="1"/>
    <col min="19" max="19" width="21.19921875" style="17" customWidth="1"/>
    <col min="20" max="20" width="19.59765625" style="17" customWidth="1"/>
    <col min="21" max="21" width="13.3984375" style="17" customWidth="1"/>
    <col min="22" max="22" width="17.9296875" style="17" customWidth="1"/>
    <col min="23" max="16384" width="9.06640625" style="17"/>
  </cols>
  <sheetData>
    <row r="1" spans="1:22">
      <c r="A1" s="95" t="s">
        <v>1529</v>
      </c>
      <c r="B1" s="97" t="s">
        <v>1520</v>
      </c>
      <c r="C1" s="10" t="s">
        <v>1530</v>
      </c>
      <c r="D1" s="11" t="s">
        <v>1531</v>
      </c>
      <c r="E1" s="12" t="s">
        <v>1532</v>
      </c>
      <c r="F1" s="13" t="s">
        <v>1533</v>
      </c>
      <c r="G1" s="13" t="s">
        <v>1534</v>
      </c>
      <c r="H1" s="14" t="s">
        <v>1535</v>
      </c>
      <c r="I1" s="14" t="s">
        <v>1536</v>
      </c>
      <c r="J1" s="14" t="s">
        <v>1537</v>
      </c>
      <c r="K1" s="14" t="s">
        <v>1538</v>
      </c>
      <c r="L1" s="15" t="s">
        <v>1539</v>
      </c>
      <c r="M1" s="16" t="s">
        <v>1540</v>
      </c>
      <c r="N1" s="16" t="s">
        <v>1541</v>
      </c>
      <c r="Q1" s="18" t="s">
        <v>1542</v>
      </c>
      <c r="R1" s="18" t="s">
        <v>1543</v>
      </c>
      <c r="S1" s="18" t="s">
        <v>1544</v>
      </c>
      <c r="T1" s="96"/>
      <c r="U1" s="96"/>
      <c r="V1" s="96"/>
    </row>
    <row r="2" spans="1:22">
      <c r="A2" s="96"/>
      <c r="B2" s="97"/>
      <c r="C2" s="10" t="s">
        <v>1545</v>
      </c>
      <c r="D2" s="12" t="s">
        <v>1530</v>
      </c>
      <c r="E2" s="12" t="s">
        <v>1531</v>
      </c>
      <c r="F2" s="13" t="s">
        <v>1546</v>
      </c>
      <c r="G2" s="13" t="s">
        <v>1547</v>
      </c>
      <c r="L2" s="19" t="s">
        <v>1548</v>
      </c>
      <c r="M2" s="2" t="s">
        <v>1548</v>
      </c>
      <c r="N2" s="2" t="s">
        <v>1549</v>
      </c>
      <c r="O2" s="2" t="s">
        <v>1550</v>
      </c>
      <c r="P2" s="2" t="s">
        <v>1552</v>
      </c>
      <c r="Q2" s="13" t="s">
        <v>1553</v>
      </c>
      <c r="T2" s="18"/>
      <c r="U2" s="18"/>
      <c r="V2" s="18"/>
    </row>
    <row r="3" spans="1:22">
      <c r="A3" s="96"/>
      <c r="B3" s="97"/>
      <c r="C3" s="10"/>
      <c r="D3" s="12" t="s">
        <v>1554</v>
      </c>
      <c r="E3" s="12" t="s">
        <v>1555</v>
      </c>
      <c r="F3" s="17" t="s">
        <v>1556</v>
      </c>
      <c r="G3" s="18" t="s">
        <v>1557</v>
      </c>
      <c r="H3" s="18" t="s">
        <v>1557</v>
      </c>
      <c r="I3" s="18" t="s">
        <v>1558</v>
      </c>
      <c r="J3" s="18" t="s">
        <v>1558</v>
      </c>
      <c r="K3" s="18" t="s">
        <v>1557</v>
      </c>
    </row>
    <row r="4" spans="1:22">
      <c r="A4" s="2" t="s">
        <v>1559</v>
      </c>
      <c r="B4" s="10"/>
      <c r="C4" s="10"/>
      <c r="D4" s="12"/>
      <c r="E4" s="12"/>
      <c r="G4" s="18"/>
      <c r="H4" s="18"/>
      <c r="I4" s="18"/>
      <c r="J4" s="18"/>
      <c r="K4" s="18"/>
      <c r="L4" s="20">
        <f>SUM(L5:L249)</f>
        <v>11217129.218925452</v>
      </c>
      <c r="M4" s="21">
        <f t="shared" ref="M4:N4" si="0">SUM(M5:M249)</f>
        <v>1476300.1658126842</v>
      </c>
      <c r="N4" s="21">
        <f t="shared" si="0"/>
        <v>1251026.2645979805</v>
      </c>
      <c r="O4" s="17">
        <f>M4/L4*100</f>
        <v>13.161122930828704</v>
      </c>
      <c r="P4" s="17">
        <f>N4/L4*100</f>
        <v>11.152820299932525</v>
      </c>
      <c r="Q4" s="17">
        <f>SUM(Q5:Q249)</f>
        <v>9609734.566958094</v>
      </c>
      <c r="R4" s="17">
        <f t="shared" ref="R4:S4" si="1">SUM(R5:R249)</f>
        <v>1292522.2503806169</v>
      </c>
      <c r="S4" s="17">
        <f t="shared" si="1"/>
        <v>1098255.3790809254</v>
      </c>
    </row>
    <row r="5" spans="1:22">
      <c r="A5" s="18" t="s">
        <v>1560</v>
      </c>
      <c r="B5" s="22" t="s">
        <v>5</v>
      </c>
      <c r="C5" s="22" t="s">
        <v>1561</v>
      </c>
      <c r="D5" s="23">
        <v>3100</v>
      </c>
      <c r="E5" s="23">
        <v>0</v>
      </c>
      <c r="F5" s="21">
        <f t="shared" ref="F5:F31" si="2">MAX(D5,E5)</f>
        <v>3100</v>
      </c>
      <c r="G5" s="21">
        <f>F5*1000</f>
        <v>3100000</v>
      </c>
      <c r="H5" s="21">
        <f>G5*0.72</f>
        <v>2232000</v>
      </c>
      <c r="I5" s="21">
        <f>G5*0.045</f>
        <v>139500</v>
      </c>
      <c r="J5" s="21">
        <f>G5*0.233</f>
        <v>722300</v>
      </c>
      <c r="K5" s="21">
        <f>G5*0.002</f>
        <v>6200</v>
      </c>
      <c r="L5" s="20">
        <f>(H5/1000*111+I5/1000*51+J5/1000*60+K5/250*20)*365*0.453592/1000</f>
        <v>49453.177376539999</v>
      </c>
      <c r="M5" s="21">
        <f>(H5/1000*14.3+I5/1000*6.5+J5/1000*8.9+K5/250*2.4)*365*0.453592/1000</f>
        <v>6508.5934677272007</v>
      </c>
      <c r="N5" s="21">
        <f>(H5/1000*12.1+I5/1000*5.5+J5/1000*7.6+K5/250*2)*365*0.453592/1000</f>
        <v>5515.4240054124002</v>
      </c>
      <c r="P5" s="21"/>
      <c r="Q5" s="17">
        <f>F5*0.89*(0.5*133+0.5*52.5)*365*0.453592/1000</f>
        <v>42366.625079029996</v>
      </c>
      <c r="R5" s="17">
        <f>F5*0.89*(0.5*17.15+0.5*7.8)*365*0.453592/1000</f>
        <v>5698.3681710069995</v>
      </c>
      <c r="S5" s="17">
        <f>F5*0.89*(14.55*0.5+0.5*6.65)*365*0.453592/1000</f>
        <v>4841.9000090320005</v>
      </c>
    </row>
    <row r="6" spans="1:22">
      <c r="A6" s="18" t="s">
        <v>1562</v>
      </c>
      <c r="B6" s="22" t="s">
        <v>5</v>
      </c>
      <c r="C6" s="22" t="s">
        <v>1561</v>
      </c>
      <c r="D6" s="23">
        <v>13080</v>
      </c>
      <c r="E6" s="23">
        <v>0</v>
      </c>
      <c r="F6" s="21">
        <f t="shared" si="2"/>
        <v>13080</v>
      </c>
      <c r="G6" s="21">
        <f t="shared" ref="G6:G69" si="3">F6*1000</f>
        <v>13080000</v>
      </c>
      <c r="H6" s="21">
        <f t="shared" ref="H6:H69" si="4">G6*0.72</f>
        <v>9417600</v>
      </c>
      <c r="I6" s="21">
        <f t="shared" ref="I6:I69" si="5">G6*0.045</f>
        <v>588600</v>
      </c>
      <c r="J6" s="21">
        <f t="shared" ref="J6:J69" si="6">G6*0.233</f>
        <v>3047640</v>
      </c>
      <c r="K6" s="21">
        <f t="shared" ref="K6:K69" si="7">G6*0.002</f>
        <v>26160</v>
      </c>
      <c r="L6" s="20">
        <f t="shared" ref="L6:L69" si="8">(H6/1000*111+I6/1000*51+J6/1000*60+K6/250*20)*365*0.453592/1000</f>
        <v>208660.50325327204</v>
      </c>
      <c r="M6" s="21">
        <f t="shared" ref="M6:M69" si="9">(H6/1000*14.3+I6/1000*6.5+J6/1000*8.9+K6/250*2.4)*365*0.453592/1000</f>
        <v>27462.065341248959</v>
      </c>
      <c r="N6" s="21">
        <f t="shared" ref="N6:N69" si="10">(H6/1000*12.1+I6/1000*5.5+J6/1000*7.6+K6/250*2)*365*0.453592/1000</f>
        <v>23271.530964772326</v>
      </c>
      <c r="O6" s="21"/>
      <c r="P6" s="21"/>
      <c r="Q6" s="17">
        <f t="shared" ref="Q6:Q69" si="11">F6*0.89*(0.5*133+0.5*52.5)*365*0.453592/1000</f>
        <v>178759.82452700401</v>
      </c>
      <c r="R6" s="17">
        <f>F6*0.89*(0.5*17.15+0.5*7.8)*365*0.453592/1000</f>
        <v>24043.437315087598</v>
      </c>
      <c r="S6" s="17">
        <f t="shared" ref="S6:S69" si="12">F6*0.89*(14.55*0.5+0.5*6.65)*365*0.453592/1000</f>
        <v>20429.694231657606</v>
      </c>
    </row>
    <row r="7" spans="1:22">
      <c r="A7" s="18" t="s">
        <v>12</v>
      </c>
      <c r="B7" s="22" t="s">
        <v>5</v>
      </c>
      <c r="C7" s="22" t="s">
        <v>1561</v>
      </c>
      <c r="D7" s="23">
        <v>0</v>
      </c>
      <c r="E7" s="23">
        <v>6200</v>
      </c>
      <c r="F7" s="21">
        <f t="shared" si="2"/>
        <v>6200</v>
      </c>
      <c r="G7" s="21">
        <f t="shared" si="3"/>
        <v>6200000</v>
      </c>
      <c r="H7" s="21">
        <f t="shared" si="4"/>
        <v>4464000</v>
      </c>
      <c r="I7" s="21">
        <f t="shared" si="5"/>
        <v>279000</v>
      </c>
      <c r="J7" s="21">
        <f t="shared" si="6"/>
        <v>1444600</v>
      </c>
      <c r="K7" s="21">
        <f t="shared" si="7"/>
        <v>12400</v>
      </c>
      <c r="L7" s="20">
        <f t="shared" si="8"/>
        <v>98906.354753079999</v>
      </c>
      <c r="M7" s="21">
        <f t="shared" si="9"/>
        <v>13017.186935454401</v>
      </c>
      <c r="N7" s="21">
        <f t="shared" si="10"/>
        <v>11030.8480108248</v>
      </c>
      <c r="O7" s="21"/>
      <c r="P7" s="21"/>
      <c r="Q7" s="17">
        <f t="shared" si="11"/>
        <v>84733.250158059993</v>
      </c>
      <c r="R7" s="17">
        <f>F7*0.89*(0.5*17.15+0.5*7.8)*365*0.453592/1000</f>
        <v>11396.736342013999</v>
      </c>
      <c r="S7" s="17">
        <f t="shared" si="12"/>
        <v>9683.8000180640011</v>
      </c>
    </row>
    <row r="8" spans="1:22" s="27" customFormat="1">
      <c r="A8" s="18" t="s">
        <v>16</v>
      </c>
      <c r="B8" s="24" t="s">
        <v>18</v>
      </c>
      <c r="C8" s="24" t="s">
        <v>1561</v>
      </c>
      <c r="D8" s="25">
        <v>1164</v>
      </c>
      <c r="E8" s="25">
        <v>2046</v>
      </c>
      <c r="F8" s="26">
        <f t="shared" si="2"/>
        <v>2046</v>
      </c>
      <c r="G8" s="21">
        <f t="shared" si="3"/>
        <v>2046000</v>
      </c>
      <c r="H8" s="21">
        <f t="shared" si="4"/>
        <v>1473120</v>
      </c>
      <c r="I8" s="21">
        <f t="shared" si="5"/>
        <v>92070</v>
      </c>
      <c r="J8" s="21">
        <f t="shared" si="6"/>
        <v>476718</v>
      </c>
      <c r="K8" s="21">
        <f t="shared" si="7"/>
        <v>4092</v>
      </c>
      <c r="L8" s="20">
        <f t="shared" si="8"/>
        <v>32639.097068516396</v>
      </c>
      <c r="M8" s="21">
        <f t="shared" si="9"/>
        <v>4295.6716886999511</v>
      </c>
      <c r="N8" s="21">
        <f t="shared" si="10"/>
        <v>3640.179843572183</v>
      </c>
      <c r="O8" s="26"/>
      <c r="P8" s="26"/>
      <c r="Q8" s="17">
        <f t="shared" si="11"/>
        <v>27961.972552159797</v>
      </c>
      <c r="R8" s="17">
        <f t="shared" ref="R8:R71" si="13">F8*0.89*(0.5*17.15+0.5*7.8)*365*0.453592/1000</f>
        <v>3760.92299286462</v>
      </c>
      <c r="S8" s="17">
        <f t="shared" si="12"/>
        <v>3195.6540059611207</v>
      </c>
      <c r="T8" s="17"/>
      <c r="U8" s="17"/>
      <c r="V8" s="17"/>
    </row>
    <row r="9" spans="1:22" s="27" customFormat="1">
      <c r="A9" s="18" t="s">
        <v>20</v>
      </c>
      <c r="B9" s="24" t="s">
        <v>18</v>
      </c>
      <c r="C9" s="24" t="s">
        <v>1561</v>
      </c>
      <c r="D9" s="25">
        <v>1061</v>
      </c>
      <c r="E9" s="25">
        <v>1395</v>
      </c>
      <c r="F9" s="26">
        <f t="shared" si="2"/>
        <v>1395</v>
      </c>
      <c r="G9" s="21">
        <f t="shared" si="3"/>
        <v>1395000</v>
      </c>
      <c r="H9" s="21">
        <f t="shared" si="4"/>
        <v>1004400</v>
      </c>
      <c r="I9" s="21">
        <f t="shared" si="5"/>
        <v>62775</v>
      </c>
      <c r="J9" s="21">
        <f t="shared" si="6"/>
        <v>325035</v>
      </c>
      <c r="K9" s="21">
        <f t="shared" si="7"/>
        <v>2790</v>
      </c>
      <c r="L9" s="20">
        <f t="shared" si="8"/>
        <v>22253.929819442998</v>
      </c>
      <c r="M9" s="21">
        <f t="shared" si="9"/>
        <v>2928.8670604772401</v>
      </c>
      <c r="N9" s="21">
        <f t="shared" si="10"/>
        <v>2481.9408024355803</v>
      </c>
      <c r="O9" s="26"/>
      <c r="P9" s="26"/>
      <c r="Q9" s="17">
        <f t="shared" si="11"/>
        <v>19064.981285563499</v>
      </c>
      <c r="R9" s="17">
        <f t="shared" si="13"/>
        <v>2564.2656769531495</v>
      </c>
      <c r="S9" s="17">
        <f t="shared" si="12"/>
        <v>2178.8550040644009</v>
      </c>
      <c r="T9" s="17"/>
      <c r="U9" s="17"/>
      <c r="V9" s="17"/>
    </row>
    <row r="10" spans="1:22" s="27" customFormat="1">
      <c r="A10" s="18" t="s">
        <v>23</v>
      </c>
      <c r="B10" s="24" t="s">
        <v>18</v>
      </c>
      <c r="C10" s="24" t="s">
        <v>1561</v>
      </c>
      <c r="D10" s="25">
        <v>1791</v>
      </c>
      <c r="E10" s="25">
        <v>4950</v>
      </c>
      <c r="F10" s="26">
        <f t="shared" si="2"/>
        <v>4950</v>
      </c>
      <c r="G10" s="21">
        <f t="shared" si="3"/>
        <v>4950000</v>
      </c>
      <c r="H10" s="21">
        <f t="shared" si="4"/>
        <v>3564000</v>
      </c>
      <c r="I10" s="21">
        <f t="shared" si="5"/>
        <v>222750</v>
      </c>
      <c r="J10" s="21">
        <f t="shared" si="6"/>
        <v>1153350</v>
      </c>
      <c r="K10" s="21">
        <f t="shared" si="7"/>
        <v>9900</v>
      </c>
      <c r="L10" s="20">
        <f t="shared" si="8"/>
        <v>78965.557423830003</v>
      </c>
      <c r="M10" s="21">
        <f t="shared" si="9"/>
        <v>10392.7540855644</v>
      </c>
      <c r="N10" s="21">
        <f t="shared" si="10"/>
        <v>8806.8867183197999</v>
      </c>
      <c r="O10" s="26"/>
      <c r="P10" s="26"/>
      <c r="Q10" s="17">
        <f t="shared" si="11"/>
        <v>67649.933593934998</v>
      </c>
      <c r="R10" s="17">
        <f t="shared" si="13"/>
        <v>9099.0072408015003</v>
      </c>
      <c r="S10" s="17">
        <f t="shared" si="12"/>
        <v>7731.4209821639997</v>
      </c>
      <c r="T10" s="17"/>
      <c r="U10" s="17"/>
      <c r="V10" s="17"/>
    </row>
    <row r="11" spans="1:22" s="27" customFormat="1">
      <c r="A11" s="18" t="s">
        <v>27</v>
      </c>
      <c r="B11" s="24" t="s">
        <v>18</v>
      </c>
      <c r="C11" s="24" t="s">
        <v>1561</v>
      </c>
      <c r="D11" s="25">
        <v>2075</v>
      </c>
      <c r="E11" s="25">
        <v>2075</v>
      </c>
      <c r="F11" s="26">
        <f t="shared" si="2"/>
        <v>2075</v>
      </c>
      <c r="G11" s="21">
        <f t="shared" si="3"/>
        <v>2075000</v>
      </c>
      <c r="H11" s="21">
        <f t="shared" si="4"/>
        <v>1494000</v>
      </c>
      <c r="I11" s="21">
        <f t="shared" si="5"/>
        <v>93375</v>
      </c>
      <c r="J11" s="21">
        <f t="shared" si="6"/>
        <v>483475</v>
      </c>
      <c r="K11" s="21">
        <f t="shared" si="7"/>
        <v>4150</v>
      </c>
      <c r="L11" s="20">
        <f t="shared" si="8"/>
        <v>33101.723566555003</v>
      </c>
      <c r="M11" s="21">
        <f t="shared" si="9"/>
        <v>4356.5585308174004</v>
      </c>
      <c r="N11" s="21">
        <f t="shared" si="10"/>
        <v>3691.7757455582996</v>
      </c>
      <c r="O11" s="26"/>
      <c r="P11" s="26"/>
      <c r="Q11" s="17">
        <f t="shared" si="11"/>
        <v>28358.305496447501</v>
      </c>
      <c r="R11" s="17">
        <f t="shared" si="13"/>
        <v>3814.2303080127499</v>
      </c>
      <c r="S11" s="17">
        <f t="shared" si="12"/>
        <v>3240.9491995940002</v>
      </c>
      <c r="T11" s="17"/>
      <c r="U11" s="17"/>
      <c r="V11" s="17"/>
    </row>
    <row r="12" spans="1:22" s="27" customFormat="1">
      <c r="A12" s="18" t="s">
        <v>30</v>
      </c>
      <c r="B12" s="24" t="s">
        <v>18</v>
      </c>
      <c r="C12" s="24" t="s">
        <v>1561</v>
      </c>
      <c r="D12" s="25">
        <v>3450</v>
      </c>
      <c r="E12" s="25">
        <v>0</v>
      </c>
      <c r="F12" s="26">
        <f t="shared" si="2"/>
        <v>3450</v>
      </c>
      <c r="G12" s="21">
        <f t="shared" si="3"/>
        <v>3450000</v>
      </c>
      <c r="H12" s="21">
        <f t="shared" si="4"/>
        <v>2484000</v>
      </c>
      <c r="I12" s="21">
        <f t="shared" si="5"/>
        <v>155250</v>
      </c>
      <c r="J12" s="21">
        <f t="shared" si="6"/>
        <v>803850</v>
      </c>
      <c r="K12" s="21">
        <f t="shared" si="7"/>
        <v>6900</v>
      </c>
      <c r="L12" s="20">
        <f t="shared" si="8"/>
        <v>55036.600628729997</v>
      </c>
      <c r="M12" s="21">
        <f t="shared" si="9"/>
        <v>7243.4346656963999</v>
      </c>
      <c r="N12" s="21">
        <f t="shared" si="10"/>
        <v>6138.1331673137984</v>
      </c>
      <c r="O12" s="26"/>
      <c r="P12" s="26"/>
      <c r="Q12" s="17">
        <f t="shared" si="11"/>
        <v>47149.953716985001</v>
      </c>
      <c r="R12" s="17">
        <f t="shared" si="13"/>
        <v>6341.732319346499</v>
      </c>
      <c r="S12" s="17">
        <f t="shared" si="12"/>
        <v>5388.5661390840014</v>
      </c>
      <c r="T12" s="17"/>
      <c r="U12" s="17"/>
      <c r="V12" s="17"/>
    </row>
    <row r="13" spans="1:22">
      <c r="A13" s="18" t="s">
        <v>33</v>
      </c>
      <c r="B13" s="22" t="s">
        <v>35</v>
      </c>
      <c r="C13" s="22" t="s">
        <v>1561</v>
      </c>
      <c r="D13" s="23">
        <v>1344</v>
      </c>
      <c r="E13" s="23">
        <v>0</v>
      </c>
      <c r="F13" s="21">
        <f t="shared" si="2"/>
        <v>1344</v>
      </c>
      <c r="G13" s="21">
        <f t="shared" si="3"/>
        <v>1344000</v>
      </c>
      <c r="H13" s="21">
        <f t="shared" si="4"/>
        <v>967680</v>
      </c>
      <c r="I13" s="21">
        <f t="shared" si="5"/>
        <v>60480</v>
      </c>
      <c r="J13" s="21">
        <f t="shared" si="6"/>
        <v>313152</v>
      </c>
      <c r="K13" s="21">
        <f t="shared" si="7"/>
        <v>2688</v>
      </c>
      <c r="L13" s="20">
        <f t="shared" si="8"/>
        <v>21440.345288409593</v>
      </c>
      <c r="M13" s="21">
        <f t="shared" si="9"/>
        <v>2821.7902002017286</v>
      </c>
      <c r="N13" s="21">
        <f t="shared" si="10"/>
        <v>2391.2031817013763</v>
      </c>
      <c r="O13" s="21"/>
      <c r="P13" s="21"/>
      <c r="Q13" s="17">
        <f t="shared" si="11"/>
        <v>18367.981969747201</v>
      </c>
      <c r="R13" s="17">
        <f t="shared" si="13"/>
        <v>2470.5183296236801</v>
      </c>
      <c r="S13" s="17">
        <f t="shared" si="12"/>
        <v>2099.1979393996808</v>
      </c>
    </row>
    <row r="14" spans="1:22">
      <c r="A14" s="18" t="s">
        <v>37</v>
      </c>
      <c r="B14" s="22" t="s">
        <v>35</v>
      </c>
      <c r="C14" s="22" t="s">
        <v>1561</v>
      </c>
      <c r="D14" s="23">
        <v>3000</v>
      </c>
      <c r="E14" s="23">
        <v>0</v>
      </c>
      <c r="F14" s="21">
        <f t="shared" si="2"/>
        <v>3000</v>
      </c>
      <c r="G14" s="21">
        <f t="shared" si="3"/>
        <v>3000000</v>
      </c>
      <c r="H14" s="21">
        <f t="shared" si="4"/>
        <v>2160000</v>
      </c>
      <c r="I14" s="21">
        <f t="shared" si="5"/>
        <v>135000</v>
      </c>
      <c r="J14" s="21">
        <f t="shared" si="6"/>
        <v>699000</v>
      </c>
      <c r="K14" s="21">
        <f t="shared" si="7"/>
        <v>6000</v>
      </c>
      <c r="L14" s="20">
        <f t="shared" si="8"/>
        <v>47857.913590199998</v>
      </c>
      <c r="M14" s="21">
        <f t="shared" si="9"/>
        <v>6298.6388397359988</v>
      </c>
      <c r="N14" s="21">
        <f t="shared" si="10"/>
        <v>5337.5071020120004</v>
      </c>
      <c r="O14" s="21"/>
      <c r="P14" s="21"/>
      <c r="Q14" s="17">
        <f t="shared" si="11"/>
        <v>40999.959753900002</v>
      </c>
      <c r="R14" s="17">
        <f t="shared" si="13"/>
        <v>5514.5498429099998</v>
      </c>
      <c r="S14" s="17">
        <f t="shared" si="12"/>
        <v>4685.7096861600012</v>
      </c>
    </row>
    <row r="15" spans="1:22">
      <c r="A15" s="18" t="s">
        <v>40</v>
      </c>
      <c r="B15" s="22" t="s">
        <v>35</v>
      </c>
      <c r="C15" s="22" t="s">
        <v>1561</v>
      </c>
      <c r="D15" s="23">
        <v>1851</v>
      </c>
      <c r="E15" s="23">
        <v>1611</v>
      </c>
      <c r="F15" s="21">
        <f t="shared" si="2"/>
        <v>1851</v>
      </c>
      <c r="G15" s="21">
        <f t="shared" si="3"/>
        <v>1851000</v>
      </c>
      <c r="H15" s="21">
        <f t="shared" si="4"/>
        <v>1332720</v>
      </c>
      <c r="I15" s="21">
        <f t="shared" si="5"/>
        <v>83295</v>
      </c>
      <c r="J15" s="21">
        <f t="shared" si="6"/>
        <v>431283</v>
      </c>
      <c r="K15" s="21">
        <f t="shared" si="7"/>
        <v>3702</v>
      </c>
      <c r="L15" s="20">
        <f t="shared" si="8"/>
        <v>29528.332685153408</v>
      </c>
      <c r="M15" s="21">
        <f t="shared" si="9"/>
        <v>3886.2601641171113</v>
      </c>
      <c r="N15" s="21">
        <f t="shared" si="10"/>
        <v>3293.2418819414047</v>
      </c>
      <c r="O15" s="21"/>
      <c r="P15" s="21"/>
      <c r="Q15" s="17">
        <f t="shared" si="11"/>
        <v>25296.975168156303</v>
      </c>
      <c r="R15" s="17">
        <f t="shared" si="13"/>
        <v>3402.4772530754703</v>
      </c>
      <c r="S15" s="17">
        <f t="shared" si="12"/>
        <v>2891.0828763607205</v>
      </c>
    </row>
    <row r="16" spans="1:22">
      <c r="A16" s="18" t="s">
        <v>43</v>
      </c>
      <c r="B16" s="22" t="s">
        <v>35</v>
      </c>
      <c r="C16" s="22" t="s">
        <v>1561</v>
      </c>
      <c r="D16" s="23">
        <v>4210</v>
      </c>
      <c r="E16" s="23">
        <v>0</v>
      </c>
      <c r="F16" s="21">
        <f t="shared" si="2"/>
        <v>4210</v>
      </c>
      <c r="G16" s="21">
        <f t="shared" si="3"/>
        <v>4210000</v>
      </c>
      <c r="H16" s="21">
        <f t="shared" si="4"/>
        <v>3031200</v>
      </c>
      <c r="I16" s="21">
        <f t="shared" si="5"/>
        <v>189450</v>
      </c>
      <c r="J16" s="21">
        <f t="shared" si="6"/>
        <v>980930</v>
      </c>
      <c r="K16" s="21">
        <f t="shared" si="7"/>
        <v>8420</v>
      </c>
      <c r="L16" s="20">
        <f t="shared" si="8"/>
        <v>67160.605404913993</v>
      </c>
      <c r="M16" s="21">
        <f t="shared" si="9"/>
        <v>8839.0898384295215</v>
      </c>
      <c r="N16" s="21">
        <f t="shared" si="10"/>
        <v>7490.3016331568388</v>
      </c>
      <c r="O16" s="21"/>
      <c r="P16" s="21"/>
      <c r="Q16" s="17">
        <f t="shared" si="11"/>
        <v>57536.610187973005</v>
      </c>
      <c r="R16" s="17">
        <f t="shared" si="13"/>
        <v>7738.7516128837005</v>
      </c>
      <c r="S16" s="17">
        <f t="shared" si="12"/>
        <v>6575.6125929112013</v>
      </c>
    </row>
    <row r="17" spans="1:22">
      <c r="A17" s="18" t="s">
        <v>47</v>
      </c>
      <c r="B17" s="22" t="s">
        <v>35</v>
      </c>
      <c r="C17" s="22" t="s">
        <v>1561</v>
      </c>
      <c r="D17" s="23">
        <v>5620</v>
      </c>
      <c r="E17" s="23">
        <v>9640</v>
      </c>
      <c r="F17" s="21">
        <f t="shared" si="2"/>
        <v>9640</v>
      </c>
      <c r="G17" s="21">
        <f t="shared" si="3"/>
        <v>9640000</v>
      </c>
      <c r="H17" s="21">
        <f t="shared" si="4"/>
        <v>6940800</v>
      </c>
      <c r="I17" s="21">
        <f t="shared" si="5"/>
        <v>433800</v>
      </c>
      <c r="J17" s="21">
        <f t="shared" si="6"/>
        <v>2246120</v>
      </c>
      <c r="K17" s="21">
        <f t="shared" si="7"/>
        <v>19280</v>
      </c>
      <c r="L17" s="20">
        <f t="shared" si="8"/>
        <v>153783.42900317602</v>
      </c>
      <c r="M17" s="21">
        <f t="shared" si="9"/>
        <v>20239.626138351683</v>
      </c>
      <c r="N17" s="21">
        <f t="shared" si="10"/>
        <v>17151.189487798561</v>
      </c>
      <c r="O17" s="21"/>
      <c r="P17" s="21"/>
      <c r="Q17" s="17">
        <f t="shared" si="11"/>
        <v>131746.53734253198</v>
      </c>
      <c r="R17" s="17">
        <f t="shared" si="13"/>
        <v>17720.0868285508</v>
      </c>
      <c r="S17" s="17">
        <f t="shared" si="12"/>
        <v>15056.747124860802</v>
      </c>
    </row>
    <row r="18" spans="1:22">
      <c r="A18" s="18" t="s">
        <v>50</v>
      </c>
      <c r="B18" s="22" t="s">
        <v>35</v>
      </c>
      <c r="C18" s="22" t="s">
        <v>1561</v>
      </c>
      <c r="D18" s="23">
        <v>1648</v>
      </c>
      <c r="E18" s="23">
        <v>1563</v>
      </c>
      <c r="F18" s="21">
        <f t="shared" si="2"/>
        <v>1648</v>
      </c>
      <c r="G18" s="21">
        <f t="shared" si="3"/>
        <v>1648000</v>
      </c>
      <c r="H18" s="21">
        <f t="shared" si="4"/>
        <v>1186560</v>
      </c>
      <c r="I18" s="21">
        <f t="shared" si="5"/>
        <v>74160</v>
      </c>
      <c r="J18" s="21">
        <f t="shared" si="6"/>
        <v>383984</v>
      </c>
      <c r="K18" s="21">
        <f t="shared" si="7"/>
        <v>3296</v>
      </c>
      <c r="L18" s="20">
        <f t="shared" si="8"/>
        <v>26289.947198883201</v>
      </c>
      <c r="M18" s="21">
        <f t="shared" si="9"/>
        <v>3460.0522692949762</v>
      </c>
      <c r="N18" s="21">
        <f t="shared" si="10"/>
        <v>2932.0705680385913</v>
      </c>
      <c r="O18" s="21"/>
      <c r="P18" s="21"/>
      <c r="Q18" s="17">
        <f t="shared" si="11"/>
        <v>22522.644558142401</v>
      </c>
      <c r="R18" s="17">
        <f t="shared" si="13"/>
        <v>3029.3260470385599</v>
      </c>
      <c r="S18" s="17">
        <f t="shared" si="12"/>
        <v>2574.0165209305601</v>
      </c>
    </row>
    <row r="19" spans="1:22">
      <c r="A19" s="18" t="s">
        <v>53</v>
      </c>
      <c r="B19" s="22" t="s">
        <v>35</v>
      </c>
      <c r="C19" s="22" t="s">
        <v>1561</v>
      </c>
      <c r="D19" s="23">
        <v>2790</v>
      </c>
      <c r="E19" s="23">
        <v>3357</v>
      </c>
      <c r="F19" s="21">
        <f t="shared" si="2"/>
        <v>3357</v>
      </c>
      <c r="G19" s="21">
        <f t="shared" si="3"/>
        <v>3357000</v>
      </c>
      <c r="H19" s="21">
        <f t="shared" si="4"/>
        <v>2417040</v>
      </c>
      <c r="I19" s="21">
        <f t="shared" si="5"/>
        <v>151065</v>
      </c>
      <c r="J19" s="21">
        <f t="shared" si="6"/>
        <v>782181</v>
      </c>
      <c r="K19" s="21">
        <f t="shared" si="7"/>
        <v>6714</v>
      </c>
      <c r="L19" s="20">
        <f t="shared" si="8"/>
        <v>53553.005307433799</v>
      </c>
      <c r="M19" s="21">
        <f t="shared" si="9"/>
        <v>7048.176861664585</v>
      </c>
      <c r="N19" s="21">
        <f t="shared" si="10"/>
        <v>5972.6704471514267</v>
      </c>
      <c r="O19" s="21"/>
      <c r="P19" s="21"/>
      <c r="Q19" s="17">
        <f t="shared" si="11"/>
        <v>45878.954964614109</v>
      </c>
      <c r="R19" s="17">
        <f t="shared" si="13"/>
        <v>6170.7812742162896</v>
      </c>
      <c r="S19" s="17">
        <f t="shared" si="12"/>
        <v>5243.3091388130415</v>
      </c>
    </row>
    <row r="20" spans="1:22">
      <c r="A20" s="18" t="s">
        <v>56</v>
      </c>
      <c r="B20" s="22" t="s">
        <v>35</v>
      </c>
      <c r="C20" s="22" t="s">
        <v>1561</v>
      </c>
      <c r="D20" s="23">
        <v>1573</v>
      </c>
      <c r="E20" s="23">
        <v>1526</v>
      </c>
      <c r="F20" s="21">
        <f t="shared" si="2"/>
        <v>1573</v>
      </c>
      <c r="G20" s="21">
        <f t="shared" si="3"/>
        <v>1573000</v>
      </c>
      <c r="H20" s="21">
        <f t="shared" si="4"/>
        <v>1132560</v>
      </c>
      <c r="I20" s="21">
        <f t="shared" si="5"/>
        <v>70785</v>
      </c>
      <c r="J20" s="21">
        <f t="shared" si="6"/>
        <v>366509</v>
      </c>
      <c r="K20" s="21">
        <f t="shared" si="7"/>
        <v>3146</v>
      </c>
      <c r="L20" s="20">
        <f t="shared" si="8"/>
        <v>25093.499359128196</v>
      </c>
      <c r="M20" s="21">
        <f t="shared" si="9"/>
        <v>3302.5862983015763</v>
      </c>
      <c r="N20" s="21">
        <f t="shared" si="10"/>
        <v>2798.6328904882921</v>
      </c>
      <c r="O20" s="21"/>
      <c r="P20" s="21"/>
      <c r="Q20" s="17">
        <f t="shared" si="11"/>
        <v>21497.6455642949</v>
      </c>
      <c r="R20" s="17">
        <f t="shared" si="13"/>
        <v>2891.4623009658098</v>
      </c>
      <c r="S20" s="17">
        <f t="shared" si="12"/>
        <v>2456.8737787765604</v>
      </c>
    </row>
    <row r="21" spans="1:22">
      <c r="A21" s="18" t="s">
        <v>59</v>
      </c>
      <c r="B21" s="22" t="s">
        <v>35</v>
      </c>
      <c r="C21" s="22" t="s">
        <v>1561</v>
      </c>
      <c r="D21" s="23">
        <v>1750</v>
      </c>
      <c r="E21" s="23">
        <v>1711</v>
      </c>
      <c r="F21" s="21">
        <f t="shared" si="2"/>
        <v>1750</v>
      </c>
      <c r="G21" s="21">
        <f t="shared" si="3"/>
        <v>1750000</v>
      </c>
      <c r="H21" s="21">
        <f t="shared" si="4"/>
        <v>1260000</v>
      </c>
      <c r="I21" s="21">
        <f t="shared" si="5"/>
        <v>78750</v>
      </c>
      <c r="J21" s="21">
        <f t="shared" si="6"/>
        <v>407750</v>
      </c>
      <c r="K21" s="21">
        <f t="shared" si="7"/>
        <v>3500</v>
      </c>
      <c r="L21" s="20">
        <f t="shared" si="8"/>
        <v>27917.116260949999</v>
      </c>
      <c r="M21" s="21">
        <f t="shared" si="9"/>
        <v>3674.2059898459997</v>
      </c>
      <c r="N21" s="21">
        <f t="shared" si="10"/>
        <v>3113.5458095070003</v>
      </c>
      <c r="O21" s="21"/>
      <c r="P21" s="21"/>
      <c r="Q21" s="17">
        <f t="shared" si="11"/>
        <v>23916.643189775001</v>
      </c>
      <c r="R21" s="17">
        <f t="shared" si="13"/>
        <v>3216.8207416975001</v>
      </c>
      <c r="S21" s="17">
        <f t="shared" si="12"/>
        <v>2733.3306502600003</v>
      </c>
    </row>
    <row r="22" spans="1:22">
      <c r="A22" s="18" t="s">
        <v>62</v>
      </c>
      <c r="B22" s="22" t="s">
        <v>35</v>
      </c>
      <c r="C22" s="22" t="s">
        <v>1561</v>
      </c>
      <c r="D22" s="23">
        <v>1437</v>
      </c>
      <c r="E22" s="23">
        <v>0</v>
      </c>
      <c r="F22" s="21">
        <f t="shared" si="2"/>
        <v>1437</v>
      </c>
      <c r="G22" s="21">
        <f t="shared" si="3"/>
        <v>1437000</v>
      </c>
      <c r="H22" s="21">
        <f t="shared" si="4"/>
        <v>1034640</v>
      </c>
      <c r="I22" s="21">
        <f t="shared" si="5"/>
        <v>64665</v>
      </c>
      <c r="J22" s="21">
        <f t="shared" si="6"/>
        <v>334821</v>
      </c>
      <c r="K22" s="21">
        <f t="shared" si="7"/>
        <v>2874</v>
      </c>
      <c r="L22" s="20">
        <f t="shared" si="8"/>
        <v>22923.940609705802</v>
      </c>
      <c r="M22" s="21">
        <f t="shared" si="9"/>
        <v>3017.0480042335448</v>
      </c>
      <c r="N22" s="21">
        <f t="shared" si="10"/>
        <v>2556.6659018637483</v>
      </c>
      <c r="O22" s="21"/>
      <c r="P22" s="21"/>
      <c r="Q22" s="17">
        <f t="shared" si="11"/>
        <v>19638.980722118104</v>
      </c>
      <c r="R22" s="17">
        <f t="shared" si="13"/>
        <v>2641.46937475389</v>
      </c>
      <c r="S22" s="17">
        <f t="shared" si="12"/>
        <v>2244.4549396706407</v>
      </c>
    </row>
    <row r="23" spans="1:22">
      <c r="A23" s="18" t="s">
        <v>65</v>
      </c>
      <c r="B23" s="22" t="s">
        <v>35</v>
      </c>
      <c r="C23" s="22" t="s">
        <v>1561</v>
      </c>
      <c r="D23" s="23">
        <v>1337</v>
      </c>
      <c r="E23" s="23">
        <v>0</v>
      </c>
      <c r="F23" s="21">
        <f t="shared" si="2"/>
        <v>1337</v>
      </c>
      <c r="G23" s="21">
        <f t="shared" si="3"/>
        <v>1337000</v>
      </c>
      <c r="H23" s="21">
        <f t="shared" si="4"/>
        <v>962640</v>
      </c>
      <c r="I23" s="21">
        <f t="shared" si="5"/>
        <v>60165</v>
      </c>
      <c r="J23" s="21">
        <f t="shared" si="6"/>
        <v>311521</v>
      </c>
      <c r="K23" s="21">
        <f t="shared" si="7"/>
        <v>2674</v>
      </c>
      <c r="L23" s="20">
        <f t="shared" si="8"/>
        <v>21328.6768233658</v>
      </c>
      <c r="M23" s="21">
        <f t="shared" si="9"/>
        <v>2807.0933762423438</v>
      </c>
      <c r="N23" s="21">
        <f t="shared" si="10"/>
        <v>2378.748998463348</v>
      </c>
      <c r="O23" s="21"/>
      <c r="P23" s="21"/>
      <c r="Q23" s="17">
        <f t="shared" si="11"/>
        <v>18272.315396988102</v>
      </c>
      <c r="R23" s="17">
        <f t="shared" si="13"/>
        <v>2457.6510466568902</v>
      </c>
      <c r="S23" s="17">
        <f t="shared" si="12"/>
        <v>2088.2646167986404</v>
      </c>
    </row>
    <row r="24" spans="1:22">
      <c r="A24" s="18" t="s">
        <v>68</v>
      </c>
      <c r="B24" s="22" t="s">
        <v>35</v>
      </c>
      <c r="C24" s="22" t="s">
        <v>1561</v>
      </c>
      <c r="D24" s="28">
        <v>2803</v>
      </c>
      <c r="E24" s="23">
        <v>0</v>
      </c>
      <c r="F24" s="21">
        <f t="shared" si="2"/>
        <v>2803</v>
      </c>
      <c r="G24" s="21">
        <f t="shared" si="3"/>
        <v>2803000</v>
      </c>
      <c r="H24" s="21">
        <f t="shared" si="4"/>
        <v>2018160</v>
      </c>
      <c r="I24" s="21">
        <f t="shared" si="5"/>
        <v>126135</v>
      </c>
      <c r="J24" s="21">
        <f t="shared" si="6"/>
        <v>653099</v>
      </c>
      <c r="K24" s="21">
        <f t="shared" si="7"/>
        <v>5606</v>
      </c>
      <c r="L24" s="20">
        <f t="shared" si="8"/>
        <v>44715.243931110199</v>
      </c>
      <c r="M24" s="21">
        <f t="shared" si="9"/>
        <v>5885.0282225933361</v>
      </c>
      <c r="N24" s="21">
        <f t="shared" si="10"/>
        <v>4987.0108023132125</v>
      </c>
      <c r="O24" s="21"/>
      <c r="P24" s="21"/>
      <c r="Q24" s="17">
        <f t="shared" si="11"/>
        <v>38307.629063393899</v>
      </c>
      <c r="R24" s="17">
        <f t="shared" si="13"/>
        <v>5152.4277365589105</v>
      </c>
      <c r="S24" s="17">
        <f t="shared" si="12"/>
        <v>4378.0147501021611</v>
      </c>
    </row>
    <row r="25" spans="1:22">
      <c r="A25" s="18" t="s">
        <v>71</v>
      </c>
      <c r="B25" s="22" t="s">
        <v>35</v>
      </c>
      <c r="C25" s="22" t="s">
        <v>1561</v>
      </c>
      <c r="D25" s="23">
        <v>1550</v>
      </c>
      <c r="E25" s="23">
        <v>2350</v>
      </c>
      <c r="F25" s="21">
        <f t="shared" si="2"/>
        <v>2350</v>
      </c>
      <c r="G25" s="21">
        <f t="shared" si="3"/>
        <v>2350000</v>
      </c>
      <c r="H25" s="21">
        <f t="shared" si="4"/>
        <v>1692000</v>
      </c>
      <c r="I25" s="21">
        <f t="shared" si="5"/>
        <v>105750</v>
      </c>
      <c r="J25" s="21">
        <f t="shared" si="6"/>
        <v>547550</v>
      </c>
      <c r="K25" s="21">
        <f t="shared" si="7"/>
        <v>4700</v>
      </c>
      <c r="L25" s="20">
        <f t="shared" si="8"/>
        <v>37488.698978989996</v>
      </c>
      <c r="M25" s="21">
        <f t="shared" si="9"/>
        <v>4933.9337577932001</v>
      </c>
      <c r="N25" s="21">
        <f t="shared" si="10"/>
        <v>4181.0472299093999</v>
      </c>
      <c r="O25" s="21"/>
      <c r="P25" s="21"/>
      <c r="Q25" s="17">
        <f t="shared" si="11"/>
        <v>32116.635140554998</v>
      </c>
      <c r="R25" s="17">
        <f t="shared" si="13"/>
        <v>4319.7307102795003</v>
      </c>
      <c r="S25" s="17">
        <f t="shared" si="12"/>
        <v>3670.4725874920005</v>
      </c>
    </row>
    <row r="26" spans="1:22">
      <c r="A26" s="18" t="s">
        <v>74</v>
      </c>
      <c r="B26" s="22" t="s">
        <v>35</v>
      </c>
      <c r="C26" s="22" t="s">
        <v>1561</v>
      </c>
      <c r="D26" s="23">
        <v>2554</v>
      </c>
      <c r="E26" s="23">
        <v>0</v>
      </c>
      <c r="F26" s="21">
        <f t="shared" si="2"/>
        <v>2554</v>
      </c>
      <c r="G26" s="21">
        <f t="shared" si="3"/>
        <v>2554000</v>
      </c>
      <c r="H26" s="21">
        <f t="shared" si="4"/>
        <v>1838880</v>
      </c>
      <c r="I26" s="21">
        <f t="shared" si="5"/>
        <v>114930</v>
      </c>
      <c r="J26" s="21">
        <f t="shared" si="6"/>
        <v>595082</v>
      </c>
      <c r="K26" s="21">
        <f t="shared" si="7"/>
        <v>5108</v>
      </c>
      <c r="L26" s="20">
        <f t="shared" si="8"/>
        <v>40743.037103123606</v>
      </c>
      <c r="M26" s="21">
        <f t="shared" si="9"/>
        <v>5362.241198895249</v>
      </c>
      <c r="N26" s="21">
        <f t="shared" si="10"/>
        <v>4543.9977128462169</v>
      </c>
      <c r="O26" s="21"/>
      <c r="P26" s="21"/>
      <c r="Q26" s="17">
        <f t="shared" si="11"/>
        <v>34904.632403820193</v>
      </c>
      <c r="R26" s="17">
        <f t="shared" si="13"/>
        <v>4694.7200995973799</v>
      </c>
      <c r="S26" s="17">
        <f t="shared" si="12"/>
        <v>3989.10084615088</v>
      </c>
    </row>
    <row r="27" spans="1:22">
      <c r="A27" s="18" t="s">
        <v>77</v>
      </c>
      <c r="B27" s="22" t="s">
        <v>35</v>
      </c>
      <c r="C27" s="22" t="s">
        <v>1561</v>
      </c>
      <c r="D27" s="23">
        <v>3479</v>
      </c>
      <c r="E27" s="23">
        <v>3689</v>
      </c>
      <c r="F27" s="21">
        <f t="shared" si="2"/>
        <v>3689</v>
      </c>
      <c r="G27" s="21">
        <f t="shared" si="3"/>
        <v>3689000</v>
      </c>
      <c r="H27" s="21">
        <f t="shared" si="4"/>
        <v>2656080</v>
      </c>
      <c r="I27" s="21">
        <f t="shared" si="5"/>
        <v>166005</v>
      </c>
      <c r="J27" s="21">
        <f t="shared" si="6"/>
        <v>859537</v>
      </c>
      <c r="K27" s="21">
        <f t="shared" si="7"/>
        <v>7378</v>
      </c>
      <c r="L27" s="20">
        <f t="shared" si="8"/>
        <v>58849.281078082597</v>
      </c>
      <c r="M27" s="21">
        <f t="shared" si="9"/>
        <v>7745.2262265953705</v>
      </c>
      <c r="N27" s="21">
        <f t="shared" si="10"/>
        <v>6563.3545664407557</v>
      </c>
      <c r="O27" s="21"/>
      <c r="P27" s="21"/>
      <c r="Q27" s="17">
        <f t="shared" si="11"/>
        <v>50416.283844045698</v>
      </c>
      <c r="R27" s="17">
        <f t="shared" si="13"/>
        <v>6781.0581234983301</v>
      </c>
      <c r="S27" s="17">
        <f t="shared" si="12"/>
        <v>5761.8610107480808</v>
      </c>
    </row>
    <row r="28" spans="1:22">
      <c r="A28" s="18" t="s">
        <v>80</v>
      </c>
      <c r="B28" s="22" t="s">
        <v>35</v>
      </c>
      <c r="C28" s="22" t="s">
        <v>1561</v>
      </c>
      <c r="D28" s="23">
        <v>772</v>
      </c>
      <c r="E28" s="23">
        <v>0</v>
      </c>
      <c r="F28" s="21">
        <f t="shared" si="2"/>
        <v>772</v>
      </c>
      <c r="G28" s="21">
        <f t="shared" si="3"/>
        <v>772000</v>
      </c>
      <c r="H28" s="21">
        <f t="shared" si="4"/>
        <v>555840</v>
      </c>
      <c r="I28" s="21">
        <f t="shared" si="5"/>
        <v>34740</v>
      </c>
      <c r="J28" s="21">
        <f t="shared" si="6"/>
        <v>179876</v>
      </c>
      <c r="K28" s="21">
        <f t="shared" si="7"/>
        <v>1544</v>
      </c>
      <c r="L28" s="20">
        <f t="shared" si="8"/>
        <v>12315.436430544803</v>
      </c>
      <c r="M28" s="21">
        <f t="shared" si="9"/>
        <v>1620.8497280920642</v>
      </c>
      <c r="N28" s="21">
        <f t="shared" si="10"/>
        <v>1373.518494251088</v>
      </c>
      <c r="O28" s="21"/>
      <c r="P28" s="21"/>
      <c r="Q28" s="17">
        <f t="shared" si="11"/>
        <v>10550.656310003602</v>
      </c>
      <c r="R28" s="17">
        <f t="shared" si="13"/>
        <v>1419.07749290884</v>
      </c>
      <c r="S28" s="17">
        <f t="shared" si="12"/>
        <v>1205.7892925718402</v>
      </c>
    </row>
    <row r="29" spans="1:22">
      <c r="A29" s="18" t="s">
        <v>83</v>
      </c>
      <c r="B29" s="22" t="s">
        <v>35</v>
      </c>
      <c r="C29" s="22" t="s">
        <v>1561</v>
      </c>
      <c r="D29" s="23">
        <v>3275</v>
      </c>
      <c r="E29" s="23">
        <v>0</v>
      </c>
      <c r="F29" s="21">
        <f t="shared" si="2"/>
        <v>3275</v>
      </c>
      <c r="G29" s="21">
        <f t="shared" si="3"/>
        <v>3275000</v>
      </c>
      <c r="H29" s="21">
        <f t="shared" si="4"/>
        <v>2358000</v>
      </c>
      <c r="I29" s="21">
        <f t="shared" si="5"/>
        <v>147375</v>
      </c>
      <c r="J29" s="21">
        <f t="shared" si="6"/>
        <v>763075</v>
      </c>
      <c r="K29" s="21">
        <f t="shared" si="7"/>
        <v>6550</v>
      </c>
      <c r="L29" s="20">
        <f t="shared" si="8"/>
        <v>52244.889002635005</v>
      </c>
      <c r="M29" s="21">
        <f t="shared" si="9"/>
        <v>6876.0140667118003</v>
      </c>
      <c r="N29" s="21">
        <f t="shared" si="10"/>
        <v>5826.7785863631007</v>
      </c>
      <c r="O29" s="21"/>
      <c r="P29" s="21"/>
      <c r="Q29" s="17">
        <f t="shared" si="11"/>
        <v>44758.289398007495</v>
      </c>
      <c r="R29" s="17">
        <f t="shared" si="13"/>
        <v>6020.0502451767506</v>
      </c>
      <c r="S29" s="17">
        <f t="shared" si="12"/>
        <v>5115.233074058001</v>
      </c>
    </row>
    <row r="30" spans="1:22">
      <c r="A30" s="18" t="s">
        <v>86</v>
      </c>
      <c r="B30" s="22" t="s">
        <v>35</v>
      </c>
      <c r="C30" s="22" t="s">
        <v>1561</v>
      </c>
      <c r="D30" s="23">
        <v>10460</v>
      </c>
      <c r="E30" s="23">
        <v>0</v>
      </c>
      <c r="F30" s="21">
        <f t="shared" si="2"/>
        <v>10460</v>
      </c>
      <c r="G30" s="21">
        <f t="shared" si="3"/>
        <v>10460000</v>
      </c>
      <c r="H30" s="21">
        <f t="shared" si="4"/>
        <v>7531200</v>
      </c>
      <c r="I30" s="21">
        <f t="shared" si="5"/>
        <v>470700</v>
      </c>
      <c r="J30" s="21">
        <f t="shared" si="6"/>
        <v>2437180</v>
      </c>
      <c r="K30" s="21">
        <f t="shared" si="7"/>
        <v>20920</v>
      </c>
      <c r="L30" s="20">
        <f t="shared" si="8"/>
        <v>166864.59205116401</v>
      </c>
      <c r="M30" s="21">
        <f t="shared" si="9"/>
        <v>21961.254087879515</v>
      </c>
      <c r="N30" s="21">
        <f t="shared" si="10"/>
        <v>18610.10809568184</v>
      </c>
      <c r="O30" s="21"/>
      <c r="P30" s="21"/>
      <c r="Q30" s="17">
        <f t="shared" si="11"/>
        <v>142953.193008598</v>
      </c>
      <c r="R30" s="17">
        <f t="shared" si="13"/>
        <v>19227.397118946203</v>
      </c>
      <c r="S30" s="17">
        <f t="shared" si="12"/>
        <v>16337.507772411202</v>
      </c>
    </row>
    <row r="31" spans="1:22">
      <c r="A31" s="18" t="s">
        <v>89</v>
      </c>
      <c r="B31" s="22" t="s">
        <v>35</v>
      </c>
      <c r="C31" s="22" t="s">
        <v>1561</v>
      </c>
      <c r="D31" s="23">
        <v>1675</v>
      </c>
      <c r="E31" s="23">
        <v>0</v>
      </c>
      <c r="F31" s="21">
        <f t="shared" si="2"/>
        <v>1675</v>
      </c>
      <c r="G31" s="21">
        <f t="shared" si="3"/>
        <v>1675000</v>
      </c>
      <c r="H31" s="21">
        <f t="shared" si="4"/>
        <v>1206000</v>
      </c>
      <c r="I31" s="21">
        <f t="shared" si="5"/>
        <v>75375</v>
      </c>
      <c r="J31" s="21">
        <f t="shared" si="6"/>
        <v>390275</v>
      </c>
      <c r="K31" s="21">
        <f t="shared" si="7"/>
        <v>3350</v>
      </c>
      <c r="L31" s="20">
        <f t="shared" si="8"/>
        <v>26720.668421195001</v>
      </c>
      <c r="M31" s="21">
        <f t="shared" si="9"/>
        <v>3516.7400188525994</v>
      </c>
      <c r="N31" s="21">
        <f t="shared" si="10"/>
        <v>2980.1081319566997</v>
      </c>
      <c r="O31" s="21"/>
      <c r="P31" s="21"/>
      <c r="Q31" s="17">
        <f t="shared" si="11"/>
        <v>22891.6441959275</v>
      </c>
      <c r="R31" s="17">
        <f t="shared" si="13"/>
        <v>3078.9569956247501</v>
      </c>
      <c r="S31" s="17">
        <f t="shared" si="12"/>
        <v>2616.1879081060001</v>
      </c>
    </row>
    <row r="32" spans="1:22" s="27" customFormat="1">
      <c r="A32" s="18" t="s">
        <v>92</v>
      </c>
      <c r="B32" s="24" t="s">
        <v>94</v>
      </c>
      <c r="C32" s="24" t="s">
        <v>1561</v>
      </c>
      <c r="D32" s="25">
        <v>1291</v>
      </c>
      <c r="E32" s="25">
        <v>0</v>
      </c>
      <c r="F32" s="26">
        <f>MAX(D32,E32)</f>
        <v>1291</v>
      </c>
      <c r="G32" s="21">
        <f t="shared" si="3"/>
        <v>1291000</v>
      </c>
      <c r="H32" s="21">
        <f t="shared" si="4"/>
        <v>929520</v>
      </c>
      <c r="I32" s="21">
        <f t="shared" si="5"/>
        <v>58095</v>
      </c>
      <c r="J32" s="21">
        <f t="shared" si="6"/>
        <v>300803</v>
      </c>
      <c r="K32" s="21">
        <f t="shared" si="7"/>
        <v>2582</v>
      </c>
      <c r="L32" s="20">
        <f t="shared" si="8"/>
        <v>20594.8554816494</v>
      </c>
      <c r="M32" s="21">
        <f t="shared" si="9"/>
        <v>2710.5142473663918</v>
      </c>
      <c r="N32" s="21">
        <f t="shared" si="10"/>
        <v>2296.907222899164</v>
      </c>
      <c r="O32" s="26"/>
      <c r="P32" s="26"/>
      <c r="Q32" s="17">
        <f t="shared" si="11"/>
        <v>17643.649347428298</v>
      </c>
      <c r="R32" s="17">
        <f t="shared" si="13"/>
        <v>2373.0946157322701</v>
      </c>
      <c r="S32" s="17">
        <f t="shared" si="12"/>
        <v>2016.4170682775202</v>
      </c>
      <c r="T32" s="17"/>
      <c r="U32" s="17"/>
      <c r="V32" s="17"/>
    </row>
    <row r="33" spans="1:22" s="27" customFormat="1">
      <c r="A33" s="18" t="s">
        <v>96</v>
      </c>
      <c r="B33" s="24" t="s">
        <v>94</v>
      </c>
      <c r="C33" s="24" t="s">
        <v>1561</v>
      </c>
      <c r="D33" s="25">
        <v>1962</v>
      </c>
      <c r="E33" s="25">
        <v>2620</v>
      </c>
      <c r="F33" s="26">
        <f>MAX(D33,E33)</f>
        <v>2620</v>
      </c>
      <c r="G33" s="21">
        <f t="shared" si="3"/>
        <v>2620000</v>
      </c>
      <c r="H33" s="21">
        <f t="shared" si="4"/>
        <v>1886400</v>
      </c>
      <c r="I33" s="21">
        <f t="shared" si="5"/>
        <v>117900</v>
      </c>
      <c r="J33" s="21">
        <f t="shared" si="6"/>
        <v>610460</v>
      </c>
      <c r="K33" s="21">
        <f t="shared" si="7"/>
        <v>5240</v>
      </c>
      <c r="L33" s="20">
        <f t="shared" si="8"/>
        <v>41795.911202108</v>
      </c>
      <c r="M33" s="21">
        <f t="shared" si="9"/>
        <v>5500.8112533694411</v>
      </c>
      <c r="N33" s="21">
        <f t="shared" si="10"/>
        <v>4661.4228690904802</v>
      </c>
      <c r="O33" s="26"/>
      <c r="P33" s="26"/>
      <c r="Q33" s="17">
        <f t="shared" si="11"/>
        <v>35806.631518405993</v>
      </c>
      <c r="R33" s="17">
        <f t="shared" si="13"/>
        <v>4816.0401961414</v>
      </c>
      <c r="S33" s="17">
        <f t="shared" si="12"/>
        <v>4092.1864592464003</v>
      </c>
      <c r="T33" s="17"/>
      <c r="U33" s="17"/>
      <c r="V33" s="17"/>
    </row>
    <row r="34" spans="1:22" s="27" customFormat="1">
      <c r="A34" s="18" t="s">
        <v>99</v>
      </c>
      <c r="B34" s="24" t="s">
        <v>94</v>
      </c>
      <c r="C34" s="24" t="s">
        <v>1561</v>
      </c>
      <c r="D34" s="25">
        <v>1280</v>
      </c>
      <c r="E34" s="25">
        <v>1280</v>
      </c>
      <c r="F34" s="26">
        <f>MAX(D34,E34)</f>
        <v>1280</v>
      </c>
      <c r="G34" s="21">
        <f t="shared" si="3"/>
        <v>1280000</v>
      </c>
      <c r="H34" s="21">
        <f t="shared" si="4"/>
        <v>921600</v>
      </c>
      <c r="I34" s="21">
        <f t="shared" si="5"/>
        <v>57600</v>
      </c>
      <c r="J34" s="21">
        <f t="shared" si="6"/>
        <v>298240</v>
      </c>
      <c r="K34" s="21">
        <f t="shared" si="7"/>
        <v>2560</v>
      </c>
      <c r="L34" s="20">
        <f t="shared" si="8"/>
        <v>20419.376465152</v>
      </c>
      <c r="M34" s="21">
        <f t="shared" si="9"/>
        <v>2687.4192382873598</v>
      </c>
      <c r="N34" s="21">
        <f t="shared" si="10"/>
        <v>2277.3363635251194</v>
      </c>
      <c r="O34" s="26"/>
      <c r="P34" s="26"/>
      <c r="Q34" s="17">
        <f t="shared" si="11"/>
        <v>17493.316161664003</v>
      </c>
      <c r="R34" s="17">
        <f t="shared" si="13"/>
        <v>2352.8745996415996</v>
      </c>
      <c r="S34" s="17">
        <f t="shared" si="12"/>
        <v>1999.2361327616004</v>
      </c>
      <c r="T34" s="17"/>
      <c r="U34" s="17"/>
      <c r="V34" s="17"/>
    </row>
    <row r="35" spans="1:22">
      <c r="A35" s="18" t="s">
        <v>102</v>
      </c>
      <c r="B35" s="22" t="s">
        <v>104</v>
      </c>
      <c r="C35" s="22" t="s">
        <v>1561</v>
      </c>
      <c r="D35" s="23">
        <v>1182</v>
      </c>
      <c r="E35" s="23">
        <v>1679</v>
      </c>
      <c r="F35" s="21">
        <f>MAX(D35,E35)</f>
        <v>1679</v>
      </c>
      <c r="G35" s="21">
        <f t="shared" si="3"/>
        <v>1679000</v>
      </c>
      <c r="H35" s="21">
        <f t="shared" si="4"/>
        <v>1208880</v>
      </c>
      <c r="I35" s="21">
        <f t="shared" si="5"/>
        <v>75555</v>
      </c>
      <c r="J35" s="21">
        <f t="shared" si="6"/>
        <v>391207</v>
      </c>
      <c r="K35" s="21">
        <f t="shared" si="7"/>
        <v>3358</v>
      </c>
      <c r="L35" s="20">
        <f t="shared" si="8"/>
        <v>26784.478972648605</v>
      </c>
      <c r="M35" s="21">
        <f t="shared" si="9"/>
        <v>3525.138203972248</v>
      </c>
      <c r="N35" s="21">
        <f t="shared" si="10"/>
        <v>2987.2248080927156</v>
      </c>
      <c r="O35" s="21"/>
      <c r="P35" s="21"/>
      <c r="Q35" s="17">
        <f t="shared" si="11"/>
        <v>22946.3108089327</v>
      </c>
      <c r="R35" s="17">
        <f t="shared" si="13"/>
        <v>3086.3097287486294</v>
      </c>
      <c r="S35" s="17">
        <f t="shared" si="12"/>
        <v>2622.4355210208805</v>
      </c>
    </row>
    <row r="36" spans="1:22" s="27" customFormat="1">
      <c r="A36" s="18" t="s">
        <v>106</v>
      </c>
      <c r="B36" s="24" t="s">
        <v>108</v>
      </c>
      <c r="C36" s="24" t="s">
        <v>1561</v>
      </c>
      <c r="D36" s="25">
        <v>4498</v>
      </c>
      <c r="E36" s="25">
        <v>0</v>
      </c>
      <c r="F36" s="26">
        <f t="shared" ref="F36:F44" si="14">MAX(D36,E36)</f>
        <v>4498</v>
      </c>
      <c r="G36" s="21">
        <f t="shared" si="3"/>
        <v>4498000</v>
      </c>
      <c r="H36" s="21">
        <f t="shared" si="4"/>
        <v>3238560</v>
      </c>
      <c r="I36" s="21">
        <f t="shared" si="5"/>
        <v>202410</v>
      </c>
      <c r="J36" s="21">
        <f t="shared" si="6"/>
        <v>1048034</v>
      </c>
      <c r="K36" s="21">
        <f t="shared" si="7"/>
        <v>8996</v>
      </c>
      <c r="L36" s="20">
        <f t="shared" si="8"/>
        <v>71754.965109573197</v>
      </c>
      <c r="M36" s="21">
        <f t="shared" si="9"/>
        <v>9443.7591670441761</v>
      </c>
      <c r="N36" s="21">
        <f t="shared" si="10"/>
        <v>8002.7023149499919</v>
      </c>
      <c r="O36" s="26"/>
      <c r="P36" s="26"/>
      <c r="Q36" s="17">
        <f t="shared" si="11"/>
        <v>61472.606324347405</v>
      </c>
      <c r="R36" s="17">
        <f t="shared" si="13"/>
        <v>8268.1483978030592</v>
      </c>
      <c r="S36" s="17">
        <f t="shared" si="12"/>
        <v>7025.4407227825604</v>
      </c>
      <c r="T36" s="17"/>
      <c r="U36" s="17"/>
      <c r="V36" s="17"/>
    </row>
    <row r="37" spans="1:22" s="27" customFormat="1">
      <c r="A37" s="18" t="s">
        <v>110</v>
      </c>
      <c r="B37" s="24" t="s">
        <v>108</v>
      </c>
      <c r="C37" s="24" t="s">
        <v>1561</v>
      </c>
      <c r="D37" s="25">
        <v>2536</v>
      </c>
      <c r="E37" s="25">
        <v>0</v>
      </c>
      <c r="F37" s="26">
        <f t="shared" si="14"/>
        <v>2536</v>
      </c>
      <c r="G37" s="21">
        <f t="shared" si="3"/>
        <v>2536000</v>
      </c>
      <c r="H37" s="21">
        <f t="shared" si="4"/>
        <v>1825920</v>
      </c>
      <c r="I37" s="21">
        <f t="shared" si="5"/>
        <v>114120</v>
      </c>
      <c r="J37" s="21">
        <f t="shared" si="6"/>
        <v>590888</v>
      </c>
      <c r="K37" s="21">
        <f t="shared" si="7"/>
        <v>5072</v>
      </c>
      <c r="L37" s="20">
        <f t="shared" si="8"/>
        <v>40455.889621582406</v>
      </c>
      <c r="M37" s="21">
        <f t="shared" si="9"/>
        <v>5324.4493658568317</v>
      </c>
      <c r="N37" s="21">
        <f t="shared" si="10"/>
        <v>4511.972670234145</v>
      </c>
      <c r="O37" s="26"/>
      <c r="P37" s="26"/>
      <c r="Q37" s="17">
        <f t="shared" si="11"/>
        <v>34658.632645296799</v>
      </c>
      <c r="R37" s="17">
        <f t="shared" si="13"/>
        <v>4661.63280053992</v>
      </c>
      <c r="S37" s="17">
        <f t="shared" si="12"/>
        <v>3960.9865880339207</v>
      </c>
      <c r="T37" s="17"/>
      <c r="U37" s="17"/>
      <c r="V37" s="17"/>
    </row>
    <row r="38" spans="1:22" s="27" customFormat="1">
      <c r="A38" s="18" t="s">
        <v>113</v>
      </c>
      <c r="B38" s="24" t="s">
        <v>108</v>
      </c>
      <c r="C38" s="24" t="s">
        <v>1561</v>
      </c>
      <c r="D38" s="25">
        <v>12724</v>
      </c>
      <c r="E38" s="25">
        <v>0</v>
      </c>
      <c r="F38" s="26">
        <f t="shared" si="14"/>
        <v>12724</v>
      </c>
      <c r="G38" s="21">
        <f t="shared" si="3"/>
        <v>12724000</v>
      </c>
      <c r="H38" s="21">
        <f t="shared" si="4"/>
        <v>9161280</v>
      </c>
      <c r="I38" s="21">
        <f t="shared" si="5"/>
        <v>572580</v>
      </c>
      <c r="J38" s="21">
        <f t="shared" si="6"/>
        <v>2964692</v>
      </c>
      <c r="K38" s="21">
        <f t="shared" si="7"/>
        <v>25448</v>
      </c>
      <c r="L38" s="20">
        <f t="shared" si="8"/>
        <v>202981.36417390162</v>
      </c>
      <c r="M38" s="21">
        <f t="shared" si="9"/>
        <v>26714.626865600294</v>
      </c>
      <c r="N38" s="21">
        <f t="shared" si="10"/>
        <v>22638.146788666898</v>
      </c>
      <c r="O38" s="26"/>
      <c r="P38" s="26"/>
      <c r="Q38" s="17">
        <f t="shared" si="11"/>
        <v>173894.49596954123</v>
      </c>
      <c r="R38" s="17">
        <f t="shared" si="13"/>
        <v>23389.044067062281</v>
      </c>
      <c r="S38" s="17">
        <f t="shared" si="12"/>
        <v>19873.656682233286</v>
      </c>
      <c r="T38" s="17"/>
      <c r="U38" s="17"/>
      <c r="V38" s="17"/>
    </row>
    <row r="39" spans="1:22" s="27" customFormat="1">
      <c r="A39" s="18" t="s">
        <v>116</v>
      </c>
      <c r="B39" s="24" t="s">
        <v>108</v>
      </c>
      <c r="C39" s="24" t="s">
        <v>1561</v>
      </c>
      <c r="D39" s="25">
        <v>1992</v>
      </c>
      <c r="E39" s="25">
        <v>0</v>
      </c>
      <c r="F39" s="26">
        <f t="shared" si="14"/>
        <v>1992</v>
      </c>
      <c r="G39" s="21">
        <f t="shared" si="3"/>
        <v>1992000</v>
      </c>
      <c r="H39" s="21">
        <f t="shared" si="4"/>
        <v>1434240</v>
      </c>
      <c r="I39" s="21">
        <f t="shared" si="5"/>
        <v>89640</v>
      </c>
      <c r="J39" s="21">
        <f t="shared" si="6"/>
        <v>464136</v>
      </c>
      <c r="K39" s="21">
        <f t="shared" si="7"/>
        <v>3984</v>
      </c>
      <c r="L39" s="20">
        <f t="shared" si="8"/>
        <v>31777.654623892802</v>
      </c>
      <c r="M39" s="21">
        <f t="shared" si="9"/>
        <v>4182.2961895847038</v>
      </c>
      <c r="N39" s="21">
        <f t="shared" si="10"/>
        <v>3544.1047157359681</v>
      </c>
      <c r="O39" s="26"/>
      <c r="P39" s="26"/>
      <c r="Q39" s="17">
        <f t="shared" si="11"/>
        <v>27223.973276589604</v>
      </c>
      <c r="R39" s="17">
        <f t="shared" si="13"/>
        <v>3661.6610956922395</v>
      </c>
      <c r="S39" s="17">
        <f t="shared" si="12"/>
        <v>3111.3112316102406</v>
      </c>
      <c r="T39" s="17"/>
      <c r="U39" s="17"/>
      <c r="V39" s="17"/>
    </row>
    <row r="40" spans="1:22" s="27" customFormat="1">
      <c r="A40" s="18" t="s">
        <v>119</v>
      </c>
      <c r="B40" s="24" t="s">
        <v>108</v>
      </c>
      <c r="C40" s="24" t="s">
        <v>1561</v>
      </c>
      <c r="D40" s="25">
        <v>1283</v>
      </c>
      <c r="E40" s="25">
        <v>2580</v>
      </c>
      <c r="F40" s="26">
        <f t="shared" si="14"/>
        <v>2580</v>
      </c>
      <c r="G40" s="21">
        <f t="shared" si="3"/>
        <v>2580000</v>
      </c>
      <c r="H40" s="21">
        <f t="shared" si="4"/>
        <v>1857600</v>
      </c>
      <c r="I40" s="21">
        <f t="shared" si="5"/>
        <v>116100</v>
      </c>
      <c r="J40" s="21">
        <f t="shared" si="6"/>
        <v>601140</v>
      </c>
      <c r="K40" s="21">
        <f t="shared" si="7"/>
        <v>5160</v>
      </c>
      <c r="L40" s="20">
        <f t="shared" si="8"/>
        <v>41157.805687571992</v>
      </c>
      <c r="M40" s="21">
        <f t="shared" si="9"/>
        <v>5416.8294021729607</v>
      </c>
      <c r="N40" s="21">
        <f t="shared" si="10"/>
        <v>4590.2561077303199</v>
      </c>
      <c r="O40" s="26"/>
      <c r="P40" s="26"/>
      <c r="Q40" s="17">
        <f t="shared" si="11"/>
        <v>35259.965388353994</v>
      </c>
      <c r="R40" s="17">
        <f t="shared" si="13"/>
        <v>4742.5128649026001</v>
      </c>
      <c r="S40" s="17">
        <f t="shared" si="12"/>
        <v>4029.7103300976005</v>
      </c>
      <c r="T40" s="17"/>
      <c r="U40" s="17"/>
      <c r="V40" s="17"/>
    </row>
    <row r="41" spans="1:22" s="27" customFormat="1">
      <c r="A41" s="18" t="s">
        <v>122</v>
      </c>
      <c r="B41" s="24" t="s">
        <v>108</v>
      </c>
      <c r="C41" s="24" t="s">
        <v>1561</v>
      </c>
      <c r="D41" s="25">
        <v>2700</v>
      </c>
      <c r="E41" s="25">
        <v>0</v>
      </c>
      <c r="F41" s="26">
        <f t="shared" si="14"/>
        <v>2700</v>
      </c>
      <c r="G41" s="21">
        <f t="shared" si="3"/>
        <v>2700000</v>
      </c>
      <c r="H41" s="21">
        <f t="shared" si="4"/>
        <v>1944000</v>
      </c>
      <c r="I41" s="21">
        <f t="shared" si="5"/>
        <v>121500</v>
      </c>
      <c r="J41" s="21">
        <f t="shared" si="6"/>
        <v>629100</v>
      </c>
      <c r="K41" s="21">
        <f t="shared" si="7"/>
        <v>5400</v>
      </c>
      <c r="L41" s="20">
        <f t="shared" si="8"/>
        <v>43072.122231179994</v>
      </c>
      <c r="M41" s="21">
        <f t="shared" si="9"/>
        <v>5668.7749557623993</v>
      </c>
      <c r="N41" s="21">
        <f t="shared" si="10"/>
        <v>4803.756391810799</v>
      </c>
      <c r="O41" s="26"/>
      <c r="P41" s="26"/>
      <c r="Q41" s="17">
        <f t="shared" si="11"/>
        <v>36899.963778509999</v>
      </c>
      <c r="R41" s="17">
        <f t="shared" si="13"/>
        <v>4963.0948586189998</v>
      </c>
      <c r="S41" s="17">
        <f t="shared" si="12"/>
        <v>4217.1387175440004</v>
      </c>
      <c r="T41" s="17"/>
      <c r="U41" s="17"/>
      <c r="V41" s="17"/>
    </row>
    <row r="42" spans="1:22" s="27" customFormat="1">
      <c r="A42" s="18" t="s">
        <v>126</v>
      </c>
      <c r="B42" s="24" t="s">
        <v>108</v>
      </c>
      <c r="C42" s="24" t="s">
        <v>1561</v>
      </c>
      <c r="D42" s="25">
        <v>4222</v>
      </c>
      <c r="E42" s="25">
        <v>4505</v>
      </c>
      <c r="F42" s="26">
        <f t="shared" si="14"/>
        <v>4505</v>
      </c>
      <c r="G42" s="21">
        <f t="shared" si="3"/>
        <v>4505000</v>
      </c>
      <c r="H42" s="21">
        <f t="shared" si="4"/>
        <v>3243600</v>
      </c>
      <c r="I42" s="21">
        <f t="shared" si="5"/>
        <v>202725</v>
      </c>
      <c r="J42" s="21">
        <f t="shared" si="6"/>
        <v>1049665</v>
      </c>
      <c r="K42" s="21">
        <f t="shared" si="7"/>
        <v>9010</v>
      </c>
      <c r="L42" s="20">
        <f t="shared" si="8"/>
        <v>71866.633574616993</v>
      </c>
      <c r="M42" s="21">
        <f t="shared" si="9"/>
        <v>9458.4559910035605</v>
      </c>
      <c r="N42" s="21">
        <f t="shared" si="10"/>
        <v>8015.1564981880201</v>
      </c>
      <c r="O42" s="26"/>
      <c r="P42" s="26"/>
      <c r="Q42" s="17">
        <f t="shared" si="11"/>
        <v>61568.272897106515</v>
      </c>
      <c r="R42" s="17">
        <f t="shared" si="13"/>
        <v>8281.0156807698513</v>
      </c>
      <c r="S42" s="17">
        <f t="shared" si="12"/>
        <v>7036.3740453836017</v>
      </c>
      <c r="T42" s="17"/>
      <c r="U42" s="17"/>
      <c r="V42" s="17"/>
    </row>
    <row r="43" spans="1:22" s="27" customFormat="1">
      <c r="A43" s="18" t="s">
        <v>129</v>
      </c>
      <c r="B43" s="24" t="s">
        <v>108</v>
      </c>
      <c r="C43" s="24" t="s">
        <v>1561</v>
      </c>
      <c r="D43" s="25">
        <v>1330</v>
      </c>
      <c r="E43" s="25">
        <v>0</v>
      </c>
      <c r="F43" s="26">
        <f t="shared" si="14"/>
        <v>1330</v>
      </c>
      <c r="G43" s="21">
        <f t="shared" si="3"/>
        <v>1330000</v>
      </c>
      <c r="H43" s="21">
        <f t="shared" si="4"/>
        <v>957600</v>
      </c>
      <c r="I43" s="21">
        <f t="shared" si="5"/>
        <v>59850</v>
      </c>
      <c r="J43" s="21">
        <f t="shared" si="6"/>
        <v>309890</v>
      </c>
      <c r="K43" s="21">
        <f t="shared" si="7"/>
        <v>2660</v>
      </c>
      <c r="L43" s="20">
        <f t="shared" si="8"/>
        <v>21217.008358321997</v>
      </c>
      <c r="M43" s="21">
        <f t="shared" si="9"/>
        <v>2792.3965522829599</v>
      </c>
      <c r="N43" s="21">
        <f t="shared" si="10"/>
        <v>2366.2948152253198</v>
      </c>
      <c r="O43" s="26"/>
      <c r="P43" s="26"/>
      <c r="Q43" s="17">
        <f t="shared" si="11"/>
        <v>18176.648824229</v>
      </c>
      <c r="R43" s="17">
        <f t="shared" si="13"/>
        <v>2444.7837636900999</v>
      </c>
      <c r="S43" s="17">
        <f t="shared" si="12"/>
        <v>2077.3312941976005</v>
      </c>
      <c r="T43" s="17"/>
      <c r="U43" s="17"/>
      <c r="V43" s="17"/>
    </row>
    <row r="44" spans="1:22" s="27" customFormat="1">
      <c r="A44" s="18" t="s">
        <v>132</v>
      </c>
      <c r="B44" s="24" t="s">
        <v>108</v>
      </c>
      <c r="C44" s="24" t="s">
        <v>1561</v>
      </c>
      <c r="D44" s="25">
        <v>984</v>
      </c>
      <c r="E44" s="25">
        <v>3186</v>
      </c>
      <c r="F44" s="26">
        <f t="shared" si="14"/>
        <v>3186</v>
      </c>
      <c r="G44" s="21">
        <f t="shared" si="3"/>
        <v>3186000</v>
      </c>
      <c r="H44" s="21">
        <f t="shared" si="4"/>
        <v>2293920</v>
      </c>
      <c r="I44" s="21">
        <f t="shared" si="5"/>
        <v>143370</v>
      </c>
      <c r="J44" s="21">
        <f t="shared" si="6"/>
        <v>742338</v>
      </c>
      <c r="K44" s="21">
        <f t="shared" si="7"/>
        <v>6372</v>
      </c>
      <c r="L44" s="20">
        <f t="shared" si="8"/>
        <v>50825.104232792401</v>
      </c>
      <c r="M44" s="21">
        <f t="shared" si="9"/>
        <v>6689.1544477996313</v>
      </c>
      <c r="N44" s="21">
        <f t="shared" si="10"/>
        <v>5668.4325423367454</v>
      </c>
      <c r="O44" s="26"/>
      <c r="P44" s="26"/>
      <c r="Q44" s="17">
        <f t="shared" si="11"/>
        <v>43541.9572586418</v>
      </c>
      <c r="R44" s="17">
        <f t="shared" si="13"/>
        <v>5856.4519331704205</v>
      </c>
      <c r="S44" s="17">
        <f t="shared" si="12"/>
        <v>4976.223686701921</v>
      </c>
      <c r="T44" s="17"/>
      <c r="U44" s="17"/>
      <c r="V44" s="17"/>
    </row>
    <row r="45" spans="1:22">
      <c r="A45" s="18" t="s">
        <v>135</v>
      </c>
      <c r="B45" s="22" t="s">
        <v>137</v>
      </c>
      <c r="C45" s="22" t="s">
        <v>1561</v>
      </c>
      <c r="D45" s="23">
        <v>987</v>
      </c>
      <c r="E45" s="23">
        <v>1158</v>
      </c>
      <c r="F45" s="21">
        <f>MAX(D45,E45)</f>
        <v>1158</v>
      </c>
      <c r="G45" s="21">
        <f t="shared" si="3"/>
        <v>1158000</v>
      </c>
      <c r="H45" s="21">
        <f t="shared" si="4"/>
        <v>833760</v>
      </c>
      <c r="I45" s="21">
        <f t="shared" si="5"/>
        <v>52110</v>
      </c>
      <c r="J45" s="21">
        <f t="shared" si="6"/>
        <v>269814</v>
      </c>
      <c r="K45" s="21">
        <f t="shared" si="7"/>
        <v>2316</v>
      </c>
      <c r="L45" s="20">
        <f t="shared" si="8"/>
        <v>18473.154645817202</v>
      </c>
      <c r="M45" s="21">
        <f t="shared" si="9"/>
        <v>2431.2745921380961</v>
      </c>
      <c r="N45" s="21">
        <f t="shared" si="10"/>
        <v>2060.2777413766316</v>
      </c>
      <c r="O45" s="21"/>
      <c r="P45" s="21"/>
      <c r="Q45" s="17">
        <f t="shared" si="11"/>
        <v>15825.984465005402</v>
      </c>
      <c r="R45" s="17">
        <f t="shared" si="13"/>
        <v>2128.6162393632603</v>
      </c>
      <c r="S45" s="17">
        <f t="shared" si="12"/>
        <v>1808.6839388577603</v>
      </c>
    </row>
    <row r="46" spans="1:22">
      <c r="A46" s="18" t="s">
        <v>139</v>
      </c>
      <c r="B46" s="22" t="s">
        <v>137</v>
      </c>
      <c r="C46" s="22" t="s">
        <v>1561</v>
      </c>
      <c r="D46" s="23">
        <v>2659</v>
      </c>
      <c r="E46" s="23">
        <v>0</v>
      </c>
      <c r="F46" s="21">
        <f>MAX(D46,E46)</f>
        <v>2659</v>
      </c>
      <c r="G46" s="21">
        <f t="shared" si="3"/>
        <v>2659000</v>
      </c>
      <c r="H46" s="21">
        <f t="shared" si="4"/>
        <v>1914480</v>
      </c>
      <c r="I46" s="21">
        <f t="shared" si="5"/>
        <v>119655</v>
      </c>
      <c r="J46" s="21">
        <f t="shared" si="6"/>
        <v>619547</v>
      </c>
      <c r="K46" s="21">
        <f t="shared" si="7"/>
        <v>5318</v>
      </c>
      <c r="L46" s="20">
        <f t="shared" si="8"/>
        <v>42418.064078780597</v>
      </c>
      <c r="M46" s="21">
        <f t="shared" si="9"/>
        <v>5582.6935582860078</v>
      </c>
      <c r="N46" s="21">
        <f t="shared" si="10"/>
        <v>4730.8104614166368</v>
      </c>
      <c r="O46" s="21"/>
      <c r="P46" s="21"/>
      <c r="Q46" s="17">
        <f t="shared" si="11"/>
        <v>36339.630995206709</v>
      </c>
      <c r="R46" s="17">
        <f t="shared" si="13"/>
        <v>4887.7293440992298</v>
      </c>
      <c r="S46" s="17">
        <f t="shared" si="12"/>
        <v>4153.1006851664806</v>
      </c>
    </row>
    <row r="47" spans="1:22" s="27" customFormat="1">
      <c r="A47" s="18" t="s">
        <v>142</v>
      </c>
      <c r="B47" s="24" t="s">
        <v>144</v>
      </c>
      <c r="C47" s="24" t="s">
        <v>1561</v>
      </c>
      <c r="D47" s="25">
        <v>2097</v>
      </c>
      <c r="E47" s="25">
        <v>3376</v>
      </c>
      <c r="F47" s="26">
        <f t="shared" ref="F47:F56" si="15">MAX(D47,E47)</f>
        <v>3376</v>
      </c>
      <c r="G47" s="21">
        <f t="shared" si="3"/>
        <v>3376000</v>
      </c>
      <c r="H47" s="21">
        <f t="shared" si="4"/>
        <v>2430720</v>
      </c>
      <c r="I47" s="21">
        <f t="shared" si="5"/>
        <v>151920</v>
      </c>
      <c r="J47" s="21">
        <f t="shared" si="6"/>
        <v>786608</v>
      </c>
      <c r="K47" s="21">
        <f t="shared" si="7"/>
        <v>6752</v>
      </c>
      <c r="L47" s="20">
        <f t="shared" si="8"/>
        <v>53856.105426838389</v>
      </c>
      <c r="M47" s="21">
        <f t="shared" si="9"/>
        <v>7088.0682409829133</v>
      </c>
      <c r="N47" s="21">
        <f t="shared" si="10"/>
        <v>6006.4746587975033</v>
      </c>
      <c r="O47" s="26"/>
      <c r="P47" s="26"/>
      <c r="Q47" s="17">
        <f t="shared" si="11"/>
        <v>46138.621376388794</v>
      </c>
      <c r="R47" s="17">
        <f t="shared" si="13"/>
        <v>6205.7067565547204</v>
      </c>
      <c r="S47" s="17">
        <f t="shared" si="12"/>
        <v>5272.9853001587207</v>
      </c>
      <c r="T47" s="17"/>
      <c r="U47" s="17"/>
      <c r="V47" s="17"/>
    </row>
    <row r="48" spans="1:22" s="27" customFormat="1">
      <c r="A48" s="18" t="s">
        <v>146</v>
      </c>
      <c r="B48" s="24" t="s">
        <v>144</v>
      </c>
      <c r="C48" s="24" t="s">
        <v>1561</v>
      </c>
      <c r="D48" s="25">
        <v>1740</v>
      </c>
      <c r="E48" s="25">
        <v>3620</v>
      </c>
      <c r="F48" s="26">
        <f t="shared" si="15"/>
        <v>3620</v>
      </c>
      <c r="G48" s="21">
        <f t="shared" si="3"/>
        <v>3620000</v>
      </c>
      <c r="H48" s="21">
        <f t="shared" si="4"/>
        <v>2606400</v>
      </c>
      <c r="I48" s="21">
        <f t="shared" si="5"/>
        <v>162900</v>
      </c>
      <c r="J48" s="21">
        <f t="shared" si="6"/>
        <v>843460</v>
      </c>
      <c r="K48" s="21">
        <f t="shared" si="7"/>
        <v>7240</v>
      </c>
      <c r="L48" s="20">
        <f t="shared" si="8"/>
        <v>57748.549065508007</v>
      </c>
      <c r="M48" s="21">
        <f t="shared" si="9"/>
        <v>7600.3575332814407</v>
      </c>
      <c r="N48" s="21">
        <f t="shared" si="10"/>
        <v>6440.5919030944797</v>
      </c>
      <c r="O48" s="26"/>
      <c r="P48" s="26"/>
      <c r="Q48" s="17">
        <f t="shared" si="11"/>
        <v>49473.284769705999</v>
      </c>
      <c r="R48" s="17">
        <f t="shared" si="13"/>
        <v>6654.2234771113999</v>
      </c>
      <c r="S48" s="17">
        <f t="shared" si="12"/>
        <v>5654.0896879664015</v>
      </c>
      <c r="T48" s="17"/>
      <c r="U48" s="17"/>
      <c r="V48" s="17"/>
    </row>
    <row r="49" spans="1:22" s="27" customFormat="1">
      <c r="A49" s="18" t="s">
        <v>149</v>
      </c>
      <c r="B49" s="24" t="s">
        <v>144</v>
      </c>
      <c r="C49" s="24" t="s">
        <v>1561</v>
      </c>
      <c r="D49" s="25">
        <v>1297</v>
      </c>
      <c r="E49" s="25">
        <v>1334</v>
      </c>
      <c r="F49" s="26">
        <f t="shared" si="15"/>
        <v>1334</v>
      </c>
      <c r="G49" s="21">
        <f t="shared" si="3"/>
        <v>1334000</v>
      </c>
      <c r="H49" s="21">
        <f t="shared" si="4"/>
        <v>960480</v>
      </c>
      <c r="I49" s="21">
        <f t="shared" si="5"/>
        <v>60030</v>
      </c>
      <c r="J49" s="21">
        <f t="shared" si="6"/>
        <v>310822</v>
      </c>
      <c r="K49" s="21">
        <f t="shared" si="7"/>
        <v>2668</v>
      </c>
      <c r="L49" s="20">
        <f t="shared" si="8"/>
        <v>21280.818909775604</v>
      </c>
      <c r="M49" s="21">
        <f t="shared" si="9"/>
        <v>2800.794737402608</v>
      </c>
      <c r="N49" s="21">
        <f t="shared" si="10"/>
        <v>2373.4114913613357</v>
      </c>
      <c r="O49" s="26"/>
      <c r="P49" s="26"/>
      <c r="Q49" s="17">
        <f t="shared" si="11"/>
        <v>18231.3154372342</v>
      </c>
      <c r="R49" s="17">
        <f t="shared" si="13"/>
        <v>2452.1364968139801</v>
      </c>
      <c r="S49" s="17">
        <f t="shared" si="12"/>
        <v>2083.57890711248</v>
      </c>
      <c r="T49" s="17"/>
      <c r="U49" s="17"/>
      <c r="V49" s="17"/>
    </row>
    <row r="50" spans="1:22" s="27" customFormat="1">
      <c r="A50" s="18" t="s">
        <v>152</v>
      </c>
      <c r="B50" s="24" t="s">
        <v>144</v>
      </c>
      <c r="C50" s="24" t="s">
        <v>1561</v>
      </c>
      <c r="D50" s="25">
        <v>2910</v>
      </c>
      <c r="E50" s="25">
        <v>0</v>
      </c>
      <c r="F50" s="26">
        <f t="shared" si="15"/>
        <v>2910</v>
      </c>
      <c r="G50" s="21">
        <f t="shared" si="3"/>
        <v>2910000</v>
      </c>
      <c r="H50" s="21">
        <f t="shared" si="4"/>
        <v>2095200</v>
      </c>
      <c r="I50" s="21">
        <f t="shared" si="5"/>
        <v>130950</v>
      </c>
      <c r="J50" s="21">
        <f t="shared" si="6"/>
        <v>678030</v>
      </c>
      <c r="K50" s="21">
        <f t="shared" si="7"/>
        <v>5820</v>
      </c>
      <c r="L50" s="20">
        <f t="shared" si="8"/>
        <v>46422.176182493997</v>
      </c>
      <c r="M50" s="21">
        <f t="shared" si="9"/>
        <v>6109.6796745439206</v>
      </c>
      <c r="N50" s="21">
        <f t="shared" si="10"/>
        <v>5177.3818889516388</v>
      </c>
      <c r="O50" s="26"/>
      <c r="P50" s="26"/>
      <c r="Q50" s="17">
        <f t="shared" si="11"/>
        <v>39769.960961282995</v>
      </c>
      <c r="R50" s="17">
        <f t="shared" si="13"/>
        <v>5349.1133476226996</v>
      </c>
      <c r="S50" s="17">
        <f t="shared" si="12"/>
        <v>4545.1383955751999</v>
      </c>
      <c r="T50" s="17"/>
      <c r="U50" s="17"/>
      <c r="V50" s="17"/>
    </row>
    <row r="51" spans="1:22" s="27" customFormat="1">
      <c r="A51" s="18" t="s">
        <v>155</v>
      </c>
      <c r="B51" s="24" t="s">
        <v>144</v>
      </c>
      <c r="C51" s="24" t="s">
        <v>1561</v>
      </c>
      <c r="D51" s="25">
        <v>1144</v>
      </c>
      <c r="E51" s="25">
        <v>0</v>
      </c>
      <c r="F51" s="26">
        <f t="shared" si="15"/>
        <v>1144</v>
      </c>
      <c r="G51" s="21">
        <f t="shared" si="3"/>
        <v>1144000</v>
      </c>
      <c r="H51" s="21">
        <f t="shared" si="4"/>
        <v>823680</v>
      </c>
      <c r="I51" s="21">
        <f t="shared" si="5"/>
        <v>51480</v>
      </c>
      <c r="J51" s="21">
        <f t="shared" si="6"/>
        <v>266552</v>
      </c>
      <c r="K51" s="21">
        <f t="shared" si="7"/>
        <v>2288</v>
      </c>
      <c r="L51" s="20">
        <f t="shared" si="8"/>
        <v>18249.817715729594</v>
      </c>
      <c r="M51" s="21">
        <f t="shared" si="9"/>
        <v>2401.8809442193278</v>
      </c>
      <c r="N51" s="21">
        <f t="shared" si="10"/>
        <v>2035.3693749005754</v>
      </c>
      <c r="O51" s="26"/>
      <c r="P51" s="26"/>
      <c r="Q51" s="17">
        <f t="shared" si="11"/>
        <v>15634.6513194872</v>
      </c>
      <c r="R51" s="17">
        <f t="shared" si="13"/>
        <v>2102.8816734296797</v>
      </c>
      <c r="S51" s="17">
        <f t="shared" si="12"/>
        <v>1786.8172936556803</v>
      </c>
      <c r="T51" s="17"/>
      <c r="U51" s="17"/>
      <c r="V51" s="17"/>
    </row>
    <row r="52" spans="1:22" s="27" customFormat="1">
      <c r="A52" s="18" t="s">
        <v>158</v>
      </c>
      <c r="B52" s="24" t="s">
        <v>144</v>
      </c>
      <c r="C52" s="24" t="s">
        <v>1561</v>
      </c>
      <c r="D52" s="25">
        <v>1463</v>
      </c>
      <c r="E52" s="25">
        <v>2533</v>
      </c>
      <c r="F52" s="26">
        <f t="shared" si="15"/>
        <v>2533</v>
      </c>
      <c r="G52" s="21">
        <f t="shared" si="3"/>
        <v>2533000</v>
      </c>
      <c r="H52" s="21">
        <f t="shared" si="4"/>
        <v>1823760</v>
      </c>
      <c r="I52" s="21">
        <f t="shared" si="5"/>
        <v>113985</v>
      </c>
      <c r="J52" s="21">
        <f t="shared" si="6"/>
        <v>590189</v>
      </c>
      <c r="K52" s="21">
        <f t="shared" si="7"/>
        <v>5066</v>
      </c>
      <c r="L52" s="20">
        <f t="shared" si="8"/>
        <v>40408.031707992195</v>
      </c>
      <c r="M52" s="21">
        <f t="shared" si="9"/>
        <v>5318.1507270170951</v>
      </c>
      <c r="N52" s="21">
        <f t="shared" si="10"/>
        <v>4506.6351631321322</v>
      </c>
      <c r="O52" s="26"/>
      <c r="P52" s="26"/>
      <c r="Q52" s="17">
        <f t="shared" si="11"/>
        <v>34617.6326855429</v>
      </c>
      <c r="R52" s="17">
        <f t="shared" si="13"/>
        <v>4656.118250697009</v>
      </c>
      <c r="S52" s="17">
        <f t="shared" si="12"/>
        <v>3956.3008783477603</v>
      </c>
      <c r="T52" s="17"/>
      <c r="U52" s="17"/>
      <c r="V52" s="17"/>
    </row>
    <row r="53" spans="1:22" s="27" customFormat="1">
      <c r="A53" s="18" t="s">
        <v>161</v>
      </c>
      <c r="B53" s="24" t="s">
        <v>144</v>
      </c>
      <c r="C53" s="24" t="s">
        <v>1561</v>
      </c>
      <c r="D53" s="25">
        <v>953</v>
      </c>
      <c r="E53" s="25">
        <v>1331</v>
      </c>
      <c r="F53" s="26">
        <f t="shared" si="15"/>
        <v>1331</v>
      </c>
      <c r="G53" s="21">
        <f t="shared" si="3"/>
        <v>1331000</v>
      </c>
      <c r="H53" s="21">
        <f t="shared" si="4"/>
        <v>958320</v>
      </c>
      <c r="I53" s="21">
        <f t="shared" si="5"/>
        <v>59895</v>
      </c>
      <c r="J53" s="21">
        <f t="shared" si="6"/>
        <v>310123</v>
      </c>
      <c r="K53" s="21">
        <f t="shared" si="7"/>
        <v>2662</v>
      </c>
      <c r="L53" s="20">
        <f t="shared" si="8"/>
        <v>21232.960996185404</v>
      </c>
      <c r="M53" s="21">
        <f t="shared" si="9"/>
        <v>2794.4960985628722</v>
      </c>
      <c r="N53" s="21">
        <f t="shared" si="10"/>
        <v>2368.0739842593248</v>
      </c>
      <c r="O53" s="26"/>
      <c r="P53" s="26"/>
      <c r="Q53" s="17">
        <f t="shared" si="11"/>
        <v>18190.315477480301</v>
      </c>
      <c r="R53" s="17">
        <f t="shared" si="13"/>
        <v>2446.62194697107</v>
      </c>
      <c r="S53" s="17">
        <f t="shared" si="12"/>
        <v>2078.8931974263201</v>
      </c>
      <c r="T53" s="17"/>
      <c r="U53" s="17"/>
      <c r="V53" s="17"/>
    </row>
    <row r="54" spans="1:22" s="27" customFormat="1">
      <c r="A54" s="18" t="s">
        <v>164</v>
      </c>
      <c r="B54" s="24" t="s">
        <v>144</v>
      </c>
      <c r="C54" s="24" t="s">
        <v>1561</v>
      </c>
      <c r="D54" s="25">
        <v>1828</v>
      </c>
      <c r="E54" s="25">
        <v>0</v>
      </c>
      <c r="F54" s="26">
        <f t="shared" si="15"/>
        <v>1828</v>
      </c>
      <c r="G54" s="21">
        <f t="shared" si="3"/>
        <v>1828000</v>
      </c>
      <c r="H54" s="21">
        <f t="shared" si="4"/>
        <v>1316160</v>
      </c>
      <c r="I54" s="21">
        <f t="shared" si="5"/>
        <v>82260</v>
      </c>
      <c r="J54" s="21">
        <f t="shared" si="6"/>
        <v>425924</v>
      </c>
      <c r="K54" s="21">
        <f t="shared" si="7"/>
        <v>3656</v>
      </c>
      <c r="L54" s="20">
        <f t="shared" si="8"/>
        <v>29161.422014295207</v>
      </c>
      <c r="M54" s="21">
        <f t="shared" si="9"/>
        <v>3837.9705996791372</v>
      </c>
      <c r="N54" s="21">
        <f t="shared" si="10"/>
        <v>3252.3209941593118</v>
      </c>
      <c r="O54" s="26"/>
      <c r="P54" s="26"/>
      <c r="Q54" s="17">
        <f t="shared" si="11"/>
        <v>24982.642143376401</v>
      </c>
      <c r="R54" s="17">
        <f t="shared" si="13"/>
        <v>3360.1990376131598</v>
      </c>
      <c r="S54" s="17">
        <f t="shared" si="12"/>
        <v>2855.1591021001605</v>
      </c>
      <c r="T54" s="17"/>
      <c r="U54" s="17"/>
      <c r="V54" s="17"/>
    </row>
    <row r="55" spans="1:22" s="27" customFormat="1">
      <c r="A55" s="18" t="s">
        <v>167</v>
      </c>
      <c r="B55" s="24" t="s">
        <v>144</v>
      </c>
      <c r="C55" s="24" t="s">
        <v>1561</v>
      </c>
      <c r="D55" s="25">
        <v>2893</v>
      </c>
      <c r="E55" s="25">
        <v>6365</v>
      </c>
      <c r="F55" s="26">
        <f t="shared" si="15"/>
        <v>6365</v>
      </c>
      <c r="G55" s="21">
        <f t="shared" si="3"/>
        <v>6365000</v>
      </c>
      <c r="H55" s="21">
        <f t="shared" si="4"/>
        <v>4582800</v>
      </c>
      <c r="I55" s="21">
        <f t="shared" si="5"/>
        <v>286425</v>
      </c>
      <c r="J55" s="21">
        <f t="shared" si="6"/>
        <v>1483045</v>
      </c>
      <c r="K55" s="21">
        <f t="shared" si="7"/>
        <v>12730</v>
      </c>
      <c r="L55" s="20">
        <f t="shared" si="8"/>
        <v>101538.54000054102</v>
      </c>
      <c r="M55" s="21">
        <f t="shared" si="9"/>
        <v>13363.61207163988</v>
      </c>
      <c r="N55" s="21">
        <f t="shared" si="10"/>
        <v>11324.410901435458</v>
      </c>
      <c r="O55" s="26"/>
      <c r="P55" s="26"/>
      <c r="Q55" s="17">
        <f t="shared" si="11"/>
        <v>86988.247944524497</v>
      </c>
      <c r="R55" s="17">
        <f t="shared" si="13"/>
        <v>11700.036583374051</v>
      </c>
      <c r="S55" s="17">
        <f t="shared" si="12"/>
        <v>9941.5140508028016</v>
      </c>
      <c r="T55" s="17"/>
      <c r="U55" s="17"/>
      <c r="V55" s="17"/>
    </row>
    <row r="56" spans="1:22" s="27" customFormat="1">
      <c r="A56" s="18" t="s">
        <v>170</v>
      </c>
      <c r="B56" s="24" t="s">
        <v>144</v>
      </c>
      <c r="C56" s="24" t="s">
        <v>1561</v>
      </c>
      <c r="D56" s="25">
        <v>3415</v>
      </c>
      <c r="E56" s="25">
        <v>0</v>
      </c>
      <c r="F56" s="26">
        <f t="shared" si="15"/>
        <v>3415</v>
      </c>
      <c r="G56" s="21">
        <f t="shared" si="3"/>
        <v>3415000</v>
      </c>
      <c r="H56" s="21">
        <f t="shared" si="4"/>
        <v>2458800</v>
      </c>
      <c r="I56" s="21">
        <f t="shared" si="5"/>
        <v>153675</v>
      </c>
      <c r="J56" s="21">
        <f t="shared" si="6"/>
        <v>795695</v>
      </c>
      <c r="K56" s="21">
        <f t="shared" si="7"/>
        <v>6830</v>
      </c>
      <c r="L56" s="20">
        <f t="shared" si="8"/>
        <v>54478.258303511015</v>
      </c>
      <c r="M56" s="21">
        <f t="shared" si="9"/>
        <v>7169.9505458994799</v>
      </c>
      <c r="N56" s="21">
        <f t="shared" si="10"/>
        <v>6075.8622511236599</v>
      </c>
      <c r="O56" s="26"/>
      <c r="P56" s="26"/>
      <c r="Q56" s="17">
        <f t="shared" si="11"/>
        <v>46671.620853189488</v>
      </c>
      <c r="R56" s="17">
        <f t="shared" si="13"/>
        <v>6277.3959045125494</v>
      </c>
      <c r="S56" s="17">
        <f t="shared" si="12"/>
        <v>5333.8995260788006</v>
      </c>
      <c r="T56" s="17"/>
      <c r="U56" s="17"/>
      <c r="V56" s="17"/>
    </row>
    <row r="57" spans="1:22">
      <c r="A57" s="18" t="s">
        <v>173</v>
      </c>
      <c r="B57" s="22" t="s">
        <v>175</v>
      </c>
      <c r="C57" s="22" t="s">
        <v>1561</v>
      </c>
      <c r="D57" s="23">
        <v>1699</v>
      </c>
      <c r="E57" s="23">
        <v>2145</v>
      </c>
      <c r="F57" s="21">
        <f>MAX(D57,E57)</f>
        <v>2145</v>
      </c>
      <c r="G57" s="21">
        <f t="shared" si="3"/>
        <v>2145000</v>
      </c>
      <c r="H57" s="21">
        <f t="shared" si="4"/>
        <v>1544400</v>
      </c>
      <c r="I57" s="21">
        <f t="shared" si="5"/>
        <v>96525</v>
      </c>
      <c r="J57" s="21">
        <f t="shared" si="6"/>
        <v>499785</v>
      </c>
      <c r="K57" s="21">
        <f t="shared" si="7"/>
        <v>4290</v>
      </c>
      <c r="L57" s="20">
        <f t="shared" si="8"/>
        <v>34218.408216993004</v>
      </c>
      <c r="M57" s="21">
        <f t="shared" si="9"/>
        <v>4503.5267704112402</v>
      </c>
      <c r="N57" s="21">
        <f t="shared" si="10"/>
        <v>3816.3175779385811</v>
      </c>
      <c r="O57" s="21"/>
      <c r="P57" s="21"/>
      <c r="Q57" s="17">
        <f t="shared" si="11"/>
        <v>29314.971224038498</v>
      </c>
      <c r="R57" s="17">
        <f t="shared" si="13"/>
        <v>3942.9031376806497</v>
      </c>
      <c r="S57" s="17">
        <f t="shared" si="12"/>
        <v>3350.2824256044005</v>
      </c>
    </row>
    <row r="58" spans="1:22">
      <c r="A58" s="18" t="s">
        <v>177</v>
      </c>
      <c r="B58" s="22" t="s">
        <v>175</v>
      </c>
      <c r="C58" s="22" t="s">
        <v>1561</v>
      </c>
      <c r="D58" s="23">
        <v>999</v>
      </c>
      <c r="E58" s="23">
        <v>1717</v>
      </c>
      <c r="F58" s="21">
        <f>MAX(D58,E58)</f>
        <v>1717</v>
      </c>
      <c r="G58" s="21">
        <f t="shared" si="3"/>
        <v>1717000</v>
      </c>
      <c r="H58" s="21">
        <f t="shared" si="4"/>
        <v>1236240</v>
      </c>
      <c r="I58" s="21">
        <f t="shared" si="5"/>
        <v>77265</v>
      </c>
      <c r="J58" s="21">
        <f t="shared" si="6"/>
        <v>400061</v>
      </c>
      <c r="K58" s="21">
        <f t="shared" si="7"/>
        <v>3434</v>
      </c>
      <c r="L58" s="20">
        <f t="shared" si="8"/>
        <v>27390.679211457809</v>
      </c>
      <c r="M58" s="21">
        <f t="shared" si="9"/>
        <v>3604.9209626089041</v>
      </c>
      <c r="N58" s="21">
        <f t="shared" si="10"/>
        <v>3054.8332313848682</v>
      </c>
      <c r="O58" s="21"/>
      <c r="P58" s="21"/>
      <c r="Q58" s="17">
        <f t="shared" si="11"/>
        <v>23465.643632482104</v>
      </c>
      <c r="R58" s="17">
        <f t="shared" si="13"/>
        <v>3156.1606934254901</v>
      </c>
      <c r="S58" s="17">
        <f t="shared" si="12"/>
        <v>2681.7878437122408</v>
      </c>
    </row>
    <row r="59" spans="1:22" s="27" customFormat="1">
      <c r="A59" s="18" t="s">
        <v>180</v>
      </c>
      <c r="B59" s="24" t="s">
        <v>182</v>
      </c>
      <c r="C59" s="24" t="s">
        <v>1561</v>
      </c>
      <c r="D59" s="25">
        <v>2680</v>
      </c>
      <c r="E59" s="25">
        <v>2974</v>
      </c>
      <c r="F59" s="26">
        <f t="shared" ref="F59:F122" si="16">MAX(D59,E59)</f>
        <v>2974</v>
      </c>
      <c r="G59" s="21">
        <f t="shared" si="3"/>
        <v>2974000</v>
      </c>
      <c r="H59" s="21">
        <f t="shared" si="4"/>
        <v>2141280</v>
      </c>
      <c r="I59" s="21">
        <f t="shared" si="5"/>
        <v>133830</v>
      </c>
      <c r="J59" s="21">
        <f t="shared" si="6"/>
        <v>692942</v>
      </c>
      <c r="K59" s="21">
        <f t="shared" si="7"/>
        <v>5948</v>
      </c>
      <c r="L59" s="20">
        <f t="shared" si="8"/>
        <v>47443.145005751605</v>
      </c>
      <c r="M59" s="21">
        <f t="shared" si="9"/>
        <v>6244.0506364582889</v>
      </c>
      <c r="N59" s="21">
        <f t="shared" si="10"/>
        <v>5291.2487071278965</v>
      </c>
      <c r="O59" s="26"/>
      <c r="P59" s="26"/>
      <c r="Q59" s="17">
        <f t="shared" si="11"/>
        <v>40644.626769366201</v>
      </c>
      <c r="R59" s="17">
        <f t="shared" si="13"/>
        <v>5466.7570776047805</v>
      </c>
      <c r="S59" s="17">
        <f t="shared" si="12"/>
        <v>4645.1002022132807</v>
      </c>
      <c r="T59" s="17"/>
      <c r="U59" s="17"/>
      <c r="V59" s="17"/>
    </row>
    <row r="60" spans="1:22" s="27" customFormat="1">
      <c r="A60" s="18" t="s">
        <v>183</v>
      </c>
      <c r="B60" s="24" t="s">
        <v>182</v>
      </c>
      <c r="C60" s="24" t="s">
        <v>1561</v>
      </c>
      <c r="D60" s="25">
        <v>994</v>
      </c>
      <c r="E60" s="25">
        <v>1451</v>
      </c>
      <c r="F60" s="26">
        <f t="shared" si="16"/>
        <v>1451</v>
      </c>
      <c r="G60" s="21">
        <f t="shared" si="3"/>
        <v>1451000</v>
      </c>
      <c r="H60" s="21">
        <f t="shared" si="4"/>
        <v>1044720</v>
      </c>
      <c r="I60" s="21">
        <f t="shared" si="5"/>
        <v>65295</v>
      </c>
      <c r="J60" s="21">
        <f t="shared" si="6"/>
        <v>338083</v>
      </c>
      <c r="K60" s="21">
        <f t="shared" si="7"/>
        <v>2902</v>
      </c>
      <c r="L60" s="20">
        <f t="shared" si="8"/>
        <v>23147.277539793402</v>
      </c>
      <c r="M60" s="21">
        <f t="shared" si="9"/>
        <v>3046.4416521523121</v>
      </c>
      <c r="N60" s="21">
        <f t="shared" si="10"/>
        <v>2581.5742683398039</v>
      </c>
      <c r="O60" s="26"/>
      <c r="P60" s="26"/>
      <c r="Q60" s="17">
        <f t="shared" si="11"/>
        <v>19830.313867636305</v>
      </c>
      <c r="R60" s="17">
        <f t="shared" si="13"/>
        <v>2667.2039406874701</v>
      </c>
      <c r="S60" s="17">
        <f t="shared" si="12"/>
        <v>2266.3215848727205</v>
      </c>
      <c r="T60" s="17"/>
      <c r="U60" s="17"/>
      <c r="V60" s="17"/>
    </row>
    <row r="61" spans="1:22" s="27" customFormat="1">
      <c r="A61" s="18" t="s">
        <v>186</v>
      </c>
      <c r="B61" s="24" t="s">
        <v>182</v>
      </c>
      <c r="C61" s="24" t="s">
        <v>1561</v>
      </c>
      <c r="D61" s="25">
        <v>1081</v>
      </c>
      <c r="E61" s="25">
        <v>2243</v>
      </c>
      <c r="F61" s="26">
        <f t="shared" si="16"/>
        <v>2243</v>
      </c>
      <c r="G61" s="21">
        <f t="shared" si="3"/>
        <v>2243000</v>
      </c>
      <c r="H61" s="21">
        <f t="shared" si="4"/>
        <v>1614960</v>
      </c>
      <c r="I61" s="21">
        <f t="shared" si="5"/>
        <v>100935</v>
      </c>
      <c r="J61" s="21">
        <f t="shared" si="6"/>
        <v>522619</v>
      </c>
      <c r="K61" s="21">
        <f t="shared" si="7"/>
        <v>4486</v>
      </c>
      <c r="L61" s="20">
        <f t="shared" si="8"/>
        <v>35781.766727606206</v>
      </c>
      <c r="M61" s="21">
        <f t="shared" si="9"/>
        <v>4709.2823058426156</v>
      </c>
      <c r="N61" s="21">
        <f t="shared" si="10"/>
        <v>3990.6761432709723</v>
      </c>
      <c r="O61" s="26"/>
      <c r="P61" s="26"/>
      <c r="Q61" s="17">
        <f t="shared" si="11"/>
        <v>30654.303242665901</v>
      </c>
      <c r="R61" s="17">
        <f t="shared" si="13"/>
        <v>4123.0450992157093</v>
      </c>
      <c r="S61" s="17">
        <f t="shared" si="12"/>
        <v>3503.3489420189603</v>
      </c>
      <c r="T61" s="17"/>
      <c r="U61" s="17"/>
      <c r="V61" s="17"/>
    </row>
    <row r="62" spans="1:22" s="27" customFormat="1">
      <c r="A62" s="18" t="s">
        <v>189</v>
      </c>
      <c r="B62" s="24" t="s">
        <v>182</v>
      </c>
      <c r="C62" s="24" t="s">
        <v>1561</v>
      </c>
      <c r="D62" s="25">
        <v>963</v>
      </c>
      <c r="E62" s="25">
        <v>1835</v>
      </c>
      <c r="F62" s="26">
        <f t="shared" si="16"/>
        <v>1835</v>
      </c>
      <c r="G62" s="21">
        <f t="shared" si="3"/>
        <v>1835000</v>
      </c>
      <c r="H62" s="21">
        <f t="shared" si="4"/>
        <v>1321200</v>
      </c>
      <c r="I62" s="21">
        <f t="shared" si="5"/>
        <v>82575</v>
      </c>
      <c r="J62" s="21">
        <f t="shared" si="6"/>
        <v>427555</v>
      </c>
      <c r="K62" s="21">
        <f t="shared" si="7"/>
        <v>3670</v>
      </c>
      <c r="L62" s="20">
        <f t="shared" si="8"/>
        <v>29273.090479339004</v>
      </c>
      <c r="M62" s="21">
        <f t="shared" si="9"/>
        <v>3852.6674236385193</v>
      </c>
      <c r="N62" s="21">
        <f t="shared" si="10"/>
        <v>3264.77517739734</v>
      </c>
      <c r="O62" s="26"/>
      <c r="P62" s="26"/>
      <c r="Q62" s="17">
        <f t="shared" si="11"/>
        <v>25078.3087161355</v>
      </c>
      <c r="R62" s="17">
        <f t="shared" si="13"/>
        <v>3373.0663205799497</v>
      </c>
      <c r="S62" s="17">
        <f t="shared" si="12"/>
        <v>2866.0924247012008</v>
      </c>
      <c r="T62" s="17"/>
      <c r="U62" s="17"/>
      <c r="V62" s="17"/>
    </row>
    <row r="63" spans="1:22" s="27" customFormat="1">
      <c r="A63" s="18" t="s">
        <v>192</v>
      </c>
      <c r="B63" s="24" t="s">
        <v>182</v>
      </c>
      <c r="C63" s="24" t="s">
        <v>1561</v>
      </c>
      <c r="D63" s="25">
        <v>1895</v>
      </c>
      <c r="E63" s="25">
        <v>2181</v>
      </c>
      <c r="F63" s="26">
        <f t="shared" si="16"/>
        <v>2181</v>
      </c>
      <c r="G63" s="21">
        <f t="shared" si="3"/>
        <v>2181000</v>
      </c>
      <c r="H63" s="21">
        <f t="shared" si="4"/>
        <v>1570320</v>
      </c>
      <c r="I63" s="21">
        <f t="shared" si="5"/>
        <v>98145</v>
      </c>
      <c r="J63" s="21">
        <f t="shared" si="6"/>
        <v>508173</v>
      </c>
      <c r="K63" s="21">
        <f t="shared" si="7"/>
        <v>4362</v>
      </c>
      <c r="L63" s="20">
        <f t="shared" si="8"/>
        <v>34792.70318007539</v>
      </c>
      <c r="M63" s="21">
        <f t="shared" si="9"/>
        <v>4579.1104364880721</v>
      </c>
      <c r="N63" s="21">
        <f t="shared" si="10"/>
        <v>3880.3676631627236</v>
      </c>
      <c r="O63" s="26"/>
      <c r="P63" s="26"/>
      <c r="Q63" s="17">
        <f t="shared" si="11"/>
        <v>29806.970741085297</v>
      </c>
      <c r="R63" s="17">
        <f t="shared" si="13"/>
        <v>4009.0777357955694</v>
      </c>
      <c r="S63" s="17">
        <f t="shared" si="12"/>
        <v>3406.5109418383199</v>
      </c>
      <c r="T63" s="17"/>
      <c r="U63" s="17"/>
      <c r="V63" s="17"/>
    </row>
    <row r="64" spans="1:22" s="27" customFormat="1">
      <c r="A64" s="18" t="s">
        <v>195</v>
      </c>
      <c r="B64" s="24" t="s">
        <v>182</v>
      </c>
      <c r="C64" s="24" t="s">
        <v>1561</v>
      </c>
      <c r="D64" s="25">
        <v>1494</v>
      </c>
      <c r="E64" s="25">
        <v>0</v>
      </c>
      <c r="F64" s="26">
        <f t="shared" si="16"/>
        <v>1494</v>
      </c>
      <c r="G64" s="21">
        <f t="shared" si="3"/>
        <v>1494000</v>
      </c>
      <c r="H64" s="21">
        <f t="shared" si="4"/>
        <v>1075680</v>
      </c>
      <c r="I64" s="21">
        <f t="shared" si="5"/>
        <v>67230</v>
      </c>
      <c r="J64" s="21">
        <f t="shared" si="6"/>
        <v>348102</v>
      </c>
      <c r="K64" s="21">
        <f t="shared" si="7"/>
        <v>2988</v>
      </c>
      <c r="L64" s="20">
        <f t="shared" si="8"/>
        <v>23833.240967919606</v>
      </c>
      <c r="M64" s="21">
        <f t="shared" si="9"/>
        <v>3136.7221421885279</v>
      </c>
      <c r="N64" s="21">
        <f t="shared" si="10"/>
        <v>2658.078536801976</v>
      </c>
      <c r="O64" s="26"/>
      <c r="P64" s="26"/>
      <c r="Q64" s="17">
        <f t="shared" si="11"/>
        <v>20417.979957442203</v>
      </c>
      <c r="R64" s="17">
        <f t="shared" si="13"/>
        <v>2746.2458217691797</v>
      </c>
      <c r="S64" s="17">
        <f t="shared" si="12"/>
        <v>2333.4834237076802</v>
      </c>
      <c r="T64" s="17"/>
      <c r="U64" s="17"/>
      <c r="V64" s="17"/>
    </row>
    <row r="65" spans="1:22" s="27" customFormat="1">
      <c r="A65" s="18" t="s">
        <v>198</v>
      </c>
      <c r="B65" s="24" t="s">
        <v>182</v>
      </c>
      <c r="C65" s="24" t="s">
        <v>1561</v>
      </c>
      <c r="D65" s="25">
        <v>6083</v>
      </c>
      <c r="E65" s="25">
        <v>8161</v>
      </c>
      <c r="F65" s="26">
        <f t="shared" si="16"/>
        <v>8161</v>
      </c>
      <c r="G65" s="21">
        <f t="shared" si="3"/>
        <v>8161000</v>
      </c>
      <c r="H65" s="21">
        <f t="shared" si="4"/>
        <v>5875920</v>
      </c>
      <c r="I65" s="21">
        <f t="shared" si="5"/>
        <v>367245</v>
      </c>
      <c r="J65" s="21">
        <f t="shared" si="6"/>
        <v>1901513</v>
      </c>
      <c r="K65" s="21">
        <f t="shared" si="7"/>
        <v>16322</v>
      </c>
      <c r="L65" s="20">
        <f t="shared" si="8"/>
        <v>130189.4776032074</v>
      </c>
      <c r="M65" s="21">
        <f t="shared" si="9"/>
        <v>17134.397190361833</v>
      </c>
      <c r="N65" s="21">
        <f t="shared" si="10"/>
        <v>14519.798486506645</v>
      </c>
      <c r="O65" s="26"/>
      <c r="P65" s="26"/>
      <c r="Q65" s="17">
        <f t="shared" si="11"/>
        <v>111533.55718385929</v>
      </c>
      <c r="R65" s="17">
        <f t="shared" si="13"/>
        <v>15001.413755996169</v>
      </c>
      <c r="S65" s="17">
        <f t="shared" si="12"/>
        <v>12746.692249583923</v>
      </c>
      <c r="T65" s="17"/>
      <c r="U65" s="17"/>
      <c r="V65" s="17"/>
    </row>
    <row r="66" spans="1:22" s="27" customFormat="1">
      <c r="A66" s="18" t="s">
        <v>201</v>
      </c>
      <c r="B66" s="24" t="s">
        <v>182</v>
      </c>
      <c r="C66" s="24" t="s">
        <v>1561</v>
      </c>
      <c r="D66" s="25">
        <v>3905</v>
      </c>
      <c r="E66" s="25">
        <v>3905</v>
      </c>
      <c r="F66" s="26">
        <f t="shared" si="16"/>
        <v>3905</v>
      </c>
      <c r="G66" s="21">
        <f t="shared" si="3"/>
        <v>3905000</v>
      </c>
      <c r="H66" s="21">
        <f t="shared" si="4"/>
        <v>2811600</v>
      </c>
      <c r="I66" s="21">
        <f t="shared" si="5"/>
        <v>175725</v>
      </c>
      <c r="J66" s="21">
        <f t="shared" si="6"/>
        <v>909865</v>
      </c>
      <c r="K66" s="21">
        <f t="shared" si="7"/>
        <v>7810</v>
      </c>
      <c r="L66" s="20">
        <f t="shared" si="8"/>
        <v>62295.050856577</v>
      </c>
      <c r="M66" s="21">
        <f t="shared" si="9"/>
        <v>8198.7282230563615</v>
      </c>
      <c r="N66" s="21">
        <f t="shared" si="10"/>
        <v>6947.655077785621</v>
      </c>
      <c r="O66" s="26"/>
      <c r="P66" s="26"/>
      <c r="Q66" s="17">
        <f t="shared" si="11"/>
        <v>53368.280946326508</v>
      </c>
      <c r="R66" s="17">
        <f t="shared" si="13"/>
        <v>7178.1057121878503</v>
      </c>
      <c r="S66" s="17">
        <f t="shared" si="12"/>
        <v>6099.232108151602</v>
      </c>
      <c r="T66" s="17"/>
      <c r="U66" s="17"/>
      <c r="V66" s="17"/>
    </row>
    <row r="67" spans="1:22" s="27" customFormat="1">
      <c r="A67" s="18" t="s">
        <v>204</v>
      </c>
      <c r="B67" s="24" t="s">
        <v>182</v>
      </c>
      <c r="C67" s="24" t="s">
        <v>1561</v>
      </c>
      <c r="D67" s="25">
        <v>994</v>
      </c>
      <c r="E67" s="25">
        <v>2188</v>
      </c>
      <c r="F67" s="26">
        <f t="shared" si="16"/>
        <v>2188</v>
      </c>
      <c r="G67" s="21">
        <f t="shared" si="3"/>
        <v>2188000</v>
      </c>
      <c r="H67" s="21">
        <f t="shared" si="4"/>
        <v>1575360</v>
      </c>
      <c r="I67" s="21">
        <f t="shared" si="5"/>
        <v>98460</v>
      </c>
      <c r="J67" s="21">
        <f t="shared" si="6"/>
        <v>509804</v>
      </c>
      <c r="K67" s="21">
        <f t="shared" si="7"/>
        <v>4376</v>
      </c>
      <c r="L67" s="20">
        <f t="shared" si="8"/>
        <v>34904.371645119187</v>
      </c>
      <c r="M67" s="21">
        <f t="shared" si="9"/>
        <v>4593.8072604474564</v>
      </c>
      <c r="N67" s="21">
        <f t="shared" si="10"/>
        <v>3892.8218464007523</v>
      </c>
      <c r="O67" s="26"/>
      <c r="P67" s="26"/>
      <c r="Q67" s="17">
        <f t="shared" si="11"/>
        <v>29902.637313844396</v>
      </c>
      <c r="R67" s="17">
        <f t="shared" si="13"/>
        <v>4021.9450187623597</v>
      </c>
      <c r="S67" s="17">
        <f t="shared" si="12"/>
        <v>3417.4442644393598</v>
      </c>
      <c r="T67" s="17"/>
      <c r="U67" s="17"/>
      <c r="V67" s="17"/>
    </row>
    <row r="68" spans="1:22" s="27" customFormat="1">
      <c r="A68" s="18" t="s">
        <v>208</v>
      </c>
      <c r="B68" s="24" t="s">
        <v>182</v>
      </c>
      <c r="C68" s="24" t="s">
        <v>1561</v>
      </c>
      <c r="D68" s="25">
        <v>972</v>
      </c>
      <c r="E68" s="25">
        <v>2045</v>
      </c>
      <c r="F68" s="26">
        <f t="shared" si="16"/>
        <v>2045</v>
      </c>
      <c r="G68" s="21">
        <f t="shared" si="3"/>
        <v>2045000</v>
      </c>
      <c r="H68" s="21">
        <f t="shared" si="4"/>
        <v>1472400</v>
      </c>
      <c r="I68" s="21">
        <f t="shared" si="5"/>
        <v>92025</v>
      </c>
      <c r="J68" s="21">
        <f t="shared" si="6"/>
        <v>476485</v>
      </c>
      <c r="K68" s="21">
        <f t="shared" si="7"/>
        <v>4090</v>
      </c>
      <c r="L68" s="20">
        <f t="shared" si="8"/>
        <v>32623.144430653007</v>
      </c>
      <c r="M68" s="21">
        <f t="shared" si="9"/>
        <v>4293.5721424200392</v>
      </c>
      <c r="N68" s="21">
        <f t="shared" si="10"/>
        <v>3638.4006745381803</v>
      </c>
      <c r="O68" s="26"/>
      <c r="P68" s="26"/>
      <c r="Q68" s="17">
        <f t="shared" si="11"/>
        <v>27948.305898908497</v>
      </c>
      <c r="R68" s="17">
        <f t="shared" si="13"/>
        <v>3759.0848095836495</v>
      </c>
      <c r="S68" s="17">
        <f t="shared" si="12"/>
        <v>3194.0921027324002</v>
      </c>
      <c r="T68" s="17"/>
      <c r="U68" s="17"/>
      <c r="V68" s="17"/>
    </row>
    <row r="69" spans="1:22">
      <c r="A69" s="18" t="s">
        <v>211</v>
      </c>
      <c r="B69" s="22" t="s">
        <v>213</v>
      </c>
      <c r="C69" s="22" t="s">
        <v>1561</v>
      </c>
      <c r="D69" s="23">
        <v>2447</v>
      </c>
      <c r="E69" s="23">
        <v>4450</v>
      </c>
      <c r="F69" s="21">
        <f t="shared" si="16"/>
        <v>4450</v>
      </c>
      <c r="G69" s="21">
        <f t="shared" si="3"/>
        <v>4450000</v>
      </c>
      <c r="H69" s="21">
        <f t="shared" si="4"/>
        <v>3204000</v>
      </c>
      <c r="I69" s="21">
        <f t="shared" si="5"/>
        <v>200250</v>
      </c>
      <c r="J69" s="21">
        <f t="shared" si="6"/>
        <v>1036850</v>
      </c>
      <c r="K69" s="21">
        <f t="shared" si="7"/>
        <v>8900</v>
      </c>
      <c r="L69" s="20">
        <f t="shared" si="8"/>
        <v>70989.238492129996</v>
      </c>
      <c r="M69" s="21">
        <f t="shared" si="9"/>
        <v>9342.9809456084022</v>
      </c>
      <c r="N69" s="21">
        <f t="shared" si="10"/>
        <v>7917.3022013177997</v>
      </c>
      <c r="O69" s="21"/>
      <c r="P69" s="21"/>
      <c r="Q69" s="17">
        <f t="shared" si="11"/>
        <v>60816.606968284999</v>
      </c>
      <c r="R69" s="17">
        <f t="shared" si="13"/>
        <v>8179.9156003164999</v>
      </c>
      <c r="S69" s="17">
        <f t="shared" si="12"/>
        <v>6950.4693678040012</v>
      </c>
    </row>
    <row r="70" spans="1:22">
      <c r="A70" s="18" t="s">
        <v>215</v>
      </c>
      <c r="B70" s="22" t="s">
        <v>213</v>
      </c>
      <c r="C70" s="22" t="s">
        <v>1561</v>
      </c>
      <c r="D70" s="23">
        <v>2950</v>
      </c>
      <c r="E70" s="23">
        <v>0</v>
      </c>
      <c r="F70" s="21">
        <f t="shared" si="16"/>
        <v>2950</v>
      </c>
      <c r="G70" s="21">
        <f t="shared" ref="G70:G133" si="17">F70*1000</f>
        <v>2950000</v>
      </c>
      <c r="H70" s="21">
        <f t="shared" ref="H70:H133" si="18">G70*0.72</f>
        <v>2124000</v>
      </c>
      <c r="I70" s="21">
        <f t="shared" ref="I70:I133" si="19">G70*0.045</f>
        <v>132750</v>
      </c>
      <c r="J70" s="21">
        <f t="shared" ref="J70:J133" si="20">G70*0.233</f>
        <v>687350</v>
      </c>
      <c r="K70" s="21">
        <f t="shared" ref="K70:K133" si="21">G70*0.002</f>
        <v>5900</v>
      </c>
      <c r="L70" s="20">
        <f t="shared" ref="L70:L133" si="22">(H70/1000*111+I70/1000*51+J70/1000*60+K70/250*20)*365*0.453592/1000</f>
        <v>47060.281697029997</v>
      </c>
      <c r="M70" s="21">
        <f t="shared" ref="M70:M133" si="23">(H70/1000*14.3+I70/1000*6.5+J70/1000*8.9+K70/250*2.4)*365*0.453592/1000</f>
        <v>6193.661525740401</v>
      </c>
      <c r="N70" s="21">
        <f t="shared" ref="N70:N133" si="24">(H70/1000*12.1+I70/1000*5.5+J70/1000*7.6+K70/250*2)*365*0.453592/1000</f>
        <v>5248.5486503118</v>
      </c>
      <c r="O70" s="21"/>
      <c r="P70" s="21"/>
      <c r="Q70" s="17">
        <f t="shared" ref="Q70:Q133" si="25">F70*0.89*(0.5*133+0.5*52.5)*365*0.453592/1000</f>
        <v>40316.627091335002</v>
      </c>
      <c r="R70" s="17">
        <f t="shared" si="13"/>
        <v>5422.6406788614995</v>
      </c>
      <c r="S70" s="17">
        <f t="shared" ref="S70:S133" si="26">F70*0.89*(14.55*0.5+0.5*6.65)*365*0.453592/1000</f>
        <v>4607.6145247240011</v>
      </c>
    </row>
    <row r="71" spans="1:22">
      <c r="A71" s="18" t="s">
        <v>218</v>
      </c>
      <c r="B71" s="22" t="s">
        <v>213</v>
      </c>
      <c r="C71" s="22" t="s">
        <v>1561</v>
      </c>
      <c r="D71" s="23">
        <v>2798</v>
      </c>
      <c r="E71" s="23">
        <v>0</v>
      </c>
      <c r="F71" s="21">
        <f t="shared" si="16"/>
        <v>2798</v>
      </c>
      <c r="G71" s="21">
        <f t="shared" si="17"/>
        <v>2798000</v>
      </c>
      <c r="H71" s="21">
        <f t="shared" si="18"/>
        <v>2014560</v>
      </c>
      <c r="I71" s="21">
        <f t="shared" si="19"/>
        <v>125910</v>
      </c>
      <c r="J71" s="21">
        <f t="shared" si="20"/>
        <v>651934</v>
      </c>
      <c r="K71" s="21">
        <f t="shared" si="21"/>
        <v>5596</v>
      </c>
      <c r="L71" s="20">
        <f t="shared" si="22"/>
        <v>44635.480741793202</v>
      </c>
      <c r="M71" s="21">
        <f t="shared" si="23"/>
        <v>5874.5304911937765</v>
      </c>
      <c r="N71" s="21">
        <f t="shared" si="24"/>
        <v>4978.1149571431915</v>
      </c>
      <c r="O71" s="21"/>
      <c r="P71" s="21"/>
      <c r="Q71" s="17">
        <f t="shared" si="25"/>
        <v>38239.295797137405</v>
      </c>
      <c r="R71" s="17">
        <f t="shared" si="13"/>
        <v>5143.2368201540594</v>
      </c>
      <c r="S71" s="17">
        <f t="shared" si="26"/>
        <v>4370.2052339585607</v>
      </c>
    </row>
    <row r="72" spans="1:22">
      <c r="A72" s="18" t="s">
        <v>221</v>
      </c>
      <c r="B72" s="22" t="s">
        <v>213</v>
      </c>
      <c r="C72" s="22" t="s">
        <v>1561</v>
      </c>
      <c r="D72" s="23">
        <v>1000</v>
      </c>
      <c r="E72" s="23">
        <v>2574</v>
      </c>
      <c r="F72" s="21">
        <f t="shared" si="16"/>
        <v>2574</v>
      </c>
      <c r="G72" s="21">
        <f t="shared" si="17"/>
        <v>2574000</v>
      </c>
      <c r="H72" s="21">
        <f t="shared" si="18"/>
        <v>1853280</v>
      </c>
      <c r="I72" s="21">
        <f t="shared" si="19"/>
        <v>115830</v>
      </c>
      <c r="J72" s="21">
        <f t="shared" si="20"/>
        <v>599742</v>
      </c>
      <c r="K72" s="21">
        <f t="shared" si="21"/>
        <v>5148</v>
      </c>
      <c r="L72" s="20">
        <f t="shared" si="22"/>
        <v>41062.089860391592</v>
      </c>
      <c r="M72" s="21">
        <f t="shared" si="23"/>
        <v>5404.2321244934883</v>
      </c>
      <c r="N72" s="21">
        <f t="shared" si="24"/>
        <v>4579.5810935262953</v>
      </c>
      <c r="O72" s="21"/>
      <c r="P72" s="21"/>
      <c r="Q72" s="17">
        <f t="shared" si="25"/>
        <v>35177.965468846203</v>
      </c>
      <c r="R72" s="17">
        <f t="shared" ref="R72:R135" si="27">F72*0.89*(0.5*17.15+0.5*7.8)*365*0.453592/1000</f>
        <v>4731.4837652167798</v>
      </c>
      <c r="S72" s="17">
        <f t="shared" si="26"/>
        <v>4020.3389107252806</v>
      </c>
    </row>
    <row r="73" spans="1:22">
      <c r="A73" s="18" t="s">
        <v>224</v>
      </c>
      <c r="B73" s="22" t="s">
        <v>213</v>
      </c>
      <c r="C73" s="22" t="s">
        <v>1561</v>
      </c>
      <c r="D73" s="23">
        <v>4212</v>
      </c>
      <c r="E73" s="23">
        <v>0</v>
      </c>
      <c r="F73" s="21">
        <f t="shared" si="16"/>
        <v>4212</v>
      </c>
      <c r="G73" s="21">
        <f t="shared" si="17"/>
        <v>4212000</v>
      </c>
      <c r="H73" s="21">
        <f t="shared" si="18"/>
        <v>3032640</v>
      </c>
      <c r="I73" s="21">
        <f t="shared" si="19"/>
        <v>189540</v>
      </c>
      <c r="J73" s="21">
        <f t="shared" si="20"/>
        <v>981396</v>
      </c>
      <c r="K73" s="21">
        <f t="shared" si="21"/>
        <v>8424</v>
      </c>
      <c r="L73" s="20">
        <f t="shared" si="22"/>
        <v>67192.510680640786</v>
      </c>
      <c r="M73" s="21">
        <f t="shared" si="23"/>
        <v>8843.2889309893435</v>
      </c>
      <c r="N73" s="21">
        <f t="shared" si="24"/>
        <v>7493.8599712248479</v>
      </c>
      <c r="O73" s="21"/>
      <c r="P73" s="21"/>
      <c r="Q73" s="17">
        <f t="shared" si="25"/>
        <v>57563.943494475592</v>
      </c>
      <c r="R73" s="17">
        <f t="shared" si="27"/>
        <v>7742.4279794456388</v>
      </c>
      <c r="S73" s="17">
        <f t="shared" si="26"/>
        <v>6578.7363993686404</v>
      </c>
    </row>
    <row r="74" spans="1:22" s="27" customFormat="1">
      <c r="A74" s="18" t="s">
        <v>227</v>
      </c>
      <c r="B74" s="24" t="s">
        <v>229</v>
      </c>
      <c r="C74" s="24" t="s">
        <v>1561</v>
      </c>
      <c r="D74" s="25">
        <v>5350</v>
      </c>
      <c r="E74" s="25">
        <v>5630</v>
      </c>
      <c r="F74" s="26">
        <f t="shared" si="16"/>
        <v>5630</v>
      </c>
      <c r="G74" s="21">
        <f t="shared" si="17"/>
        <v>5630000</v>
      </c>
      <c r="H74" s="21">
        <f t="shared" si="18"/>
        <v>4053600</v>
      </c>
      <c r="I74" s="21">
        <f t="shared" si="19"/>
        <v>253350</v>
      </c>
      <c r="J74" s="21">
        <f t="shared" si="20"/>
        <v>1311790</v>
      </c>
      <c r="K74" s="21">
        <f t="shared" si="21"/>
        <v>11260</v>
      </c>
      <c r="L74" s="20">
        <f t="shared" si="22"/>
        <v>89813.351170941998</v>
      </c>
      <c r="M74" s="21">
        <f t="shared" si="23"/>
        <v>11820.445555904562</v>
      </c>
      <c r="N74" s="21">
        <f t="shared" si="24"/>
        <v>10016.72166144252</v>
      </c>
      <c r="O74" s="26"/>
      <c r="P74" s="26"/>
      <c r="Q74" s="17">
        <f t="shared" si="25"/>
        <v>76943.257804819004</v>
      </c>
      <c r="R74" s="17">
        <f t="shared" si="27"/>
        <v>10348.9718718611</v>
      </c>
      <c r="S74" s="17">
        <f t="shared" si="26"/>
        <v>8793.5151776936</v>
      </c>
      <c r="T74" s="17"/>
      <c r="U74" s="17"/>
      <c r="V74" s="17"/>
    </row>
    <row r="75" spans="1:22">
      <c r="A75" s="18" t="s">
        <v>231</v>
      </c>
      <c r="B75" s="22" t="s">
        <v>233</v>
      </c>
      <c r="C75" s="22" t="s">
        <v>1561</v>
      </c>
      <c r="D75" s="23">
        <v>983</v>
      </c>
      <c r="E75" s="23">
        <v>4047</v>
      </c>
      <c r="F75" s="21">
        <f t="shared" si="16"/>
        <v>4047</v>
      </c>
      <c r="G75" s="21">
        <f t="shared" si="17"/>
        <v>4047000</v>
      </c>
      <c r="H75" s="21">
        <f t="shared" si="18"/>
        <v>2913840</v>
      </c>
      <c r="I75" s="21">
        <f t="shared" si="19"/>
        <v>182115</v>
      </c>
      <c r="J75" s="21">
        <f t="shared" si="20"/>
        <v>942951</v>
      </c>
      <c r="K75" s="21">
        <f t="shared" si="21"/>
        <v>8094</v>
      </c>
      <c r="L75" s="20">
        <f t="shared" si="22"/>
        <v>64560.325433179802</v>
      </c>
      <c r="M75" s="21">
        <f t="shared" si="23"/>
        <v>8496.8637948038631</v>
      </c>
      <c r="N75" s="21">
        <f t="shared" si="24"/>
        <v>7200.2970806141884</v>
      </c>
      <c r="O75" s="21"/>
      <c r="P75" s="21"/>
      <c r="Q75" s="17">
        <f t="shared" si="25"/>
        <v>55308.945708011095</v>
      </c>
      <c r="R75" s="17">
        <f t="shared" si="27"/>
        <v>7439.1277380855881</v>
      </c>
      <c r="S75" s="17">
        <f t="shared" si="26"/>
        <v>6321.0223666298398</v>
      </c>
    </row>
    <row r="76" spans="1:22">
      <c r="A76" s="18" t="s">
        <v>235</v>
      </c>
      <c r="B76" s="22" t="s">
        <v>233</v>
      </c>
      <c r="C76" s="22" t="s">
        <v>1561</v>
      </c>
      <c r="D76" s="23">
        <v>1001</v>
      </c>
      <c r="E76" s="23">
        <v>1885</v>
      </c>
      <c r="F76" s="21">
        <f t="shared" si="16"/>
        <v>1885</v>
      </c>
      <c r="G76" s="21">
        <f t="shared" si="17"/>
        <v>1885000</v>
      </c>
      <c r="H76" s="21">
        <f t="shared" si="18"/>
        <v>1357200</v>
      </c>
      <c r="I76" s="21">
        <f t="shared" si="19"/>
        <v>84825</v>
      </c>
      <c r="J76" s="21">
        <f t="shared" si="20"/>
        <v>439205</v>
      </c>
      <c r="K76" s="21">
        <f t="shared" si="21"/>
        <v>3770</v>
      </c>
      <c r="L76" s="20">
        <f t="shared" si="22"/>
        <v>30070.722372509004</v>
      </c>
      <c r="M76" s="21">
        <f t="shared" si="23"/>
        <v>3957.6447376341207</v>
      </c>
      <c r="N76" s="21">
        <f t="shared" si="24"/>
        <v>3353.7336290975391</v>
      </c>
      <c r="O76" s="21"/>
      <c r="P76" s="21"/>
      <c r="Q76" s="17">
        <f t="shared" si="25"/>
        <v>25761.641378700497</v>
      </c>
      <c r="R76" s="17">
        <f t="shared" si="27"/>
        <v>3464.9754846284495</v>
      </c>
      <c r="S76" s="17">
        <f t="shared" si="26"/>
        <v>2944.1875861372009</v>
      </c>
    </row>
    <row r="77" spans="1:22">
      <c r="A77" s="18" t="s">
        <v>238</v>
      </c>
      <c r="B77" s="22" t="s">
        <v>233</v>
      </c>
      <c r="C77" s="22" t="s">
        <v>1561</v>
      </c>
      <c r="D77" s="23">
        <v>1680</v>
      </c>
      <c r="E77" s="23">
        <v>0</v>
      </c>
      <c r="F77" s="21">
        <f t="shared" si="16"/>
        <v>1680</v>
      </c>
      <c r="G77" s="21">
        <f t="shared" si="17"/>
        <v>1680000</v>
      </c>
      <c r="H77" s="21">
        <f t="shared" si="18"/>
        <v>1209600</v>
      </c>
      <c r="I77" s="21">
        <f t="shared" si="19"/>
        <v>75600</v>
      </c>
      <c r="J77" s="21">
        <f t="shared" si="20"/>
        <v>391440</v>
      </c>
      <c r="K77" s="21">
        <f t="shared" si="21"/>
        <v>3360</v>
      </c>
      <c r="L77" s="20">
        <f t="shared" si="22"/>
        <v>26800.431610511991</v>
      </c>
      <c r="M77" s="21">
        <f t="shared" si="23"/>
        <v>3527.2377502521604</v>
      </c>
      <c r="N77" s="21">
        <f t="shared" si="24"/>
        <v>2989.0039771267197</v>
      </c>
      <c r="O77" s="21"/>
      <c r="P77" s="21"/>
      <c r="Q77" s="17">
        <f t="shared" si="25"/>
        <v>22959.977462184004</v>
      </c>
      <c r="R77" s="17">
        <f t="shared" si="27"/>
        <v>3088.1479120295999</v>
      </c>
      <c r="S77" s="17">
        <f t="shared" si="26"/>
        <v>2623.9974242496</v>
      </c>
    </row>
    <row r="78" spans="1:22">
      <c r="A78" s="18" t="s">
        <v>241</v>
      </c>
      <c r="B78" s="22" t="s">
        <v>233</v>
      </c>
      <c r="C78" s="22" t="s">
        <v>1561</v>
      </c>
      <c r="D78" s="23">
        <v>1263</v>
      </c>
      <c r="E78" s="23">
        <v>0</v>
      </c>
      <c r="F78" s="21">
        <f t="shared" si="16"/>
        <v>1263</v>
      </c>
      <c r="G78" s="21">
        <f t="shared" si="17"/>
        <v>1263000</v>
      </c>
      <c r="H78" s="21">
        <f t="shared" si="18"/>
        <v>909360</v>
      </c>
      <c r="I78" s="21">
        <f t="shared" si="19"/>
        <v>56835</v>
      </c>
      <c r="J78" s="21">
        <f t="shared" si="20"/>
        <v>294279</v>
      </c>
      <c r="K78" s="21">
        <f t="shared" si="21"/>
        <v>2526</v>
      </c>
      <c r="L78" s="20">
        <f t="shared" si="22"/>
        <v>20148.181621474199</v>
      </c>
      <c r="M78" s="21">
        <f t="shared" si="23"/>
        <v>2651.7269515288563</v>
      </c>
      <c r="N78" s="21">
        <f t="shared" si="24"/>
        <v>2247.090489947052</v>
      </c>
      <c r="O78" s="21"/>
      <c r="P78" s="21"/>
      <c r="Q78" s="17">
        <f t="shared" si="25"/>
        <v>17260.983056391899</v>
      </c>
      <c r="R78" s="17">
        <f t="shared" si="27"/>
        <v>2321.6254838651098</v>
      </c>
      <c r="S78" s="17">
        <f t="shared" si="26"/>
        <v>1972.6837778733602</v>
      </c>
    </row>
    <row r="79" spans="1:22" s="27" customFormat="1">
      <c r="A79" s="18" t="s">
        <v>244</v>
      </c>
      <c r="B79" s="24" t="s">
        <v>246</v>
      </c>
      <c r="C79" s="24" t="s">
        <v>1561</v>
      </c>
      <c r="D79" s="25">
        <v>829</v>
      </c>
      <c r="E79" s="25">
        <v>1098</v>
      </c>
      <c r="F79" s="26">
        <f t="shared" si="16"/>
        <v>1098</v>
      </c>
      <c r="G79" s="21">
        <f t="shared" si="17"/>
        <v>1098000</v>
      </c>
      <c r="H79" s="21">
        <f t="shared" si="18"/>
        <v>790560</v>
      </c>
      <c r="I79" s="21">
        <f t="shared" si="19"/>
        <v>49410</v>
      </c>
      <c r="J79" s="21">
        <f t="shared" si="20"/>
        <v>255834</v>
      </c>
      <c r="K79" s="21">
        <f t="shared" si="21"/>
        <v>2196</v>
      </c>
      <c r="L79" s="20">
        <f t="shared" si="22"/>
        <v>17515.996374013197</v>
      </c>
      <c r="M79" s="21">
        <f t="shared" si="23"/>
        <v>2305.3018153433759</v>
      </c>
      <c r="N79" s="21">
        <f t="shared" si="24"/>
        <v>1953.5275993363919</v>
      </c>
      <c r="O79" s="26"/>
      <c r="P79" s="26"/>
      <c r="Q79" s="17">
        <f t="shared" si="25"/>
        <v>15005.9852699274</v>
      </c>
      <c r="R79" s="17">
        <f t="shared" si="27"/>
        <v>2018.3252425050598</v>
      </c>
      <c r="S79" s="17">
        <f t="shared" si="26"/>
        <v>1714.9697451345601</v>
      </c>
      <c r="T79" s="17"/>
      <c r="U79" s="17"/>
      <c r="V79" s="17"/>
    </row>
    <row r="80" spans="1:22">
      <c r="A80" s="18" t="s">
        <v>248</v>
      </c>
      <c r="B80" s="22" t="s">
        <v>250</v>
      </c>
      <c r="C80" s="22" t="s">
        <v>1561</v>
      </c>
      <c r="D80" s="23">
        <v>2226</v>
      </c>
      <c r="E80" s="23">
        <v>0</v>
      </c>
      <c r="F80" s="21">
        <f t="shared" si="16"/>
        <v>2226</v>
      </c>
      <c r="G80" s="21">
        <f t="shared" si="17"/>
        <v>2226000</v>
      </c>
      <c r="H80" s="21">
        <f t="shared" si="18"/>
        <v>1602720</v>
      </c>
      <c r="I80" s="21">
        <f t="shared" si="19"/>
        <v>100170</v>
      </c>
      <c r="J80" s="21">
        <f t="shared" si="20"/>
        <v>518658</v>
      </c>
      <c r="K80" s="21">
        <f t="shared" si="21"/>
        <v>4452</v>
      </c>
      <c r="L80" s="20">
        <f t="shared" si="22"/>
        <v>35510.571883928409</v>
      </c>
      <c r="M80" s="21">
        <f t="shared" si="23"/>
        <v>4673.5900190841121</v>
      </c>
      <c r="N80" s="21">
        <f t="shared" si="24"/>
        <v>3960.4302696929053</v>
      </c>
      <c r="O80" s="21"/>
      <c r="P80" s="21"/>
      <c r="Q80" s="17">
        <f t="shared" si="25"/>
        <v>30421.970137393804</v>
      </c>
      <c r="R80" s="17">
        <f t="shared" si="27"/>
        <v>4091.79598343922</v>
      </c>
      <c r="S80" s="17">
        <f t="shared" si="26"/>
        <v>3476.7965871307201</v>
      </c>
    </row>
    <row r="81" spans="1:22">
      <c r="A81" s="18" t="s">
        <v>252</v>
      </c>
      <c r="B81" s="22" t="s">
        <v>250</v>
      </c>
      <c r="C81" s="22" t="s">
        <v>1561</v>
      </c>
      <c r="D81" s="23">
        <v>2074</v>
      </c>
      <c r="E81" s="23">
        <v>3289</v>
      </c>
      <c r="F81" s="21">
        <f t="shared" si="16"/>
        <v>3289</v>
      </c>
      <c r="G81" s="21">
        <f t="shared" si="17"/>
        <v>3289000</v>
      </c>
      <c r="H81" s="21">
        <f t="shared" si="18"/>
        <v>2368080</v>
      </c>
      <c r="I81" s="21">
        <f t="shared" si="19"/>
        <v>148005</v>
      </c>
      <c r="J81" s="21">
        <f t="shared" si="20"/>
        <v>766337</v>
      </c>
      <c r="K81" s="21">
        <f t="shared" si="21"/>
        <v>6578</v>
      </c>
      <c r="L81" s="20">
        <f t="shared" si="22"/>
        <v>52468.225932722598</v>
      </c>
      <c r="M81" s="21">
        <f t="shared" si="23"/>
        <v>6905.4077146305681</v>
      </c>
      <c r="N81" s="21">
        <f t="shared" si="24"/>
        <v>5851.6869528391571</v>
      </c>
      <c r="O81" s="21"/>
      <c r="P81" s="21"/>
      <c r="Q81" s="17">
        <f t="shared" si="25"/>
        <v>44949.622543525693</v>
      </c>
      <c r="R81" s="17">
        <f t="shared" si="27"/>
        <v>6045.7848111103294</v>
      </c>
      <c r="S81" s="17">
        <f t="shared" si="26"/>
        <v>5137.0997192600798</v>
      </c>
    </row>
    <row r="82" spans="1:22">
      <c r="A82" s="18" t="s">
        <v>255</v>
      </c>
      <c r="B82" s="22" t="s">
        <v>250</v>
      </c>
      <c r="C82" s="22" t="s">
        <v>1561</v>
      </c>
      <c r="D82" s="23">
        <v>2982</v>
      </c>
      <c r="E82" s="23">
        <v>2894</v>
      </c>
      <c r="F82" s="21">
        <f t="shared" si="16"/>
        <v>2982</v>
      </c>
      <c r="G82" s="21">
        <f t="shared" si="17"/>
        <v>2982000</v>
      </c>
      <c r="H82" s="21">
        <f t="shared" si="18"/>
        <v>2147040</v>
      </c>
      <c r="I82" s="21">
        <f t="shared" si="19"/>
        <v>134190</v>
      </c>
      <c r="J82" s="21">
        <f t="shared" si="20"/>
        <v>694806</v>
      </c>
      <c r="K82" s="21">
        <f t="shared" si="21"/>
        <v>5964</v>
      </c>
      <c r="L82" s="20">
        <f t="shared" si="22"/>
        <v>47570.766108658798</v>
      </c>
      <c r="M82" s="21">
        <f t="shared" si="23"/>
        <v>6260.8470066975851</v>
      </c>
      <c r="N82" s="21">
        <f t="shared" si="24"/>
        <v>5305.4820593999266</v>
      </c>
      <c r="O82" s="21"/>
      <c r="P82" s="21"/>
      <c r="Q82" s="17">
        <f t="shared" si="25"/>
        <v>40753.959995376601</v>
      </c>
      <c r="R82" s="17">
        <f t="shared" si="27"/>
        <v>5481.46254385254</v>
      </c>
      <c r="S82" s="17">
        <f t="shared" si="26"/>
        <v>4657.5954280430415</v>
      </c>
    </row>
    <row r="83" spans="1:22">
      <c r="A83" s="18" t="s">
        <v>258</v>
      </c>
      <c r="B83" s="22" t="s">
        <v>250</v>
      </c>
      <c r="C83" s="22" t="s">
        <v>1561</v>
      </c>
      <c r="D83" s="23">
        <v>941</v>
      </c>
      <c r="E83" s="23">
        <v>1096</v>
      </c>
      <c r="F83" s="21">
        <f t="shared" si="16"/>
        <v>1096</v>
      </c>
      <c r="G83" s="21">
        <f t="shared" si="17"/>
        <v>1096000</v>
      </c>
      <c r="H83" s="21">
        <f t="shared" si="18"/>
        <v>789120</v>
      </c>
      <c r="I83" s="21">
        <f t="shared" si="19"/>
        <v>49320</v>
      </c>
      <c r="J83" s="21">
        <f t="shared" si="20"/>
        <v>255368</v>
      </c>
      <c r="K83" s="21">
        <f t="shared" si="21"/>
        <v>2192</v>
      </c>
      <c r="L83" s="20">
        <f t="shared" si="22"/>
        <v>17484.091098286401</v>
      </c>
      <c r="M83" s="21">
        <f t="shared" si="23"/>
        <v>2301.1027227835521</v>
      </c>
      <c r="N83" s="21">
        <f t="shared" si="24"/>
        <v>1949.9692612683841</v>
      </c>
      <c r="O83" s="21"/>
      <c r="P83" s="21"/>
      <c r="Q83" s="17">
        <f t="shared" si="25"/>
        <v>14978.651963424802</v>
      </c>
      <c r="R83" s="17">
        <f t="shared" si="27"/>
        <v>2014.6488759431197</v>
      </c>
      <c r="S83" s="17">
        <f t="shared" si="26"/>
        <v>1711.8459386771203</v>
      </c>
    </row>
    <row r="84" spans="1:22">
      <c r="A84" s="18" t="s">
        <v>261</v>
      </c>
      <c r="B84" s="22" t="s">
        <v>250</v>
      </c>
      <c r="C84" s="22" t="s">
        <v>1561</v>
      </c>
      <c r="D84" s="23">
        <v>1778</v>
      </c>
      <c r="E84" s="23">
        <v>0</v>
      </c>
      <c r="F84" s="21">
        <f t="shared" si="16"/>
        <v>1778</v>
      </c>
      <c r="G84" s="21">
        <f t="shared" si="17"/>
        <v>1778000</v>
      </c>
      <c r="H84" s="21">
        <f t="shared" si="18"/>
        <v>1280160</v>
      </c>
      <c r="I84" s="21">
        <f t="shared" si="19"/>
        <v>80010</v>
      </c>
      <c r="J84" s="21">
        <f t="shared" si="20"/>
        <v>414274</v>
      </c>
      <c r="K84" s="21">
        <f t="shared" si="21"/>
        <v>3556</v>
      </c>
      <c r="L84" s="20">
        <f t="shared" si="22"/>
        <v>28363.790121125203</v>
      </c>
      <c r="M84" s="21">
        <f t="shared" si="23"/>
        <v>3732.9932856835353</v>
      </c>
      <c r="N84" s="21">
        <f t="shared" si="24"/>
        <v>3163.3625424591119</v>
      </c>
      <c r="O84" s="21"/>
      <c r="P84" s="21"/>
      <c r="Q84" s="17">
        <f t="shared" si="25"/>
        <v>24299.309480811404</v>
      </c>
      <c r="R84" s="17">
        <f t="shared" si="27"/>
        <v>3268.28987356466</v>
      </c>
      <c r="S84" s="17">
        <f t="shared" si="26"/>
        <v>2777.0639406641599</v>
      </c>
    </row>
    <row r="85" spans="1:22">
      <c r="A85" s="18" t="s">
        <v>264</v>
      </c>
      <c r="B85" s="22" t="s">
        <v>250</v>
      </c>
      <c r="C85" s="22" t="s">
        <v>1561</v>
      </c>
      <c r="D85" s="23">
        <v>4342</v>
      </c>
      <c r="E85" s="23">
        <v>0</v>
      </c>
      <c r="F85" s="21">
        <f t="shared" si="16"/>
        <v>4342</v>
      </c>
      <c r="G85" s="21">
        <f t="shared" si="17"/>
        <v>4342000</v>
      </c>
      <c r="H85" s="21">
        <f t="shared" si="18"/>
        <v>3126240</v>
      </c>
      <c r="I85" s="21">
        <f t="shared" si="19"/>
        <v>195390</v>
      </c>
      <c r="J85" s="21">
        <f t="shared" si="20"/>
        <v>1011686</v>
      </c>
      <c r="K85" s="21">
        <f t="shared" si="21"/>
        <v>8684</v>
      </c>
      <c r="L85" s="20">
        <f t="shared" si="22"/>
        <v>69266.353602882795</v>
      </c>
      <c r="M85" s="21">
        <f t="shared" si="23"/>
        <v>9116.2299473779021</v>
      </c>
      <c r="N85" s="21">
        <f t="shared" si="24"/>
        <v>7725.1519456453671</v>
      </c>
      <c r="O85" s="21"/>
      <c r="P85" s="21"/>
      <c r="Q85" s="17">
        <f t="shared" si="25"/>
        <v>59340.608417144598</v>
      </c>
      <c r="R85" s="17">
        <f t="shared" si="27"/>
        <v>7981.3918059717398</v>
      </c>
      <c r="S85" s="17">
        <f t="shared" si="26"/>
        <v>6781.7838191022411</v>
      </c>
    </row>
    <row r="86" spans="1:22">
      <c r="A86" s="18" t="s">
        <v>267</v>
      </c>
      <c r="B86" s="22" t="s">
        <v>250</v>
      </c>
      <c r="C86" s="22" t="s">
        <v>1561</v>
      </c>
      <c r="D86" s="23">
        <v>1230</v>
      </c>
      <c r="E86" s="23">
        <v>1623</v>
      </c>
      <c r="F86" s="21">
        <f t="shared" si="16"/>
        <v>1623</v>
      </c>
      <c r="G86" s="21">
        <f t="shared" si="17"/>
        <v>1623000</v>
      </c>
      <c r="H86" s="21">
        <f t="shared" si="18"/>
        <v>1168560</v>
      </c>
      <c r="I86" s="21">
        <f t="shared" si="19"/>
        <v>73035</v>
      </c>
      <c r="J86" s="21">
        <f t="shared" si="20"/>
        <v>378159</v>
      </c>
      <c r="K86" s="21">
        <f t="shared" si="21"/>
        <v>3246</v>
      </c>
      <c r="L86" s="20">
        <f t="shared" si="22"/>
        <v>25891.131252298197</v>
      </c>
      <c r="M86" s="21">
        <f t="shared" si="23"/>
        <v>3407.563612297176</v>
      </c>
      <c r="N86" s="21">
        <f t="shared" si="24"/>
        <v>2887.5913421884916</v>
      </c>
      <c r="O86" s="21"/>
      <c r="P86" s="21"/>
      <c r="Q86" s="17">
        <f t="shared" si="25"/>
        <v>22180.978226859901</v>
      </c>
      <c r="R86" s="17">
        <f t="shared" si="27"/>
        <v>2983.3714650143097</v>
      </c>
      <c r="S86" s="17">
        <f t="shared" si="26"/>
        <v>2534.9689402125609</v>
      </c>
    </row>
    <row r="87" spans="1:22">
      <c r="A87" s="18" t="s">
        <v>270</v>
      </c>
      <c r="B87" s="22" t="s">
        <v>250</v>
      </c>
      <c r="C87" s="22" t="s">
        <v>1561</v>
      </c>
      <c r="D87" s="23">
        <v>2335</v>
      </c>
      <c r="E87" s="23">
        <v>2794</v>
      </c>
      <c r="F87" s="21">
        <f t="shared" si="16"/>
        <v>2794</v>
      </c>
      <c r="G87" s="21">
        <f t="shared" si="17"/>
        <v>2794000</v>
      </c>
      <c r="H87" s="21">
        <f t="shared" si="18"/>
        <v>2011680</v>
      </c>
      <c r="I87" s="21">
        <f t="shared" si="19"/>
        <v>125730</v>
      </c>
      <c r="J87" s="21">
        <f t="shared" si="20"/>
        <v>651002</v>
      </c>
      <c r="K87" s="21">
        <f t="shared" si="21"/>
        <v>5588</v>
      </c>
      <c r="L87" s="20">
        <f t="shared" si="22"/>
        <v>44571.670190339595</v>
      </c>
      <c r="M87" s="21">
        <f t="shared" si="23"/>
        <v>5866.1323060741288</v>
      </c>
      <c r="N87" s="21">
        <f t="shared" si="24"/>
        <v>4970.998281007176</v>
      </c>
      <c r="O87" s="21"/>
      <c r="P87" s="21"/>
      <c r="Q87" s="17">
        <f t="shared" si="25"/>
        <v>38184.629184132194</v>
      </c>
      <c r="R87" s="17">
        <f t="shared" si="27"/>
        <v>5135.8840870301801</v>
      </c>
      <c r="S87" s="17">
        <f t="shared" si="26"/>
        <v>4363.9576210436799</v>
      </c>
    </row>
    <row r="88" spans="1:22">
      <c r="A88" s="18" t="s">
        <v>273</v>
      </c>
      <c r="B88" s="22" t="s">
        <v>250</v>
      </c>
      <c r="C88" s="22" t="s">
        <v>1561</v>
      </c>
      <c r="D88" s="23">
        <v>2480</v>
      </c>
      <c r="E88" s="23">
        <v>2480</v>
      </c>
      <c r="F88" s="21">
        <f t="shared" si="16"/>
        <v>2480</v>
      </c>
      <c r="G88" s="21">
        <f t="shared" si="17"/>
        <v>2480000</v>
      </c>
      <c r="H88" s="21">
        <f t="shared" si="18"/>
        <v>1785600</v>
      </c>
      <c r="I88" s="21">
        <f t="shared" si="19"/>
        <v>111600</v>
      </c>
      <c r="J88" s="21">
        <f t="shared" si="20"/>
        <v>577840</v>
      </c>
      <c r="K88" s="21">
        <f t="shared" si="21"/>
        <v>4960</v>
      </c>
      <c r="L88" s="20">
        <f t="shared" si="22"/>
        <v>39562.541901231991</v>
      </c>
      <c r="M88" s="21">
        <f t="shared" si="23"/>
        <v>5206.8747741817615</v>
      </c>
      <c r="N88" s="21">
        <f t="shared" si="24"/>
        <v>4412.33920432992</v>
      </c>
      <c r="O88" s="21"/>
      <c r="P88" s="21"/>
      <c r="Q88" s="17">
        <f t="shared" si="25"/>
        <v>33893.300063224</v>
      </c>
      <c r="R88" s="17">
        <f t="shared" si="27"/>
        <v>4558.6945368055985</v>
      </c>
      <c r="S88" s="17">
        <f t="shared" si="26"/>
        <v>3873.5200072256002</v>
      </c>
    </row>
    <row r="89" spans="1:22">
      <c r="A89" s="18" t="s">
        <v>276</v>
      </c>
      <c r="B89" s="22" t="s">
        <v>250</v>
      </c>
      <c r="C89" s="22" t="s">
        <v>1561</v>
      </c>
      <c r="D89" s="23">
        <v>2122</v>
      </c>
      <c r="E89" s="23">
        <v>2862</v>
      </c>
      <c r="F89" s="21">
        <f t="shared" si="16"/>
        <v>2862</v>
      </c>
      <c r="G89" s="21">
        <f t="shared" si="17"/>
        <v>2862000</v>
      </c>
      <c r="H89" s="21">
        <f t="shared" si="18"/>
        <v>2060640</v>
      </c>
      <c r="I89" s="21">
        <f t="shared" si="19"/>
        <v>128790</v>
      </c>
      <c r="J89" s="21">
        <f t="shared" si="20"/>
        <v>666846</v>
      </c>
      <c r="K89" s="21">
        <f t="shared" si="21"/>
        <v>5724</v>
      </c>
      <c r="L89" s="20">
        <f t="shared" si="22"/>
        <v>45656.449565050789</v>
      </c>
      <c r="M89" s="21">
        <f t="shared" si="23"/>
        <v>6008.9014531081439</v>
      </c>
      <c r="N89" s="21">
        <f t="shared" si="24"/>
        <v>5091.9817753194484</v>
      </c>
      <c r="O89" s="21"/>
      <c r="P89" s="21"/>
      <c r="Q89" s="17">
        <f t="shared" si="25"/>
        <v>39113.961605220604</v>
      </c>
      <c r="R89" s="17">
        <f t="shared" si="27"/>
        <v>5260.8805501361394</v>
      </c>
      <c r="S89" s="17">
        <f t="shared" si="26"/>
        <v>4470.1670405966397</v>
      </c>
    </row>
    <row r="90" spans="1:22">
      <c r="A90" s="18" t="s">
        <v>279</v>
      </c>
      <c r="B90" s="22" t="s">
        <v>250</v>
      </c>
      <c r="C90" s="22" t="s">
        <v>1561</v>
      </c>
      <c r="D90" s="23">
        <v>13155</v>
      </c>
      <c r="E90" s="23">
        <v>0</v>
      </c>
      <c r="F90" s="21">
        <f t="shared" si="16"/>
        <v>13155</v>
      </c>
      <c r="G90" s="21">
        <f t="shared" si="17"/>
        <v>13155000</v>
      </c>
      <c r="H90" s="21">
        <f t="shared" si="18"/>
        <v>9471600</v>
      </c>
      <c r="I90" s="21">
        <f t="shared" si="19"/>
        <v>591975</v>
      </c>
      <c r="J90" s="21">
        <f t="shared" si="20"/>
        <v>3065115</v>
      </c>
      <c r="K90" s="21">
        <f t="shared" si="21"/>
        <v>26310</v>
      </c>
      <c r="L90" s="20">
        <f t="shared" si="22"/>
        <v>209856.95109302702</v>
      </c>
      <c r="M90" s="21">
        <f t="shared" si="23"/>
        <v>27619.531312242361</v>
      </c>
      <c r="N90" s="21">
        <f t="shared" si="24"/>
        <v>23404.968642322619</v>
      </c>
      <c r="O90" s="21"/>
      <c r="P90" s="21"/>
      <c r="Q90" s="17">
        <f t="shared" si="25"/>
        <v>179784.8235208515</v>
      </c>
      <c r="R90" s="17">
        <f t="shared" si="27"/>
        <v>24181.301061160353</v>
      </c>
      <c r="S90" s="17">
        <f t="shared" si="26"/>
        <v>20546.836973811602</v>
      </c>
    </row>
    <row r="91" spans="1:22">
      <c r="A91" s="18" t="s">
        <v>282</v>
      </c>
      <c r="B91" s="22" t="s">
        <v>250</v>
      </c>
      <c r="C91" s="22" t="s">
        <v>1561</v>
      </c>
      <c r="D91" s="23">
        <v>2031</v>
      </c>
      <c r="E91" s="23">
        <v>2501</v>
      </c>
      <c r="F91" s="21">
        <f t="shared" si="16"/>
        <v>2501</v>
      </c>
      <c r="G91" s="21">
        <f t="shared" si="17"/>
        <v>2501000</v>
      </c>
      <c r="H91" s="21">
        <f t="shared" si="18"/>
        <v>1800720</v>
      </c>
      <c r="I91" s="21">
        <f t="shared" si="19"/>
        <v>112545</v>
      </c>
      <c r="J91" s="21">
        <f t="shared" si="20"/>
        <v>582733</v>
      </c>
      <c r="K91" s="21">
        <f t="shared" si="21"/>
        <v>5002</v>
      </c>
      <c r="L91" s="20">
        <f t="shared" si="22"/>
        <v>39897.547296363402</v>
      </c>
      <c r="M91" s="21">
        <f t="shared" si="23"/>
        <v>5250.9652460599118</v>
      </c>
      <c r="N91" s="21">
        <f t="shared" si="24"/>
        <v>4449.7017540440038</v>
      </c>
      <c r="O91" s="21"/>
      <c r="P91" s="21"/>
      <c r="Q91" s="17">
        <f t="shared" si="25"/>
        <v>34180.299781501293</v>
      </c>
      <c r="R91" s="17">
        <f t="shared" si="27"/>
        <v>4597.2963857059704</v>
      </c>
      <c r="S91" s="17">
        <f t="shared" si="26"/>
        <v>3906.3199750287204</v>
      </c>
    </row>
    <row r="92" spans="1:22">
      <c r="A92" s="18" t="s">
        <v>285</v>
      </c>
      <c r="B92" s="22" t="s">
        <v>250</v>
      </c>
      <c r="C92" s="22" t="s">
        <v>1561</v>
      </c>
      <c r="D92" s="23">
        <v>1413</v>
      </c>
      <c r="E92" s="23">
        <v>1842</v>
      </c>
      <c r="F92" s="21">
        <f t="shared" si="16"/>
        <v>1842</v>
      </c>
      <c r="G92" s="21">
        <f t="shared" si="17"/>
        <v>1842000</v>
      </c>
      <c r="H92" s="21">
        <f t="shared" si="18"/>
        <v>1326240</v>
      </c>
      <c r="I92" s="21">
        <f t="shared" si="19"/>
        <v>82890</v>
      </c>
      <c r="J92" s="21">
        <f t="shared" si="20"/>
        <v>429186</v>
      </c>
      <c r="K92" s="21">
        <f t="shared" si="21"/>
        <v>3684</v>
      </c>
      <c r="L92" s="20">
        <f t="shared" si="22"/>
        <v>29384.758944382804</v>
      </c>
      <c r="M92" s="21">
        <f t="shared" si="23"/>
        <v>3867.3642475979041</v>
      </c>
      <c r="N92" s="21">
        <f t="shared" si="24"/>
        <v>3277.2293606353678</v>
      </c>
      <c r="O92" s="21"/>
      <c r="P92" s="21"/>
      <c r="Q92" s="17">
        <f t="shared" si="25"/>
        <v>25173.975288894606</v>
      </c>
      <c r="R92" s="17">
        <f t="shared" si="27"/>
        <v>3385.9336035467404</v>
      </c>
      <c r="S92" s="17">
        <f t="shared" si="26"/>
        <v>2877.0257473022407</v>
      </c>
    </row>
    <row r="93" spans="1:22">
      <c r="A93" s="18" t="s">
        <v>288</v>
      </c>
      <c r="B93" s="22" t="s">
        <v>250</v>
      </c>
      <c r="C93" s="22" t="s">
        <v>1561</v>
      </c>
      <c r="D93" s="23">
        <v>2075</v>
      </c>
      <c r="E93" s="23">
        <v>2999</v>
      </c>
      <c r="F93" s="21">
        <f t="shared" si="16"/>
        <v>2999</v>
      </c>
      <c r="G93" s="21">
        <f t="shared" si="17"/>
        <v>2999000</v>
      </c>
      <c r="H93" s="21">
        <f t="shared" si="18"/>
        <v>2159280</v>
      </c>
      <c r="I93" s="21">
        <f t="shared" si="19"/>
        <v>134955</v>
      </c>
      <c r="J93" s="21">
        <f t="shared" si="20"/>
        <v>698767</v>
      </c>
      <c r="K93" s="21">
        <f t="shared" si="21"/>
        <v>5998</v>
      </c>
      <c r="L93" s="20">
        <f t="shared" si="22"/>
        <v>47841.960952336602</v>
      </c>
      <c r="M93" s="21">
        <f t="shared" si="23"/>
        <v>6296.5392934560896</v>
      </c>
      <c r="N93" s="21">
        <f t="shared" si="24"/>
        <v>5335.7279329779958</v>
      </c>
      <c r="O93" s="21"/>
      <c r="P93" s="21"/>
      <c r="Q93" s="17">
        <f t="shared" si="25"/>
        <v>40986.293100648698</v>
      </c>
      <c r="R93" s="17">
        <f t="shared" si="27"/>
        <v>5512.7116596290298</v>
      </c>
      <c r="S93" s="17">
        <f t="shared" si="26"/>
        <v>4684.1477829312807</v>
      </c>
    </row>
    <row r="94" spans="1:22" s="27" customFormat="1">
      <c r="A94" s="18" t="s">
        <v>291</v>
      </c>
      <c r="B94" s="24" t="s">
        <v>293</v>
      </c>
      <c r="C94" s="24" t="s">
        <v>1561</v>
      </c>
      <c r="D94" s="25">
        <v>1227</v>
      </c>
      <c r="E94" s="25">
        <v>2634</v>
      </c>
      <c r="F94" s="26">
        <f t="shared" si="16"/>
        <v>2634</v>
      </c>
      <c r="G94" s="21">
        <f t="shared" si="17"/>
        <v>2634000</v>
      </c>
      <c r="H94" s="21">
        <f t="shared" si="18"/>
        <v>1896480</v>
      </c>
      <c r="I94" s="21">
        <f t="shared" si="19"/>
        <v>118530</v>
      </c>
      <c r="J94" s="21">
        <f t="shared" si="20"/>
        <v>613722</v>
      </c>
      <c r="K94" s="21">
        <f t="shared" si="21"/>
        <v>5268</v>
      </c>
      <c r="L94" s="20">
        <f t="shared" si="22"/>
        <v>42019.2481321956</v>
      </c>
      <c r="M94" s="21">
        <f t="shared" si="23"/>
        <v>5530.204901288208</v>
      </c>
      <c r="N94" s="21">
        <f t="shared" si="24"/>
        <v>4686.3312355665357</v>
      </c>
      <c r="O94" s="26"/>
      <c r="P94" s="26"/>
      <c r="Q94" s="17">
        <f t="shared" si="25"/>
        <v>35997.964663924206</v>
      </c>
      <c r="R94" s="17">
        <f t="shared" si="27"/>
        <v>4841.7747620749806</v>
      </c>
      <c r="S94" s="17">
        <f t="shared" si="26"/>
        <v>4114.0531044484815</v>
      </c>
      <c r="T94" s="17"/>
      <c r="U94" s="17"/>
      <c r="V94" s="17"/>
    </row>
    <row r="95" spans="1:22" s="27" customFormat="1">
      <c r="A95" s="18" t="s">
        <v>295</v>
      </c>
      <c r="B95" s="24" t="s">
        <v>293</v>
      </c>
      <c r="C95" s="24" t="s">
        <v>1561</v>
      </c>
      <c r="D95" s="25">
        <v>1790</v>
      </c>
      <c r="E95" s="25">
        <v>0</v>
      </c>
      <c r="F95" s="26">
        <f t="shared" si="16"/>
        <v>1790</v>
      </c>
      <c r="G95" s="21">
        <f t="shared" si="17"/>
        <v>1790000</v>
      </c>
      <c r="H95" s="21">
        <f t="shared" si="18"/>
        <v>1288800</v>
      </c>
      <c r="I95" s="21">
        <f t="shared" si="19"/>
        <v>80550</v>
      </c>
      <c r="J95" s="21">
        <f t="shared" si="20"/>
        <v>417070</v>
      </c>
      <c r="K95" s="21">
        <f t="shared" si="21"/>
        <v>3580</v>
      </c>
      <c r="L95" s="20">
        <f t="shared" si="22"/>
        <v>28555.221775485996</v>
      </c>
      <c r="M95" s="21">
        <f t="shared" si="23"/>
        <v>3758.1878410424797</v>
      </c>
      <c r="N95" s="21">
        <f t="shared" si="24"/>
        <v>3184.7125708671601</v>
      </c>
      <c r="O95" s="26"/>
      <c r="P95" s="26"/>
      <c r="Q95" s="17">
        <f t="shared" si="25"/>
        <v>24463.309319827</v>
      </c>
      <c r="R95" s="17">
        <f t="shared" si="27"/>
        <v>3290.3480729363</v>
      </c>
      <c r="S95" s="17">
        <f t="shared" si="26"/>
        <v>2795.8067794088006</v>
      </c>
      <c r="T95" s="17"/>
      <c r="U95" s="17"/>
      <c r="V95" s="17"/>
    </row>
    <row r="96" spans="1:22" s="27" customFormat="1">
      <c r="A96" s="18" t="s">
        <v>298</v>
      </c>
      <c r="B96" s="24" t="s">
        <v>293</v>
      </c>
      <c r="C96" s="24" t="s">
        <v>1561</v>
      </c>
      <c r="D96" s="25">
        <v>2008</v>
      </c>
      <c r="E96" s="25">
        <v>0</v>
      </c>
      <c r="F96" s="26">
        <f t="shared" si="16"/>
        <v>2008</v>
      </c>
      <c r="G96" s="21">
        <f t="shared" si="17"/>
        <v>2008000</v>
      </c>
      <c r="H96" s="21">
        <f t="shared" si="18"/>
        <v>1445760</v>
      </c>
      <c r="I96" s="21">
        <f t="shared" si="19"/>
        <v>90360</v>
      </c>
      <c r="J96" s="21">
        <f t="shared" si="20"/>
        <v>467864</v>
      </c>
      <c r="K96" s="21">
        <f t="shared" si="21"/>
        <v>4016</v>
      </c>
      <c r="L96" s="20">
        <f t="shared" si="22"/>
        <v>32032.896829707199</v>
      </c>
      <c r="M96" s="21">
        <f t="shared" si="23"/>
        <v>4215.8889300632964</v>
      </c>
      <c r="N96" s="21">
        <f t="shared" si="24"/>
        <v>3572.5714202800323</v>
      </c>
      <c r="O96" s="26"/>
      <c r="P96" s="26"/>
      <c r="Q96" s="17">
        <f t="shared" si="25"/>
        <v>27442.6397286104</v>
      </c>
      <c r="R96" s="17">
        <f t="shared" si="27"/>
        <v>3691.0720281877602</v>
      </c>
      <c r="S96" s="17">
        <f t="shared" si="26"/>
        <v>3136.3016832697608</v>
      </c>
      <c r="T96" s="17"/>
      <c r="U96" s="17"/>
      <c r="V96" s="17"/>
    </row>
    <row r="97" spans="1:22" s="27" customFormat="1">
      <c r="A97" s="18" t="s">
        <v>301</v>
      </c>
      <c r="B97" s="29" t="s">
        <v>1563</v>
      </c>
      <c r="C97" s="24" t="s">
        <v>1561</v>
      </c>
      <c r="D97" s="25">
        <v>1340</v>
      </c>
      <c r="E97" s="25">
        <v>1719</v>
      </c>
      <c r="F97" s="26">
        <f t="shared" si="16"/>
        <v>1719</v>
      </c>
      <c r="G97" s="21">
        <f t="shared" si="17"/>
        <v>1719000</v>
      </c>
      <c r="H97" s="21">
        <f t="shared" si="18"/>
        <v>1237680</v>
      </c>
      <c r="I97" s="21">
        <f t="shared" si="19"/>
        <v>77355</v>
      </c>
      <c r="J97" s="21">
        <f t="shared" si="20"/>
        <v>400527</v>
      </c>
      <c r="K97" s="21">
        <f t="shared" si="21"/>
        <v>3438</v>
      </c>
      <c r="L97" s="20">
        <f t="shared" si="22"/>
        <v>27422.584487184606</v>
      </c>
      <c r="M97" s="21">
        <f t="shared" si="23"/>
        <v>3609.1200551687275</v>
      </c>
      <c r="N97" s="21">
        <f t="shared" si="24"/>
        <v>3058.3915694528764</v>
      </c>
      <c r="O97" s="26"/>
      <c r="P97" s="26"/>
      <c r="Q97" s="17">
        <f t="shared" si="25"/>
        <v>23492.976938984699</v>
      </c>
      <c r="R97" s="17">
        <f t="shared" si="27"/>
        <v>3159.8370599874302</v>
      </c>
      <c r="S97" s="17">
        <f t="shared" si="26"/>
        <v>2684.9116501696803</v>
      </c>
      <c r="T97" s="17"/>
      <c r="U97" s="17"/>
      <c r="V97" s="17"/>
    </row>
    <row r="98" spans="1:22">
      <c r="A98" s="18" t="s">
        <v>304</v>
      </c>
      <c r="B98" s="22" t="s">
        <v>306</v>
      </c>
      <c r="C98" s="22" t="s">
        <v>1561</v>
      </c>
      <c r="D98" s="23">
        <v>1521</v>
      </c>
      <c r="E98" s="23">
        <v>1925</v>
      </c>
      <c r="F98" s="21">
        <f t="shared" si="16"/>
        <v>1925</v>
      </c>
      <c r="G98" s="21">
        <f t="shared" si="17"/>
        <v>1925000</v>
      </c>
      <c r="H98" s="21">
        <f t="shared" si="18"/>
        <v>1386000</v>
      </c>
      <c r="I98" s="21">
        <f t="shared" si="19"/>
        <v>86625</v>
      </c>
      <c r="J98" s="21">
        <f t="shared" si="20"/>
        <v>448525</v>
      </c>
      <c r="K98" s="21">
        <f t="shared" si="21"/>
        <v>3850</v>
      </c>
      <c r="L98" s="20">
        <f t="shared" si="22"/>
        <v>30708.827887045001</v>
      </c>
      <c r="M98" s="21">
        <f t="shared" si="23"/>
        <v>4041.6265888306007</v>
      </c>
      <c r="N98" s="21">
        <f t="shared" si="24"/>
        <v>3424.9003904576998</v>
      </c>
      <c r="O98" s="21"/>
      <c r="P98" s="21"/>
      <c r="Q98" s="17">
        <f t="shared" si="25"/>
        <v>26308.307508752499</v>
      </c>
      <c r="R98" s="17">
        <f t="shared" si="27"/>
        <v>3538.5028158672499</v>
      </c>
      <c r="S98" s="17">
        <f t="shared" si="26"/>
        <v>3006.6637152860003</v>
      </c>
    </row>
    <row r="99" spans="1:22">
      <c r="A99" s="18" t="s">
        <v>308</v>
      </c>
      <c r="B99" s="22" t="s">
        <v>306</v>
      </c>
      <c r="C99" s="22" t="s">
        <v>1561</v>
      </c>
      <c r="D99" s="23">
        <v>985</v>
      </c>
      <c r="E99" s="23">
        <v>1405</v>
      </c>
      <c r="F99" s="21">
        <f t="shared" si="16"/>
        <v>1405</v>
      </c>
      <c r="G99" s="21">
        <f t="shared" si="17"/>
        <v>1405000</v>
      </c>
      <c r="H99" s="21">
        <f t="shared" si="18"/>
        <v>1011600</v>
      </c>
      <c r="I99" s="21">
        <f t="shared" si="19"/>
        <v>63225</v>
      </c>
      <c r="J99" s="21">
        <f t="shared" si="20"/>
        <v>327365</v>
      </c>
      <c r="K99" s="21">
        <f t="shared" si="21"/>
        <v>2810</v>
      </c>
      <c r="L99" s="20">
        <f t="shared" si="22"/>
        <v>22413.456198077001</v>
      </c>
      <c r="M99" s="21">
        <f t="shared" si="23"/>
        <v>2949.8625232763598</v>
      </c>
      <c r="N99" s="21">
        <f t="shared" si="24"/>
        <v>2499.7324927756194</v>
      </c>
      <c r="O99" s="21"/>
      <c r="P99" s="21"/>
      <c r="Q99" s="17">
        <f t="shared" si="25"/>
        <v>19201.647818076497</v>
      </c>
      <c r="R99" s="17">
        <f t="shared" si="27"/>
        <v>2582.6475097628495</v>
      </c>
      <c r="S99" s="17">
        <f t="shared" si="26"/>
        <v>2194.4740363516003</v>
      </c>
    </row>
    <row r="100" spans="1:22">
      <c r="A100" s="18" t="s">
        <v>311</v>
      </c>
      <c r="B100" s="22" t="s">
        <v>306</v>
      </c>
      <c r="C100" s="22" t="s">
        <v>1561</v>
      </c>
      <c r="D100" s="23">
        <v>1491</v>
      </c>
      <c r="E100" s="23">
        <v>1433</v>
      </c>
      <c r="F100" s="21">
        <f t="shared" si="16"/>
        <v>1491</v>
      </c>
      <c r="G100" s="21">
        <f t="shared" si="17"/>
        <v>1491000</v>
      </c>
      <c r="H100" s="21">
        <f t="shared" si="18"/>
        <v>1073520</v>
      </c>
      <c r="I100" s="21">
        <f t="shared" si="19"/>
        <v>67095</v>
      </c>
      <c r="J100" s="21">
        <f t="shared" si="20"/>
        <v>347403</v>
      </c>
      <c r="K100" s="21">
        <f t="shared" si="21"/>
        <v>2982</v>
      </c>
      <c r="L100" s="20">
        <f t="shared" si="22"/>
        <v>23785.383054329399</v>
      </c>
      <c r="M100" s="21">
        <f t="shared" si="23"/>
        <v>3130.4235033487926</v>
      </c>
      <c r="N100" s="21">
        <f t="shared" si="24"/>
        <v>2652.7410296999633</v>
      </c>
      <c r="O100" s="21"/>
      <c r="P100" s="21"/>
      <c r="Q100" s="17">
        <f t="shared" si="25"/>
        <v>20376.979997688301</v>
      </c>
      <c r="R100" s="17">
        <f t="shared" si="27"/>
        <v>2740.73127192627</v>
      </c>
      <c r="S100" s="17">
        <f t="shared" si="26"/>
        <v>2328.7977140215207</v>
      </c>
    </row>
    <row r="101" spans="1:22">
      <c r="A101" s="18" t="s">
        <v>314</v>
      </c>
      <c r="B101" s="22" t="s">
        <v>306</v>
      </c>
      <c r="C101" s="22" t="s">
        <v>1561</v>
      </c>
      <c r="D101" s="23">
        <v>806</v>
      </c>
      <c r="E101" s="23">
        <v>1955</v>
      </c>
      <c r="F101" s="21">
        <f t="shared" si="16"/>
        <v>1955</v>
      </c>
      <c r="G101" s="21">
        <f t="shared" si="17"/>
        <v>1955000</v>
      </c>
      <c r="H101" s="21">
        <f t="shared" si="18"/>
        <v>1407600</v>
      </c>
      <c r="I101" s="21">
        <f t="shared" si="19"/>
        <v>87975</v>
      </c>
      <c r="J101" s="21">
        <f t="shared" si="20"/>
        <v>455515</v>
      </c>
      <c r="K101" s="21">
        <f t="shared" si="21"/>
        <v>3910</v>
      </c>
      <c r="L101" s="20">
        <f t="shared" si="22"/>
        <v>31187.407022946994</v>
      </c>
      <c r="M101" s="21">
        <f t="shared" si="23"/>
        <v>4104.6129772279601</v>
      </c>
      <c r="N101" s="21">
        <f t="shared" si="24"/>
        <v>3478.2754614778196</v>
      </c>
      <c r="O101" s="21"/>
      <c r="P101" s="21"/>
      <c r="Q101" s="17">
        <f t="shared" si="25"/>
        <v>26718.307106291504</v>
      </c>
      <c r="R101" s="17">
        <f t="shared" si="27"/>
        <v>3593.6483142963502</v>
      </c>
      <c r="S101" s="17">
        <f t="shared" si="26"/>
        <v>3053.5208121476003</v>
      </c>
    </row>
    <row r="102" spans="1:22" s="27" customFormat="1">
      <c r="A102" s="18" t="s">
        <v>317</v>
      </c>
      <c r="B102" s="24" t="s">
        <v>319</v>
      </c>
      <c r="C102" s="24" t="s">
        <v>1561</v>
      </c>
      <c r="D102" s="25">
        <v>1600</v>
      </c>
      <c r="E102" s="25">
        <v>0</v>
      </c>
      <c r="F102" s="26">
        <f t="shared" si="16"/>
        <v>1600</v>
      </c>
      <c r="G102" s="21">
        <f t="shared" si="17"/>
        <v>1600000</v>
      </c>
      <c r="H102" s="21">
        <f t="shared" si="18"/>
        <v>1152000</v>
      </c>
      <c r="I102" s="21">
        <f t="shared" si="19"/>
        <v>72000</v>
      </c>
      <c r="J102" s="21">
        <f t="shared" si="20"/>
        <v>372800</v>
      </c>
      <c r="K102" s="21">
        <f t="shared" si="21"/>
        <v>3200</v>
      </c>
      <c r="L102" s="20">
        <f t="shared" si="22"/>
        <v>25524.220581439997</v>
      </c>
      <c r="M102" s="21">
        <f t="shared" si="23"/>
        <v>3359.2740478592009</v>
      </c>
      <c r="N102" s="21">
        <f t="shared" si="24"/>
        <v>2846.6704544063996</v>
      </c>
      <c r="O102" s="26"/>
      <c r="P102" s="26"/>
      <c r="Q102" s="17">
        <f t="shared" si="25"/>
        <v>21866.645202079999</v>
      </c>
      <c r="R102" s="17">
        <f t="shared" si="27"/>
        <v>2941.0932495519992</v>
      </c>
      <c r="S102" s="17">
        <f t="shared" si="26"/>
        <v>2499.0451659520004</v>
      </c>
      <c r="T102" s="17"/>
      <c r="U102" s="17"/>
      <c r="V102" s="17"/>
    </row>
    <row r="103" spans="1:22" s="27" customFormat="1">
      <c r="A103" s="18" t="s">
        <v>321</v>
      </c>
      <c r="B103" s="24" t="s">
        <v>319</v>
      </c>
      <c r="C103" s="24" t="s">
        <v>1561</v>
      </c>
      <c r="D103" s="25">
        <v>2574</v>
      </c>
      <c r="E103" s="25">
        <v>0</v>
      </c>
      <c r="F103" s="26">
        <f t="shared" si="16"/>
        <v>2574</v>
      </c>
      <c r="G103" s="21">
        <f t="shared" si="17"/>
        <v>2574000</v>
      </c>
      <c r="H103" s="21">
        <f t="shared" si="18"/>
        <v>1853280</v>
      </c>
      <c r="I103" s="21">
        <f t="shared" si="19"/>
        <v>115830</v>
      </c>
      <c r="J103" s="21">
        <f t="shared" si="20"/>
        <v>599742</v>
      </c>
      <c r="K103" s="21">
        <f t="shared" si="21"/>
        <v>5148</v>
      </c>
      <c r="L103" s="20">
        <f t="shared" si="22"/>
        <v>41062.089860391592</v>
      </c>
      <c r="M103" s="21">
        <f t="shared" si="23"/>
        <v>5404.2321244934883</v>
      </c>
      <c r="N103" s="21">
        <f t="shared" si="24"/>
        <v>4579.5810935262953</v>
      </c>
      <c r="O103" s="26"/>
      <c r="P103" s="26"/>
      <c r="Q103" s="17">
        <f t="shared" si="25"/>
        <v>35177.965468846203</v>
      </c>
      <c r="R103" s="17">
        <f t="shared" si="27"/>
        <v>4731.4837652167798</v>
      </c>
      <c r="S103" s="17">
        <f t="shared" si="26"/>
        <v>4020.3389107252806</v>
      </c>
      <c r="T103" s="17"/>
      <c r="U103" s="17"/>
      <c r="V103" s="17"/>
    </row>
    <row r="104" spans="1:22" s="27" customFormat="1">
      <c r="A104" s="18" t="s">
        <v>324</v>
      </c>
      <c r="B104" s="24" t="s">
        <v>319</v>
      </c>
      <c r="C104" s="24" t="s">
        <v>1561</v>
      </c>
      <c r="D104" s="25">
        <v>1758</v>
      </c>
      <c r="E104" s="25">
        <v>0</v>
      </c>
      <c r="F104" s="26">
        <f t="shared" si="16"/>
        <v>1758</v>
      </c>
      <c r="G104" s="21">
        <f t="shared" si="17"/>
        <v>1758000</v>
      </c>
      <c r="H104" s="21">
        <f t="shared" si="18"/>
        <v>1265760</v>
      </c>
      <c r="I104" s="21">
        <f t="shared" si="19"/>
        <v>79110</v>
      </c>
      <c r="J104" s="21">
        <f t="shared" si="20"/>
        <v>409614</v>
      </c>
      <c r="K104" s="21">
        <f t="shared" si="21"/>
        <v>3516</v>
      </c>
      <c r="L104" s="20">
        <f t="shared" si="22"/>
        <v>28044.737363857195</v>
      </c>
      <c r="M104" s="21">
        <f t="shared" si="23"/>
        <v>3691.0023600852965</v>
      </c>
      <c r="N104" s="21">
        <f t="shared" si="24"/>
        <v>3127.7791617790317</v>
      </c>
      <c r="O104" s="26"/>
      <c r="P104" s="26"/>
      <c r="Q104" s="17">
        <f t="shared" si="25"/>
        <v>24025.976415785401</v>
      </c>
      <c r="R104" s="17">
        <f t="shared" si="27"/>
        <v>3231.52620794526</v>
      </c>
      <c r="S104" s="17">
        <f t="shared" si="26"/>
        <v>2745.8258760897611</v>
      </c>
      <c r="T104" s="17"/>
      <c r="U104" s="17"/>
      <c r="V104" s="17"/>
    </row>
    <row r="105" spans="1:22" s="27" customFormat="1">
      <c r="A105" s="18" t="s">
        <v>327</v>
      </c>
      <c r="B105" s="24" t="s">
        <v>319</v>
      </c>
      <c r="C105" s="24" t="s">
        <v>1561</v>
      </c>
      <c r="D105" s="25">
        <v>1551</v>
      </c>
      <c r="E105" s="25">
        <v>0</v>
      </c>
      <c r="F105" s="26">
        <f t="shared" si="16"/>
        <v>1551</v>
      </c>
      <c r="G105" s="21">
        <f t="shared" si="17"/>
        <v>1551000</v>
      </c>
      <c r="H105" s="21">
        <f t="shared" si="18"/>
        <v>1116720</v>
      </c>
      <c r="I105" s="21">
        <f t="shared" si="19"/>
        <v>69795</v>
      </c>
      <c r="J105" s="21">
        <f t="shared" si="20"/>
        <v>361383</v>
      </c>
      <c r="K105" s="21">
        <f t="shared" si="21"/>
        <v>3102</v>
      </c>
      <c r="L105" s="20">
        <f t="shared" si="22"/>
        <v>24742.5413261334</v>
      </c>
      <c r="M105" s="21">
        <f t="shared" si="23"/>
        <v>3256.3962801435123</v>
      </c>
      <c r="N105" s="21">
        <f t="shared" si="24"/>
        <v>2759.4911717402038</v>
      </c>
      <c r="O105" s="26"/>
      <c r="P105" s="26"/>
      <c r="Q105" s="17">
        <f t="shared" si="25"/>
        <v>21196.979192766303</v>
      </c>
      <c r="R105" s="17">
        <f t="shared" si="27"/>
        <v>2851.0222687844703</v>
      </c>
      <c r="S105" s="17">
        <f t="shared" si="26"/>
        <v>2422.5119077447207</v>
      </c>
      <c r="T105" s="17"/>
      <c r="U105" s="17"/>
      <c r="V105" s="17"/>
    </row>
    <row r="106" spans="1:22">
      <c r="A106" s="18" t="s">
        <v>330</v>
      </c>
      <c r="B106" s="22" t="s">
        <v>332</v>
      </c>
      <c r="C106" s="22" t="s">
        <v>1561</v>
      </c>
      <c r="D106" s="23">
        <v>1444</v>
      </c>
      <c r="E106" s="23">
        <v>0</v>
      </c>
      <c r="F106" s="21">
        <f t="shared" si="16"/>
        <v>1444</v>
      </c>
      <c r="G106" s="21">
        <f t="shared" si="17"/>
        <v>1444000</v>
      </c>
      <c r="H106" s="21">
        <f t="shared" si="18"/>
        <v>1039680</v>
      </c>
      <c r="I106" s="21">
        <f t="shared" si="19"/>
        <v>64980</v>
      </c>
      <c r="J106" s="21">
        <f t="shared" si="20"/>
        <v>336452</v>
      </c>
      <c r="K106" s="21">
        <f t="shared" si="21"/>
        <v>2888</v>
      </c>
      <c r="L106" s="20">
        <f t="shared" si="22"/>
        <v>23035.609074749605</v>
      </c>
      <c r="M106" s="21">
        <f t="shared" si="23"/>
        <v>3031.7448281929283</v>
      </c>
      <c r="N106" s="21">
        <f t="shared" si="24"/>
        <v>2569.1200851017757</v>
      </c>
      <c r="O106" s="21"/>
      <c r="P106" s="21"/>
      <c r="Q106" s="17">
        <f t="shared" si="25"/>
        <v>19734.647294877203</v>
      </c>
      <c r="R106" s="17">
        <f t="shared" si="27"/>
        <v>2654.3366577206798</v>
      </c>
      <c r="S106" s="17">
        <f t="shared" si="26"/>
        <v>2255.3882622716806</v>
      </c>
    </row>
    <row r="107" spans="1:22">
      <c r="A107" s="18" t="s">
        <v>334</v>
      </c>
      <c r="B107" s="22" t="s">
        <v>332</v>
      </c>
      <c r="C107" s="22" t="s">
        <v>1561</v>
      </c>
      <c r="D107" s="23">
        <v>1269</v>
      </c>
      <c r="E107" s="23">
        <v>0</v>
      </c>
      <c r="F107" s="21">
        <f t="shared" si="16"/>
        <v>1269</v>
      </c>
      <c r="G107" s="21">
        <f t="shared" si="17"/>
        <v>1269000</v>
      </c>
      <c r="H107" s="21">
        <f t="shared" si="18"/>
        <v>913680</v>
      </c>
      <c r="I107" s="21">
        <f t="shared" si="19"/>
        <v>57105</v>
      </c>
      <c r="J107" s="21">
        <f t="shared" si="20"/>
        <v>295677</v>
      </c>
      <c r="K107" s="21">
        <f t="shared" si="21"/>
        <v>2538</v>
      </c>
      <c r="L107" s="20">
        <f t="shared" si="22"/>
        <v>20243.897448654596</v>
      </c>
      <c r="M107" s="21">
        <f t="shared" si="23"/>
        <v>2664.3242292083278</v>
      </c>
      <c r="N107" s="21">
        <f t="shared" si="24"/>
        <v>2257.7655041510757</v>
      </c>
      <c r="O107" s="21"/>
      <c r="P107" s="21"/>
      <c r="Q107" s="17">
        <f t="shared" si="25"/>
        <v>17342.9829758997</v>
      </c>
      <c r="R107" s="17">
        <f t="shared" si="27"/>
        <v>2332.6545835509301</v>
      </c>
      <c r="S107" s="17">
        <f t="shared" si="26"/>
        <v>1982.0551972456806</v>
      </c>
    </row>
    <row r="108" spans="1:22">
      <c r="A108" s="18" t="s">
        <v>337</v>
      </c>
      <c r="B108" s="22" t="s">
        <v>332</v>
      </c>
      <c r="C108" s="22" t="s">
        <v>1561</v>
      </c>
      <c r="D108" s="23">
        <v>1013</v>
      </c>
      <c r="E108" s="23">
        <v>1688</v>
      </c>
      <c r="F108" s="21">
        <f t="shared" si="16"/>
        <v>1688</v>
      </c>
      <c r="G108" s="21">
        <f t="shared" si="17"/>
        <v>1688000</v>
      </c>
      <c r="H108" s="21">
        <f t="shared" si="18"/>
        <v>1215360</v>
      </c>
      <c r="I108" s="21">
        <f t="shared" si="19"/>
        <v>75960</v>
      </c>
      <c r="J108" s="21">
        <f t="shared" si="20"/>
        <v>393304</v>
      </c>
      <c r="K108" s="21">
        <f t="shared" si="21"/>
        <v>3376</v>
      </c>
      <c r="L108" s="20">
        <f t="shared" si="22"/>
        <v>26928.052713419194</v>
      </c>
      <c r="M108" s="21">
        <f t="shared" si="23"/>
        <v>3544.0341204914566</v>
      </c>
      <c r="N108" s="21">
        <f t="shared" si="24"/>
        <v>3003.2373293987516</v>
      </c>
      <c r="O108" s="21"/>
      <c r="P108" s="21"/>
      <c r="Q108" s="17">
        <f t="shared" si="25"/>
        <v>23069.310688194397</v>
      </c>
      <c r="R108" s="17">
        <f t="shared" si="27"/>
        <v>3102.8533782773602</v>
      </c>
      <c r="S108" s="17">
        <f t="shared" si="26"/>
        <v>2636.4926500793604</v>
      </c>
    </row>
    <row r="109" spans="1:22">
      <c r="A109" s="18" t="s">
        <v>340</v>
      </c>
      <c r="B109" s="22" t="s">
        <v>332</v>
      </c>
      <c r="C109" s="22" t="s">
        <v>1561</v>
      </c>
      <c r="D109" s="23">
        <v>1185</v>
      </c>
      <c r="E109" s="23">
        <v>1358</v>
      </c>
      <c r="F109" s="21">
        <f t="shared" si="16"/>
        <v>1358</v>
      </c>
      <c r="G109" s="21">
        <f t="shared" si="17"/>
        <v>1358000</v>
      </c>
      <c r="H109" s="21">
        <f t="shared" si="18"/>
        <v>977760</v>
      </c>
      <c r="I109" s="21">
        <f t="shared" si="19"/>
        <v>61110</v>
      </c>
      <c r="J109" s="21">
        <f t="shared" si="20"/>
        <v>316414</v>
      </c>
      <c r="K109" s="21">
        <f t="shared" si="21"/>
        <v>2716</v>
      </c>
      <c r="L109" s="20">
        <f t="shared" si="22"/>
        <v>21663.682218497201</v>
      </c>
      <c r="M109" s="21">
        <f t="shared" si="23"/>
        <v>2851.1838481204959</v>
      </c>
      <c r="N109" s="21">
        <f t="shared" si="24"/>
        <v>2416.1115481774314</v>
      </c>
      <c r="O109" s="21"/>
      <c r="P109" s="21"/>
      <c r="Q109" s="17">
        <f t="shared" si="25"/>
        <v>18559.315115265403</v>
      </c>
      <c r="R109" s="17">
        <f t="shared" si="27"/>
        <v>2496.2528955572602</v>
      </c>
      <c r="S109" s="17">
        <f t="shared" si="26"/>
        <v>2121.0645846017605</v>
      </c>
    </row>
    <row r="110" spans="1:22">
      <c r="A110" s="18" t="s">
        <v>343</v>
      </c>
      <c r="B110" s="22" t="s">
        <v>332</v>
      </c>
      <c r="C110" s="22" t="s">
        <v>1561</v>
      </c>
      <c r="D110" s="23">
        <v>775</v>
      </c>
      <c r="E110" s="23">
        <v>0</v>
      </c>
      <c r="F110" s="21">
        <f t="shared" si="16"/>
        <v>775</v>
      </c>
      <c r="G110" s="21">
        <f t="shared" si="17"/>
        <v>775000</v>
      </c>
      <c r="H110" s="21">
        <f t="shared" si="18"/>
        <v>558000</v>
      </c>
      <c r="I110" s="21">
        <f t="shared" si="19"/>
        <v>34875</v>
      </c>
      <c r="J110" s="21">
        <f t="shared" si="20"/>
        <v>180575</v>
      </c>
      <c r="K110" s="21">
        <f t="shared" si="21"/>
        <v>1550</v>
      </c>
      <c r="L110" s="20">
        <f t="shared" si="22"/>
        <v>12363.294344135</v>
      </c>
      <c r="M110" s="21">
        <f t="shared" si="23"/>
        <v>1627.1483669318002</v>
      </c>
      <c r="N110" s="21">
        <f t="shared" si="24"/>
        <v>1378.8560013531001</v>
      </c>
      <c r="O110" s="21"/>
      <c r="P110" s="21"/>
      <c r="Q110" s="17">
        <f t="shared" si="25"/>
        <v>10591.656269757499</v>
      </c>
      <c r="R110" s="17">
        <f t="shared" si="27"/>
        <v>1424.5920427517499</v>
      </c>
      <c r="S110" s="17">
        <f t="shared" si="26"/>
        <v>1210.4750022580001</v>
      </c>
    </row>
    <row r="111" spans="1:22" s="27" customFormat="1">
      <c r="A111" s="18" t="s">
        <v>346</v>
      </c>
      <c r="B111" s="24" t="s">
        <v>348</v>
      </c>
      <c r="C111" s="24" t="s">
        <v>1561</v>
      </c>
      <c r="D111" s="25">
        <v>2454</v>
      </c>
      <c r="E111" s="25">
        <v>2994</v>
      </c>
      <c r="F111" s="26">
        <f t="shared" si="16"/>
        <v>2994</v>
      </c>
      <c r="G111" s="21">
        <f t="shared" si="17"/>
        <v>2994000</v>
      </c>
      <c r="H111" s="21">
        <f t="shared" si="18"/>
        <v>2155680</v>
      </c>
      <c r="I111" s="21">
        <f t="shared" si="19"/>
        <v>134730</v>
      </c>
      <c r="J111" s="21">
        <f t="shared" si="20"/>
        <v>697602</v>
      </c>
      <c r="K111" s="21">
        <f t="shared" si="21"/>
        <v>5988</v>
      </c>
      <c r="L111" s="20">
        <f t="shared" si="22"/>
        <v>47762.197763019591</v>
      </c>
      <c r="M111" s="21">
        <f t="shared" si="23"/>
        <v>6286.0415620565273</v>
      </c>
      <c r="N111" s="21">
        <f t="shared" si="24"/>
        <v>5326.8320878079749</v>
      </c>
      <c r="O111" s="26"/>
      <c r="P111" s="26"/>
      <c r="Q111" s="17">
        <f t="shared" si="25"/>
        <v>40917.959834392197</v>
      </c>
      <c r="R111" s="17">
        <f t="shared" si="27"/>
        <v>5503.5207432241796</v>
      </c>
      <c r="S111" s="17">
        <f t="shared" si="26"/>
        <v>4676.3382667876804</v>
      </c>
      <c r="T111" s="17"/>
      <c r="U111" s="17"/>
      <c r="V111" s="17"/>
    </row>
    <row r="112" spans="1:22" s="27" customFormat="1">
      <c r="A112" s="18" t="s">
        <v>350</v>
      </c>
      <c r="B112" s="24" t="s">
        <v>348</v>
      </c>
      <c r="C112" s="24" t="s">
        <v>1561</v>
      </c>
      <c r="D112" s="25">
        <v>1518</v>
      </c>
      <c r="E112" s="25">
        <v>1669</v>
      </c>
      <c r="F112" s="26">
        <f t="shared" si="16"/>
        <v>1669</v>
      </c>
      <c r="G112" s="21">
        <f t="shared" si="17"/>
        <v>1669000</v>
      </c>
      <c r="H112" s="21">
        <f t="shared" si="18"/>
        <v>1201680</v>
      </c>
      <c r="I112" s="21">
        <f t="shared" si="19"/>
        <v>75105</v>
      </c>
      <c r="J112" s="21">
        <f t="shared" si="20"/>
        <v>388877</v>
      </c>
      <c r="K112" s="21">
        <f t="shared" si="21"/>
        <v>3338</v>
      </c>
      <c r="L112" s="20">
        <f t="shared" si="22"/>
        <v>26624.952594014605</v>
      </c>
      <c r="M112" s="21">
        <f t="shared" si="23"/>
        <v>3504.1427411731283</v>
      </c>
      <c r="N112" s="21">
        <f t="shared" si="24"/>
        <v>2969.4331177526765</v>
      </c>
      <c r="O112" s="26"/>
      <c r="P112" s="26"/>
      <c r="Q112" s="17">
        <f t="shared" si="25"/>
        <v>22809.644276419698</v>
      </c>
      <c r="R112" s="17">
        <f t="shared" si="27"/>
        <v>3067.9278959389303</v>
      </c>
      <c r="S112" s="17">
        <f t="shared" si="26"/>
        <v>2606.8164887336807</v>
      </c>
      <c r="T112" s="17"/>
      <c r="U112" s="17"/>
      <c r="V112" s="17"/>
    </row>
    <row r="113" spans="1:22" s="27" customFormat="1">
      <c r="A113" s="18" t="s">
        <v>353</v>
      </c>
      <c r="B113" s="24" t="s">
        <v>348</v>
      </c>
      <c r="C113" s="24" t="s">
        <v>1561</v>
      </c>
      <c r="D113" s="25">
        <v>1739</v>
      </c>
      <c r="E113" s="25">
        <v>1830</v>
      </c>
      <c r="F113" s="26">
        <f t="shared" si="16"/>
        <v>1830</v>
      </c>
      <c r="G113" s="21">
        <f t="shared" si="17"/>
        <v>1830000</v>
      </c>
      <c r="H113" s="21">
        <f t="shared" si="18"/>
        <v>1317600</v>
      </c>
      <c r="I113" s="21">
        <f t="shared" si="19"/>
        <v>82350</v>
      </c>
      <c r="J113" s="21">
        <f t="shared" si="20"/>
        <v>426390</v>
      </c>
      <c r="K113" s="21">
        <f t="shared" si="21"/>
        <v>3660</v>
      </c>
      <c r="L113" s="20">
        <f t="shared" si="22"/>
        <v>29193.327290021993</v>
      </c>
      <c r="M113" s="21">
        <f t="shared" si="23"/>
        <v>3842.1696922389597</v>
      </c>
      <c r="N113" s="21">
        <f t="shared" si="24"/>
        <v>3255.8793322273191</v>
      </c>
      <c r="O113" s="26"/>
      <c r="P113" s="26"/>
      <c r="Q113" s="17">
        <f t="shared" si="25"/>
        <v>25009.975449879003</v>
      </c>
      <c r="R113" s="17">
        <f t="shared" si="27"/>
        <v>3363.8754041751004</v>
      </c>
      <c r="S113" s="17">
        <f t="shared" si="26"/>
        <v>2858.2829085576004</v>
      </c>
      <c r="T113" s="17"/>
      <c r="U113" s="17"/>
      <c r="V113" s="17"/>
    </row>
    <row r="114" spans="1:22" s="27" customFormat="1">
      <c r="A114" s="18" t="s">
        <v>356</v>
      </c>
      <c r="B114" s="24" t="s">
        <v>348</v>
      </c>
      <c r="C114" s="24" t="s">
        <v>1561</v>
      </c>
      <c r="D114" s="25">
        <v>848</v>
      </c>
      <c r="E114" s="25">
        <v>2865</v>
      </c>
      <c r="F114" s="26">
        <f t="shared" si="16"/>
        <v>2865</v>
      </c>
      <c r="G114" s="21">
        <f t="shared" si="17"/>
        <v>2865000</v>
      </c>
      <c r="H114" s="21">
        <f t="shared" si="18"/>
        <v>2062800</v>
      </c>
      <c r="I114" s="21">
        <f t="shared" si="19"/>
        <v>128925</v>
      </c>
      <c r="J114" s="21">
        <f t="shared" si="20"/>
        <v>667545</v>
      </c>
      <c r="K114" s="21">
        <f t="shared" si="21"/>
        <v>5730</v>
      </c>
      <c r="L114" s="20">
        <f t="shared" si="22"/>
        <v>45704.307478640992</v>
      </c>
      <c r="M114" s="21">
        <f t="shared" si="23"/>
        <v>6015.2000919478814</v>
      </c>
      <c r="N114" s="21">
        <f t="shared" si="24"/>
        <v>5097.3192824214602</v>
      </c>
      <c r="O114" s="26"/>
      <c r="P114" s="26"/>
      <c r="Q114" s="17">
        <f t="shared" si="25"/>
        <v>39154.961564974503</v>
      </c>
      <c r="R114" s="17">
        <f t="shared" si="27"/>
        <v>5266.3950999790495</v>
      </c>
      <c r="S114" s="17">
        <f t="shared" si="26"/>
        <v>4474.8527502828001</v>
      </c>
      <c r="T114" s="17"/>
      <c r="U114" s="17"/>
      <c r="V114" s="17"/>
    </row>
    <row r="115" spans="1:22">
      <c r="A115" s="18" t="s">
        <v>359</v>
      </c>
      <c r="B115" s="22" t="s">
        <v>361</v>
      </c>
      <c r="C115" s="22" t="s">
        <v>1561</v>
      </c>
      <c r="D115" s="23">
        <v>5241</v>
      </c>
      <c r="E115" s="23">
        <v>0</v>
      </c>
      <c r="F115" s="21">
        <f t="shared" si="16"/>
        <v>5241</v>
      </c>
      <c r="G115" s="21">
        <f t="shared" si="17"/>
        <v>5241000</v>
      </c>
      <c r="H115" s="21">
        <f t="shared" si="18"/>
        <v>3773520</v>
      </c>
      <c r="I115" s="21">
        <f t="shared" si="19"/>
        <v>235845</v>
      </c>
      <c r="J115" s="21">
        <f t="shared" si="20"/>
        <v>1221153</v>
      </c>
      <c r="K115" s="21">
        <f t="shared" si="21"/>
        <v>10482</v>
      </c>
      <c r="L115" s="20">
        <f t="shared" si="22"/>
        <v>83607.775042079389</v>
      </c>
      <c r="M115" s="21">
        <f t="shared" si="23"/>
        <v>11003.722053018793</v>
      </c>
      <c r="N115" s="21">
        <f t="shared" si="24"/>
        <v>9324.6249072149621</v>
      </c>
      <c r="O115" s="21"/>
      <c r="P115" s="21"/>
      <c r="Q115" s="17">
        <f t="shared" si="25"/>
        <v>71626.929690063276</v>
      </c>
      <c r="R115" s="17">
        <f t="shared" si="27"/>
        <v>9633.91857556377</v>
      </c>
      <c r="S115" s="17">
        <f t="shared" si="26"/>
        <v>8185.9348217215211</v>
      </c>
    </row>
    <row r="116" spans="1:22" s="27" customFormat="1">
      <c r="A116" s="18" t="s">
        <v>363</v>
      </c>
      <c r="B116" s="24" t="s">
        <v>365</v>
      </c>
      <c r="C116" s="24" t="s">
        <v>1561</v>
      </c>
      <c r="D116" s="25">
        <v>776</v>
      </c>
      <c r="E116" s="25">
        <v>1669</v>
      </c>
      <c r="F116" s="26">
        <f t="shared" si="16"/>
        <v>1669</v>
      </c>
      <c r="G116" s="21">
        <f t="shared" si="17"/>
        <v>1669000</v>
      </c>
      <c r="H116" s="21">
        <f t="shared" si="18"/>
        <v>1201680</v>
      </c>
      <c r="I116" s="21">
        <f t="shared" si="19"/>
        <v>75105</v>
      </c>
      <c r="J116" s="21">
        <f t="shared" si="20"/>
        <v>388877</v>
      </c>
      <c r="K116" s="21">
        <f t="shared" si="21"/>
        <v>3338</v>
      </c>
      <c r="L116" s="20">
        <f t="shared" si="22"/>
        <v>26624.952594014605</v>
      </c>
      <c r="M116" s="21">
        <f t="shared" si="23"/>
        <v>3504.1427411731283</v>
      </c>
      <c r="N116" s="21">
        <f t="shared" si="24"/>
        <v>2969.4331177526765</v>
      </c>
      <c r="O116" s="26"/>
      <c r="P116" s="26"/>
      <c r="Q116" s="17">
        <f t="shared" si="25"/>
        <v>22809.644276419698</v>
      </c>
      <c r="R116" s="17">
        <f t="shared" si="27"/>
        <v>3067.9278959389303</v>
      </c>
      <c r="S116" s="17">
        <f t="shared" si="26"/>
        <v>2606.8164887336807</v>
      </c>
      <c r="T116" s="17"/>
      <c r="U116" s="17"/>
      <c r="V116" s="17"/>
    </row>
    <row r="117" spans="1:22" s="27" customFormat="1">
      <c r="A117" s="18" t="s">
        <v>367</v>
      </c>
      <c r="B117" s="24" t="s">
        <v>365</v>
      </c>
      <c r="C117" s="24" t="s">
        <v>1561</v>
      </c>
      <c r="D117" s="25">
        <v>2503</v>
      </c>
      <c r="E117" s="25">
        <v>2907</v>
      </c>
      <c r="F117" s="26">
        <f t="shared" si="16"/>
        <v>2907</v>
      </c>
      <c r="G117" s="21">
        <f t="shared" si="17"/>
        <v>2907000</v>
      </c>
      <c r="H117" s="21">
        <f t="shared" si="18"/>
        <v>2093040</v>
      </c>
      <c r="I117" s="21">
        <f t="shared" si="19"/>
        <v>130815</v>
      </c>
      <c r="J117" s="21">
        <f t="shared" si="20"/>
        <v>677331</v>
      </c>
      <c r="K117" s="21">
        <f t="shared" si="21"/>
        <v>5814</v>
      </c>
      <c r="L117" s="20">
        <f t="shared" si="22"/>
        <v>46374.318268903793</v>
      </c>
      <c r="M117" s="21">
        <f t="shared" si="23"/>
        <v>6103.3810357041857</v>
      </c>
      <c r="N117" s="21">
        <f t="shared" si="24"/>
        <v>5172.0443818496269</v>
      </c>
      <c r="O117" s="26"/>
      <c r="P117" s="26"/>
      <c r="Q117" s="17">
        <f t="shared" si="25"/>
        <v>39728.961001529096</v>
      </c>
      <c r="R117" s="17">
        <f t="shared" si="27"/>
        <v>5343.5987977797904</v>
      </c>
      <c r="S117" s="17">
        <f t="shared" si="26"/>
        <v>4540.4526858890404</v>
      </c>
      <c r="T117" s="17"/>
      <c r="U117" s="17"/>
      <c r="V117" s="17"/>
    </row>
    <row r="118" spans="1:22" s="27" customFormat="1">
      <c r="A118" s="18" t="s">
        <v>370</v>
      </c>
      <c r="B118" s="24" t="s">
        <v>365</v>
      </c>
      <c r="C118" s="24" t="s">
        <v>1561</v>
      </c>
      <c r="D118" s="25">
        <v>5242</v>
      </c>
      <c r="E118" s="25">
        <v>0</v>
      </c>
      <c r="F118" s="26">
        <f t="shared" si="16"/>
        <v>5242</v>
      </c>
      <c r="G118" s="21">
        <f t="shared" si="17"/>
        <v>5242000</v>
      </c>
      <c r="H118" s="21">
        <f t="shared" si="18"/>
        <v>3774240</v>
      </c>
      <c r="I118" s="21">
        <f t="shared" si="19"/>
        <v>235890</v>
      </c>
      <c r="J118" s="21">
        <f t="shared" si="20"/>
        <v>1221386</v>
      </c>
      <c r="K118" s="21">
        <f t="shared" si="21"/>
        <v>10484</v>
      </c>
      <c r="L118" s="20">
        <f t="shared" si="22"/>
        <v>83623.727679942793</v>
      </c>
      <c r="M118" s="21">
        <f t="shared" si="23"/>
        <v>11005.821599298702</v>
      </c>
      <c r="N118" s="21">
        <f t="shared" si="24"/>
        <v>9326.4040762489658</v>
      </c>
      <c r="O118" s="26"/>
      <c r="P118" s="26"/>
      <c r="Q118" s="17">
        <f t="shared" si="25"/>
        <v>71640.59634331461</v>
      </c>
      <c r="R118" s="17">
        <f t="shared" si="27"/>
        <v>9635.7567588447382</v>
      </c>
      <c r="S118" s="17">
        <f t="shared" si="26"/>
        <v>8187.4967249502406</v>
      </c>
      <c r="T118" s="17"/>
      <c r="U118" s="17"/>
      <c r="V118" s="17"/>
    </row>
    <row r="119" spans="1:22" s="27" customFormat="1">
      <c r="A119" s="18" t="s">
        <v>373</v>
      </c>
      <c r="B119" s="24" t="s">
        <v>365</v>
      </c>
      <c r="C119" s="24" t="s">
        <v>1561</v>
      </c>
      <c r="D119" s="25">
        <v>1527</v>
      </c>
      <c r="E119" s="25">
        <v>4627</v>
      </c>
      <c r="F119" s="26">
        <f t="shared" si="16"/>
        <v>4627</v>
      </c>
      <c r="G119" s="21">
        <f t="shared" si="17"/>
        <v>4627000</v>
      </c>
      <c r="H119" s="21">
        <f t="shared" si="18"/>
        <v>3331440</v>
      </c>
      <c r="I119" s="21">
        <f t="shared" si="19"/>
        <v>208215</v>
      </c>
      <c r="J119" s="21">
        <f t="shared" si="20"/>
        <v>1078091</v>
      </c>
      <c r="K119" s="21">
        <f t="shared" si="21"/>
        <v>9254</v>
      </c>
      <c r="L119" s="20">
        <f t="shared" si="22"/>
        <v>73812.855393951802</v>
      </c>
      <c r="M119" s="21">
        <f t="shared" si="23"/>
        <v>9714.6006371528238</v>
      </c>
      <c r="N119" s="21">
        <f t="shared" si="24"/>
        <v>8232.2151203365102</v>
      </c>
      <c r="O119" s="26"/>
      <c r="P119" s="26"/>
      <c r="Q119" s="17">
        <f t="shared" si="25"/>
        <v>63235.604593765092</v>
      </c>
      <c r="R119" s="17">
        <f t="shared" si="27"/>
        <v>8505.2740410481892</v>
      </c>
      <c r="S119" s="17">
        <f t="shared" si="26"/>
        <v>7226.9262392874398</v>
      </c>
      <c r="T119" s="17"/>
      <c r="U119" s="17"/>
      <c r="V119" s="17"/>
    </row>
    <row r="120" spans="1:22" s="27" customFormat="1">
      <c r="A120" s="18" t="s">
        <v>376</v>
      </c>
      <c r="B120" s="24" t="s">
        <v>365</v>
      </c>
      <c r="C120" s="24" t="s">
        <v>1561</v>
      </c>
      <c r="D120" s="25">
        <v>6827</v>
      </c>
      <c r="E120" s="25">
        <v>8642</v>
      </c>
      <c r="F120" s="26">
        <f t="shared" si="16"/>
        <v>8642</v>
      </c>
      <c r="G120" s="21">
        <f t="shared" si="17"/>
        <v>8642000</v>
      </c>
      <c r="H120" s="21">
        <f t="shared" si="18"/>
        <v>6222240</v>
      </c>
      <c r="I120" s="21">
        <f t="shared" si="19"/>
        <v>388890</v>
      </c>
      <c r="J120" s="21">
        <f t="shared" si="20"/>
        <v>2013586</v>
      </c>
      <c r="K120" s="21">
        <f t="shared" si="21"/>
        <v>17284</v>
      </c>
      <c r="L120" s="20">
        <f t="shared" si="22"/>
        <v>137862.69641550281</v>
      </c>
      <c r="M120" s="21">
        <f t="shared" si="23"/>
        <v>18144.278950999505</v>
      </c>
      <c r="N120" s="21">
        <f t="shared" si="24"/>
        <v>15375.578791862567</v>
      </c>
      <c r="O120" s="26"/>
      <c r="P120" s="26"/>
      <c r="Q120" s="17">
        <f t="shared" si="25"/>
        <v>118107.2173977346</v>
      </c>
      <c r="R120" s="17">
        <f t="shared" si="27"/>
        <v>15885.57991414274</v>
      </c>
      <c r="S120" s="17">
        <f t="shared" si="26"/>
        <v>13497.96770259824</v>
      </c>
      <c r="T120" s="17"/>
      <c r="U120" s="17"/>
      <c r="V120" s="17"/>
    </row>
    <row r="121" spans="1:22" s="27" customFormat="1">
      <c r="A121" s="18" t="s">
        <v>379</v>
      </c>
      <c r="B121" s="24" t="s">
        <v>365</v>
      </c>
      <c r="C121" s="24" t="s">
        <v>1561</v>
      </c>
      <c r="D121" s="25">
        <v>2695</v>
      </c>
      <c r="E121" s="25">
        <v>3888</v>
      </c>
      <c r="F121" s="26">
        <f t="shared" si="16"/>
        <v>3888</v>
      </c>
      <c r="G121" s="21">
        <f t="shared" si="17"/>
        <v>3888000</v>
      </c>
      <c r="H121" s="21">
        <f t="shared" si="18"/>
        <v>2799360</v>
      </c>
      <c r="I121" s="21">
        <f t="shared" si="19"/>
        <v>174960</v>
      </c>
      <c r="J121" s="21">
        <f t="shared" si="20"/>
        <v>905904</v>
      </c>
      <c r="K121" s="21">
        <f t="shared" si="21"/>
        <v>7776</v>
      </c>
      <c r="L121" s="20">
        <f t="shared" si="22"/>
        <v>62023.85601289921</v>
      </c>
      <c r="M121" s="21">
        <f t="shared" si="23"/>
        <v>8163.0359362978561</v>
      </c>
      <c r="N121" s="21">
        <f t="shared" si="24"/>
        <v>6917.4092042075517</v>
      </c>
      <c r="O121" s="26"/>
      <c r="P121" s="26"/>
      <c r="Q121" s="17">
        <f t="shared" si="25"/>
        <v>53135.947841054403</v>
      </c>
      <c r="R121" s="17">
        <f t="shared" si="27"/>
        <v>7146.8565964113595</v>
      </c>
      <c r="S121" s="17">
        <f t="shared" si="26"/>
        <v>6072.6797532633609</v>
      </c>
      <c r="T121" s="17"/>
      <c r="U121" s="17"/>
      <c r="V121" s="17"/>
    </row>
    <row r="122" spans="1:22" s="27" customFormat="1">
      <c r="A122" s="18" t="s">
        <v>382</v>
      </c>
      <c r="B122" s="24" t="s">
        <v>365</v>
      </c>
      <c r="C122" s="24" t="s">
        <v>1561</v>
      </c>
      <c r="D122" s="30">
        <v>1300</v>
      </c>
      <c r="E122" s="25">
        <v>1360</v>
      </c>
      <c r="F122" s="26">
        <f t="shared" si="16"/>
        <v>1360</v>
      </c>
      <c r="G122" s="21">
        <f t="shared" si="17"/>
        <v>1360000</v>
      </c>
      <c r="H122" s="21">
        <f t="shared" si="18"/>
        <v>979200</v>
      </c>
      <c r="I122" s="21">
        <f t="shared" si="19"/>
        <v>61200</v>
      </c>
      <c r="J122" s="21">
        <f t="shared" si="20"/>
        <v>316880</v>
      </c>
      <c r="K122" s="21">
        <f t="shared" si="21"/>
        <v>2720</v>
      </c>
      <c r="L122" s="20">
        <f t="shared" si="22"/>
        <v>21695.587494224004</v>
      </c>
      <c r="M122" s="21">
        <f t="shared" si="23"/>
        <v>2855.3829406803202</v>
      </c>
      <c r="N122" s="21">
        <f t="shared" si="24"/>
        <v>2419.66988624544</v>
      </c>
      <c r="O122" s="26"/>
      <c r="P122" s="26"/>
      <c r="Q122" s="17">
        <f t="shared" si="25"/>
        <v>18586.648421767997</v>
      </c>
      <c r="R122" s="17">
        <f t="shared" si="27"/>
        <v>2499.9292621192003</v>
      </c>
      <c r="S122" s="17">
        <f t="shared" si="26"/>
        <v>2124.188391059201</v>
      </c>
      <c r="T122" s="17"/>
      <c r="U122" s="17"/>
      <c r="V122" s="17"/>
    </row>
    <row r="123" spans="1:22" s="27" customFormat="1">
      <c r="A123" s="18" t="s">
        <v>385</v>
      </c>
      <c r="B123" s="24" t="s">
        <v>365</v>
      </c>
      <c r="C123" s="24" t="s">
        <v>1561</v>
      </c>
      <c r="D123" s="25">
        <v>1283</v>
      </c>
      <c r="E123" s="30">
        <v>2358</v>
      </c>
      <c r="F123" s="26">
        <f t="shared" ref="F123:F186" si="28">MAX(D123,E123)</f>
        <v>2358</v>
      </c>
      <c r="G123" s="21">
        <f t="shared" si="17"/>
        <v>2358000</v>
      </c>
      <c r="H123" s="21">
        <f t="shared" si="18"/>
        <v>1697760</v>
      </c>
      <c r="I123" s="21">
        <f t="shared" si="19"/>
        <v>106110</v>
      </c>
      <c r="J123" s="21">
        <f t="shared" si="20"/>
        <v>549414</v>
      </c>
      <c r="K123" s="21">
        <f t="shared" si="21"/>
        <v>4716</v>
      </c>
      <c r="L123" s="20">
        <f t="shared" si="22"/>
        <v>37616.320081897196</v>
      </c>
      <c r="M123" s="21">
        <f t="shared" si="23"/>
        <v>4950.7301280324964</v>
      </c>
      <c r="N123" s="21">
        <f t="shared" si="24"/>
        <v>4195.2805821814327</v>
      </c>
      <c r="O123" s="26"/>
      <c r="P123" s="26"/>
      <c r="Q123" s="17">
        <f t="shared" si="25"/>
        <v>32225.968366565394</v>
      </c>
      <c r="R123" s="17">
        <f t="shared" si="27"/>
        <v>4334.4361765272597</v>
      </c>
      <c r="S123" s="17">
        <f t="shared" si="26"/>
        <v>3682.9678133217603</v>
      </c>
      <c r="T123" s="17"/>
      <c r="U123" s="17"/>
      <c r="V123" s="17"/>
    </row>
    <row r="124" spans="1:22" s="27" customFormat="1">
      <c r="A124" s="18" t="s">
        <v>388</v>
      </c>
      <c r="B124" s="24" t="s">
        <v>365</v>
      </c>
      <c r="C124" s="24" t="s">
        <v>1561</v>
      </c>
      <c r="D124" s="25">
        <v>4629</v>
      </c>
      <c r="E124" s="25">
        <v>8710</v>
      </c>
      <c r="F124" s="26">
        <f t="shared" si="28"/>
        <v>8710</v>
      </c>
      <c r="G124" s="21">
        <f t="shared" si="17"/>
        <v>8710000</v>
      </c>
      <c r="H124" s="21">
        <f t="shared" si="18"/>
        <v>6271200</v>
      </c>
      <c r="I124" s="21">
        <f t="shared" si="19"/>
        <v>391950</v>
      </c>
      <c r="J124" s="21">
        <f t="shared" si="20"/>
        <v>2029430</v>
      </c>
      <c r="K124" s="21">
        <f t="shared" si="21"/>
        <v>17420</v>
      </c>
      <c r="L124" s="20">
        <f t="shared" si="22"/>
        <v>138947.475790214</v>
      </c>
      <c r="M124" s="21">
        <f t="shared" si="23"/>
        <v>18287.04809803352</v>
      </c>
      <c r="N124" s="21">
        <f t="shared" si="24"/>
        <v>15496.562286174842</v>
      </c>
      <c r="O124" s="26"/>
      <c r="P124" s="26"/>
      <c r="Q124" s="17">
        <f t="shared" si="25"/>
        <v>119036.54981882301</v>
      </c>
      <c r="R124" s="17">
        <f t="shared" si="27"/>
        <v>16010.576377248701</v>
      </c>
      <c r="S124" s="17">
        <f t="shared" si="26"/>
        <v>13604.177122151201</v>
      </c>
      <c r="T124" s="17"/>
      <c r="U124" s="17"/>
      <c r="V124" s="17"/>
    </row>
    <row r="125" spans="1:22" s="27" customFormat="1">
      <c r="A125" s="18" t="s">
        <v>391</v>
      </c>
      <c r="B125" s="24" t="s">
        <v>365</v>
      </c>
      <c r="C125" s="24" t="s">
        <v>1561</v>
      </c>
      <c r="D125" s="25">
        <v>8340</v>
      </c>
      <c r="E125" s="25">
        <v>0</v>
      </c>
      <c r="F125" s="26">
        <f t="shared" si="28"/>
        <v>8340</v>
      </c>
      <c r="G125" s="21">
        <f t="shared" si="17"/>
        <v>8340000</v>
      </c>
      <c r="H125" s="21">
        <f t="shared" si="18"/>
        <v>6004800</v>
      </c>
      <c r="I125" s="21">
        <f t="shared" si="19"/>
        <v>375300</v>
      </c>
      <c r="J125" s="21">
        <f t="shared" si="20"/>
        <v>1943220</v>
      </c>
      <c r="K125" s="21">
        <f t="shared" si="21"/>
        <v>16680</v>
      </c>
      <c r="L125" s="20">
        <f t="shared" si="22"/>
        <v>133044.99978075598</v>
      </c>
      <c r="M125" s="21">
        <f t="shared" si="23"/>
        <v>17510.215974466082</v>
      </c>
      <c r="N125" s="21">
        <f t="shared" si="24"/>
        <v>14838.269743593359</v>
      </c>
      <c r="O125" s="26"/>
      <c r="P125" s="26"/>
      <c r="Q125" s="17">
        <f t="shared" si="25"/>
        <v>113979.888115842</v>
      </c>
      <c r="R125" s="17">
        <f t="shared" si="27"/>
        <v>15330.448563289799</v>
      </c>
      <c r="S125" s="17">
        <f t="shared" si="26"/>
        <v>13026.272927524804</v>
      </c>
      <c r="T125" s="17"/>
      <c r="U125" s="17"/>
      <c r="V125" s="17"/>
    </row>
    <row r="126" spans="1:22" s="27" customFormat="1">
      <c r="A126" s="18" t="s">
        <v>394</v>
      </c>
      <c r="B126" s="24" t="s">
        <v>365</v>
      </c>
      <c r="C126" s="24" t="s">
        <v>1561</v>
      </c>
      <c r="D126" s="25">
        <v>2495</v>
      </c>
      <c r="E126" s="25">
        <v>0</v>
      </c>
      <c r="F126" s="26">
        <f t="shared" si="28"/>
        <v>2495</v>
      </c>
      <c r="G126" s="21">
        <f t="shared" si="17"/>
        <v>2495000</v>
      </c>
      <c r="H126" s="21">
        <f t="shared" si="18"/>
        <v>1796400</v>
      </c>
      <c r="I126" s="21">
        <f t="shared" si="19"/>
        <v>112275</v>
      </c>
      <c r="J126" s="21">
        <f t="shared" si="20"/>
        <v>581335</v>
      </c>
      <c r="K126" s="21">
        <f t="shared" si="21"/>
        <v>4990</v>
      </c>
      <c r="L126" s="20">
        <f t="shared" si="22"/>
        <v>39801.831469183002</v>
      </c>
      <c r="M126" s="21">
        <f t="shared" si="23"/>
        <v>5238.3679683804403</v>
      </c>
      <c r="N126" s="21">
        <f t="shared" si="24"/>
        <v>4439.0267398399792</v>
      </c>
      <c r="O126" s="26"/>
      <c r="P126" s="26"/>
      <c r="Q126" s="17">
        <f t="shared" si="25"/>
        <v>34098.299861993502</v>
      </c>
      <c r="R126" s="17">
        <f t="shared" si="27"/>
        <v>4586.2672860201501</v>
      </c>
      <c r="S126" s="17">
        <f t="shared" si="26"/>
        <v>3896.9485556564005</v>
      </c>
      <c r="T126" s="17"/>
      <c r="U126" s="17"/>
      <c r="V126" s="17"/>
    </row>
    <row r="127" spans="1:22" s="27" customFormat="1">
      <c r="A127" s="18" t="s">
        <v>397</v>
      </c>
      <c r="B127" s="24" t="s">
        <v>365</v>
      </c>
      <c r="C127" s="24" t="s">
        <v>1561</v>
      </c>
      <c r="D127" s="25">
        <v>1606</v>
      </c>
      <c r="E127" s="25">
        <v>0</v>
      </c>
      <c r="F127" s="26">
        <f t="shared" si="28"/>
        <v>1606</v>
      </c>
      <c r="G127" s="21">
        <f t="shared" si="17"/>
        <v>1606000</v>
      </c>
      <c r="H127" s="21">
        <f t="shared" si="18"/>
        <v>1156320</v>
      </c>
      <c r="I127" s="21">
        <f t="shared" si="19"/>
        <v>72270</v>
      </c>
      <c r="J127" s="21">
        <f t="shared" si="20"/>
        <v>374198</v>
      </c>
      <c r="K127" s="21">
        <f t="shared" si="21"/>
        <v>3212</v>
      </c>
      <c r="L127" s="20">
        <f t="shared" si="22"/>
        <v>25619.936408620393</v>
      </c>
      <c r="M127" s="21">
        <f t="shared" si="23"/>
        <v>3371.871325538672</v>
      </c>
      <c r="N127" s="21">
        <f t="shared" si="24"/>
        <v>2857.3454686104237</v>
      </c>
      <c r="O127" s="26"/>
      <c r="P127" s="26"/>
      <c r="Q127" s="17">
        <f t="shared" si="25"/>
        <v>21948.645121587797</v>
      </c>
      <c r="R127" s="17">
        <f t="shared" si="27"/>
        <v>2952.1223492378199</v>
      </c>
      <c r="S127" s="17">
        <f t="shared" si="26"/>
        <v>2508.4165853243198</v>
      </c>
      <c r="T127" s="17"/>
      <c r="U127" s="17"/>
      <c r="V127" s="17"/>
    </row>
    <row r="128" spans="1:22" s="27" customFormat="1">
      <c r="A128" s="18" t="s">
        <v>400</v>
      </c>
      <c r="B128" s="24" t="s">
        <v>365</v>
      </c>
      <c r="C128" s="24" t="s">
        <v>1561</v>
      </c>
      <c r="D128" s="25">
        <v>2060</v>
      </c>
      <c r="E128" s="25">
        <v>2140</v>
      </c>
      <c r="F128" s="26">
        <f t="shared" si="28"/>
        <v>2140</v>
      </c>
      <c r="G128" s="21">
        <f t="shared" si="17"/>
        <v>2140000</v>
      </c>
      <c r="H128" s="21">
        <f t="shared" si="18"/>
        <v>1540800</v>
      </c>
      <c r="I128" s="21">
        <f t="shared" si="19"/>
        <v>96300</v>
      </c>
      <c r="J128" s="21">
        <f t="shared" si="20"/>
        <v>498620</v>
      </c>
      <c r="K128" s="21">
        <f t="shared" si="21"/>
        <v>4280</v>
      </c>
      <c r="L128" s="20">
        <f t="shared" si="22"/>
        <v>34138.645027676001</v>
      </c>
      <c r="M128" s="21">
        <f t="shared" si="23"/>
        <v>4493.0290390116797</v>
      </c>
      <c r="N128" s="21">
        <f t="shared" si="24"/>
        <v>3807.4217327685606</v>
      </c>
      <c r="O128" s="26"/>
      <c r="P128" s="26"/>
      <c r="Q128" s="17">
        <f t="shared" si="25"/>
        <v>29246.637957782004</v>
      </c>
      <c r="R128" s="17">
        <f t="shared" si="27"/>
        <v>3933.7122212757999</v>
      </c>
      <c r="S128" s="17">
        <f t="shared" si="26"/>
        <v>3342.472909460801</v>
      </c>
      <c r="T128" s="17"/>
      <c r="U128" s="17"/>
      <c r="V128" s="17"/>
    </row>
    <row r="129" spans="1:22" s="27" customFormat="1">
      <c r="A129" s="18" t="s">
        <v>403</v>
      </c>
      <c r="B129" s="24" t="s">
        <v>365</v>
      </c>
      <c r="C129" s="24" t="s">
        <v>1561</v>
      </c>
      <c r="D129" s="25">
        <v>1298</v>
      </c>
      <c r="E129" s="25">
        <v>2006</v>
      </c>
      <c r="F129" s="26">
        <f t="shared" si="28"/>
        <v>2006</v>
      </c>
      <c r="G129" s="21">
        <f t="shared" si="17"/>
        <v>2006000</v>
      </c>
      <c r="H129" s="21">
        <f t="shared" si="18"/>
        <v>1444320</v>
      </c>
      <c r="I129" s="21">
        <f t="shared" si="19"/>
        <v>90270</v>
      </c>
      <c r="J129" s="21">
        <f t="shared" si="20"/>
        <v>467398</v>
      </c>
      <c r="K129" s="21">
        <f t="shared" si="21"/>
        <v>4012</v>
      </c>
      <c r="L129" s="20">
        <f t="shared" si="22"/>
        <v>32000.991553980395</v>
      </c>
      <c r="M129" s="21">
        <f t="shared" si="23"/>
        <v>4211.6898375034725</v>
      </c>
      <c r="N129" s="21">
        <f t="shared" si="24"/>
        <v>3569.0130822120241</v>
      </c>
      <c r="O129" s="26"/>
      <c r="P129" s="26"/>
      <c r="Q129" s="17">
        <f t="shared" si="25"/>
        <v>27415.306422107802</v>
      </c>
      <c r="R129" s="17">
        <f t="shared" si="27"/>
        <v>3687.3956616258197</v>
      </c>
      <c r="S129" s="17">
        <f t="shared" si="26"/>
        <v>3133.1778768123204</v>
      </c>
      <c r="T129" s="17"/>
      <c r="U129" s="17"/>
      <c r="V129" s="17"/>
    </row>
    <row r="130" spans="1:22" s="27" customFormat="1">
      <c r="A130" s="18" t="s">
        <v>406</v>
      </c>
      <c r="B130" s="24" t="s">
        <v>365</v>
      </c>
      <c r="C130" s="24" t="s">
        <v>1561</v>
      </c>
      <c r="D130" s="25">
        <v>4748</v>
      </c>
      <c r="E130" s="25">
        <v>4576</v>
      </c>
      <c r="F130" s="26">
        <f t="shared" si="28"/>
        <v>4748</v>
      </c>
      <c r="G130" s="21">
        <f t="shared" si="17"/>
        <v>4748000</v>
      </c>
      <c r="H130" s="21">
        <f t="shared" si="18"/>
        <v>3418560</v>
      </c>
      <c r="I130" s="21">
        <f t="shared" si="19"/>
        <v>213660</v>
      </c>
      <c r="J130" s="21">
        <f t="shared" si="20"/>
        <v>1106284</v>
      </c>
      <c r="K130" s="21">
        <f t="shared" si="21"/>
        <v>9496</v>
      </c>
      <c r="L130" s="20">
        <f t="shared" si="22"/>
        <v>75743.124575423193</v>
      </c>
      <c r="M130" s="21">
        <f t="shared" si="23"/>
        <v>9968.645737022176</v>
      </c>
      <c r="N130" s="21">
        <f t="shared" si="24"/>
        <v>8447.4945734509893</v>
      </c>
      <c r="O130" s="26"/>
      <c r="P130" s="26"/>
      <c r="Q130" s="17">
        <f t="shared" si="25"/>
        <v>64889.269637172409</v>
      </c>
      <c r="R130" s="17">
        <f t="shared" si="27"/>
        <v>8727.6942180455608</v>
      </c>
      <c r="S130" s="17">
        <f t="shared" si="26"/>
        <v>7415.916529962562</v>
      </c>
      <c r="T130" s="17"/>
      <c r="U130" s="17"/>
      <c r="V130" s="17"/>
    </row>
    <row r="131" spans="1:22">
      <c r="A131" s="18" t="s">
        <v>409</v>
      </c>
      <c r="B131" s="22" t="s">
        <v>411</v>
      </c>
      <c r="C131" s="22" t="s">
        <v>1561</v>
      </c>
      <c r="D131" s="23">
        <v>2391</v>
      </c>
      <c r="E131" s="23">
        <v>0</v>
      </c>
      <c r="F131" s="21">
        <f t="shared" si="28"/>
        <v>2391</v>
      </c>
      <c r="G131" s="21">
        <f t="shared" si="17"/>
        <v>2391000</v>
      </c>
      <c r="H131" s="21">
        <f t="shared" si="18"/>
        <v>1721520</v>
      </c>
      <c r="I131" s="21">
        <f t="shared" si="19"/>
        <v>107595</v>
      </c>
      <c r="J131" s="21">
        <f t="shared" si="20"/>
        <v>557103</v>
      </c>
      <c r="K131" s="21">
        <f t="shared" si="21"/>
        <v>4782</v>
      </c>
      <c r="L131" s="20">
        <f t="shared" si="22"/>
        <v>38142.7571313894</v>
      </c>
      <c r="M131" s="21">
        <f t="shared" si="23"/>
        <v>5020.0151552695934</v>
      </c>
      <c r="N131" s="21">
        <f t="shared" si="24"/>
        <v>4253.9931603035639</v>
      </c>
      <c r="O131" s="21"/>
      <c r="P131" s="21"/>
      <c r="Q131" s="17">
        <f t="shared" si="25"/>
        <v>32676.967923858305</v>
      </c>
      <c r="R131" s="17">
        <f t="shared" si="27"/>
        <v>4395.0962247992702</v>
      </c>
      <c r="S131" s="17">
        <f t="shared" si="26"/>
        <v>3734.5106198695207</v>
      </c>
    </row>
    <row r="132" spans="1:22">
      <c r="A132" s="18" t="s">
        <v>413</v>
      </c>
      <c r="B132" s="22" t="s">
        <v>411</v>
      </c>
      <c r="C132" s="22" t="s">
        <v>1561</v>
      </c>
      <c r="D132" s="23">
        <v>2159</v>
      </c>
      <c r="E132" s="23">
        <v>4178</v>
      </c>
      <c r="F132" s="21">
        <f t="shared" si="28"/>
        <v>4178</v>
      </c>
      <c r="G132" s="21">
        <f t="shared" si="17"/>
        <v>4178000</v>
      </c>
      <c r="H132" s="21">
        <f t="shared" si="18"/>
        <v>3008160</v>
      </c>
      <c r="I132" s="21">
        <f t="shared" si="19"/>
        <v>188010</v>
      </c>
      <c r="J132" s="21">
        <f t="shared" si="20"/>
        <v>973474</v>
      </c>
      <c r="K132" s="21">
        <f t="shared" si="21"/>
        <v>8356</v>
      </c>
      <c r="L132" s="20">
        <f t="shared" si="22"/>
        <v>66650.120993285193</v>
      </c>
      <c r="M132" s="21">
        <f t="shared" si="23"/>
        <v>8771.9043574723364</v>
      </c>
      <c r="N132" s="21">
        <f t="shared" si="24"/>
        <v>7433.3682240687103</v>
      </c>
      <c r="O132" s="21"/>
      <c r="P132" s="21"/>
      <c r="Q132" s="17">
        <f t="shared" si="25"/>
        <v>57099.277283931406</v>
      </c>
      <c r="R132" s="17">
        <f t="shared" si="27"/>
        <v>7679.9297478926601</v>
      </c>
      <c r="S132" s="17">
        <f t="shared" si="26"/>
        <v>6525.6316895921609</v>
      </c>
    </row>
    <row r="133" spans="1:22">
      <c r="A133" s="18" t="s">
        <v>416</v>
      </c>
      <c r="B133" s="22" t="s">
        <v>411</v>
      </c>
      <c r="C133" s="22" t="s">
        <v>1561</v>
      </c>
      <c r="D133" s="23">
        <v>2360</v>
      </c>
      <c r="E133" s="23">
        <v>3750</v>
      </c>
      <c r="F133" s="21">
        <f t="shared" si="28"/>
        <v>3750</v>
      </c>
      <c r="G133" s="21">
        <f t="shared" si="17"/>
        <v>3750000</v>
      </c>
      <c r="H133" s="21">
        <f t="shared" si="18"/>
        <v>2700000</v>
      </c>
      <c r="I133" s="21">
        <f t="shared" si="19"/>
        <v>168750</v>
      </c>
      <c r="J133" s="21">
        <f t="shared" si="20"/>
        <v>873750</v>
      </c>
      <c r="K133" s="21">
        <f t="shared" si="21"/>
        <v>7500</v>
      </c>
      <c r="L133" s="20">
        <f t="shared" si="22"/>
        <v>59822.391987750001</v>
      </c>
      <c r="M133" s="21">
        <f t="shared" si="23"/>
        <v>7873.2985496699994</v>
      </c>
      <c r="N133" s="21">
        <f t="shared" si="24"/>
        <v>6671.8838775150007</v>
      </c>
      <c r="O133" s="21"/>
      <c r="P133" s="21"/>
      <c r="Q133" s="17">
        <f t="shared" si="25"/>
        <v>51249.949692374998</v>
      </c>
      <c r="R133" s="17">
        <f t="shared" si="27"/>
        <v>6893.1873036375</v>
      </c>
      <c r="S133" s="17">
        <f t="shared" si="26"/>
        <v>5857.1371077000003</v>
      </c>
    </row>
    <row r="134" spans="1:22">
      <c r="A134" s="18" t="s">
        <v>419</v>
      </c>
      <c r="B134" s="22" t="s">
        <v>411</v>
      </c>
      <c r="C134" s="22" t="s">
        <v>1561</v>
      </c>
      <c r="D134" s="23">
        <v>1600</v>
      </c>
      <c r="E134" s="23">
        <v>0</v>
      </c>
      <c r="F134" s="21">
        <f t="shared" si="28"/>
        <v>1600</v>
      </c>
      <c r="G134" s="21">
        <f t="shared" ref="G134:G197" si="29">F134*1000</f>
        <v>1600000</v>
      </c>
      <c r="H134" s="21">
        <f t="shared" ref="H134:H197" si="30">G134*0.72</f>
        <v>1152000</v>
      </c>
      <c r="I134" s="21">
        <f t="shared" ref="I134:I197" si="31">G134*0.045</f>
        <v>72000</v>
      </c>
      <c r="J134" s="21">
        <f t="shared" ref="J134:J197" si="32">G134*0.233</f>
        <v>372800</v>
      </c>
      <c r="K134" s="21">
        <f t="shared" ref="K134:K197" si="33">G134*0.002</f>
        <v>3200</v>
      </c>
      <c r="L134" s="20">
        <f t="shared" ref="L134:L197" si="34">(H134/1000*111+I134/1000*51+J134/1000*60+K134/250*20)*365*0.453592/1000</f>
        <v>25524.220581439997</v>
      </c>
      <c r="M134" s="21">
        <f t="shared" ref="M134:M197" si="35">(H134/1000*14.3+I134/1000*6.5+J134/1000*8.9+K134/250*2.4)*365*0.453592/1000</f>
        <v>3359.2740478592009</v>
      </c>
      <c r="N134" s="21">
        <f t="shared" ref="N134:N197" si="36">(H134/1000*12.1+I134/1000*5.5+J134/1000*7.6+K134/250*2)*365*0.453592/1000</f>
        <v>2846.6704544063996</v>
      </c>
      <c r="O134" s="21"/>
      <c r="P134" s="21"/>
      <c r="Q134" s="17">
        <f t="shared" ref="Q134:Q197" si="37">F134*0.89*(0.5*133+0.5*52.5)*365*0.453592/1000</f>
        <v>21866.645202079999</v>
      </c>
      <c r="R134" s="17">
        <f t="shared" si="27"/>
        <v>2941.0932495519992</v>
      </c>
      <c r="S134" s="17">
        <f t="shared" ref="S134:S197" si="38">F134*0.89*(14.55*0.5+0.5*6.65)*365*0.453592/1000</f>
        <v>2499.0451659520004</v>
      </c>
    </row>
    <row r="135" spans="1:22">
      <c r="A135" s="18" t="s">
        <v>422</v>
      </c>
      <c r="B135" s="22" t="s">
        <v>411</v>
      </c>
      <c r="C135" s="22" t="s">
        <v>1561</v>
      </c>
      <c r="D135" s="23">
        <v>0</v>
      </c>
      <c r="E135" s="23">
        <v>5775</v>
      </c>
      <c r="F135" s="21">
        <f t="shared" si="28"/>
        <v>5775</v>
      </c>
      <c r="G135" s="21">
        <f t="shared" si="29"/>
        <v>5775000</v>
      </c>
      <c r="H135" s="21">
        <f t="shared" si="30"/>
        <v>4158000</v>
      </c>
      <c r="I135" s="21">
        <f t="shared" si="31"/>
        <v>259875</v>
      </c>
      <c r="J135" s="21">
        <f t="shared" si="32"/>
        <v>1345575</v>
      </c>
      <c r="K135" s="21">
        <f t="shared" si="33"/>
        <v>11550</v>
      </c>
      <c r="L135" s="20">
        <f t="shared" si="34"/>
        <v>92126.483661135004</v>
      </c>
      <c r="M135" s="21">
        <f t="shared" si="35"/>
        <v>12124.8797664918</v>
      </c>
      <c r="N135" s="21">
        <f t="shared" si="36"/>
        <v>10274.701171373101</v>
      </c>
      <c r="O135" s="21"/>
      <c r="P135" s="21"/>
      <c r="Q135" s="17">
        <f t="shared" si="37"/>
        <v>78924.922526257506</v>
      </c>
      <c r="R135" s="17">
        <f t="shared" si="27"/>
        <v>10615.508447601751</v>
      </c>
      <c r="S135" s="17">
        <f t="shared" si="38"/>
        <v>9019.9911458580009</v>
      </c>
    </row>
    <row r="136" spans="1:22" s="27" customFormat="1" ht="12" customHeight="1">
      <c r="A136" s="18" t="s">
        <v>425</v>
      </c>
      <c r="B136" s="24" t="s">
        <v>427</v>
      </c>
      <c r="C136" s="24" t="s">
        <v>1561</v>
      </c>
      <c r="D136" s="25">
        <v>1466</v>
      </c>
      <c r="E136" s="25">
        <v>3100</v>
      </c>
      <c r="F136" s="26">
        <f t="shared" si="28"/>
        <v>3100</v>
      </c>
      <c r="G136" s="21">
        <f t="shared" si="29"/>
        <v>3100000</v>
      </c>
      <c r="H136" s="21">
        <f t="shared" si="30"/>
        <v>2232000</v>
      </c>
      <c r="I136" s="21">
        <f t="shared" si="31"/>
        <v>139500</v>
      </c>
      <c r="J136" s="21">
        <f t="shared" si="32"/>
        <v>722300</v>
      </c>
      <c r="K136" s="21">
        <f t="shared" si="33"/>
        <v>6200</v>
      </c>
      <c r="L136" s="20">
        <f t="shared" si="34"/>
        <v>49453.177376539999</v>
      </c>
      <c r="M136" s="21">
        <f t="shared" si="35"/>
        <v>6508.5934677272007</v>
      </c>
      <c r="N136" s="21">
        <f t="shared" si="36"/>
        <v>5515.4240054124002</v>
      </c>
      <c r="O136" s="26"/>
      <c r="P136" s="26"/>
      <c r="Q136" s="17">
        <f t="shared" si="37"/>
        <v>42366.625079029996</v>
      </c>
      <c r="R136" s="17">
        <f t="shared" ref="R136:R199" si="39">F136*0.89*(0.5*17.15+0.5*7.8)*365*0.453592/1000</f>
        <v>5698.3681710069995</v>
      </c>
      <c r="S136" s="17">
        <f t="shared" si="38"/>
        <v>4841.9000090320005</v>
      </c>
      <c r="T136" s="17"/>
      <c r="U136" s="17"/>
      <c r="V136" s="17"/>
    </row>
    <row r="137" spans="1:22" s="27" customFormat="1">
      <c r="A137" s="18" t="s">
        <v>429</v>
      </c>
      <c r="B137" s="24" t="s">
        <v>427</v>
      </c>
      <c r="C137" s="24" t="s">
        <v>1561</v>
      </c>
      <c r="D137" s="25">
        <v>972</v>
      </c>
      <c r="E137" s="25">
        <v>0</v>
      </c>
      <c r="F137" s="26">
        <f t="shared" si="28"/>
        <v>972</v>
      </c>
      <c r="G137" s="21">
        <f t="shared" si="29"/>
        <v>972000</v>
      </c>
      <c r="H137" s="21">
        <f t="shared" si="30"/>
        <v>699840</v>
      </c>
      <c r="I137" s="21">
        <f t="shared" si="31"/>
        <v>43740</v>
      </c>
      <c r="J137" s="21">
        <f t="shared" si="32"/>
        <v>226476</v>
      </c>
      <c r="K137" s="21">
        <f t="shared" si="33"/>
        <v>1944</v>
      </c>
      <c r="L137" s="20">
        <f t="shared" si="34"/>
        <v>15505.964003224803</v>
      </c>
      <c r="M137" s="21">
        <f t="shared" si="35"/>
        <v>2040.758984074464</v>
      </c>
      <c r="N137" s="21">
        <f t="shared" si="36"/>
        <v>1729.3523010518879</v>
      </c>
      <c r="O137" s="26"/>
      <c r="P137" s="26"/>
      <c r="Q137" s="17">
        <f t="shared" si="37"/>
        <v>13283.986960263601</v>
      </c>
      <c r="R137" s="17">
        <f t="shared" si="39"/>
        <v>1786.7141491028399</v>
      </c>
      <c r="S137" s="17">
        <f t="shared" si="38"/>
        <v>1518.1699383158402</v>
      </c>
      <c r="T137" s="17"/>
      <c r="U137" s="17"/>
      <c r="V137" s="17"/>
    </row>
    <row r="138" spans="1:22">
      <c r="A138" s="18" t="s">
        <v>432</v>
      </c>
      <c r="B138" s="22" t="s">
        <v>434</v>
      </c>
      <c r="C138" s="22" t="s">
        <v>1561</v>
      </c>
      <c r="D138" s="23">
        <v>1385</v>
      </c>
      <c r="E138" s="23">
        <v>1274</v>
      </c>
      <c r="F138" s="21">
        <f t="shared" si="28"/>
        <v>1385</v>
      </c>
      <c r="G138" s="21">
        <f t="shared" si="29"/>
        <v>1385000</v>
      </c>
      <c r="H138" s="21">
        <f t="shared" si="30"/>
        <v>997200</v>
      </c>
      <c r="I138" s="21">
        <f t="shared" si="31"/>
        <v>62325</v>
      </c>
      <c r="J138" s="21">
        <f t="shared" si="32"/>
        <v>322705</v>
      </c>
      <c r="K138" s="21">
        <f t="shared" si="33"/>
        <v>2770</v>
      </c>
      <c r="L138" s="20">
        <f t="shared" si="34"/>
        <v>22094.403440809005</v>
      </c>
      <c r="M138" s="21">
        <f t="shared" si="35"/>
        <v>2907.8715976781205</v>
      </c>
      <c r="N138" s="21">
        <f t="shared" si="36"/>
        <v>2464.1491120955397</v>
      </c>
      <c r="O138" s="21"/>
      <c r="P138" s="21"/>
      <c r="Q138" s="17">
        <f t="shared" si="37"/>
        <v>18928.314753050498</v>
      </c>
      <c r="R138" s="17">
        <f t="shared" si="39"/>
        <v>2545.88384414345</v>
      </c>
      <c r="S138" s="17">
        <f t="shared" si="38"/>
        <v>2163.2359717772001</v>
      </c>
    </row>
    <row r="139" spans="1:22">
      <c r="A139" s="18" t="s">
        <v>436</v>
      </c>
      <c r="B139" s="22" t="s">
        <v>434</v>
      </c>
      <c r="C139" s="22" t="s">
        <v>1561</v>
      </c>
      <c r="D139" s="23">
        <v>915</v>
      </c>
      <c r="E139" s="23">
        <v>0</v>
      </c>
      <c r="F139" s="21">
        <f t="shared" si="28"/>
        <v>915</v>
      </c>
      <c r="G139" s="21">
        <f t="shared" si="29"/>
        <v>915000</v>
      </c>
      <c r="H139" s="21">
        <f t="shared" si="30"/>
        <v>658800</v>
      </c>
      <c r="I139" s="21">
        <f t="shared" si="31"/>
        <v>41175</v>
      </c>
      <c r="J139" s="21">
        <f t="shared" si="32"/>
        <v>213195</v>
      </c>
      <c r="K139" s="21">
        <f t="shared" si="33"/>
        <v>1830</v>
      </c>
      <c r="L139" s="20">
        <f t="shared" si="34"/>
        <v>14596.663645010996</v>
      </c>
      <c r="M139" s="21">
        <f t="shared" si="35"/>
        <v>1921.0848461194798</v>
      </c>
      <c r="N139" s="21">
        <f t="shared" si="36"/>
        <v>1627.9396661136595</v>
      </c>
      <c r="O139" s="21"/>
      <c r="P139" s="21"/>
      <c r="Q139" s="17">
        <f t="shared" si="37"/>
        <v>12504.987724939501</v>
      </c>
      <c r="R139" s="17">
        <f t="shared" si="39"/>
        <v>1681.9377020875502</v>
      </c>
      <c r="S139" s="17">
        <f t="shared" si="38"/>
        <v>1429.1414542788002</v>
      </c>
    </row>
    <row r="140" spans="1:22">
      <c r="A140" s="18" t="s">
        <v>439</v>
      </c>
      <c r="B140" s="22" t="s">
        <v>434</v>
      </c>
      <c r="C140" s="22" t="s">
        <v>1561</v>
      </c>
      <c r="D140" s="23">
        <v>1359</v>
      </c>
      <c r="E140" s="23">
        <v>1359</v>
      </c>
      <c r="F140" s="21">
        <f t="shared" si="28"/>
        <v>1359</v>
      </c>
      <c r="G140" s="21">
        <f t="shared" si="29"/>
        <v>1359000</v>
      </c>
      <c r="H140" s="21">
        <f t="shared" si="30"/>
        <v>978480</v>
      </c>
      <c r="I140" s="21">
        <f t="shared" si="31"/>
        <v>61155</v>
      </c>
      <c r="J140" s="21">
        <f t="shared" si="32"/>
        <v>316647</v>
      </c>
      <c r="K140" s="21">
        <f t="shared" si="33"/>
        <v>2718</v>
      </c>
      <c r="L140" s="20">
        <f t="shared" si="34"/>
        <v>21679.634856360604</v>
      </c>
      <c r="M140" s="21">
        <f t="shared" si="35"/>
        <v>2853.2833944004078</v>
      </c>
      <c r="N140" s="21">
        <f t="shared" si="36"/>
        <v>2417.8907172114364</v>
      </c>
      <c r="O140" s="21"/>
      <c r="P140" s="21"/>
      <c r="Q140" s="17">
        <f t="shared" si="37"/>
        <v>18572.9817685167</v>
      </c>
      <c r="R140" s="17">
        <f t="shared" si="39"/>
        <v>2498.0910788382298</v>
      </c>
      <c r="S140" s="17">
        <f t="shared" si="38"/>
        <v>2122.6264878304801</v>
      </c>
    </row>
    <row r="141" spans="1:22">
      <c r="A141" s="18" t="s">
        <v>441</v>
      </c>
      <c r="B141" s="22" t="s">
        <v>434</v>
      </c>
      <c r="C141" s="22" t="s">
        <v>1561</v>
      </c>
      <c r="D141" s="23">
        <v>1190</v>
      </c>
      <c r="E141" s="23">
        <v>1854</v>
      </c>
      <c r="F141" s="21">
        <f t="shared" si="28"/>
        <v>1854</v>
      </c>
      <c r="G141" s="21">
        <f t="shared" si="29"/>
        <v>1854000</v>
      </c>
      <c r="H141" s="21">
        <f t="shared" si="30"/>
        <v>1334880</v>
      </c>
      <c r="I141" s="21">
        <f t="shared" si="31"/>
        <v>83430</v>
      </c>
      <c r="J141" s="21">
        <f t="shared" si="32"/>
        <v>431982</v>
      </c>
      <c r="K141" s="21">
        <f t="shared" si="33"/>
        <v>3708</v>
      </c>
      <c r="L141" s="20">
        <f t="shared" si="34"/>
        <v>29576.190598743608</v>
      </c>
      <c r="M141" s="21">
        <f t="shared" si="35"/>
        <v>3892.5588029568489</v>
      </c>
      <c r="N141" s="21">
        <f t="shared" si="36"/>
        <v>3298.5793890434165</v>
      </c>
      <c r="O141" s="21"/>
      <c r="P141" s="21"/>
      <c r="Q141" s="17">
        <f t="shared" si="37"/>
        <v>25337.975127910202</v>
      </c>
      <c r="R141" s="17">
        <f t="shared" si="39"/>
        <v>3407.9918029183796</v>
      </c>
      <c r="S141" s="17">
        <f t="shared" si="38"/>
        <v>2895.76858604688</v>
      </c>
    </row>
    <row r="142" spans="1:22">
      <c r="A142" s="18" t="s">
        <v>444</v>
      </c>
      <c r="B142" s="22" t="s">
        <v>434</v>
      </c>
      <c r="C142" s="22" t="s">
        <v>1561</v>
      </c>
      <c r="D142" s="23">
        <v>1660</v>
      </c>
      <c r="E142" s="23">
        <v>1925</v>
      </c>
      <c r="F142" s="21">
        <f t="shared" si="28"/>
        <v>1925</v>
      </c>
      <c r="G142" s="21">
        <f t="shared" si="29"/>
        <v>1925000</v>
      </c>
      <c r="H142" s="21">
        <f t="shared" si="30"/>
        <v>1386000</v>
      </c>
      <c r="I142" s="21">
        <f t="shared" si="31"/>
        <v>86625</v>
      </c>
      <c r="J142" s="21">
        <f t="shared" si="32"/>
        <v>448525</v>
      </c>
      <c r="K142" s="21">
        <f t="shared" si="33"/>
        <v>3850</v>
      </c>
      <c r="L142" s="20">
        <f t="shared" si="34"/>
        <v>30708.827887045001</v>
      </c>
      <c r="M142" s="21">
        <f t="shared" si="35"/>
        <v>4041.6265888306007</v>
      </c>
      <c r="N142" s="21">
        <f t="shared" si="36"/>
        <v>3424.9003904576998</v>
      </c>
      <c r="O142" s="21"/>
      <c r="P142" s="21"/>
      <c r="Q142" s="17">
        <f t="shared" si="37"/>
        <v>26308.307508752499</v>
      </c>
      <c r="R142" s="17">
        <f t="shared" si="39"/>
        <v>3538.5028158672499</v>
      </c>
      <c r="S142" s="17">
        <f t="shared" si="38"/>
        <v>3006.6637152860003</v>
      </c>
    </row>
    <row r="143" spans="1:22">
      <c r="A143" s="18" t="s">
        <v>447</v>
      </c>
      <c r="B143" s="22" t="s">
        <v>434</v>
      </c>
      <c r="C143" s="22" t="s">
        <v>1561</v>
      </c>
      <c r="D143" s="23">
        <v>4974</v>
      </c>
      <c r="E143" s="23">
        <v>4540</v>
      </c>
      <c r="F143" s="21">
        <f t="shared" si="28"/>
        <v>4974</v>
      </c>
      <c r="G143" s="21">
        <f t="shared" si="29"/>
        <v>4974000</v>
      </c>
      <c r="H143" s="21">
        <f t="shared" si="30"/>
        <v>3581280</v>
      </c>
      <c r="I143" s="21">
        <f t="shared" si="31"/>
        <v>223830</v>
      </c>
      <c r="J143" s="21">
        <f t="shared" si="32"/>
        <v>1158942</v>
      </c>
      <c r="K143" s="21">
        <f t="shared" si="33"/>
        <v>9948</v>
      </c>
      <c r="L143" s="20">
        <f t="shared" si="34"/>
        <v>79348.420732551618</v>
      </c>
      <c r="M143" s="21">
        <f t="shared" si="35"/>
        <v>10443.143196282288</v>
      </c>
      <c r="N143" s="21">
        <f t="shared" si="36"/>
        <v>8849.5867751358965</v>
      </c>
      <c r="O143" s="21"/>
      <c r="P143" s="21"/>
      <c r="Q143" s="17">
        <f t="shared" si="37"/>
        <v>67977.933271966191</v>
      </c>
      <c r="R143" s="17">
        <f t="shared" si="39"/>
        <v>9143.1236395447795</v>
      </c>
      <c r="S143" s="17">
        <f t="shared" si="38"/>
        <v>7768.9066596532803</v>
      </c>
    </row>
    <row r="144" spans="1:22">
      <c r="A144" s="18" t="s">
        <v>450</v>
      </c>
      <c r="B144" s="22" t="s">
        <v>434</v>
      </c>
      <c r="C144" s="22" t="s">
        <v>1561</v>
      </c>
      <c r="D144" s="23">
        <v>1271</v>
      </c>
      <c r="E144" s="23">
        <v>1570</v>
      </c>
      <c r="F144" s="21">
        <f t="shared" si="28"/>
        <v>1570</v>
      </c>
      <c r="G144" s="21">
        <f t="shared" si="29"/>
        <v>1570000</v>
      </c>
      <c r="H144" s="21">
        <f t="shared" si="30"/>
        <v>1130400</v>
      </c>
      <c r="I144" s="21">
        <f t="shared" si="31"/>
        <v>70650</v>
      </c>
      <c r="J144" s="21">
        <f t="shared" si="32"/>
        <v>365810</v>
      </c>
      <c r="K144" s="21">
        <f t="shared" si="33"/>
        <v>3140</v>
      </c>
      <c r="L144" s="20">
        <f t="shared" si="34"/>
        <v>25045.641445538</v>
      </c>
      <c r="M144" s="21">
        <f t="shared" si="35"/>
        <v>3296.2876594618401</v>
      </c>
      <c r="N144" s="21">
        <f t="shared" si="36"/>
        <v>2793.2953833862798</v>
      </c>
      <c r="O144" s="21"/>
      <c r="P144" s="21"/>
      <c r="Q144" s="17">
        <f t="shared" si="37"/>
        <v>21456.645604541001</v>
      </c>
      <c r="R144" s="17">
        <f t="shared" si="39"/>
        <v>2885.9477511228997</v>
      </c>
      <c r="S144" s="17">
        <f t="shared" si="38"/>
        <v>2452.1880690903999</v>
      </c>
    </row>
    <row r="145" spans="1:22">
      <c r="A145" s="18" t="s">
        <v>453</v>
      </c>
      <c r="B145" s="22" t="s">
        <v>434</v>
      </c>
      <c r="C145" s="22" t="s">
        <v>1561</v>
      </c>
      <c r="D145" s="23">
        <v>989</v>
      </c>
      <c r="E145" s="23">
        <v>1549</v>
      </c>
      <c r="F145" s="21">
        <f t="shared" si="28"/>
        <v>1549</v>
      </c>
      <c r="G145" s="21">
        <f t="shared" si="29"/>
        <v>1549000</v>
      </c>
      <c r="H145" s="21">
        <f t="shared" si="30"/>
        <v>1115280</v>
      </c>
      <c r="I145" s="21">
        <f t="shared" si="31"/>
        <v>69705</v>
      </c>
      <c r="J145" s="21">
        <f t="shared" si="32"/>
        <v>360917</v>
      </c>
      <c r="K145" s="21">
        <f t="shared" si="33"/>
        <v>3098</v>
      </c>
      <c r="L145" s="20">
        <f t="shared" si="34"/>
        <v>24710.636050406596</v>
      </c>
      <c r="M145" s="21">
        <f t="shared" si="35"/>
        <v>3252.197187583688</v>
      </c>
      <c r="N145" s="21">
        <f t="shared" si="36"/>
        <v>2755.932833672196</v>
      </c>
      <c r="O145" s="21"/>
      <c r="P145" s="21"/>
      <c r="Q145" s="17">
        <f t="shared" si="37"/>
        <v>21169.645886263701</v>
      </c>
      <c r="R145" s="17">
        <f t="shared" si="39"/>
        <v>2847.3459022225306</v>
      </c>
      <c r="S145" s="17">
        <f t="shared" si="38"/>
        <v>2419.3881012872803</v>
      </c>
    </row>
    <row r="146" spans="1:22">
      <c r="A146" s="18" t="s">
        <v>456</v>
      </c>
      <c r="B146" s="22" t="s">
        <v>434</v>
      </c>
      <c r="C146" s="22" t="s">
        <v>1561</v>
      </c>
      <c r="D146" s="23">
        <v>1430</v>
      </c>
      <c r="E146" s="23">
        <v>1430</v>
      </c>
      <c r="F146" s="21">
        <f t="shared" si="28"/>
        <v>1430</v>
      </c>
      <c r="G146" s="21">
        <f t="shared" si="29"/>
        <v>1430000</v>
      </c>
      <c r="H146" s="21">
        <f t="shared" si="30"/>
        <v>1029600</v>
      </c>
      <c r="I146" s="21">
        <f t="shared" si="31"/>
        <v>64350</v>
      </c>
      <c r="J146" s="21">
        <f t="shared" si="32"/>
        <v>333190</v>
      </c>
      <c r="K146" s="21">
        <f t="shared" si="33"/>
        <v>2860</v>
      </c>
      <c r="L146" s="20">
        <f t="shared" si="34"/>
        <v>22812.272144662002</v>
      </c>
      <c r="M146" s="21">
        <f t="shared" si="35"/>
        <v>3002.3511802741596</v>
      </c>
      <c r="N146" s="21">
        <f t="shared" si="36"/>
        <v>2544.2117186257196</v>
      </c>
      <c r="O146" s="21"/>
      <c r="P146" s="21"/>
      <c r="Q146" s="17">
        <f t="shared" si="37"/>
        <v>19543.314149358997</v>
      </c>
      <c r="R146" s="17">
        <f t="shared" si="39"/>
        <v>2628.6020917871001</v>
      </c>
      <c r="S146" s="17">
        <f t="shared" si="38"/>
        <v>2233.5216170696003</v>
      </c>
    </row>
    <row r="147" spans="1:22">
      <c r="A147" s="18" t="s">
        <v>459</v>
      </c>
      <c r="B147" s="22" t="s">
        <v>434</v>
      </c>
      <c r="C147" s="22" t="s">
        <v>1561</v>
      </c>
      <c r="D147" s="23">
        <v>9985</v>
      </c>
      <c r="E147" s="23">
        <v>0</v>
      </c>
      <c r="F147" s="21">
        <f t="shared" si="28"/>
        <v>9985</v>
      </c>
      <c r="G147" s="21">
        <f t="shared" si="29"/>
        <v>9985000</v>
      </c>
      <c r="H147" s="21">
        <f t="shared" si="30"/>
        <v>7189200</v>
      </c>
      <c r="I147" s="21">
        <f t="shared" si="31"/>
        <v>449325</v>
      </c>
      <c r="J147" s="21">
        <f t="shared" si="32"/>
        <v>2326505</v>
      </c>
      <c r="K147" s="21">
        <f t="shared" si="33"/>
        <v>19970</v>
      </c>
      <c r="L147" s="20">
        <f t="shared" si="34"/>
        <v>159287.089066049</v>
      </c>
      <c r="M147" s="21">
        <f t="shared" si="35"/>
        <v>20963.96960492132</v>
      </c>
      <c r="N147" s="21">
        <f t="shared" si="36"/>
        <v>17765.002804529937</v>
      </c>
      <c r="O147" s="21"/>
      <c r="P147" s="21"/>
      <c r="Q147" s="17">
        <f t="shared" si="37"/>
        <v>136461.5327142305</v>
      </c>
      <c r="R147" s="17">
        <f t="shared" si="39"/>
        <v>18354.260060485449</v>
      </c>
      <c r="S147" s="17">
        <f t="shared" si="38"/>
        <v>15595.603738769199</v>
      </c>
    </row>
    <row r="148" spans="1:22">
      <c r="A148" s="18" t="s">
        <v>462</v>
      </c>
      <c r="B148" s="22" t="s">
        <v>434</v>
      </c>
      <c r="C148" s="22" t="s">
        <v>1561</v>
      </c>
      <c r="D148" s="23">
        <v>1074</v>
      </c>
      <c r="E148" s="23">
        <v>1625</v>
      </c>
      <c r="F148" s="21">
        <f t="shared" si="28"/>
        <v>1625</v>
      </c>
      <c r="G148" s="21">
        <f t="shared" si="29"/>
        <v>1625000</v>
      </c>
      <c r="H148" s="21">
        <f t="shared" si="30"/>
        <v>1170000</v>
      </c>
      <c r="I148" s="21">
        <f t="shared" si="31"/>
        <v>73125</v>
      </c>
      <c r="J148" s="21">
        <f t="shared" si="32"/>
        <v>378625</v>
      </c>
      <c r="K148" s="21">
        <f t="shared" si="33"/>
        <v>3250</v>
      </c>
      <c r="L148" s="20">
        <f t="shared" si="34"/>
        <v>25923.036528025001</v>
      </c>
      <c r="M148" s="21">
        <f t="shared" si="35"/>
        <v>3411.7627048570007</v>
      </c>
      <c r="N148" s="21">
        <f t="shared" si="36"/>
        <v>2891.1496802564998</v>
      </c>
      <c r="O148" s="21"/>
      <c r="P148" s="21"/>
      <c r="Q148" s="17">
        <f t="shared" si="37"/>
        <v>22208.311533362499</v>
      </c>
      <c r="R148" s="17">
        <f t="shared" si="39"/>
        <v>2987.0478315762502</v>
      </c>
      <c r="S148" s="17">
        <f t="shared" si="38"/>
        <v>2538.0927466700005</v>
      </c>
    </row>
    <row r="149" spans="1:22">
      <c r="A149" s="18" t="s">
        <v>465</v>
      </c>
      <c r="B149" s="22" t="s">
        <v>434</v>
      </c>
      <c r="C149" s="22" t="s">
        <v>1561</v>
      </c>
      <c r="D149" s="23">
        <v>1964</v>
      </c>
      <c r="E149" s="23">
        <v>0</v>
      </c>
      <c r="F149" s="21">
        <f t="shared" si="28"/>
        <v>1964</v>
      </c>
      <c r="G149" s="21">
        <f t="shared" si="29"/>
        <v>1964000</v>
      </c>
      <c r="H149" s="21">
        <f t="shared" si="30"/>
        <v>1414080</v>
      </c>
      <c r="I149" s="21">
        <f t="shared" si="31"/>
        <v>88380</v>
      </c>
      <c r="J149" s="21">
        <f t="shared" si="32"/>
        <v>457612</v>
      </c>
      <c r="K149" s="21">
        <f t="shared" si="33"/>
        <v>3928</v>
      </c>
      <c r="L149" s="20">
        <f t="shared" si="34"/>
        <v>31330.980763717598</v>
      </c>
      <c r="M149" s="21">
        <f t="shared" si="35"/>
        <v>4123.5088937471683</v>
      </c>
      <c r="N149" s="21">
        <f t="shared" si="36"/>
        <v>3494.287982783856</v>
      </c>
      <c r="O149" s="21"/>
      <c r="P149" s="21"/>
      <c r="Q149" s="17">
        <f t="shared" si="37"/>
        <v>26841.306985553201</v>
      </c>
      <c r="R149" s="17">
        <f t="shared" si="39"/>
        <v>3610.1919638250802</v>
      </c>
      <c r="S149" s="17">
        <f t="shared" si="38"/>
        <v>3067.5779412060806</v>
      </c>
    </row>
    <row r="150" spans="1:22">
      <c r="A150" s="18" t="s">
        <v>468</v>
      </c>
      <c r="B150" s="22" t="s">
        <v>434</v>
      </c>
      <c r="C150" s="22" t="s">
        <v>1561</v>
      </c>
      <c r="D150" s="23">
        <v>5048</v>
      </c>
      <c r="E150" s="23">
        <v>550</v>
      </c>
      <c r="F150" s="21">
        <f t="shared" si="28"/>
        <v>5048</v>
      </c>
      <c r="G150" s="21">
        <f t="shared" si="29"/>
        <v>5048000</v>
      </c>
      <c r="H150" s="21">
        <f t="shared" si="30"/>
        <v>3634560</v>
      </c>
      <c r="I150" s="21">
        <f t="shared" si="31"/>
        <v>227160</v>
      </c>
      <c r="J150" s="21">
        <f t="shared" si="32"/>
        <v>1176184</v>
      </c>
      <c r="K150" s="21">
        <f t="shared" si="33"/>
        <v>10096</v>
      </c>
      <c r="L150" s="20">
        <f t="shared" si="34"/>
        <v>80528.915934443183</v>
      </c>
      <c r="M150" s="21">
        <f t="shared" si="35"/>
        <v>10598.509620995777</v>
      </c>
      <c r="N150" s="21">
        <f t="shared" si="36"/>
        <v>8981.2452836521898</v>
      </c>
      <c r="O150" s="21"/>
      <c r="P150" s="21"/>
      <c r="Q150" s="17">
        <f t="shared" si="37"/>
        <v>68989.265612562405</v>
      </c>
      <c r="R150" s="17">
        <f t="shared" si="39"/>
        <v>9279.149202336559</v>
      </c>
      <c r="S150" s="17">
        <f t="shared" si="38"/>
        <v>7884.4874985785618</v>
      </c>
    </row>
    <row r="151" spans="1:22">
      <c r="A151" s="18" t="s">
        <v>471</v>
      </c>
      <c r="B151" s="22" t="s">
        <v>434</v>
      </c>
      <c r="C151" s="22" t="s">
        <v>1561</v>
      </c>
      <c r="D151" s="23">
        <v>1685</v>
      </c>
      <c r="E151" s="23">
        <v>0</v>
      </c>
      <c r="F151" s="21">
        <f t="shared" si="28"/>
        <v>1685</v>
      </c>
      <c r="G151" s="21">
        <f t="shared" si="29"/>
        <v>1685000</v>
      </c>
      <c r="H151" s="21">
        <f t="shared" si="30"/>
        <v>1213200</v>
      </c>
      <c r="I151" s="21">
        <f t="shared" si="31"/>
        <v>75825</v>
      </c>
      <c r="J151" s="21">
        <f t="shared" si="32"/>
        <v>392605</v>
      </c>
      <c r="K151" s="21">
        <f t="shared" si="33"/>
        <v>3370</v>
      </c>
      <c r="L151" s="20">
        <f t="shared" si="34"/>
        <v>26880.194799829002</v>
      </c>
      <c r="M151" s="21">
        <f t="shared" si="35"/>
        <v>3537.73548165172</v>
      </c>
      <c r="N151" s="21">
        <f t="shared" si="36"/>
        <v>2997.8998222967393</v>
      </c>
      <c r="O151" s="21"/>
      <c r="P151" s="21"/>
      <c r="Q151" s="17">
        <f t="shared" si="37"/>
        <v>23028.310728440501</v>
      </c>
      <c r="R151" s="17">
        <f t="shared" si="39"/>
        <v>3097.3388284344501</v>
      </c>
      <c r="S151" s="17">
        <f t="shared" si="38"/>
        <v>2631.8069403932</v>
      </c>
    </row>
    <row r="152" spans="1:22">
      <c r="A152" s="18" t="s">
        <v>474</v>
      </c>
      <c r="B152" s="22" t="s">
        <v>434</v>
      </c>
      <c r="C152" s="22" t="s">
        <v>1561</v>
      </c>
      <c r="D152" s="23">
        <v>1751</v>
      </c>
      <c r="E152" s="23">
        <v>2417</v>
      </c>
      <c r="F152" s="21">
        <f t="shared" si="28"/>
        <v>2417</v>
      </c>
      <c r="G152" s="21">
        <f t="shared" si="29"/>
        <v>2417000</v>
      </c>
      <c r="H152" s="21">
        <f t="shared" si="30"/>
        <v>1740240</v>
      </c>
      <c r="I152" s="21">
        <f t="shared" si="31"/>
        <v>108765</v>
      </c>
      <c r="J152" s="21">
        <f t="shared" si="32"/>
        <v>563161</v>
      </c>
      <c r="K152" s="21">
        <f t="shared" si="33"/>
        <v>4834</v>
      </c>
      <c r="L152" s="20">
        <f t="shared" si="34"/>
        <v>38557.525715837801</v>
      </c>
      <c r="M152" s="21">
        <f t="shared" si="35"/>
        <v>5074.6033585473042</v>
      </c>
      <c r="N152" s="21">
        <f t="shared" si="36"/>
        <v>4300.2515551876677</v>
      </c>
      <c r="O152" s="21"/>
      <c r="P152" s="21"/>
      <c r="Q152" s="17">
        <f t="shared" si="37"/>
        <v>33032.300908392106</v>
      </c>
      <c r="R152" s="17">
        <f t="shared" si="39"/>
        <v>4442.8889901044904</v>
      </c>
      <c r="S152" s="17">
        <f t="shared" si="38"/>
        <v>3775.1201038162403</v>
      </c>
    </row>
    <row r="153" spans="1:22">
      <c r="A153" s="18" t="s">
        <v>477</v>
      </c>
      <c r="B153" s="22" t="s">
        <v>434</v>
      </c>
      <c r="C153" s="22" t="s">
        <v>1561</v>
      </c>
      <c r="D153" s="23">
        <v>1605</v>
      </c>
      <c r="E153" s="23">
        <v>1645</v>
      </c>
      <c r="F153" s="21">
        <f t="shared" si="28"/>
        <v>1645</v>
      </c>
      <c r="G153" s="21">
        <f t="shared" si="29"/>
        <v>1645000</v>
      </c>
      <c r="H153" s="21">
        <f t="shared" si="30"/>
        <v>1184400</v>
      </c>
      <c r="I153" s="21">
        <f t="shared" si="31"/>
        <v>74025</v>
      </c>
      <c r="J153" s="21">
        <f t="shared" si="32"/>
        <v>383285</v>
      </c>
      <c r="K153" s="21">
        <f t="shared" si="33"/>
        <v>3290</v>
      </c>
      <c r="L153" s="20">
        <f t="shared" si="34"/>
        <v>26242.089285293005</v>
      </c>
      <c r="M153" s="21">
        <f t="shared" si="35"/>
        <v>3453.7536304552395</v>
      </c>
      <c r="N153" s="21">
        <f t="shared" si="36"/>
        <v>2926.7330609365795</v>
      </c>
      <c r="O153" s="21"/>
      <c r="P153" s="21"/>
      <c r="Q153" s="17">
        <f t="shared" si="37"/>
        <v>22481.644598388495</v>
      </c>
      <c r="R153" s="17">
        <f t="shared" si="39"/>
        <v>3023.8114971956497</v>
      </c>
      <c r="S153" s="17">
        <f t="shared" si="38"/>
        <v>2569.3308112444006</v>
      </c>
    </row>
    <row r="154" spans="1:22">
      <c r="A154" s="18" t="s">
        <v>480</v>
      </c>
      <c r="B154" s="22" t="s">
        <v>434</v>
      </c>
      <c r="C154" s="22" t="s">
        <v>1561</v>
      </c>
      <c r="D154" s="23">
        <v>1309</v>
      </c>
      <c r="E154" s="23">
        <v>1672</v>
      </c>
      <c r="F154" s="21">
        <f t="shared" si="28"/>
        <v>1672</v>
      </c>
      <c r="G154" s="21">
        <f t="shared" si="29"/>
        <v>1672000</v>
      </c>
      <c r="H154" s="21">
        <f t="shared" si="30"/>
        <v>1203840</v>
      </c>
      <c r="I154" s="21">
        <f t="shared" si="31"/>
        <v>75240</v>
      </c>
      <c r="J154" s="21">
        <f t="shared" si="32"/>
        <v>389576</v>
      </c>
      <c r="K154" s="21">
        <f t="shared" si="33"/>
        <v>3344</v>
      </c>
      <c r="L154" s="20">
        <f t="shared" si="34"/>
        <v>26672.810507604798</v>
      </c>
      <c r="M154" s="21">
        <f t="shared" si="35"/>
        <v>3510.4413800128641</v>
      </c>
      <c r="N154" s="21">
        <f t="shared" si="36"/>
        <v>2974.7706248546874</v>
      </c>
      <c r="O154" s="21"/>
      <c r="P154" s="21"/>
      <c r="Q154" s="17">
        <f t="shared" si="37"/>
        <v>22850.644236173601</v>
      </c>
      <c r="R154" s="17">
        <f t="shared" si="39"/>
        <v>3073.4424457818395</v>
      </c>
      <c r="S154" s="17">
        <f t="shared" si="38"/>
        <v>2611.5021984198402</v>
      </c>
    </row>
    <row r="155" spans="1:22">
      <c r="A155" s="18" t="s">
        <v>483</v>
      </c>
      <c r="B155" s="22" t="s">
        <v>434</v>
      </c>
      <c r="C155" s="22" t="s">
        <v>1561</v>
      </c>
      <c r="D155" s="23">
        <v>1521</v>
      </c>
      <c r="E155" s="23">
        <v>0</v>
      </c>
      <c r="F155" s="21">
        <f t="shared" si="28"/>
        <v>1521</v>
      </c>
      <c r="G155" s="21">
        <f t="shared" si="29"/>
        <v>1521000</v>
      </c>
      <c r="H155" s="21">
        <f t="shared" si="30"/>
        <v>1095120</v>
      </c>
      <c r="I155" s="21">
        <f t="shared" si="31"/>
        <v>68445</v>
      </c>
      <c r="J155" s="21">
        <f t="shared" si="32"/>
        <v>354393</v>
      </c>
      <c r="K155" s="21">
        <f t="shared" si="33"/>
        <v>3042</v>
      </c>
      <c r="L155" s="20">
        <f t="shared" si="34"/>
        <v>24263.962190231396</v>
      </c>
      <c r="M155" s="21">
        <f t="shared" si="35"/>
        <v>3193.4098917461511</v>
      </c>
      <c r="N155" s="21">
        <f t="shared" si="36"/>
        <v>2706.1161007200835</v>
      </c>
      <c r="O155" s="21"/>
      <c r="P155" s="21"/>
      <c r="Q155" s="17">
        <f t="shared" si="37"/>
        <v>20786.979595227302</v>
      </c>
      <c r="R155" s="17">
        <f t="shared" si="39"/>
        <v>2795.8767703553699</v>
      </c>
      <c r="S155" s="17">
        <f t="shared" si="38"/>
        <v>2375.6548108831207</v>
      </c>
    </row>
    <row r="156" spans="1:22" s="27" customFormat="1">
      <c r="A156" s="18" t="s">
        <v>486</v>
      </c>
      <c r="B156" s="24" t="s">
        <v>488</v>
      </c>
      <c r="C156" s="24" t="s">
        <v>1561</v>
      </c>
      <c r="D156" s="25">
        <v>1945</v>
      </c>
      <c r="E156" s="25">
        <v>2779</v>
      </c>
      <c r="F156" s="26">
        <f t="shared" si="28"/>
        <v>2779</v>
      </c>
      <c r="G156" s="21">
        <f t="shared" si="29"/>
        <v>2779000</v>
      </c>
      <c r="H156" s="21">
        <f t="shared" si="30"/>
        <v>2000880</v>
      </c>
      <c r="I156" s="21">
        <f t="shared" si="31"/>
        <v>125055</v>
      </c>
      <c r="J156" s="21">
        <f t="shared" si="32"/>
        <v>647507</v>
      </c>
      <c r="K156" s="21">
        <f t="shared" si="33"/>
        <v>5558</v>
      </c>
      <c r="L156" s="20">
        <f t="shared" si="34"/>
        <v>44332.380622388599</v>
      </c>
      <c r="M156" s="21">
        <f t="shared" si="35"/>
        <v>5834.6391118754482</v>
      </c>
      <c r="N156" s="21">
        <f t="shared" si="36"/>
        <v>4944.3107454971159</v>
      </c>
      <c r="O156" s="26"/>
      <c r="P156" s="26"/>
      <c r="Q156" s="17">
        <f t="shared" si="37"/>
        <v>37979.629385362699</v>
      </c>
      <c r="R156" s="17">
        <f t="shared" si="39"/>
        <v>5108.3113378156295</v>
      </c>
      <c r="S156" s="17">
        <f t="shared" si="38"/>
        <v>4340.5290726128796</v>
      </c>
      <c r="T156" s="17"/>
      <c r="U156" s="17"/>
      <c r="V156" s="17"/>
    </row>
    <row r="157" spans="1:22" s="27" customFormat="1">
      <c r="A157" s="18" t="s">
        <v>490</v>
      </c>
      <c r="B157" s="24" t="s">
        <v>488</v>
      </c>
      <c r="C157" s="24" t="s">
        <v>1561</v>
      </c>
      <c r="D157" s="25">
        <v>1325</v>
      </c>
      <c r="E157" s="25">
        <v>1325</v>
      </c>
      <c r="F157" s="26">
        <f t="shared" si="28"/>
        <v>1325</v>
      </c>
      <c r="G157" s="21">
        <f t="shared" si="29"/>
        <v>1325000</v>
      </c>
      <c r="H157" s="21">
        <f t="shared" si="30"/>
        <v>954000</v>
      </c>
      <c r="I157" s="21">
        <f t="shared" si="31"/>
        <v>59625</v>
      </c>
      <c r="J157" s="21">
        <f t="shared" si="32"/>
        <v>308725</v>
      </c>
      <c r="K157" s="21">
        <f t="shared" si="33"/>
        <v>2650</v>
      </c>
      <c r="L157" s="20">
        <f t="shared" si="34"/>
        <v>21137.245169005</v>
      </c>
      <c r="M157" s="21">
        <f t="shared" si="35"/>
        <v>2781.8988208834003</v>
      </c>
      <c r="N157" s="21">
        <f t="shared" si="36"/>
        <v>2357.3989700553002</v>
      </c>
      <c r="O157" s="26"/>
      <c r="P157" s="26"/>
      <c r="Q157" s="17">
        <f t="shared" si="37"/>
        <v>18108.315557972499</v>
      </c>
      <c r="R157" s="17">
        <f t="shared" si="39"/>
        <v>2435.5928472852502</v>
      </c>
      <c r="S157" s="17">
        <f t="shared" si="38"/>
        <v>2069.5217780539997</v>
      </c>
      <c r="T157" s="17"/>
      <c r="U157" s="17"/>
      <c r="V157" s="17"/>
    </row>
    <row r="158" spans="1:22" s="27" customFormat="1">
      <c r="A158" s="18" t="s">
        <v>493</v>
      </c>
      <c r="B158" s="24" t="s">
        <v>488</v>
      </c>
      <c r="C158" s="24" t="s">
        <v>1561</v>
      </c>
      <c r="D158" s="25">
        <v>2968</v>
      </c>
      <c r="E158" s="25">
        <v>2767</v>
      </c>
      <c r="F158" s="26">
        <f t="shared" si="28"/>
        <v>2968</v>
      </c>
      <c r="G158" s="21">
        <f t="shared" si="29"/>
        <v>2968000</v>
      </c>
      <c r="H158" s="21">
        <f t="shared" si="30"/>
        <v>2136960</v>
      </c>
      <c r="I158" s="21">
        <f t="shared" si="31"/>
        <v>133560</v>
      </c>
      <c r="J158" s="21">
        <f t="shared" si="32"/>
        <v>691544</v>
      </c>
      <c r="K158" s="21">
        <f t="shared" si="33"/>
        <v>5936</v>
      </c>
      <c r="L158" s="20">
        <f t="shared" si="34"/>
        <v>47347.429178571205</v>
      </c>
      <c r="M158" s="21">
        <f t="shared" si="35"/>
        <v>6231.4533587788155</v>
      </c>
      <c r="N158" s="21">
        <f t="shared" si="36"/>
        <v>5280.5736929238728</v>
      </c>
      <c r="O158" s="26"/>
      <c r="P158" s="26"/>
      <c r="Q158" s="17">
        <f t="shared" si="37"/>
        <v>40562.626849858403</v>
      </c>
      <c r="R158" s="17">
        <f t="shared" si="39"/>
        <v>5455.7279779189594</v>
      </c>
      <c r="S158" s="17">
        <f t="shared" si="38"/>
        <v>4635.7287828409608</v>
      </c>
      <c r="T158" s="17"/>
      <c r="U158" s="17"/>
      <c r="V158" s="17"/>
    </row>
    <row r="159" spans="1:22" s="27" customFormat="1">
      <c r="A159" s="18" t="s">
        <v>496</v>
      </c>
      <c r="B159" s="24" t="s">
        <v>488</v>
      </c>
      <c r="C159" s="24" t="s">
        <v>1561</v>
      </c>
      <c r="D159" s="25">
        <v>3414</v>
      </c>
      <c r="E159" s="25">
        <v>3414</v>
      </c>
      <c r="F159" s="26">
        <f t="shared" si="28"/>
        <v>3414</v>
      </c>
      <c r="G159" s="21">
        <f t="shared" si="29"/>
        <v>3414000</v>
      </c>
      <c r="H159" s="21">
        <f t="shared" si="30"/>
        <v>2458080</v>
      </c>
      <c r="I159" s="21">
        <f t="shared" si="31"/>
        <v>153630</v>
      </c>
      <c r="J159" s="21">
        <f t="shared" si="32"/>
        <v>795462</v>
      </c>
      <c r="K159" s="21">
        <f t="shared" si="33"/>
        <v>6828</v>
      </c>
      <c r="L159" s="20">
        <f t="shared" si="34"/>
        <v>54462.305665647596</v>
      </c>
      <c r="M159" s="21">
        <f t="shared" si="35"/>
        <v>7167.850999619568</v>
      </c>
      <c r="N159" s="21">
        <f t="shared" si="36"/>
        <v>6074.0830820896563</v>
      </c>
      <c r="O159" s="26"/>
      <c r="P159" s="26"/>
      <c r="Q159" s="17">
        <f t="shared" si="37"/>
        <v>46657.954199938198</v>
      </c>
      <c r="R159" s="17">
        <f t="shared" si="39"/>
        <v>6275.5577212315802</v>
      </c>
      <c r="S159" s="17">
        <f t="shared" si="38"/>
        <v>5332.3376228500802</v>
      </c>
      <c r="T159" s="17"/>
      <c r="U159" s="17"/>
      <c r="V159" s="17"/>
    </row>
    <row r="160" spans="1:22" s="27" customFormat="1">
      <c r="A160" s="18" t="s">
        <v>499</v>
      </c>
      <c r="B160" s="24" t="s">
        <v>488</v>
      </c>
      <c r="C160" s="24" t="s">
        <v>1561</v>
      </c>
      <c r="D160" s="25">
        <v>3015</v>
      </c>
      <c r="E160" s="25">
        <v>0</v>
      </c>
      <c r="F160" s="26">
        <f t="shared" si="28"/>
        <v>3015</v>
      </c>
      <c r="G160" s="21">
        <f t="shared" si="29"/>
        <v>3015000</v>
      </c>
      <c r="H160" s="21">
        <f t="shared" si="30"/>
        <v>2170800</v>
      </c>
      <c r="I160" s="21">
        <f t="shared" si="31"/>
        <v>135675</v>
      </c>
      <c r="J160" s="21">
        <f t="shared" si="32"/>
        <v>702495</v>
      </c>
      <c r="K160" s="21">
        <f t="shared" si="33"/>
        <v>6030</v>
      </c>
      <c r="L160" s="20">
        <f t="shared" si="34"/>
        <v>48097.203158151002</v>
      </c>
      <c r="M160" s="21">
        <f t="shared" si="35"/>
        <v>6330.1320339346803</v>
      </c>
      <c r="N160" s="21">
        <f t="shared" si="36"/>
        <v>5364.1946375220605</v>
      </c>
      <c r="O160" s="26"/>
      <c r="P160" s="26"/>
      <c r="Q160" s="17">
        <f t="shared" si="37"/>
        <v>41204.959552669505</v>
      </c>
      <c r="R160" s="17">
        <f t="shared" si="39"/>
        <v>5542.1225921245496</v>
      </c>
      <c r="S160" s="17">
        <f t="shared" si="38"/>
        <v>4709.1382345908005</v>
      </c>
      <c r="T160" s="17"/>
      <c r="U160" s="17"/>
      <c r="V160" s="17"/>
    </row>
    <row r="161" spans="1:22" s="27" customFormat="1">
      <c r="A161" s="18" t="s">
        <v>502</v>
      </c>
      <c r="B161" s="24" t="s">
        <v>488</v>
      </c>
      <c r="C161" s="24" t="s">
        <v>1561</v>
      </c>
      <c r="D161" s="25">
        <v>3965</v>
      </c>
      <c r="E161" s="25">
        <v>4205</v>
      </c>
      <c r="F161" s="26">
        <f t="shared" si="28"/>
        <v>4205</v>
      </c>
      <c r="G161" s="21">
        <f t="shared" si="29"/>
        <v>4205000</v>
      </c>
      <c r="H161" s="21">
        <f t="shared" si="30"/>
        <v>3027600</v>
      </c>
      <c r="I161" s="21">
        <f t="shared" si="31"/>
        <v>189225</v>
      </c>
      <c r="J161" s="21">
        <f t="shared" si="32"/>
        <v>979765</v>
      </c>
      <c r="K161" s="21">
        <f t="shared" si="33"/>
        <v>8410</v>
      </c>
      <c r="L161" s="20">
        <f t="shared" si="34"/>
        <v>67080.842215596989</v>
      </c>
      <c r="M161" s="21">
        <f t="shared" si="35"/>
        <v>8828.5921070299592</v>
      </c>
      <c r="N161" s="21">
        <f t="shared" si="36"/>
        <v>7481.4057879868205</v>
      </c>
      <c r="O161" s="26"/>
      <c r="P161" s="26"/>
      <c r="Q161" s="17">
        <f t="shared" si="37"/>
        <v>57468.276921716504</v>
      </c>
      <c r="R161" s="17">
        <f t="shared" si="39"/>
        <v>7729.5606964788503</v>
      </c>
      <c r="S161" s="17">
        <f t="shared" si="38"/>
        <v>6567.8030767676009</v>
      </c>
      <c r="T161" s="17"/>
      <c r="U161" s="17"/>
      <c r="V161" s="17"/>
    </row>
    <row r="162" spans="1:22" s="27" customFormat="1">
      <c r="A162" s="18" t="s">
        <v>505</v>
      </c>
      <c r="B162" s="24" t="s">
        <v>488</v>
      </c>
      <c r="C162" s="24" t="s">
        <v>1561</v>
      </c>
      <c r="D162" s="25">
        <v>2920</v>
      </c>
      <c r="E162" s="25">
        <v>2920</v>
      </c>
      <c r="F162" s="26">
        <f t="shared" si="28"/>
        <v>2920</v>
      </c>
      <c r="G162" s="21">
        <f t="shared" si="29"/>
        <v>2920000</v>
      </c>
      <c r="H162" s="21">
        <f t="shared" si="30"/>
        <v>2102400</v>
      </c>
      <c r="I162" s="21">
        <f t="shared" si="31"/>
        <v>131400</v>
      </c>
      <c r="J162" s="21">
        <f t="shared" si="32"/>
        <v>680360</v>
      </c>
      <c r="K162" s="21">
        <f t="shared" si="33"/>
        <v>5840</v>
      </c>
      <c r="L162" s="20">
        <f t="shared" si="34"/>
        <v>46581.702561128004</v>
      </c>
      <c r="M162" s="21">
        <f t="shared" si="35"/>
        <v>6130.6751373430407</v>
      </c>
      <c r="N162" s="21">
        <f t="shared" si="36"/>
        <v>5195.1735792916807</v>
      </c>
      <c r="O162" s="26"/>
      <c r="P162" s="26"/>
      <c r="Q162" s="17">
        <f t="shared" si="37"/>
        <v>39906.627493795997</v>
      </c>
      <c r="R162" s="17">
        <f t="shared" si="39"/>
        <v>5367.495180432401</v>
      </c>
      <c r="S162" s="17">
        <f t="shared" si="38"/>
        <v>4560.7574278624015</v>
      </c>
      <c r="T162" s="17"/>
      <c r="U162" s="17"/>
      <c r="V162" s="17"/>
    </row>
    <row r="163" spans="1:22" s="27" customFormat="1">
      <c r="A163" s="18" t="s">
        <v>508</v>
      </c>
      <c r="B163" s="24" t="s">
        <v>488</v>
      </c>
      <c r="C163" s="24" t="s">
        <v>1561</v>
      </c>
      <c r="D163" s="25">
        <v>1083</v>
      </c>
      <c r="E163" s="25">
        <v>0</v>
      </c>
      <c r="F163" s="26">
        <f t="shared" si="28"/>
        <v>1083</v>
      </c>
      <c r="G163" s="21">
        <f t="shared" si="29"/>
        <v>1083000</v>
      </c>
      <c r="H163" s="21">
        <f t="shared" si="30"/>
        <v>779760</v>
      </c>
      <c r="I163" s="21">
        <f t="shared" si="31"/>
        <v>48735</v>
      </c>
      <c r="J163" s="21">
        <f t="shared" si="32"/>
        <v>252339</v>
      </c>
      <c r="K163" s="21">
        <f t="shared" si="33"/>
        <v>2166</v>
      </c>
      <c r="L163" s="20">
        <f t="shared" si="34"/>
        <v>17276.7068060622</v>
      </c>
      <c r="M163" s="21">
        <f t="shared" si="35"/>
        <v>2273.8086211446966</v>
      </c>
      <c r="N163" s="21">
        <f t="shared" si="36"/>
        <v>1926.840063826332</v>
      </c>
      <c r="O163" s="26"/>
      <c r="P163" s="26"/>
      <c r="Q163" s="17">
        <f t="shared" si="37"/>
        <v>14800.985471157901</v>
      </c>
      <c r="R163" s="17">
        <f t="shared" si="39"/>
        <v>1990.7524932905096</v>
      </c>
      <c r="S163" s="17">
        <f t="shared" si="38"/>
        <v>1691.5411967037601</v>
      </c>
      <c r="T163" s="17"/>
      <c r="U163" s="17"/>
      <c r="V163" s="17"/>
    </row>
    <row r="164" spans="1:22" s="27" customFormat="1">
      <c r="A164" s="18" t="s">
        <v>511</v>
      </c>
      <c r="B164" s="24" t="s">
        <v>488</v>
      </c>
      <c r="C164" s="24" t="s">
        <v>1561</v>
      </c>
      <c r="D164" s="25">
        <v>2229</v>
      </c>
      <c r="E164" s="25">
        <v>0</v>
      </c>
      <c r="F164" s="26">
        <f t="shared" si="28"/>
        <v>2229</v>
      </c>
      <c r="G164" s="21">
        <f t="shared" si="29"/>
        <v>2229000</v>
      </c>
      <c r="H164" s="21">
        <f t="shared" si="30"/>
        <v>1604880</v>
      </c>
      <c r="I164" s="21">
        <f t="shared" si="31"/>
        <v>100305</v>
      </c>
      <c r="J164" s="21">
        <f t="shared" si="32"/>
        <v>519357</v>
      </c>
      <c r="K164" s="21">
        <f t="shared" si="33"/>
        <v>4458</v>
      </c>
      <c r="L164" s="20">
        <f t="shared" si="34"/>
        <v>35558.429797518605</v>
      </c>
      <c r="M164" s="21">
        <f t="shared" si="35"/>
        <v>4679.8886579238497</v>
      </c>
      <c r="N164" s="21">
        <f t="shared" si="36"/>
        <v>3965.7677767949172</v>
      </c>
      <c r="O164" s="26"/>
      <c r="P164" s="26"/>
      <c r="Q164" s="17">
        <f t="shared" si="37"/>
        <v>30462.970097147696</v>
      </c>
      <c r="R164" s="17">
        <f t="shared" si="39"/>
        <v>4097.3105332821297</v>
      </c>
      <c r="S164" s="17">
        <f t="shared" si="38"/>
        <v>3481.4822968168805</v>
      </c>
      <c r="T164" s="17"/>
      <c r="U164" s="17"/>
      <c r="V164" s="17"/>
    </row>
    <row r="165" spans="1:22" s="27" customFormat="1">
      <c r="A165" s="18" t="s">
        <v>514</v>
      </c>
      <c r="B165" s="24" t="s">
        <v>488</v>
      </c>
      <c r="C165" s="24" t="s">
        <v>1561</v>
      </c>
      <c r="D165" s="25">
        <v>5547</v>
      </c>
      <c r="E165" s="25">
        <v>8926</v>
      </c>
      <c r="F165" s="26">
        <f t="shared" si="28"/>
        <v>8926</v>
      </c>
      <c r="G165" s="21">
        <f t="shared" si="29"/>
        <v>8926000</v>
      </c>
      <c r="H165" s="21">
        <f t="shared" si="30"/>
        <v>6426720</v>
      </c>
      <c r="I165" s="21">
        <f t="shared" si="31"/>
        <v>401670</v>
      </c>
      <c r="J165" s="21">
        <f t="shared" si="32"/>
        <v>2079758</v>
      </c>
      <c r="K165" s="21">
        <f t="shared" si="33"/>
        <v>17852</v>
      </c>
      <c r="L165" s="20">
        <f t="shared" si="34"/>
        <v>142393.24556870843</v>
      </c>
      <c r="M165" s="21">
        <f t="shared" si="35"/>
        <v>18740.550094494509</v>
      </c>
      <c r="N165" s="21">
        <f t="shared" si="36"/>
        <v>15880.862797519703</v>
      </c>
      <c r="O165" s="26"/>
      <c r="P165" s="26"/>
      <c r="Q165" s="17">
        <f t="shared" si="37"/>
        <v>121988.54692110379</v>
      </c>
      <c r="R165" s="17">
        <f t="shared" si="39"/>
        <v>16407.623965938223</v>
      </c>
      <c r="S165" s="17">
        <f t="shared" si="38"/>
        <v>13941.548219554725</v>
      </c>
      <c r="T165" s="17"/>
      <c r="U165" s="17"/>
      <c r="V165" s="17"/>
    </row>
    <row r="166" spans="1:22">
      <c r="A166" s="18" t="s">
        <v>517</v>
      </c>
      <c r="B166" s="22" t="s">
        <v>519</v>
      </c>
      <c r="C166" s="22" t="s">
        <v>1561</v>
      </c>
      <c r="D166" s="23">
        <v>6074</v>
      </c>
      <c r="E166" s="23">
        <v>9675</v>
      </c>
      <c r="F166" s="21">
        <f t="shared" si="28"/>
        <v>9675</v>
      </c>
      <c r="G166" s="21">
        <f t="shared" si="29"/>
        <v>9675000</v>
      </c>
      <c r="H166" s="21">
        <f t="shared" si="30"/>
        <v>6966000</v>
      </c>
      <c r="I166" s="21">
        <f t="shared" si="31"/>
        <v>435375</v>
      </c>
      <c r="J166" s="21">
        <f t="shared" si="32"/>
        <v>2254275</v>
      </c>
      <c r="K166" s="21">
        <f t="shared" si="33"/>
        <v>19350</v>
      </c>
      <c r="L166" s="20">
        <f t="shared" si="34"/>
        <v>154341.771328395</v>
      </c>
      <c r="M166" s="21">
        <f t="shared" si="35"/>
        <v>20313.110258148601</v>
      </c>
      <c r="N166" s="21">
        <f t="shared" si="36"/>
        <v>17213.460403988702</v>
      </c>
      <c r="O166" s="21"/>
      <c r="P166" s="21"/>
      <c r="Q166" s="17">
        <f t="shared" si="37"/>
        <v>132224.8702063275</v>
      </c>
      <c r="R166" s="17">
        <f t="shared" si="39"/>
        <v>17784.42324338475</v>
      </c>
      <c r="S166" s="17">
        <f t="shared" si="38"/>
        <v>15111.413737866002</v>
      </c>
    </row>
    <row r="167" spans="1:22">
      <c r="A167" s="18" t="s">
        <v>521</v>
      </c>
      <c r="B167" s="22" t="s">
        <v>519</v>
      </c>
      <c r="C167" s="22" t="s">
        <v>1561</v>
      </c>
      <c r="D167" s="23">
        <v>2118</v>
      </c>
      <c r="E167" s="23">
        <v>2420</v>
      </c>
      <c r="F167" s="21">
        <f t="shared" si="28"/>
        <v>2420</v>
      </c>
      <c r="G167" s="21">
        <f t="shared" si="29"/>
        <v>2420000</v>
      </c>
      <c r="H167" s="21">
        <f t="shared" si="30"/>
        <v>1742400</v>
      </c>
      <c r="I167" s="21">
        <f t="shared" si="31"/>
        <v>108900</v>
      </c>
      <c r="J167" s="21">
        <f t="shared" si="32"/>
        <v>563860</v>
      </c>
      <c r="K167" s="21">
        <f t="shared" si="33"/>
        <v>4840</v>
      </c>
      <c r="L167" s="20">
        <f t="shared" si="34"/>
        <v>38605.383629428004</v>
      </c>
      <c r="M167" s="21">
        <f t="shared" si="35"/>
        <v>5080.90199738704</v>
      </c>
      <c r="N167" s="21">
        <f t="shared" si="36"/>
        <v>4305.5890622896804</v>
      </c>
      <c r="O167" s="21"/>
      <c r="P167" s="21"/>
      <c r="Q167" s="17">
        <f t="shared" si="37"/>
        <v>33073.300868145998</v>
      </c>
      <c r="R167" s="17">
        <f t="shared" si="39"/>
        <v>4448.4035399474005</v>
      </c>
      <c r="S167" s="17">
        <f t="shared" si="38"/>
        <v>3779.8058135024012</v>
      </c>
    </row>
    <row r="168" spans="1:22">
      <c r="A168" s="18" t="s">
        <v>524</v>
      </c>
      <c r="B168" s="22" t="s">
        <v>519</v>
      </c>
      <c r="C168" s="22" t="s">
        <v>1561</v>
      </c>
      <c r="D168" s="23">
        <v>1947</v>
      </c>
      <c r="E168" s="23">
        <v>2034</v>
      </c>
      <c r="F168" s="21">
        <f t="shared" si="28"/>
        <v>2034</v>
      </c>
      <c r="G168" s="21">
        <f t="shared" si="29"/>
        <v>2034000</v>
      </c>
      <c r="H168" s="21">
        <f t="shared" si="30"/>
        <v>1464480</v>
      </c>
      <c r="I168" s="21">
        <f t="shared" si="31"/>
        <v>91530</v>
      </c>
      <c r="J168" s="21">
        <f t="shared" si="32"/>
        <v>473922</v>
      </c>
      <c r="K168" s="21">
        <f t="shared" si="33"/>
        <v>4068</v>
      </c>
      <c r="L168" s="20">
        <f t="shared" si="34"/>
        <v>32447.665414155599</v>
      </c>
      <c r="M168" s="21">
        <f t="shared" si="35"/>
        <v>4270.4771333410081</v>
      </c>
      <c r="N168" s="21">
        <f t="shared" si="36"/>
        <v>3618.8298151641361</v>
      </c>
      <c r="O168" s="21"/>
      <c r="P168" s="21"/>
      <c r="Q168" s="17">
        <f t="shared" si="37"/>
        <v>27797.972713144198</v>
      </c>
      <c r="R168" s="17">
        <f t="shared" si="39"/>
        <v>3738.8647934929804</v>
      </c>
      <c r="S168" s="17">
        <f t="shared" si="38"/>
        <v>3176.9111672164804</v>
      </c>
    </row>
    <row r="169" spans="1:22">
      <c r="A169" s="18" t="s">
        <v>527</v>
      </c>
      <c r="B169" s="22" t="s">
        <v>519</v>
      </c>
      <c r="C169" s="22" t="s">
        <v>1561</v>
      </c>
      <c r="D169" s="23">
        <v>2473</v>
      </c>
      <c r="E169" s="23">
        <v>0</v>
      </c>
      <c r="F169" s="21">
        <f t="shared" si="28"/>
        <v>2473</v>
      </c>
      <c r="G169" s="21">
        <f t="shared" si="29"/>
        <v>2473000</v>
      </c>
      <c r="H169" s="21">
        <f t="shared" si="30"/>
        <v>1780560</v>
      </c>
      <c r="I169" s="21">
        <f t="shared" si="31"/>
        <v>111285</v>
      </c>
      <c r="J169" s="21">
        <f t="shared" si="32"/>
        <v>576209</v>
      </c>
      <c r="K169" s="21">
        <f t="shared" si="33"/>
        <v>4946</v>
      </c>
      <c r="L169" s="20">
        <f t="shared" si="34"/>
        <v>39450.873436188202</v>
      </c>
      <c r="M169" s="21">
        <f t="shared" si="35"/>
        <v>5192.1779502223771</v>
      </c>
      <c r="N169" s="21">
        <f t="shared" si="36"/>
        <v>4399.8850210918918</v>
      </c>
      <c r="O169" s="21"/>
      <c r="P169" s="21"/>
      <c r="Q169" s="17">
        <f t="shared" si="37"/>
        <v>33797.633490464905</v>
      </c>
      <c r="R169" s="17">
        <f t="shared" si="39"/>
        <v>4545.8272538388101</v>
      </c>
      <c r="S169" s="17">
        <f t="shared" si="38"/>
        <v>3862.5866846245608</v>
      </c>
    </row>
    <row r="170" spans="1:22" s="27" customFormat="1">
      <c r="A170" s="18" t="s">
        <v>530</v>
      </c>
      <c r="B170" s="24" t="s">
        <v>532</v>
      </c>
      <c r="C170" s="24" t="s">
        <v>1561</v>
      </c>
      <c r="D170" s="25">
        <v>2071</v>
      </c>
      <c r="E170" s="25">
        <v>0</v>
      </c>
      <c r="F170" s="26">
        <f t="shared" si="28"/>
        <v>2071</v>
      </c>
      <c r="G170" s="21">
        <f t="shared" si="29"/>
        <v>2071000</v>
      </c>
      <c r="H170" s="21">
        <f t="shared" si="30"/>
        <v>1491120</v>
      </c>
      <c r="I170" s="21">
        <f t="shared" si="31"/>
        <v>93195</v>
      </c>
      <c r="J170" s="21">
        <f t="shared" si="32"/>
        <v>482543</v>
      </c>
      <c r="K170" s="21">
        <f t="shared" si="33"/>
        <v>4142</v>
      </c>
      <c r="L170" s="20">
        <f t="shared" si="34"/>
        <v>33037.913015101396</v>
      </c>
      <c r="M170" s="21">
        <f t="shared" si="35"/>
        <v>4348.1603456977518</v>
      </c>
      <c r="N170" s="21">
        <f t="shared" si="36"/>
        <v>3684.6590694222832</v>
      </c>
      <c r="O170" s="26"/>
      <c r="P170" s="26"/>
      <c r="Q170" s="17">
        <f t="shared" si="37"/>
        <v>28303.638883442298</v>
      </c>
      <c r="R170" s="17">
        <f t="shared" si="39"/>
        <v>3806.8775748888697</v>
      </c>
      <c r="S170" s="17">
        <f t="shared" si="38"/>
        <v>3234.7015866791203</v>
      </c>
      <c r="T170" s="17"/>
      <c r="U170" s="17"/>
      <c r="V170" s="17"/>
    </row>
    <row r="171" spans="1:22">
      <c r="A171" s="18" t="s">
        <v>534</v>
      </c>
      <c r="B171" s="22" t="s">
        <v>536</v>
      </c>
      <c r="C171" s="22" t="s">
        <v>1561</v>
      </c>
      <c r="D171" s="23">
        <v>1047</v>
      </c>
      <c r="E171" s="23">
        <v>0</v>
      </c>
      <c r="F171" s="21">
        <f t="shared" si="28"/>
        <v>1047</v>
      </c>
      <c r="G171" s="21">
        <f t="shared" si="29"/>
        <v>1047000</v>
      </c>
      <c r="H171" s="21">
        <f t="shared" si="30"/>
        <v>753840</v>
      </c>
      <c r="I171" s="21">
        <f t="shared" si="31"/>
        <v>47115</v>
      </c>
      <c r="J171" s="21">
        <f t="shared" si="32"/>
        <v>243951</v>
      </c>
      <c r="K171" s="21">
        <f t="shared" si="33"/>
        <v>2094</v>
      </c>
      <c r="L171" s="20">
        <f t="shared" si="34"/>
        <v>16702.411842979804</v>
      </c>
      <c r="M171" s="21">
        <f t="shared" si="35"/>
        <v>2198.2249550678639</v>
      </c>
      <c r="N171" s="21">
        <f t="shared" si="36"/>
        <v>1862.7899786021878</v>
      </c>
      <c r="O171" s="21"/>
      <c r="P171" s="21"/>
      <c r="Q171" s="17">
        <f t="shared" si="37"/>
        <v>14308.985954111102</v>
      </c>
      <c r="R171" s="17">
        <f t="shared" si="39"/>
        <v>1924.5778951755901</v>
      </c>
      <c r="S171" s="17">
        <f t="shared" si="38"/>
        <v>1635.3126804698402</v>
      </c>
    </row>
    <row r="172" spans="1:22">
      <c r="A172" s="18" t="s">
        <v>538</v>
      </c>
      <c r="B172" s="22" t="s">
        <v>536</v>
      </c>
      <c r="C172" s="22" t="s">
        <v>1561</v>
      </c>
      <c r="D172" s="23">
        <v>1845</v>
      </c>
      <c r="E172" s="23">
        <v>0</v>
      </c>
      <c r="F172" s="21">
        <f t="shared" si="28"/>
        <v>1845</v>
      </c>
      <c r="G172" s="21">
        <f t="shared" si="29"/>
        <v>1845000</v>
      </c>
      <c r="H172" s="21">
        <f t="shared" si="30"/>
        <v>1328400</v>
      </c>
      <c r="I172" s="21">
        <f t="shared" si="31"/>
        <v>83025</v>
      </c>
      <c r="J172" s="21">
        <f t="shared" si="32"/>
        <v>429885</v>
      </c>
      <c r="K172" s="21">
        <f t="shared" si="33"/>
        <v>3690</v>
      </c>
      <c r="L172" s="20">
        <f t="shared" si="34"/>
        <v>29432.616857973007</v>
      </c>
      <c r="M172" s="21">
        <f t="shared" si="35"/>
        <v>3873.6628864376403</v>
      </c>
      <c r="N172" s="21">
        <f t="shared" si="36"/>
        <v>3282.5668677373801</v>
      </c>
      <c r="O172" s="21"/>
      <c r="P172" s="21"/>
      <c r="Q172" s="17">
        <f t="shared" si="37"/>
        <v>25214.975248648498</v>
      </c>
      <c r="R172" s="17">
        <f t="shared" si="39"/>
        <v>3391.4481533896501</v>
      </c>
      <c r="S172" s="17">
        <f t="shared" si="38"/>
        <v>2881.7114569884002</v>
      </c>
    </row>
    <row r="173" spans="1:22">
      <c r="A173" s="18" t="s">
        <v>541</v>
      </c>
      <c r="B173" s="22" t="s">
        <v>536</v>
      </c>
      <c r="C173" s="22" t="s">
        <v>1561</v>
      </c>
      <c r="D173" s="23">
        <v>1273</v>
      </c>
      <c r="E173" s="23">
        <v>0</v>
      </c>
      <c r="F173" s="21">
        <f t="shared" si="28"/>
        <v>1273</v>
      </c>
      <c r="G173" s="21">
        <f t="shared" si="29"/>
        <v>1273000</v>
      </c>
      <c r="H173" s="21">
        <f t="shared" si="30"/>
        <v>916560</v>
      </c>
      <c r="I173" s="21">
        <f t="shared" si="31"/>
        <v>57285</v>
      </c>
      <c r="J173" s="21">
        <f t="shared" si="32"/>
        <v>296609</v>
      </c>
      <c r="K173" s="21">
        <f t="shared" si="33"/>
        <v>2546</v>
      </c>
      <c r="L173" s="20">
        <f t="shared" si="34"/>
        <v>20307.708000108196</v>
      </c>
      <c r="M173" s="21">
        <f t="shared" si="35"/>
        <v>2672.7224143279759</v>
      </c>
      <c r="N173" s="21">
        <f t="shared" si="36"/>
        <v>2264.8821802870916</v>
      </c>
      <c r="O173" s="21"/>
      <c r="P173" s="21"/>
      <c r="Q173" s="17">
        <f t="shared" si="37"/>
        <v>17397.649588904904</v>
      </c>
      <c r="R173" s="17">
        <f t="shared" si="39"/>
        <v>2340.0073166748098</v>
      </c>
      <c r="S173" s="17">
        <f t="shared" si="38"/>
        <v>1988.3028101605603</v>
      </c>
    </row>
    <row r="174" spans="1:22" s="27" customFormat="1">
      <c r="A174" s="18" t="s">
        <v>544</v>
      </c>
      <c r="B174" s="24" t="s">
        <v>546</v>
      </c>
      <c r="C174" s="24" t="s">
        <v>1561</v>
      </c>
      <c r="D174" s="25">
        <v>1222</v>
      </c>
      <c r="E174" s="25">
        <v>2136</v>
      </c>
      <c r="F174" s="26">
        <f t="shared" si="28"/>
        <v>2136</v>
      </c>
      <c r="G174" s="21">
        <f t="shared" si="29"/>
        <v>2136000</v>
      </c>
      <c r="H174" s="21">
        <f t="shared" si="30"/>
        <v>1537920</v>
      </c>
      <c r="I174" s="21">
        <f t="shared" si="31"/>
        <v>96120</v>
      </c>
      <c r="J174" s="21">
        <f t="shared" si="32"/>
        <v>497688</v>
      </c>
      <c r="K174" s="21">
        <f t="shared" si="33"/>
        <v>4272</v>
      </c>
      <c r="L174" s="20">
        <f t="shared" si="34"/>
        <v>34074.834476222401</v>
      </c>
      <c r="M174" s="21">
        <f t="shared" si="35"/>
        <v>4484.6308538920321</v>
      </c>
      <c r="N174" s="21">
        <f t="shared" si="36"/>
        <v>3800.3050566325437</v>
      </c>
      <c r="O174" s="26"/>
      <c r="P174" s="26"/>
      <c r="Q174" s="17">
        <f t="shared" si="37"/>
        <v>29191.971344776797</v>
      </c>
      <c r="R174" s="17">
        <f t="shared" si="39"/>
        <v>3926.3594881519202</v>
      </c>
      <c r="S174" s="17">
        <f t="shared" si="38"/>
        <v>3336.2252965459206</v>
      </c>
      <c r="T174" s="17"/>
      <c r="U174" s="17"/>
      <c r="V174" s="17"/>
    </row>
    <row r="175" spans="1:22" s="27" customFormat="1">
      <c r="A175" s="18" t="s">
        <v>548</v>
      </c>
      <c r="B175" s="24" t="s">
        <v>546</v>
      </c>
      <c r="C175" s="24" t="s">
        <v>1561</v>
      </c>
      <c r="D175" s="25">
        <v>3055</v>
      </c>
      <c r="E175" s="25">
        <v>6845</v>
      </c>
      <c r="F175" s="26">
        <f t="shared" si="28"/>
        <v>6845</v>
      </c>
      <c r="G175" s="21">
        <f t="shared" si="29"/>
        <v>6845000</v>
      </c>
      <c r="H175" s="21">
        <f t="shared" si="30"/>
        <v>4928400</v>
      </c>
      <c r="I175" s="21">
        <f t="shared" si="31"/>
        <v>308025</v>
      </c>
      <c r="J175" s="21">
        <f t="shared" si="32"/>
        <v>1594885</v>
      </c>
      <c r="K175" s="21">
        <f t="shared" si="33"/>
        <v>13690</v>
      </c>
      <c r="L175" s="20">
        <f t="shared" si="34"/>
        <v>109195.80617497297</v>
      </c>
      <c r="M175" s="21">
        <f t="shared" si="35"/>
        <v>14371.39428599764</v>
      </c>
      <c r="N175" s="21">
        <f t="shared" si="36"/>
        <v>12178.412037757378</v>
      </c>
      <c r="O175" s="26"/>
      <c r="P175" s="26"/>
      <c r="Q175" s="17">
        <f t="shared" si="37"/>
        <v>93548.241505148515</v>
      </c>
      <c r="R175" s="17">
        <f t="shared" si="39"/>
        <v>12582.364558239649</v>
      </c>
      <c r="S175" s="17">
        <f t="shared" si="38"/>
        <v>10691.227600588401</v>
      </c>
      <c r="T175" s="17"/>
      <c r="U175" s="17"/>
      <c r="V175" s="17"/>
    </row>
    <row r="176" spans="1:22" s="27" customFormat="1">
      <c r="A176" s="18" t="s">
        <v>551</v>
      </c>
      <c r="B176" s="24" t="s">
        <v>546</v>
      </c>
      <c r="C176" s="24" t="s">
        <v>1561</v>
      </c>
      <c r="D176" s="25">
        <v>3390</v>
      </c>
      <c r="E176" s="25">
        <v>0</v>
      </c>
      <c r="F176" s="26">
        <f t="shared" si="28"/>
        <v>3390</v>
      </c>
      <c r="G176" s="21">
        <f t="shared" si="29"/>
        <v>3390000</v>
      </c>
      <c r="H176" s="21">
        <f t="shared" si="30"/>
        <v>2440800</v>
      </c>
      <c r="I176" s="21">
        <f t="shared" si="31"/>
        <v>152550</v>
      </c>
      <c r="J176" s="21">
        <f t="shared" si="32"/>
        <v>789870</v>
      </c>
      <c r="K176" s="21">
        <f t="shared" si="33"/>
        <v>6780</v>
      </c>
      <c r="L176" s="20">
        <f t="shared" si="34"/>
        <v>54079.442356926018</v>
      </c>
      <c r="M176" s="21">
        <f t="shared" si="35"/>
        <v>7117.461888901681</v>
      </c>
      <c r="N176" s="21">
        <f t="shared" si="36"/>
        <v>6031.3830252735606</v>
      </c>
      <c r="O176" s="26"/>
      <c r="P176" s="26"/>
      <c r="Q176" s="17">
        <f t="shared" si="37"/>
        <v>46329.954521906991</v>
      </c>
      <c r="R176" s="17">
        <f t="shared" si="39"/>
        <v>6231.4413224882992</v>
      </c>
      <c r="S176" s="17">
        <f t="shared" si="38"/>
        <v>5294.8519453608005</v>
      </c>
      <c r="T176" s="17"/>
      <c r="U176" s="17"/>
      <c r="V176" s="17"/>
    </row>
    <row r="177" spans="1:22" s="27" customFormat="1">
      <c r="A177" s="18" t="s">
        <v>554</v>
      </c>
      <c r="B177" s="24" t="s">
        <v>546</v>
      </c>
      <c r="C177" s="24" t="s">
        <v>1561</v>
      </c>
      <c r="D177" s="25">
        <v>1239</v>
      </c>
      <c r="E177" s="25">
        <v>1753</v>
      </c>
      <c r="F177" s="26">
        <f t="shared" si="28"/>
        <v>1753</v>
      </c>
      <c r="G177" s="21">
        <f t="shared" si="29"/>
        <v>1753000</v>
      </c>
      <c r="H177" s="21">
        <f t="shared" si="30"/>
        <v>1262160</v>
      </c>
      <c r="I177" s="21">
        <f t="shared" si="31"/>
        <v>78885</v>
      </c>
      <c r="J177" s="21">
        <f t="shared" si="32"/>
        <v>408449</v>
      </c>
      <c r="K177" s="21">
        <f t="shared" si="33"/>
        <v>3506</v>
      </c>
      <c r="L177" s="20">
        <f t="shared" si="34"/>
        <v>27964.974174540203</v>
      </c>
      <c r="M177" s="21">
        <f t="shared" si="35"/>
        <v>3680.504628685736</v>
      </c>
      <c r="N177" s="21">
        <f t="shared" si="36"/>
        <v>3118.8833166090117</v>
      </c>
      <c r="O177" s="26"/>
      <c r="P177" s="26"/>
      <c r="Q177" s="17">
        <f t="shared" si="37"/>
        <v>23957.643149528903</v>
      </c>
      <c r="R177" s="17">
        <f t="shared" si="39"/>
        <v>3222.3352915404103</v>
      </c>
      <c r="S177" s="17">
        <f t="shared" si="38"/>
        <v>2738.0163599461607</v>
      </c>
      <c r="T177" s="17"/>
      <c r="U177" s="17"/>
      <c r="V177" s="17"/>
    </row>
    <row r="178" spans="1:22" s="27" customFormat="1">
      <c r="A178" s="18" t="s">
        <v>557</v>
      </c>
      <c r="B178" s="24" t="s">
        <v>546</v>
      </c>
      <c r="C178" s="24" t="s">
        <v>1561</v>
      </c>
      <c r="D178" s="25">
        <v>5382</v>
      </c>
      <c r="E178" s="25">
        <v>10730</v>
      </c>
      <c r="F178" s="26">
        <f t="shared" si="28"/>
        <v>10730</v>
      </c>
      <c r="G178" s="21">
        <f t="shared" si="29"/>
        <v>10730000</v>
      </c>
      <c r="H178" s="21">
        <f t="shared" si="30"/>
        <v>7725600</v>
      </c>
      <c r="I178" s="21">
        <f t="shared" si="31"/>
        <v>482850</v>
      </c>
      <c r="J178" s="21">
        <f t="shared" si="32"/>
        <v>2500090</v>
      </c>
      <c r="K178" s="21">
        <f t="shared" si="33"/>
        <v>21460</v>
      </c>
      <c r="L178" s="20">
        <f t="shared" si="34"/>
        <v>171171.80427428204</v>
      </c>
      <c r="M178" s="21">
        <f t="shared" si="35"/>
        <v>22528.131583455764</v>
      </c>
      <c r="N178" s="21">
        <f t="shared" si="36"/>
        <v>19090.483734862919</v>
      </c>
      <c r="O178" s="26"/>
      <c r="P178" s="26"/>
      <c r="Q178" s="17">
        <f t="shared" si="37"/>
        <v>146643.189386449</v>
      </c>
      <c r="R178" s="17">
        <f t="shared" si="39"/>
        <v>19723.706604808103</v>
      </c>
      <c r="S178" s="17">
        <f t="shared" si="38"/>
        <v>16759.221644165602</v>
      </c>
      <c r="T178" s="17"/>
      <c r="U178" s="17"/>
      <c r="V178" s="17"/>
    </row>
    <row r="179" spans="1:22">
      <c r="A179" s="18" t="s">
        <v>560</v>
      </c>
      <c r="B179" s="22" t="s">
        <v>562</v>
      </c>
      <c r="C179" s="22" t="s">
        <v>1561</v>
      </c>
      <c r="D179" s="23">
        <v>1950</v>
      </c>
      <c r="E179" s="23">
        <v>0</v>
      </c>
      <c r="F179" s="21">
        <f t="shared" si="28"/>
        <v>1950</v>
      </c>
      <c r="G179" s="21">
        <f t="shared" si="29"/>
        <v>1950000</v>
      </c>
      <c r="H179" s="21">
        <f t="shared" si="30"/>
        <v>1404000</v>
      </c>
      <c r="I179" s="21">
        <f t="shared" si="31"/>
        <v>87750</v>
      </c>
      <c r="J179" s="21">
        <f t="shared" si="32"/>
        <v>454350</v>
      </c>
      <c r="K179" s="21">
        <f t="shared" si="33"/>
        <v>3900</v>
      </c>
      <c r="L179" s="20">
        <f t="shared" si="34"/>
        <v>31107.643833629998</v>
      </c>
      <c r="M179" s="21">
        <f t="shared" si="35"/>
        <v>4094.1152458283996</v>
      </c>
      <c r="N179" s="21">
        <f t="shared" si="36"/>
        <v>3469.3796163078</v>
      </c>
      <c r="O179" s="21"/>
      <c r="P179" s="21"/>
      <c r="Q179" s="17">
        <f t="shared" si="37"/>
        <v>26649.973840035</v>
      </c>
      <c r="R179" s="17">
        <f t="shared" si="39"/>
        <v>3584.4573978915</v>
      </c>
      <c r="S179" s="17">
        <f t="shared" si="38"/>
        <v>3045.7112960040004</v>
      </c>
    </row>
    <row r="180" spans="1:22">
      <c r="A180" s="18" t="s">
        <v>564</v>
      </c>
      <c r="B180" s="22" t="s">
        <v>562</v>
      </c>
      <c r="C180" s="22" t="s">
        <v>1561</v>
      </c>
      <c r="D180" s="23">
        <v>2364</v>
      </c>
      <c r="E180" s="23">
        <v>0</v>
      </c>
      <c r="F180" s="21">
        <f t="shared" si="28"/>
        <v>2364</v>
      </c>
      <c r="G180" s="21">
        <f t="shared" si="29"/>
        <v>2364000</v>
      </c>
      <c r="H180" s="21">
        <f t="shared" si="30"/>
        <v>1702080</v>
      </c>
      <c r="I180" s="21">
        <f t="shared" si="31"/>
        <v>106380</v>
      </c>
      <c r="J180" s="21">
        <f t="shared" si="32"/>
        <v>550812</v>
      </c>
      <c r="K180" s="21">
        <f t="shared" si="33"/>
        <v>4728</v>
      </c>
      <c r="L180" s="20">
        <f t="shared" si="34"/>
        <v>37712.035909077596</v>
      </c>
      <c r="M180" s="21">
        <f t="shared" si="35"/>
        <v>4963.3274057119679</v>
      </c>
      <c r="N180" s="21">
        <f t="shared" si="36"/>
        <v>4205.9555963854555</v>
      </c>
      <c r="O180" s="21"/>
      <c r="P180" s="21"/>
      <c r="Q180" s="17">
        <f t="shared" si="37"/>
        <v>32307.968286073203</v>
      </c>
      <c r="R180" s="17">
        <f t="shared" si="39"/>
        <v>4345.4652762130791</v>
      </c>
      <c r="S180" s="17">
        <f t="shared" si="38"/>
        <v>3692.3392326940807</v>
      </c>
    </row>
    <row r="181" spans="1:22">
      <c r="A181" s="18" t="s">
        <v>567</v>
      </c>
      <c r="B181" s="22" t="s">
        <v>562</v>
      </c>
      <c r="C181" s="22" t="s">
        <v>1561</v>
      </c>
      <c r="D181" s="23">
        <v>1157</v>
      </c>
      <c r="E181" s="23">
        <v>0</v>
      </c>
      <c r="F181" s="21">
        <f t="shared" si="28"/>
        <v>1157</v>
      </c>
      <c r="G181" s="21">
        <f t="shared" si="29"/>
        <v>1157000</v>
      </c>
      <c r="H181" s="21">
        <f t="shared" si="30"/>
        <v>833040</v>
      </c>
      <c r="I181" s="21">
        <f t="shared" si="31"/>
        <v>52065</v>
      </c>
      <c r="J181" s="21">
        <f t="shared" si="32"/>
        <v>269581</v>
      </c>
      <c r="K181" s="21">
        <f t="shared" si="33"/>
        <v>2314</v>
      </c>
      <c r="L181" s="20">
        <f t="shared" si="34"/>
        <v>18457.202007953802</v>
      </c>
      <c r="M181" s="21">
        <f t="shared" si="35"/>
        <v>2429.1750458581841</v>
      </c>
      <c r="N181" s="21">
        <f t="shared" si="36"/>
        <v>2058.498572342628</v>
      </c>
      <c r="O181" s="21"/>
      <c r="P181" s="21"/>
      <c r="Q181" s="17">
        <f t="shared" si="37"/>
        <v>15812.317811754101</v>
      </c>
      <c r="R181" s="17">
        <f t="shared" si="39"/>
        <v>2126.7780560822903</v>
      </c>
      <c r="S181" s="17">
        <f t="shared" si="38"/>
        <v>1807.1220356290401</v>
      </c>
    </row>
    <row r="182" spans="1:22">
      <c r="A182" s="18" t="s">
        <v>570</v>
      </c>
      <c r="B182" s="22" t="s">
        <v>562</v>
      </c>
      <c r="C182" s="22" t="s">
        <v>1561</v>
      </c>
      <c r="D182" s="23">
        <v>1424</v>
      </c>
      <c r="E182" s="23">
        <v>0</v>
      </c>
      <c r="F182" s="21">
        <f t="shared" si="28"/>
        <v>1424</v>
      </c>
      <c r="G182" s="21">
        <f t="shared" si="29"/>
        <v>1424000</v>
      </c>
      <c r="H182" s="21">
        <f t="shared" si="30"/>
        <v>1025280</v>
      </c>
      <c r="I182" s="21">
        <f t="shared" si="31"/>
        <v>64080</v>
      </c>
      <c r="J182" s="21">
        <f t="shared" si="32"/>
        <v>331792</v>
      </c>
      <c r="K182" s="21">
        <f t="shared" si="33"/>
        <v>2848</v>
      </c>
      <c r="L182" s="20">
        <f t="shared" si="34"/>
        <v>22716.556317481598</v>
      </c>
      <c r="M182" s="21">
        <f t="shared" si="35"/>
        <v>2989.7539025946885</v>
      </c>
      <c r="N182" s="21">
        <f t="shared" si="36"/>
        <v>2533.536704421696</v>
      </c>
      <c r="O182" s="21"/>
      <c r="P182" s="21"/>
      <c r="Q182" s="17">
        <f t="shared" si="37"/>
        <v>19461.314229851203</v>
      </c>
      <c r="R182" s="17">
        <f t="shared" si="39"/>
        <v>2617.5729921012799</v>
      </c>
      <c r="S182" s="17">
        <f t="shared" si="38"/>
        <v>2224.1501976972804</v>
      </c>
    </row>
    <row r="183" spans="1:22">
      <c r="A183" s="18" t="s">
        <v>573</v>
      </c>
      <c r="B183" s="22" t="s">
        <v>562</v>
      </c>
      <c r="C183" s="22" t="s">
        <v>1561</v>
      </c>
      <c r="D183" s="23">
        <v>1628</v>
      </c>
      <c r="E183" s="23">
        <v>1646</v>
      </c>
      <c r="F183" s="21">
        <f t="shared" si="28"/>
        <v>1646</v>
      </c>
      <c r="G183" s="21">
        <f t="shared" si="29"/>
        <v>1646000</v>
      </c>
      <c r="H183" s="21">
        <f t="shared" si="30"/>
        <v>1185120</v>
      </c>
      <c r="I183" s="21">
        <f t="shared" si="31"/>
        <v>74070</v>
      </c>
      <c r="J183" s="21">
        <f t="shared" si="32"/>
        <v>383518</v>
      </c>
      <c r="K183" s="21">
        <f t="shared" si="33"/>
        <v>3292</v>
      </c>
      <c r="L183" s="20">
        <f t="shared" si="34"/>
        <v>26258.041923156394</v>
      </c>
      <c r="M183" s="21">
        <f t="shared" si="35"/>
        <v>3455.8531767351524</v>
      </c>
      <c r="N183" s="21">
        <f t="shared" si="36"/>
        <v>2928.5122299705836</v>
      </c>
      <c r="O183" s="21"/>
      <c r="P183" s="21"/>
      <c r="Q183" s="17">
        <f t="shared" si="37"/>
        <v>22495.3112516398</v>
      </c>
      <c r="R183" s="17">
        <f t="shared" si="39"/>
        <v>3025.6496804766198</v>
      </c>
      <c r="S183" s="17">
        <f t="shared" si="38"/>
        <v>2570.8927144731206</v>
      </c>
    </row>
    <row r="184" spans="1:22">
      <c r="A184" s="18" t="s">
        <v>576</v>
      </c>
      <c r="B184" s="22" t="s">
        <v>562</v>
      </c>
      <c r="C184" s="22" t="s">
        <v>1561</v>
      </c>
      <c r="D184" s="23">
        <v>2223</v>
      </c>
      <c r="E184" s="23">
        <v>0</v>
      </c>
      <c r="F184" s="21">
        <f t="shared" si="28"/>
        <v>2223</v>
      </c>
      <c r="G184" s="21">
        <f t="shared" si="29"/>
        <v>2223000</v>
      </c>
      <c r="H184" s="21">
        <f t="shared" si="30"/>
        <v>1600560</v>
      </c>
      <c r="I184" s="21">
        <f t="shared" si="31"/>
        <v>100035</v>
      </c>
      <c r="J184" s="21">
        <f t="shared" si="32"/>
        <v>517959</v>
      </c>
      <c r="K184" s="21">
        <f t="shared" si="33"/>
        <v>4446</v>
      </c>
      <c r="L184" s="20">
        <f t="shared" si="34"/>
        <v>35462.713970338205</v>
      </c>
      <c r="M184" s="21">
        <f t="shared" si="35"/>
        <v>4667.2913802443763</v>
      </c>
      <c r="N184" s="21">
        <f t="shared" si="36"/>
        <v>3955.0927625908912</v>
      </c>
      <c r="O184" s="21"/>
      <c r="P184" s="21"/>
      <c r="Q184" s="17">
        <f t="shared" si="37"/>
        <v>30380.970177639902</v>
      </c>
      <c r="R184" s="17">
        <f t="shared" si="39"/>
        <v>4086.2814335963099</v>
      </c>
      <c r="S184" s="17">
        <f t="shared" si="38"/>
        <v>3472.1108774445602</v>
      </c>
    </row>
    <row r="185" spans="1:22">
      <c r="A185" s="18" t="s">
        <v>579</v>
      </c>
      <c r="B185" s="22" t="s">
        <v>562</v>
      </c>
      <c r="C185" s="22" t="s">
        <v>1561</v>
      </c>
      <c r="D185" s="23">
        <v>1487</v>
      </c>
      <c r="E185" s="23">
        <v>0</v>
      </c>
      <c r="F185" s="21">
        <f t="shared" si="28"/>
        <v>1487</v>
      </c>
      <c r="G185" s="21">
        <f t="shared" si="29"/>
        <v>1487000</v>
      </c>
      <c r="H185" s="21">
        <f t="shared" si="30"/>
        <v>1070640</v>
      </c>
      <c r="I185" s="21">
        <f t="shared" si="31"/>
        <v>66915</v>
      </c>
      <c r="J185" s="21">
        <f t="shared" si="32"/>
        <v>346471</v>
      </c>
      <c r="K185" s="21">
        <f t="shared" si="33"/>
        <v>2974</v>
      </c>
      <c r="L185" s="20">
        <f t="shared" si="34"/>
        <v>23721.572502875802</v>
      </c>
      <c r="M185" s="21">
        <f t="shared" si="35"/>
        <v>3122.0253182291444</v>
      </c>
      <c r="N185" s="21">
        <f t="shared" si="36"/>
        <v>2645.6243535639483</v>
      </c>
      <c r="O185" s="21"/>
      <c r="P185" s="21"/>
      <c r="Q185" s="17">
        <f t="shared" si="37"/>
        <v>20322.313384683101</v>
      </c>
      <c r="R185" s="17">
        <f t="shared" si="39"/>
        <v>2733.3785388023903</v>
      </c>
      <c r="S185" s="17">
        <f t="shared" si="38"/>
        <v>2322.5501011066403</v>
      </c>
    </row>
    <row r="186" spans="1:22">
      <c r="A186" s="18" t="s">
        <v>582</v>
      </c>
      <c r="B186" s="22" t="s">
        <v>562</v>
      </c>
      <c r="C186" s="22" t="s">
        <v>1561</v>
      </c>
      <c r="D186" s="23">
        <v>1826</v>
      </c>
      <c r="E186" s="23">
        <v>0</v>
      </c>
      <c r="F186" s="21">
        <f t="shared" si="28"/>
        <v>1826</v>
      </c>
      <c r="G186" s="21">
        <f t="shared" si="29"/>
        <v>1826000</v>
      </c>
      <c r="H186" s="21">
        <f t="shared" si="30"/>
        <v>1314720</v>
      </c>
      <c r="I186" s="21">
        <f t="shared" si="31"/>
        <v>82170</v>
      </c>
      <c r="J186" s="21">
        <f t="shared" si="32"/>
        <v>425458</v>
      </c>
      <c r="K186" s="21">
        <f t="shared" si="33"/>
        <v>3652</v>
      </c>
      <c r="L186" s="20">
        <f t="shared" si="34"/>
        <v>29129.516738568407</v>
      </c>
      <c r="M186" s="21">
        <f t="shared" si="35"/>
        <v>3833.771507119312</v>
      </c>
      <c r="N186" s="21">
        <f t="shared" si="36"/>
        <v>3248.7626560913041</v>
      </c>
      <c r="O186" s="21"/>
      <c r="P186" s="21"/>
      <c r="Q186" s="17">
        <f t="shared" si="37"/>
        <v>24955.308836873803</v>
      </c>
      <c r="R186" s="17">
        <f t="shared" si="39"/>
        <v>3356.5226710512202</v>
      </c>
      <c r="S186" s="17">
        <f t="shared" si="38"/>
        <v>2852.0352956427205</v>
      </c>
    </row>
    <row r="187" spans="1:22">
      <c r="A187" s="18" t="s">
        <v>585</v>
      </c>
      <c r="B187" s="22" t="s">
        <v>562</v>
      </c>
      <c r="C187" s="22" t="s">
        <v>1561</v>
      </c>
      <c r="D187" s="23">
        <v>10823</v>
      </c>
      <c r="E187" s="23">
        <v>0</v>
      </c>
      <c r="F187" s="21">
        <f t="shared" ref="F187:F249" si="40">MAX(D187,E187)</f>
        <v>10823</v>
      </c>
      <c r="G187" s="21">
        <f t="shared" si="29"/>
        <v>10823000</v>
      </c>
      <c r="H187" s="21">
        <f t="shared" si="30"/>
        <v>7792560</v>
      </c>
      <c r="I187" s="21">
        <f t="shared" si="31"/>
        <v>487035</v>
      </c>
      <c r="J187" s="21">
        <f t="shared" si="32"/>
        <v>2521759</v>
      </c>
      <c r="K187" s="21">
        <f t="shared" si="33"/>
        <v>21646</v>
      </c>
      <c r="L187" s="20">
        <f t="shared" si="34"/>
        <v>172655.39959557823</v>
      </c>
      <c r="M187" s="21">
        <f t="shared" si="35"/>
        <v>22723.389387487576</v>
      </c>
      <c r="N187" s="21">
        <f t="shared" si="36"/>
        <v>19255.946455025292</v>
      </c>
      <c r="O187" s="21"/>
      <c r="P187" s="21"/>
      <c r="Q187" s="17">
        <f t="shared" si="37"/>
        <v>147914.18813881991</v>
      </c>
      <c r="R187" s="17">
        <f t="shared" si="39"/>
        <v>19894.657649938312</v>
      </c>
      <c r="S187" s="17">
        <f t="shared" si="38"/>
        <v>16904.47864443656</v>
      </c>
    </row>
    <row r="188" spans="1:22">
      <c r="A188" s="18" t="s">
        <v>588</v>
      </c>
      <c r="B188" s="22" t="s">
        <v>562</v>
      </c>
      <c r="C188" s="22" t="s">
        <v>1561</v>
      </c>
      <c r="D188" s="23">
        <v>4750</v>
      </c>
      <c r="E188" s="23">
        <v>4750</v>
      </c>
      <c r="F188" s="21">
        <f t="shared" si="40"/>
        <v>4750</v>
      </c>
      <c r="G188" s="21">
        <f t="shared" si="29"/>
        <v>4750000</v>
      </c>
      <c r="H188" s="21">
        <f t="shared" si="30"/>
        <v>3420000</v>
      </c>
      <c r="I188" s="21">
        <f t="shared" si="31"/>
        <v>213750</v>
      </c>
      <c r="J188" s="21">
        <f t="shared" si="32"/>
        <v>1106750</v>
      </c>
      <c r="K188" s="21">
        <f t="shared" si="33"/>
        <v>9500</v>
      </c>
      <c r="L188" s="20">
        <f t="shared" si="34"/>
        <v>75775.02985115</v>
      </c>
      <c r="M188" s="21">
        <f t="shared" si="35"/>
        <v>9972.8448295819981</v>
      </c>
      <c r="N188" s="21">
        <f t="shared" si="36"/>
        <v>8451.0529115190002</v>
      </c>
      <c r="O188" s="21"/>
      <c r="P188" s="21"/>
      <c r="Q188" s="17">
        <f t="shared" si="37"/>
        <v>64916.602943674996</v>
      </c>
      <c r="R188" s="17">
        <f t="shared" si="39"/>
        <v>8731.3705846075009</v>
      </c>
      <c r="S188" s="17">
        <f t="shared" si="38"/>
        <v>7419.0403364200001</v>
      </c>
    </row>
    <row r="189" spans="1:22" s="27" customFormat="1">
      <c r="A189" s="18" t="s">
        <v>591</v>
      </c>
      <c r="B189" s="24" t="s">
        <v>593</v>
      </c>
      <c r="C189" s="24" t="s">
        <v>1561</v>
      </c>
      <c r="D189" s="25">
        <v>1248</v>
      </c>
      <c r="E189" s="25">
        <v>1875</v>
      </c>
      <c r="F189" s="26">
        <f t="shared" si="40"/>
        <v>1875</v>
      </c>
      <c r="G189" s="21">
        <f t="shared" si="29"/>
        <v>1875000</v>
      </c>
      <c r="H189" s="21">
        <f t="shared" si="30"/>
        <v>1350000</v>
      </c>
      <c r="I189" s="21">
        <f t="shared" si="31"/>
        <v>84375</v>
      </c>
      <c r="J189" s="21">
        <f t="shared" si="32"/>
        <v>436875</v>
      </c>
      <c r="K189" s="21">
        <f t="shared" si="33"/>
        <v>3750</v>
      </c>
      <c r="L189" s="20">
        <f t="shared" si="34"/>
        <v>29911.195993875001</v>
      </c>
      <c r="M189" s="21">
        <f t="shared" si="35"/>
        <v>3936.6492748349997</v>
      </c>
      <c r="N189" s="21">
        <f t="shared" si="36"/>
        <v>3335.9419387575003</v>
      </c>
      <c r="O189" s="26"/>
      <c r="P189" s="26"/>
      <c r="Q189" s="17">
        <f t="shared" si="37"/>
        <v>25624.974846187499</v>
      </c>
      <c r="R189" s="17">
        <f t="shared" si="39"/>
        <v>3446.59365181875</v>
      </c>
      <c r="S189" s="17">
        <f t="shared" si="38"/>
        <v>2928.5685538500002</v>
      </c>
      <c r="T189" s="17"/>
      <c r="U189" s="17"/>
      <c r="V189" s="17"/>
    </row>
    <row r="190" spans="1:22" s="27" customFormat="1">
      <c r="A190" s="18" t="s">
        <v>595</v>
      </c>
      <c r="B190" s="24" t="s">
        <v>593</v>
      </c>
      <c r="C190" s="24" t="s">
        <v>1561</v>
      </c>
      <c r="D190" s="25">
        <v>1712</v>
      </c>
      <c r="E190" s="25">
        <v>0</v>
      </c>
      <c r="F190" s="26">
        <f t="shared" si="40"/>
        <v>1712</v>
      </c>
      <c r="G190" s="21">
        <f t="shared" si="29"/>
        <v>1712000</v>
      </c>
      <c r="H190" s="21">
        <f t="shared" si="30"/>
        <v>1232640</v>
      </c>
      <c r="I190" s="21">
        <f t="shared" si="31"/>
        <v>77040</v>
      </c>
      <c r="J190" s="21">
        <f t="shared" si="32"/>
        <v>398896</v>
      </c>
      <c r="K190" s="21">
        <f t="shared" si="33"/>
        <v>3424</v>
      </c>
      <c r="L190" s="20">
        <f t="shared" si="34"/>
        <v>27310.916022140806</v>
      </c>
      <c r="M190" s="21">
        <f t="shared" si="35"/>
        <v>3594.4232312093441</v>
      </c>
      <c r="N190" s="21">
        <f t="shared" si="36"/>
        <v>3045.9373862148482</v>
      </c>
      <c r="O190" s="26"/>
      <c r="P190" s="26"/>
      <c r="Q190" s="17">
        <f t="shared" si="37"/>
        <v>23397.3103662256</v>
      </c>
      <c r="R190" s="17">
        <f t="shared" si="39"/>
        <v>3146.9697770206399</v>
      </c>
      <c r="S190" s="17">
        <f t="shared" si="38"/>
        <v>2673.9783275686405</v>
      </c>
      <c r="T190" s="17"/>
      <c r="U190" s="17"/>
      <c r="V190" s="17"/>
    </row>
    <row r="191" spans="1:22" s="27" customFormat="1">
      <c r="A191" s="18" t="s">
        <v>598</v>
      </c>
      <c r="B191" s="24" t="s">
        <v>593</v>
      </c>
      <c r="C191" s="24" t="s">
        <v>1561</v>
      </c>
      <c r="D191" s="25">
        <v>2000</v>
      </c>
      <c r="E191" s="25">
        <v>0</v>
      </c>
      <c r="F191" s="26">
        <f t="shared" si="40"/>
        <v>2000</v>
      </c>
      <c r="G191" s="21">
        <f t="shared" si="29"/>
        <v>2000000</v>
      </c>
      <c r="H191" s="21">
        <f t="shared" si="30"/>
        <v>1440000</v>
      </c>
      <c r="I191" s="21">
        <f t="shared" si="31"/>
        <v>90000</v>
      </c>
      <c r="J191" s="21">
        <f t="shared" si="32"/>
        <v>466000</v>
      </c>
      <c r="K191" s="21">
        <f t="shared" si="33"/>
        <v>4000</v>
      </c>
      <c r="L191" s="20">
        <f t="shared" si="34"/>
        <v>31905.275726799999</v>
      </c>
      <c r="M191" s="21">
        <f t="shared" si="35"/>
        <v>4199.092559824001</v>
      </c>
      <c r="N191" s="21">
        <f t="shared" si="36"/>
        <v>3558.3380680079995</v>
      </c>
      <c r="O191" s="26"/>
      <c r="P191" s="26"/>
      <c r="Q191" s="17">
        <f t="shared" si="37"/>
        <v>27333.3065026</v>
      </c>
      <c r="R191" s="17">
        <f t="shared" si="39"/>
        <v>3676.3665619399999</v>
      </c>
      <c r="S191" s="17">
        <f t="shared" si="38"/>
        <v>3123.8064574400005</v>
      </c>
      <c r="T191" s="17"/>
      <c r="U191" s="17"/>
      <c r="V191" s="17"/>
    </row>
    <row r="192" spans="1:22">
      <c r="A192" s="18" t="s">
        <v>601</v>
      </c>
      <c r="B192" s="22" t="s">
        <v>603</v>
      </c>
      <c r="C192" s="22" t="s">
        <v>1561</v>
      </c>
      <c r="D192" s="23">
        <v>4620</v>
      </c>
      <c r="E192" s="23">
        <v>4620</v>
      </c>
      <c r="F192" s="21">
        <f t="shared" si="40"/>
        <v>4620</v>
      </c>
      <c r="G192" s="21">
        <f t="shared" si="29"/>
        <v>4620000</v>
      </c>
      <c r="H192" s="21">
        <f t="shared" si="30"/>
        <v>3326400</v>
      </c>
      <c r="I192" s="21">
        <f t="shared" si="31"/>
        <v>207900</v>
      </c>
      <c r="J192" s="21">
        <f t="shared" si="32"/>
        <v>1076460</v>
      </c>
      <c r="K192" s="21">
        <f t="shared" si="33"/>
        <v>9240</v>
      </c>
      <c r="L192" s="20">
        <f t="shared" si="34"/>
        <v>73701.186928908006</v>
      </c>
      <c r="M192" s="21">
        <f t="shared" si="35"/>
        <v>9699.9038131934412</v>
      </c>
      <c r="N192" s="21">
        <f t="shared" si="36"/>
        <v>8219.7609370984792</v>
      </c>
      <c r="O192" s="21"/>
      <c r="P192" s="21"/>
      <c r="Q192" s="17">
        <f t="shared" si="37"/>
        <v>63139.938021006004</v>
      </c>
      <c r="R192" s="17">
        <f t="shared" si="39"/>
        <v>8492.4067580813989</v>
      </c>
      <c r="S192" s="17">
        <f t="shared" si="38"/>
        <v>7215.9929166864013</v>
      </c>
    </row>
    <row r="193" spans="1:22">
      <c r="A193" s="18" t="s">
        <v>605</v>
      </c>
      <c r="B193" s="22" t="s">
        <v>603</v>
      </c>
      <c r="C193" s="22" t="s">
        <v>1561</v>
      </c>
      <c r="D193" s="23">
        <v>1490</v>
      </c>
      <c r="E193" s="23">
        <v>0</v>
      </c>
      <c r="F193" s="21">
        <f t="shared" si="40"/>
        <v>1490</v>
      </c>
      <c r="G193" s="21">
        <f t="shared" si="29"/>
        <v>1490000</v>
      </c>
      <c r="H193" s="21">
        <f t="shared" si="30"/>
        <v>1072800</v>
      </c>
      <c r="I193" s="21">
        <f t="shared" si="31"/>
        <v>67050</v>
      </c>
      <c r="J193" s="21">
        <f t="shared" si="32"/>
        <v>347170</v>
      </c>
      <c r="K193" s="21">
        <f t="shared" si="33"/>
        <v>2980</v>
      </c>
      <c r="L193" s="20">
        <f t="shared" si="34"/>
        <v>23769.430416465999</v>
      </c>
      <c r="M193" s="21">
        <f t="shared" si="35"/>
        <v>3128.3239570688797</v>
      </c>
      <c r="N193" s="21">
        <f t="shared" si="36"/>
        <v>2650.9618606659596</v>
      </c>
      <c r="O193" s="21"/>
      <c r="P193" s="21"/>
      <c r="Q193" s="17">
        <f t="shared" si="37"/>
        <v>20363.313344437</v>
      </c>
      <c r="R193" s="17">
        <f t="shared" si="39"/>
        <v>2738.8930886453004</v>
      </c>
      <c r="S193" s="17">
        <f t="shared" si="38"/>
        <v>2327.2358107927998</v>
      </c>
    </row>
    <row r="194" spans="1:22" s="27" customFormat="1">
      <c r="A194" s="18" t="s">
        <v>608</v>
      </c>
      <c r="B194" s="24" t="s">
        <v>610</v>
      </c>
      <c r="C194" s="24" t="s">
        <v>1561</v>
      </c>
      <c r="D194" s="25">
        <v>866</v>
      </c>
      <c r="E194" s="25">
        <v>1850</v>
      </c>
      <c r="F194" s="26">
        <f t="shared" si="40"/>
        <v>1850</v>
      </c>
      <c r="G194" s="21">
        <f t="shared" si="29"/>
        <v>1850000</v>
      </c>
      <c r="H194" s="21">
        <f t="shared" si="30"/>
        <v>1332000</v>
      </c>
      <c r="I194" s="21">
        <f t="shared" si="31"/>
        <v>83250</v>
      </c>
      <c r="J194" s="21">
        <f t="shared" si="32"/>
        <v>431050</v>
      </c>
      <c r="K194" s="21">
        <f t="shared" si="33"/>
        <v>3700</v>
      </c>
      <c r="L194" s="20">
        <f t="shared" si="34"/>
        <v>29512.38004729</v>
      </c>
      <c r="M194" s="21">
        <f t="shared" si="35"/>
        <v>3884.1606178372003</v>
      </c>
      <c r="N194" s="21">
        <f t="shared" si="36"/>
        <v>3291.4627129073992</v>
      </c>
      <c r="O194" s="26"/>
      <c r="P194" s="26"/>
      <c r="Q194" s="17">
        <f t="shared" si="37"/>
        <v>25283.308514904998</v>
      </c>
      <c r="R194" s="17">
        <f t="shared" si="39"/>
        <v>3400.6390697944994</v>
      </c>
      <c r="S194" s="17">
        <f t="shared" si="38"/>
        <v>2889.5209731320001</v>
      </c>
      <c r="T194" s="17"/>
      <c r="U194" s="17"/>
      <c r="V194" s="17"/>
    </row>
    <row r="195" spans="1:22">
      <c r="A195" s="18" t="s">
        <v>612</v>
      </c>
      <c r="B195" s="22" t="s">
        <v>614</v>
      </c>
      <c r="C195" s="22" t="s">
        <v>1561</v>
      </c>
      <c r="D195" s="23">
        <v>1123</v>
      </c>
      <c r="E195" s="23">
        <v>0</v>
      </c>
      <c r="F195" s="21">
        <f t="shared" si="40"/>
        <v>1123</v>
      </c>
      <c r="G195" s="21">
        <f t="shared" si="29"/>
        <v>1123000</v>
      </c>
      <c r="H195" s="21">
        <f t="shared" si="30"/>
        <v>808560</v>
      </c>
      <c r="I195" s="21">
        <f t="shared" si="31"/>
        <v>50535</v>
      </c>
      <c r="J195" s="21">
        <f t="shared" si="32"/>
        <v>261659</v>
      </c>
      <c r="K195" s="21">
        <f t="shared" si="33"/>
        <v>2246</v>
      </c>
      <c r="L195" s="20">
        <f t="shared" si="34"/>
        <v>17914.812320598197</v>
      </c>
      <c r="M195" s="21">
        <f t="shared" si="35"/>
        <v>2357.7904723411762</v>
      </c>
      <c r="N195" s="21">
        <f t="shared" si="36"/>
        <v>1998.0068251864918</v>
      </c>
      <c r="O195" s="21"/>
      <c r="P195" s="21"/>
      <c r="Q195" s="17">
        <f t="shared" si="37"/>
        <v>15347.651601209902</v>
      </c>
      <c r="R195" s="17">
        <f t="shared" si="39"/>
        <v>2064.2798245293097</v>
      </c>
      <c r="S195" s="17">
        <f t="shared" si="38"/>
        <v>1754.0173258525604</v>
      </c>
    </row>
    <row r="196" spans="1:22">
      <c r="A196" s="18" t="s">
        <v>616</v>
      </c>
      <c r="B196" s="22" t="s">
        <v>614</v>
      </c>
      <c r="C196" s="22" t="s">
        <v>1561</v>
      </c>
      <c r="D196" s="23">
        <v>1292</v>
      </c>
      <c r="E196" s="23">
        <v>1302</v>
      </c>
      <c r="F196" s="21">
        <f t="shared" si="40"/>
        <v>1302</v>
      </c>
      <c r="G196" s="21">
        <f t="shared" si="29"/>
        <v>1302000</v>
      </c>
      <c r="H196" s="21">
        <f t="shared" si="30"/>
        <v>937440</v>
      </c>
      <c r="I196" s="21">
        <f t="shared" si="31"/>
        <v>58590</v>
      </c>
      <c r="J196" s="21">
        <f t="shared" si="32"/>
        <v>303366</v>
      </c>
      <c r="K196" s="21">
        <f t="shared" si="33"/>
        <v>2604</v>
      </c>
      <c r="L196" s="20">
        <f t="shared" si="34"/>
        <v>20770.334498146804</v>
      </c>
      <c r="M196" s="21">
        <f t="shared" si="35"/>
        <v>2733.6092564454248</v>
      </c>
      <c r="N196" s="21">
        <f t="shared" si="36"/>
        <v>2316.4780822732082</v>
      </c>
      <c r="O196" s="21"/>
      <c r="P196" s="21"/>
      <c r="Q196" s="17">
        <f t="shared" si="37"/>
        <v>17793.982533192597</v>
      </c>
      <c r="R196" s="17">
        <f t="shared" si="39"/>
        <v>2393.3146318229396</v>
      </c>
      <c r="S196" s="17">
        <f t="shared" si="38"/>
        <v>2033.5980037934401</v>
      </c>
    </row>
    <row r="197" spans="1:22">
      <c r="A197" s="18" t="s">
        <v>619</v>
      </c>
      <c r="B197" s="22" t="s">
        <v>614</v>
      </c>
      <c r="C197" s="22" t="s">
        <v>1561</v>
      </c>
      <c r="D197" s="23">
        <v>1735</v>
      </c>
      <c r="E197" s="23">
        <v>0</v>
      </c>
      <c r="F197" s="21">
        <f t="shared" si="40"/>
        <v>1735</v>
      </c>
      <c r="G197" s="21">
        <f t="shared" si="29"/>
        <v>1735000</v>
      </c>
      <c r="H197" s="21">
        <f t="shared" si="30"/>
        <v>1249200</v>
      </c>
      <c r="I197" s="21">
        <f t="shared" si="31"/>
        <v>78075</v>
      </c>
      <c r="J197" s="21">
        <f t="shared" si="32"/>
        <v>404255</v>
      </c>
      <c r="K197" s="21">
        <f t="shared" si="33"/>
        <v>3470</v>
      </c>
      <c r="L197" s="20">
        <f t="shared" si="34"/>
        <v>27677.826692999002</v>
      </c>
      <c r="M197" s="21">
        <f t="shared" si="35"/>
        <v>3642.7127956473205</v>
      </c>
      <c r="N197" s="21">
        <f t="shared" si="36"/>
        <v>3086.8582739969397</v>
      </c>
      <c r="O197" s="21"/>
      <c r="P197" s="21"/>
      <c r="Q197" s="17">
        <f t="shared" si="37"/>
        <v>23711.643391005502</v>
      </c>
      <c r="R197" s="17">
        <f t="shared" si="39"/>
        <v>3189.2479924829504</v>
      </c>
      <c r="S197" s="17">
        <f t="shared" si="38"/>
        <v>2709.9021018292005</v>
      </c>
    </row>
    <row r="198" spans="1:22" s="27" customFormat="1">
      <c r="A198" s="18" t="s">
        <v>622</v>
      </c>
      <c r="B198" s="24" t="s">
        <v>624</v>
      </c>
      <c r="C198" s="24" t="s">
        <v>1561</v>
      </c>
      <c r="D198" s="25">
        <v>3024</v>
      </c>
      <c r="E198" s="25">
        <v>0</v>
      </c>
      <c r="F198" s="26">
        <f t="shared" si="40"/>
        <v>3024</v>
      </c>
      <c r="G198" s="21">
        <f t="shared" ref="G198:G249" si="41">F198*1000</f>
        <v>3024000</v>
      </c>
      <c r="H198" s="21">
        <f t="shared" ref="H198:H249" si="42">G198*0.72</f>
        <v>2177280</v>
      </c>
      <c r="I198" s="21">
        <f t="shared" ref="I198:I249" si="43">G198*0.045</f>
        <v>136080</v>
      </c>
      <c r="J198" s="21">
        <f t="shared" ref="J198:J249" si="44">G198*0.233</f>
        <v>704592</v>
      </c>
      <c r="K198" s="21">
        <f t="shared" ref="K198:K249" si="45">G198*0.002</f>
        <v>6048</v>
      </c>
      <c r="L198" s="20">
        <f t="shared" ref="L198:L249" si="46">(H198/1000*111+I198/1000*51+J198/1000*60+K198/250*20)*365*0.453592/1000</f>
        <v>48240.776898921598</v>
      </c>
      <c r="M198" s="21">
        <f t="shared" ref="M198:M249" si="47">(H198/1000*14.3+I198/1000*6.5+J198/1000*8.9+K198/250*2.4)*365*0.453592/1000</f>
        <v>6349.0279504538894</v>
      </c>
      <c r="N198" s="21">
        <f t="shared" ref="N198:N249" si="48">(H198/1000*12.1+I198/1000*5.5+J198/1000*7.6+K198/250*2)*365*0.453592/1000</f>
        <v>5380.2071588280951</v>
      </c>
      <c r="O198" s="26"/>
      <c r="P198" s="26"/>
      <c r="Q198" s="17">
        <f t="shared" ref="Q198:Q249" si="49">F198*0.89*(0.5*133+0.5*52.5)*365*0.453592/1000</f>
        <v>41327.959431931202</v>
      </c>
      <c r="R198" s="17">
        <f t="shared" si="39"/>
        <v>5558.6662416532799</v>
      </c>
      <c r="S198" s="17">
        <f t="shared" ref="S198:S249" si="50">F198*0.89*(14.55*0.5+0.5*6.65)*365*0.453592/1000</f>
        <v>4723.1953636492808</v>
      </c>
      <c r="T198" s="17"/>
      <c r="U198" s="17"/>
      <c r="V198" s="17"/>
    </row>
    <row r="199" spans="1:22">
      <c r="A199" s="18" t="s">
        <v>626</v>
      </c>
      <c r="B199" s="22" t="s">
        <v>628</v>
      </c>
      <c r="C199" s="22" t="s">
        <v>1561</v>
      </c>
      <c r="D199" s="23">
        <v>2981</v>
      </c>
      <c r="E199" s="23">
        <v>3130</v>
      </c>
      <c r="F199" s="21">
        <f t="shared" si="40"/>
        <v>3130</v>
      </c>
      <c r="G199" s="21">
        <f t="shared" si="41"/>
        <v>3130000</v>
      </c>
      <c r="H199" s="21">
        <f t="shared" si="42"/>
        <v>2253600</v>
      </c>
      <c r="I199" s="21">
        <f t="shared" si="43"/>
        <v>140850</v>
      </c>
      <c r="J199" s="21">
        <f t="shared" si="44"/>
        <v>729290</v>
      </c>
      <c r="K199" s="21">
        <f t="shared" si="45"/>
        <v>6260</v>
      </c>
      <c r="L199" s="20">
        <f t="shared" si="46"/>
        <v>49931.756512441993</v>
      </c>
      <c r="M199" s="21">
        <f t="shared" si="47"/>
        <v>6571.5798561245583</v>
      </c>
      <c r="N199" s="21">
        <f t="shared" si="48"/>
        <v>5568.7990764325195</v>
      </c>
      <c r="O199" s="21"/>
      <c r="P199" s="21"/>
      <c r="Q199" s="17">
        <f t="shared" si="49"/>
        <v>42776.624676569001</v>
      </c>
      <c r="R199" s="17">
        <f t="shared" si="39"/>
        <v>5753.513669436099</v>
      </c>
      <c r="S199" s="17">
        <f t="shared" si="50"/>
        <v>4888.757105893601</v>
      </c>
    </row>
    <row r="200" spans="1:22" s="27" customFormat="1">
      <c r="A200" s="18" t="s">
        <v>630</v>
      </c>
      <c r="B200" s="24" t="s">
        <v>632</v>
      </c>
      <c r="C200" s="24" t="s">
        <v>1561</v>
      </c>
      <c r="D200" s="25">
        <v>1932</v>
      </c>
      <c r="E200" s="25">
        <v>0</v>
      </c>
      <c r="F200" s="26">
        <f t="shared" si="40"/>
        <v>1932</v>
      </c>
      <c r="G200" s="21">
        <f t="shared" si="41"/>
        <v>1932000</v>
      </c>
      <c r="H200" s="21">
        <f t="shared" si="42"/>
        <v>1391040</v>
      </c>
      <c r="I200" s="21">
        <f t="shared" si="43"/>
        <v>86940</v>
      </c>
      <c r="J200" s="21">
        <f t="shared" si="44"/>
        <v>450156</v>
      </c>
      <c r="K200" s="21">
        <f t="shared" si="45"/>
        <v>3864</v>
      </c>
      <c r="L200" s="20">
        <f t="shared" si="46"/>
        <v>30820.496352088794</v>
      </c>
      <c r="M200" s="21">
        <f t="shared" si="47"/>
        <v>4056.3234127899841</v>
      </c>
      <c r="N200" s="21">
        <f t="shared" si="48"/>
        <v>3437.3545736957276</v>
      </c>
      <c r="O200" s="26"/>
      <c r="P200" s="26"/>
      <c r="Q200" s="17">
        <f t="shared" si="49"/>
        <v>26403.974081511598</v>
      </c>
      <c r="R200" s="17">
        <f t="shared" ref="R200:R249" si="51">F200*0.89*(0.5*17.15+0.5*7.8)*365*0.453592/1000</f>
        <v>3551.3700988340397</v>
      </c>
      <c r="S200" s="17">
        <f t="shared" si="50"/>
        <v>3017.5970378870402</v>
      </c>
      <c r="T200" s="17"/>
      <c r="U200" s="17"/>
      <c r="V200" s="17"/>
    </row>
    <row r="201" spans="1:22">
      <c r="A201" s="18" t="s">
        <v>634</v>
      </c>
      <c r="B201" s="22" t="s">
        <v>636</v>
      </c>
      <c r="C201" s="22" t="s">
        <v>1561</v>
      </c>
      <c r="D201" s="23">
        <v>2920</v>
      </c>
      <c r="E201" s="23">
        <v>5580</v>
      </c>
      <c r="F201" s="21">
        <f t="shared" si="40"/>
        <v>5580</v>
      </c>
      <c r="G201" s="21">
        <f t="shared" si="41"/>
        <v>5580000</v>
      </c>
      <c r="H201" s="21">
        <f t="shared" si="42"/>
        <v>4017600</v>
      </c>
      <c r="I201" s="21">
        <f t="shared" si="43"/>
        <v>251100</v>
      </c>
      <c r="J201" s="21">
        <f t="shared" si="44"/>
        <v>1300140</v>
      </c>
      <c r="K201" s="21">
        <f t="shared" si="45"/>
        <v>11160</v>
      </c>
      <c r="L201" s="20">
        <f t="shared" si="46"/>
        <v>89015.71927777199</v>
      </c>
      <c r="M201" s="21">
        <f t="shared" si="47"/>
        <v>11715.46824190896</v>
      </c>
      <c r="N201" s="21">
        <f t="shared" si="48"/>
        <v>9927.7632097423211</v>
      </c>
      <c r="O201" s="21"/>
      <c r="P201" s="21"/>
      <c r="Q201" s="17">
        <f t="shared" si="49"/>
        <v>76259.925142253996</v>
      </c>
      <c r="R201" s="17">
        <f t="shared" si="51"/>
        <v>10257.062707812598</v>
      </c>
      <c r="S201" s="17">
        <f t="shared" si="50"/>
        <v>8715.4200162576035</v>
      </c>
    </row>
    <row r="202" spans="1:22" s="27" customFormat="1">
      <c r="A202" s="18" t="s">
        <v>638</v>
      </c>
      <c r="B202" s="24" t="s">
        <v>640</v>
      </c>
      <c r="C202" s="24" t="s">
        <v>1561</v>
      </c>
      <c r="D202" s="25">
        <v>3217</v>
      </c>
      <c r="E202" s="25">
        <v>3217</v>
      </c>
      <c r="F202" s="26">
        <f t="shared" si="40"/>
        <v>3217</v>
      </c>
      <c r="G202" s="21">
        <f t="shared" si="41"/>
        <v>3217000</v>
      </c>
      <c r="H202" s="21">
        <f t="shared" si="42"/>
        <v>2316240</v>
      </c>
      <c r="I202" s="21">
        <f t="shared" si="43"/>
        <v>144765</v>
      </c>
      <c r="J202" s="21">
        <f t="shared" si="44"/>
        <v>749561</v>
      </c>
      <c r="K202" s="21">
        <f t="shared" si="45"/>
        <v>6434</v>
      </c>
      <c r="L202" s="20">
        <f t="shared" si="46"/>
        <v>51319.636006557783</v>
      </c>
      <c r="M202" s="21">
        <f t="shared" si="47"/>
        <v>6754.2403824769035</v>
      </c>
      <c r="N202" s="21">
        <f t="shared" si="48"/>
        <v>5723.5867823908675</v>
      </c>
      <c r="O202" s="26"/>
      <c r="P202" s="26"/>
      <c r="Q202" s="17">
        <f t="shared" si="49"/>
        <v>43965.623509432102</v>
      </c>
      <c r="R202" s="17">
        <f t="shared" si="51"/>
        <v>5913.43561488049</v>
      </c>
      <c r="S202" s="17">
        <f t="shared" si="50"/>
        <v>5024.6426867922401</v>
      </c>
      <c r="T202" s="17"/>
      <c r="U202" s="17"/>
      <c r="V202" s="17"/>
    </row>
    <row r="203" spans="1:22">
      <c r="A203" s="18" t="s">
        <v>642</v>
      </c>
      <c r="B203" s="22" t="s">
        <v>644</v>
      </c>
      <c r="C203" s="22" t="s">
        <v>1561</v>
      </c>
      <c r="D203" s="23">
        <v>2071</v>
      </c>
      <c r="E203" s="23">
        <v>0</v>
      </c>
      <c r="F203" s="21">
        <f t="shared" si="40"/>
        <v>2071</v>
      </c>
      <c r="G203" s="21">
        <f t="shared" si="41"/>
        <v>2071000</v>
      </c>
      <c r="H203" s="21">
        <f t="shared" si="42"/>
        <v>1491120</v>
      </c>
      <c r="I203" s="21">
        <f t="shared" si="43"/>
        <v>93195</v>
      </c>
      <c r="J203" s="21">
        <f t="shared" si="44"/>
        <v>482543</v>
      </c>
      <c r="K203" s="21">
        <f t="shared" si="45"/>
        <v>4142</v>
      </c>
      <c r="L203" s="20">
        <f t="shared" si="46"/>
        <v>33037.913015101396</v>
      </c>
      <c r="M203" s="21">
        <f t="shared" si="47"/>
        <v>4348.1603456977518</v>
      </c>
      <c r="N203" s="21">
        <f t="shared" si="48"/>
        <v>3684.6590694222832</v>
      </c>
      <c r="O203" s="21"/>
      <c r="P203" s="21"/>
      <c r="Q203" s="17">
        <f t="shared" si="49"/>
        <v>28303.638883442298</v>
      </c>
      <c r="R203" s="17">
        <f t="shared" si="51"/>
        <v>3806.8775748888697</v>
      </c>
      <c r="S203" s="17">
        <f t="shared" si="50"/>
        <v>3234.7015866791203</v>
      </c>
    </row>
    <row r="204" spans="1:22" s="27" customFormat="1">
      <c r="A204" s="18" t="s">
        <v>646</v>
      </c>
      <c r="B204" s="24" t="s">
        <v>648</v>
      </c>
      <c r="C204" s="24" t="s">
        <v>1561</v>
      </c>
      <c r="D204" s="25">
        <v>2960</v>
      </c>
      <c r="E204" s="25">
        <v>0</v>
      </c>
      <c r="F204" s="26">
        <f t="shared" si="40"/>
        <v>2960</v>
      </c>
      <c r="G204" s="21">
        <f t="shared" si="41"/>
        <v>2960000</v>
      </c>
      <c r="H204" s="21">
        <f t="shared" si="42"/>
        <v>2131200</v>
      </c>
      <c r="I204" s="21">
        <f t="shared" si="43"/>
        <v>133200</v>
      </c>
      <c r="J204" s="21">
        <f t="shared" si="44"/>
        <v>689680</v>
      </c>
      <c r="K204" s="21">
        <f t="shared" si="45"/>
        <v>5920</v>
      </c>
      <c r="L204" s="20">
        <f t="shared" si="46"/>
        <v>47219.808075663997</v>
      </c>
      <c r="M204" s="21">
        <f t="shared" si="47"/>
        <v>6214.6569885395202</v>
      </c>
      <c r="N204" s="21">
        <f t="shared" si="48"/>
        <v>5266.3403406518391</v>
      </c>
      <c r="O204" s="26"/>
      <c r="P204" s="26"/>
      <c r="Q204" s="17">
        <f t="shared" si="49"/>
        <v>40453.293623847996</v>
      </c>
      <c r="R204" s="17">
        <f t="shared" si="51"/>
        <v>5441.022511671199</v>
      </c>
      <c r="S204" s="17">
        <f t="shared" si="50"/>
        <v>4623.2335570112009</v>
      </c>
      <c r="T204" s="17"/>
      <c r="U204" s="17"/>
      <c r="V204" s="17"/>
    </row>
    <row r="205" spans="1:22" s="27" customFormat="1">
      <c r="A205" s="18" t="s">
        <v>650</v>
      </c>
      <c r="B205" s="24" t="s">
        <v>648</v>
      </c>
      <c r="C205" s="24" t="s">
        <v>1561</v>
      </c>
      <c r="D205" s="25">
        <v>5169</v>
      </c>
      <c r="E205" s="25">
        <v>6510</v>
      </c>
      <c r="F205" s="26">
        <f t="shared" si="40"/>
        <v>6510</v>
      </c>
      <c r="G205" s="21">
        <f t="shared" si="41"/>
        <v>6510000</v>
      </c>
      <c r="H205" s="21">
        <f t="shared" si="42"/>
        <v>4687200</v>
      </c>
      <c r="I205" s="21">
        <f t="shared" si="43"/>
        <v>292950</v>
      </c>
      <c r="J205" s="21">
        <f t="shared" si="44"/>
        <v>1516830</v>
      </c>
      <c r="K205" s="21">
        <f t="shared" si="45"/>
        <v>13020</v>
      </c>
      <c r="L205" s="20">
        <f t="shared" si="46"/>
        <v>103851.67249073398</v>
      </c>
      <c r="M205" s="21">
        <f t="shared" si="47"/>
        <v>13668.046282227122</v>
      </c>
      <c r="N205" s="21">
        <f t="shared" si="48"/>
        <v>11582.390411366039</v>
      </c>
      <c r="O205" s="26"/>
      <c r="P205" s="26"/>
      <c r="Q205" s="17">
        <f t="shared" si="49"/>
        <v>88969.912665962998</v>
      </c>
      <c r="R205" s="17">
        <f t="shared" si="51"/>
        <v>11966.573159114698</v>
      </c>
      <c r="S205" s="17">
        <f t="shared" si="50"/>
        <v>10167.990018967201</v>
      </c>
      <c r="T205" s="17"/>
      <c r="U205" s="17"/>
      <c r="V205" s="17"/>
    </row>
    <row r="206" spans="1:22" s="27" customFormat="1">
      <c r="A206" s="18" t="s">
        <v>653</v>
      </c>
      <c r="B206" s="24" t="s">
        <v>648</v>
      </c>
      <c r="C206" s="24" t="s">
        <v>1561</v>
      </c>
      <c r="D206" s="25">
        <v>2085</v>
      </c>
      <c r="E206" s="25">
        <v>0</v>
      </c>
      <c r="F206" s="26">
        <f t="shared" si="40"/>
        <v>2085</v>
      </c>
      <c r="G206" s="21">
        <f t="shared" si="41"/>
        <v>2085000</v>
      </c>
      <c r="H206" s="21">
        <f t="shared" si="42"/>
        <v>1501200</v>
      </c>
      <c r="I206" s="21">
        <f t="shared" si="43"/>
        <v>93825</v>
      </c>
      <c r="J206" s="21">
        <f t="shared" si="44"/>
        <v>485805</v>
      </c>
      <c r="K206" s="21">
        <f t="shared" si="45"/>
        <v>4170</v>
      </c>
      <c r="L206" s="20">
        <f t="shared" si="46"/>
        <v>33261.249945188996</v>
      </c>
      <c r="M206" s="21">
        <f t="shared" si="47"/>
        <v>4377.5539936165205</v>
      </c>
      <c r="N206" s="21">
        <f t="shared" si="48"/>
        <v>3709.5674358983397</v>
      </c>
      <c r="O206" s="26"/>
      <c r="P206" s="26"/>
      <c r="Q206" s="17">
        <f t="shared" si="49"/>
        <v>28494.972028960499</v>
      </c>
      <c r="R206" s="17">
        <f t="shared" si="51"/>
        <v>3832.6121408224499</v>
      </c>
      <c r="S206" s="17">
        <f t="shared" si="50"/>
        <v>3256.568231881201</v>
      </c>
      <c r="T206" s="17"/>
      <c r="U206" s="17"/>
      <c r="V206" s="17"/>
    </row>
    <row r="207" spans="1:22" s="27" customFormat="1">
      <c r="A207" s="18" t="s">
        <v>656</v>
      </c>
      <c r="B207" s="24" t="s">
        <v>648</v>
      </c>
      <c r="C207" s="24" t="s">
        <v>1561</v>
      </c>
      <c r="D207" s="25">
        <v>3270</v>
      </c>
      <c r="E207" s="25">
        <v>0</v>
      </c>
      <c r="F207" s="26">
        <f t="shared" si="40"/>
        <v>3270</v>
      </c>
      <c r="G207" s="21">
        <f t="shared" si="41"/>
        <v>3270000</v>
      </c>
      <c r="H207" s="21">
        <f t="shared" si="42"/>
        <v>2354400</v>
      </c>
      <c r="I207" s="21">
        <f t="shared" si="43"/>
        <v>147150</v>
      </c>
      <c r="J207" s="21">
        <f t="shared" si="44"/>
        <v>761910</v>
      </c>
      <c r="K207" s="21">
        <f t="shared" si="45"/>
        <v>6540</v>
      </c>
      <c r="L207" s="20">
        <f t="shared" si="46"/>
        <v>52165.125813318009</v>
      </c>
      <c r="M207" s="21">
        <f t="shared" si="47"/>
        <v>6865.5163353122398</v>
      </c>
      <c r="N207" s="21">
        <f t="shared" si="48"/>
        <v>5817.8827411930815</v>
      </c>
      <c r="O207" s="26"/>
      <c r="P207" s="26"/>
      <c r="Q207" s="17">
        <f t="shared" si="49"/>
        <v>44689.956131751002</v>
      </c>
      <c r="R207" s="17">
        <f t="shared" si="51"/>
        <v>6010.8593287718995</v>
      </c>
      <c r="S207" s="17">
        <f t="shared" si="50"/>
        <v>5107.4235579144015</v>
      </c>
      <c r="T207" s="17"/>
      <c r="U207" s="17"/>
      <c r="V207" s="17"/>
    </row>
    <row r="208" spans="1:22" s="27" customFormat="1">
      <c r="A208" s="18" t="s">
        <v>659</v>
      </c>
      <c r="B208" s="24" t="s">
        <v>648</v>
      </c>
      <c r="C208" s="24" t="s">
        <v>1561</v>
      </c>
      <c r="D208" s="25">
        <v>1791</v>
      </c>
      <c r="E208" s="25">
        <v>0</v>
      </c>
      <c r="F208" s="26">
        <f t="shared" si="40"/>
        <v>1791</v>
      </c>
      <c r="G208" s="21">
        <f t="shared" si="41"/>
        <v>1791000</v>
      </c>
      <c r="H208" s="21">
        <f t="shared" si="42"/>
        <v>1289520</v>
      </c>
      <c r="I208" s="21">
        <f t="shared" si="43"/>
        <v>80595</v>
      </c>
      <c r="J208" s="21">
        <f t="shared" si="44"/>
        <v>417303</v>
      </c>
      <c r="K208" s="21">
        <f t="shared" si="45"/>
        <v>3582</v>
      </c>
      <c r="L208" s="20">
        <f t="shared" si="46"/>
        <v>28571.174413349396</v>
      </c>
      <c r="M208" s="21">
        <f t="shared" si="47"/>
        <v>3760.287387322393</v>
      </c>
      <c r="N208" s="21">
        <f t="shared" si="48"/>
        <v>3186.4917399011638</v>
      </c>
      <c r="O208" s="26"/>
      <c r="P208" s="26"/>
      <c r="Q208" s="17">
        <f t="shared" si="49"/>
        <v>24476.975973078304</v>
      </c>
      <c r="R208" s="17">
        <f t="shared" si="51"/>
        <v>3292.1862562172696</v>
      </c>
      <c r="S208" s="17">
        <f t="shared" si="50"/>
        <v>2797.3686826375201</v>
      </c>
      <c r="T208" s="17"/>
      <c r="U208" s="17"/>
      <c r="V208" s="17"/>
    </row>
    <row r="209" spans="1:22" s="27" customFormat="1">
      <c r="A209" s="18" t="s">
        <v>662</v>
      </c>
      <c r="B209" s="24" t="s">
        <v>648</v>
      </c>
      <c r="C209" s="24" t="s">
        <v>1561</v>
      </c>
      <c r="D209" s="25">
        <v>1377</v>
      </c>
      <c r="E209" s="25">
        <v>0</v>
      </c>
      <c r="F209" s="26">
        <f t="shared" si="40"/>
        <v>1377</v>
      </c>
      <c r="G209" s="21">
        <f t="shared" si="41"/>
        <v>1377000</v>
      </c>
      <c r="H209" s="21">
        <f t="shared" si="42"/>
        <v>991440</v>
      </c>
      <c r="I209" s="21">
        <f t="shared" si="43"/>
        <v>61965</v>
      </c>
      <c r="J209" s="21">
        <f t="shared" si="44"/>
        <v>320841</v>
      </c>
      <c r="K209" s="21">
        <f t="shared" si="45"/>
        <v>2754</v>
      </c>
      <c r="L209" s="20">
        <f t="shared" si="46"/>
        <v>21966.782337901801</v>
      </c>
      <c r="M209" s="21">
        <f t="shared" si="47"/>
        <v>2891.0752274388242</v>
      </c>
      <c r="N209" s="21">
        <f t="shared" si="48"/>
        <v>2449.9157598235074</v>
      </c>
      <c r="O209" s="26"/>
      <c r="P209" s="26"/>
      <c r="Q209" s="17">
        <f t="shared" si="49"/>
        <v>18818.981527040098</v>
      </c>
      <c r="R209" s="17">
        <f t="shared" si="51"/>
        <v>2531.1783778956901</v>
      </c>
      <c r="S209" s="17">
        <f t="shared" si="50"/>
        <v>2150.7407459474407</v>
      </c>
      <c r="T209" s="17"/>
      <c r="U209" s="17"/>
      <c r="V209" s="17"/>
    </row>
    <row r="210" spans="1:22" s="27" customFormat="1">
      <c r="A210" s="18" t="s">
        <v>665</v>
      </c>
      <c r="B210" s="24" t="s">
        <v>648</v>
      </c>
      <c r="C210" s="24" t="s">
        <v>1561</v>
      </c>
      <c r="D210" s="25">
        <v>1821</v>
      </c>
      <c r="E210" s="25">
        <v>2280</v>
      </c>
      <c r="F210" s="26">
        <f t="shared" si="40"/>
        <v>2280</v>
      </c>
      <c r="G210" s="21">
        <f t="shared" si="41"/>
        <v>2280000</v>
      </c>
      <c r="H210" s="21">
        <f t="shared" si="42"/>
        <v>1641600</v>
      </c>
      <c r="I210" s="21">
        <f t="shared" si="43"/>
        <v>102600</v>
      </c>
      <c r="J210" s="21">
        <f t="shared" si="44"/>
        <v>531240</v>
      </c>
      <c r="K210" s="21">
        <f t="shared" si="45"/>
        <v>4560</v>
      </c>
      <c r="L210" s="20">
        <f t="shared" si="46"/>
        <v>36372.014328551995</v>
      </c>
      <c r="M210" s="21">
        <f t="shared" si="47"/>
        <v>4786.9655181993612</v>
      </c>
      <c r="N210" s="21">
        <f t="shared" si="48"/>
        <v>4056.5053975291189</v>
      </c>
      <c r="O210" s="26"/>
      <c r="P210" s="26"/>
      <c r="Q210" s="17">
        <f t="shared" si="49"/>
        <v>31159.969412964001</v>
      </c>
      <c r="R210" s="17">
        <f t="shared" si="51"/>
        <v>4191.0578806116</v>
      </c>
      <c r="S210" s="17">
        <f t="shared" si="50"/>
        <v>3561.1393614816011</v>
      </c>
      <c r="T210" s="17"/>
      <c r="U210" s="17"/>
      <c r="V210" s="17"/>
    </row>
    <row r="211" spans="1:22">
      <c r="A211" s="18" t="s">
        <v>668</v>
      </c>
      <c r="B211" s="22" t="s">
        <v>670</v>
      </c>
      <c r="C211" s="22" t="s">
        <v>1561</v>
      </c>
      <c r="D211" s="23">
        <v>1908</v>
      </c>
      <c r="E211" s="23">
        <v>3212</v>
      </c>
      <c r="F211" s="21">
        <f t="shared" si="40"/>
        <v>3212</v>
      </c>
      <c r="G211" s="21">
        <f t="shared" si="41"/>
        <v>3212000</v>
      </c>
      <c r="H211" s="21">
        <f t="shared" si="42"/>
        <v>2312640</v>
      </c>
      <c r="I211" s="21">
        <f t="shared" si="43"/>
        <v>144540</v>
      </c>
      <c r="J211" s="21">
        <f t="shared" si="44"/>
        <v>748396</v>
      </c>
      <c r="K211" s="21">
        <f t="shared" si="45"/>
        <v>6424</v>
      </c>
      <c r="L211" s="20">
        <f t="shared" si="46"/>
        <v>51239.872817240786</v>
      </c>
      <c r="M211" s="21">
        <f t="shared" si="47"/>
        <v>6743.7426510773439</v>
      </c>
      <c r="N211" s="21">
        <f t="shared" si="48"/>
        <v>5714.6909372208474</v>
      </c>
      <c r="O211" s="21"/>
      <c r="P211" s="21"/>
      <c r="Q211" s="17">
        <f t="shared" si="49"/>
        <v>43897.290243175594</v>
      </c>
      <c r="R211" s="17">
        <f t="shared" si="51"/>
        <v>5904.2446984756398</v>
      </c>
      <c r="S211" s="17">
        <f t="shared" si="50"/>
        <v>5016.8331706486397</v>
      </c>
    </row>
    <row r="212" spans="1:22">
      <c r="A212" s="18" t="s">
        <v>672</v>
      </c>
      <c r="B212" s="22" t="s">
        <v>670</v>
      </c>
      <c r="C212" s="22" t="s">
        <v>1561</v>
      </c>
      <c r="D212" s="23">
        <v>1765</v>
      </c>
      <c r="E212" s="23">
        <v>2066</v>
      </c>
      <c r="F212" s="21">
        <f t="shared" si="40"/>
        <v>2066</v>
      </c>
      <c r="G212" s="21">
        <f t="shared" si="41"/>
        <v>2066000</v>
      </c>
      <c r="H212" s="21">
        <f t="shared" si="42"/>
        <v>1487520</v>
      </c>
      <c r="I212" s="21">
        <f t="shared" si="43"/>
        <v>92970</v>
      </c>
      <c r="J212" s="21">
        <f t="shared" si="44"/>
        <v>481378</v>
      </c>
      <c r="K212" s="21">
        <f t="shared" si="45"/>
        <v>4132</v>
      </c>
      <c r="L212" s="20">
        <f t="shared" si="46"/>
        <v>32958.1498257844</v>
      </c>
      <c r="M212" s="21">
        <f t="shared" si="47"/>
        <v>4337.6626142981922</v>
      </c>
      <c r="N212" s="21">
        <f t="shared" si="48"/>
        <v>3675.7632242522636</v>
      </c>
      <c r="O212" s="21"/>
      <c r="P212" s="21"/>
      <c r="Q212" s="17">
        <f t="shared" si="49"/>
        <v>28235.305617185801</v>
      </c>
      <c r="R212" s="17">
        <f t="shared" si="51"/>
        <v>3797.6866584840204</v>
      </c>
      <c r="S212" s="17">
        <f t="shared" si="50"/>
        <v>3226.8920705355204</v>
      </c>
    </row>
    <row r="213" spans="1:22">
      <c r="A213" s="18" t="s">
        <v>675</v>
      </c>
      <c r="B213" s="22" t="s">
        <v>670</v>
      </c>
      <c r="C213" s="22" t="s">
        <v>1561</v>
      </c>
      <c r="D213" s="23">
        <v>1114</v>
      </c>
      <c r="E213" s="23">
        <v>2000</v>
      </c>
      <c r="F213" s="21">
        <f t="shared" si="40"/>
        <v>2000</v>
      </c>
      <c r="G213" s="21">
        <f t="shared" si="41"/>
        <v>2000000</v>
      </c>
      <c r="H213" s="21">
        <f t="shared" si="42"/>
        <v>1440000</v>
      </c>
      <c r="I213" s="21">
        <f t="shared" si="43"/>
        <v>90000</v>
      </c>
      <c r="J213" s="21">
        <f t="shared" si="44"/>
        <v>466000</v>
      </c>
      <c r="K213" s="21">
        <f t="shared" si="45"/>
        <v>4000</v>
      </c>
      <c r="L213" s="20">
        <f t="shared" si="46"/>
        <v>31905.275726799999</v>
      </c>
      <c r="M213" s="21">
        <f t="shared" si="47"/>
        <v>4199.092559824001</v>
      </c>
      <c r="N213" s="21">
        <f t="shared" si="48"/>
        <v>3558.3380680079995</v>
      </c>
      <c r="O213" s="21"/>
      <c r="P213" s="21"/>
      <c r="Q213" s="17">
        <f t="shared" si="49"/>
        <v>27333.3065026</v>
      </c>
      <c r="R213" s="17">
        <f t="shared" si="51"/>
        <v>3676.3665619399999</v>
      </c>
      <c r="S213" s="17">
        <f t="shared" si="50"/>
        <v>3123.8064574400005</v>
      </c>
    </row>
    <row r="214" spans="1:22">
      <c r="A214" s="18" t="s">
        <v>678</v>
      </c>
      <c r="B214" s="22" t="s">
        <v>670</v>
      </c>
      <c r="C214" s="22" t="s">
        <v>1561</v>
      </c>
      <c r="D214" s="23">
        <v>1769</v>
      </c>
      <c r="E214" s="23">
        <v>2545</v>
      </c>
      <c r="F214" s="21">
        <f t="shared" si="40"/>
        <v>2545</v>
      </c>
      <c r="G214" s="21">
        <f t="shared" si="41"/>
        <v>2545000</v>
      </c>
      <c r="H214" s="21">
        <f t="shared" si="42"/>
        <v>1832400</v>
      </c>
      <c r="I214" s="21">
        <f t="shared" si="43"/>
        <v>114525</v>
      </c>
      <c r="J214" s="21">
        <f t="shared" si="44"/>
        <v>592985</v>
      </c>
      <c r="K214" s="21">
        <f t="shared" si="45"/>
        <v>5090</v>
      </c>
      <c r="L214" s="20">
        <f t="shared" si="46"/>
        <v>40599.463362353003</v>
      </c>
      <c r="M214" s="21">
        <f t="shared" si="47"/>
        <v>5343.3452823760408</v>
      </c>
      <c r="N214" s="21">
        <f t="shared" si="48"/>
        <v>4527.9851915401805</v>
      </c>
      <c r="O214" s="21"/>
      <c r="P214" s="21"/>
      <c r="Q214" s="17">
        <f t="shared" si="49"/>
        <v>34781.632524558503</v>
      </c>
      <c r="R214" s="17">
        <f t="shared" si="51"/>
        <v>4678.1764500686504</v>
      </c>
      <c r="S214" s="17">
        <f t="shared" si="50"/>
        <v>3975.0437170924015</v>
      </c>
    </row>
    <row r="215" spans="1:22">
      <c r="A215" s="18" t="s">
        <v>681</v>
      </c>
      <c r="B215" s="22" t="s">
        <v>670</v>
      </c>
      <c r="C215" s="22" t="s">
        <v>1561</v>
      </c>
      <c r="D215" s="23">
        <v>1224</v>
      </c>
      <c r="E215" s="23">
        <v>1495</v>
      </c>
      <c r="F215" s="21">
        <f t="shared" si="40"/>
        <v>1495</v>
      </c>
      <c r="G215" s="21">
        <f t="shared" si="41"/>
        <v>1495000</v>
      </c>
      <c r="H215" s="21">
        <f t="shared" si="42"/>
        <v>1076400</v>
      </c>
      <c r="I215" s="21">
        <f t="shared" si="43"/>
        <v>67275</v>
      </c>
      <c r="J215" s="21">
        <f t="shared" si="44"/>
        <v>348335</v>
      </c>
      <c r="K215" s="21">
        <f t="shared" si="45"/>
        <v>2990</v>
      </c>
      <c r="L215" s="20">
        <f t="shared" si="46"/>
        <v>23849.193605782999</v>
      </c>
      <c r="M215" s="21">
        <f t="shared" si="47"/>
        <v>3138.8216884684402</v>
      </c>
      <c r="N215" s="21">
        <f t="shared" si="48"/>
        <v>2659.8577058359801</v>
      </c>
      <c r="O215" s="21"/>
      <c r="P215" s="21"/>
      <c r="Q215" s="17">
        <f t="shared" si="49"/>
        <v>20431.6466106935</v>
      </c>
      <c r="R215" s="17">
        <f t="shared" si="51"/>
        <v>2748.0840050501497</v>
      </c>
      <c r="S215" s="17">
        <f t="shared" si="50"/>
        <v>2335.0453269364002</v>
      </c>
    </row>
    <row r="216" spans="1:22">
      <c r="A216" s="18" t="s">
        <v>684</v>
      </c>
      <c r="B216" s="22" t="s">
        <v>670</v>
      </c>
      <c r="C216" s="22" t="s">
        <v>1561</v>
      </c>
      <c r="D216" s="23">
        <v>3053</v>
      </c>
      <c r="E216" s="23">
        <v>0</v>
      </c>
      <c r="F216" s="21">
        <f t="shared" si="40"/>
        <v>3053</v>
      </c>
      <c r="G216" s="21">
        <f t="shared" si="41"/>
        <v>3053000</v>
      </c>
      <c r="H216" s="21">
        <f t="shared" si="42"/>
        <v>2198160</v>
      </c>
      <c r="I216" s="21">
        <f t="shared" si="43"/>
        <v>137385</v>
      </c>
      <c r="J216" s="21">
        <f t="shared" si="44"/>
        <v>711349</v>
      </c>
      <c r="K216" s="21">
        <f t="shared" si="45"/>
        <v>6106</v>
      </c>
      <c r="L216" s="20">
        <f t="shared" si="46"/>
        <v>48703.403396960188</v>
      </c>
      <c r="M216" s="21">
        <f t="shared" si="47"/>
        <v>6409.9147925713351</v>
      </c>
      <c r="N216" s="21">
        <f t="shared" si="48"/>
        <v>5431.8030608142117</v>
      </c>
      <c r="O216" s="21"/>
      <c r="P216" s="21"/>
      <c r="Q216" s="17">
        <f t="shared" si="49"/>
        <v>41724.292376218902</v>
      </c>
      <c r="R216" s="17">
        <f t="shared" si="51"/>
        <v>5611.9735568014103</v>
      </c>
      <c r="S216" s="17">
        <f t="shared" si="50"/>
        <v>4768.4905572821608</v>
      </c>
    </row>
    <row r="217" spans="1:22">
      <c r="A217" s="18" t="s">
        <v>687</v>
      </c>
      <c r="B217" s="22" t="s">
        <v>670</v>
      </c>
      <c r="C217" s="22" t="s">
        <v>1561</v>
      </c>
      <c r="D217" s="23">
        <v>1327</v>
      </c>
      <c r="E217" s="23">
        <v>1720</v>
      </c>
      <c r="F217" s="21">
        <f t="shared" si="40"/>
        <v>1720</v>
      </c>
      <c r="G217" s="21">
        <f t="shared" si="41"/>
        <v>1720000</v>
      </c>
      <c r="H217" s="21">
        <f t="shared" si="42"/>
        <v>1238400</v>
      </c>
      <c r="I217" s="21">
        <f t="shared" si="43"/>
        <v>77400</v>
      </c>
      <c r="J217" s="21">
        <f t="shared" si="44"/>
        <v>400760</v>
      </c>
      <c r="K217" s="21">
        <f t="shared" si="45"/>
        <v>3440</v>
      </c>
      <c r="L217" s="20">
        <f t="shared" si="46"/>
        <v>27438.537125048009</v>
      </c>
      <c r="M217" s="21">
        <f t="shared" si="47"/>
        <v>3611.2196014486403</v>
      </c>
      <c r="N217" s="21">
        <f t="shared" si="48"/>
        <v>3060.1707384868805</v>
      </c>
      <c r="O217" s="21"/>
      <c r="P217" s="21"/>
      <c r="Q217" s="17">
        <f t="shared" si="49"/>
        <v>23506.643592235996</v>
      </c>
      <c r="R217" s="17">
        <f t="shared" si="51"/>
        <v>3161.6752432683998</v>
      </c>
      <c r="S217" s="17">
        <f t="shared" si="50"/>
        <v>2686.4735533983999</v>
      </c>
    </row>
    <row r="218" spans="1:22">
      <c r="A218" s="18" t="s">
        <v>690</v>
      </c>
      <c r="B218" s="22" t="s">
        <v>670</v>
      </c>
      <c r="C218" s="22" t="s">
        <v>1561</v>
      </c>
      <c r="D218" s="23">
        <v>1241</v>
      </c>
      <c r="E218" s="23">
        <v>0</v>
      </c>
      <c r="F218" s="21">
        <f t="shared" si="40"/>
        <v>1241</v>
      </c>
      <c r="G218" s="21">
        <f t="shared" si="41"/>
        <v>1241000</v>
      </c>
      <c r="H218" s="21">
        <f t="shared" si="42"/>
        <v>893520</v>
      </c>
      <c r="I218" s="21">
        <f t="shared" si="43"/>
        <v>55845</v>
      </c>
      <c r="J218" s="21">
        <f t="shared" si="44"/>
        <v>289153</v>
      </c>
      <c r="K218" s="21">
        <f t="shared" si="45"/>
        <v>2482</v>
      </c>
      <c r="L218" s="20">
        <f t="shared" si="46"/>
        <v>19797.223588479395</v>
      </c>
      <c r="M218" s="21">
        <f t="shared" si="47"/>
        <v>2605.5369333707922</v>
      </c>
      <c r="N218" s="21">
        <f t="shared" si="48"/>
        <v>2207.9487711989636</v>
      </c>
      <c r="O218" s="21"/>
      <c r="P218" s="21"/>
      <c r="Q218" s="17">
        <f t="shared" si="49"/>
        <v>16960.316684863301</v>
      </c>
      <c r="R218" s="17">
        <f t="shared" si="51"/>
        <v>2281.1854516837698</v>
      </c>
      <c r="S218" s="17">
        <f t="shared" si="50"/>
        <v>1938.3219068415203</v>
      </c>
    </row>
    <row r="219" spans="1:22">
      <c r="A219" s="18" t="s">
        <v>693</v>
      </c>
      <c r="B219" s="22" t="s">
        <v>670</v>
      </c>
      <c r="C219" s="22" t="s">
        <v>1561</v>
      </c>
      <c r="D219" s="23">
        <v>1973</v>
      </c>
      <c r="E219" s="23">
        <v>3673</v>
      </c>
      <c r="F219" s="21">
        <f t="shared" si="40"/>
        <v>3673</v>
      </c>
      <c r="G219" s="21">
        <f t="shared" si="41"/>
        <v>3673000</v>
      </c>
      <c r="H219" s="21">
        <f t="shared" si="42"/>
        <v>2644560</v>
      </c>
      <c r="I219" s="21">
        <f t="shared" si="43"/>
        <v>165285</v>
      </c>
      <c r="J219" s="21">
        <f t="shared" si="44"/>
        <v>855809</v>
      </c>
      <c r="K219" s="21">
        <f t="shared" si="45"/>
        <v>7346</v>
      </c>
      <c r="L219" s="20">
        <f t="shared" si="46"/>
        <v>58594.038872268182</v>
      </c>
      <c r="M219" s="21">
        <f t="shared" si="47"/>
        <v>7711.633486116777</v>
      </c>
      <c r="N219" s="21">
        <f t="shared" si="48"/>
        <v>6534.887861896691</v>
      </c>
      <c r="O219" s="21"/>
      <c r="P219" s="21"/>
      <c r="Q219" s="17">
        <f t="shared" si="49"/>
        <v>50197.617392024906</v>
      </c>
      <c r="R219" s="17">
        <f t="shared" si="51"/>
        <v>6751.6471910028094</v>
      </c>
      <c r="S219" s="17">
        <f t="shared" si="50"/>
        <v>5736.870559088562</v>
      </c>
    </row>
    <row r="220" spans="1:22" s="27" customFormat="1">
      <c r="A220" s="18" t="s">
        <v>696</v>
      </c>
      <c r="B220" s="24" t="s">
        <v>698</v>
      </c>
      <c r="C220" s="24" t="s">
        <v>1561</v>
      </c>
      <c r="D220" s="25">
        <v>1502</v>
      </c>
      <c r="E220" s="25">
        <v>0</v>
      </c>
      <c r="F220" s="26">
        <f t="shared" si="40"/>
        <v>1502</v>
      </c>
      <c r="G220" s="21">
        <f t="shared" si="41"/>
        <v>1502000</v>
      </c>
      <c r="H220" s="21">
        <f t="shared" si="42"/>
        <v>1081440</v>
      </c>
      <c r="I220" s="21">
        <f t="shared" si="43"/>
        <v>67590</v>
      </c>
      <c r="J220" s="21">
        <f t="shared" si="44"/>
        <v>349966</v>
      </c>
      <c r="K220" s="21">
        <f t="shared" si="45"/>
        <v>3004</v>
      </c>
      <c r="L220" s="20">
        <f t="shared" si="46"/>
        <v>23960.862070826803</v>
      </c>
      <c r="M220" s="21">
        <f t="shared" si="47"/>
        <v>3153.518512427825</v>
      </c>
      <c r="N220" s="21">
        <f t="shared" si="48"/>
        <v>2672.3118890740079</v>
      </c>
      <c r="O220" s="26"/>
      <c r="P220" s="26"/>
      <c r="Q220" s="17">
        <f t="shared" si="49"/>
        <v>20527.313183452599</v>
      </c>
      <c r="R220" s="17">
        <f t="shared" si="51"/>
        <v>2760.95128801694</v>
      </c>
      <c r="S220" s="17">
        <f t="shared" si="50"/>
        <v>2345.9786495374406</v>
      </c>
      <c r="T220" s="17"/>
      <c r="U220" s="17"/>
      <c r="V220" s="17"/>
    </row>
    <row r="221" spans="1:22" s="27" customFormat="1">
      <c r="A221" s="18" t="s">
        <v>700</v>
      </c>
      <c r="B221" s="24" t="s">
        <v>698</v>
      </c>
      <c r="C221" s="24" t="s">
        <v>1561</v>
      </c>
      <c r="D221" s="25">
        <v>1318</v>
      </c>
      <c r="E221" s="25">
        <v>1417</v>
      </c>
      <c r="F221" s="26">
        <f t="shared" si="40"/>
        <v>1417</v>
      </c>
      <c r="G221" s="21">
        <f t="shared" si="41"/>
        <v>1417000</v>
      </c>
      <c r="H221" s="21">
        <f t="shared" si="42"/>
        <v>1020240</v>
      </c>
      <c r="I221" s="21">
        <f t="shared" si="43"/>
        <v>63765</v>
      </c>
      <c r="J221" s="21">
        <f t="shared" si="44"/>
        <v>330161</v>
      </c>
      <c r="K221" s="21">
        <f t="shared" si="45"/>
        <v>2834</v>
      </c>
      <c r="L221" s="20">
        <f t="shared" si="46"/>
        <v>22604.887852437798</v>
      </c>
      <c r="M221" s="21">
        <f t="shared" si="47"/>
        <v>2975.0570786353037</v>
      </c>
      <c r="N221" s="21">
        <f t="shared" si="48"/>
        <v>2521.0825211836682</v>
      </c>
      <c r="O221" s="26"/>
      <c r="P221" s="26"/>
      <c r="Q221" s="17">
        <f t="shared" si="49"/>
        <v>19365.6476570921</v>
      </c>
      <c r="R221" s="17">
        <f t="shared" si="51"/>
        <v>2604.70570913449</v>
      </c>
      <c r="S221" s="17">
        <f t="shared" si="50"/>
        <v>2213.2168750962401</v>
      </c>
      <c r="T221" s="17"/>
      <c r="U221" s="17"/>
      <c r="V221" s="17"/>
    </row>
    <row r="222" spans="1:22" s="27" customFormat="1">
      <c r="A222" s="18" t="s">
        <v>703</v>
      </c>
      <c r="B222" s="24" t="s">
        <v>698</v>
      </c>
      <c r="C222" s="24" t="s">
        <v>1561</v>
      </c>
      <c r="D222" s="25">
        <v>1050</v>
      </c>
      <c r="E222" s="25">
        <v>1050</v>
      </c>
      <c r="F222" s="26">
        <f t="shared" si="40"/>
        <v>1050</v>
      </c>
      <c r="G222" s="21">
        <f t="shared" si="41"/>
        <v>1050000</v>
      </c>
      <c r="H222" s="21">
        <f t="shared" si="42"/>
        <v>756000</v>
      </c>
      <c r="I222" s="21">
        <f t="shared" si="43"/>
        <v>47250</v>
      </c>
      <c r="J222" s="21">
        <f t="shared" si="44"/>
        <v>244650</v>
      </c>
      <c r="K222" s="21">
        <f t="shared" si="45"/>
        <v>2100</v>
      </c>
      <c r="L222" s="20">
        <f t="shared" si="46"/>
        <v>16750.26975657</v>
      </c>
      <c r="M222" s="21">
        <f t="shared" si="47"/>
        <v>2204.5235939076001</v>
      </c>
      <c r="N222" s="21">
        <f t="shared" si="48"/>
        <v>1868.1274857042001</v>
      </c>
      <c r="O222" s="26"/>
      <c r="P222" s="26"/>
      <c r="Q222" s="17">
        <f t="shared" si="49"/>
        <v>14349.985913865001</v>
      </c>
      <c r="R222" s="17">
        <f t="shared" si="51"/>
        <v>1930.0924450185</v>
      </c>
      <c r="S222" s="17">
        <f t="shared" si="50"/>
        <v>1639.9983901560001</v>
      </c>
      <c r="T222" s="17"/>
      <c r="U222" s="17"/>
      <c r="V222" s="17"/>
    </row>
    <row r="223" spans="1:22" s="27" customFormat="1">
      <c r="A223" s="18" t="s">
        <v>706</v>
      </c>
      <c r="B223" s="24" t="s">
        <v>698</v>
      </c>
      <c r="C223" s="24" t="s">
        <v>1561</v>
      </c>
      <c r="D223" s="25">
        <v>1392</v>
      </c>
      <c r="E223" s="25">
        <v>2104</v>
      </c>
      <c r="F223" s="26">
        <f t="shared" si="40"/>
        <v>2104</v>
      </c>
      <c r="G223" s="21">
        <f t="shared" si="41"/>
        <v>2104000</v>
      </c>
      <c r="H223" s="21">
        <f t="shared" si="42"/>
        <v>1514880</v>
      </c>
      <c r="I223" s="21">
        <f t="shared" si="43"/>
        <v>94680</v>
      </c>
      <c r="J223" s="21">
        <f t="shared" si="44"/>
        <v>490232</v>
      </c>
      <c r="K223" s="21">
        <f t="shared" si="45"/>
        <v>4208</v>
      </c>
      <c r="L223" s="20">
        <f t="shared" si="46"/>
        <v>33564.350064593607</v>
      </c>
      <c r="M223" s="21">
        <f t="shared" si="47"/>
        <v>4417.4453729348488</v>
      </c>
      <c r="N223" s="21">
        <f t="shared" si="48"/>
        <v>3743.3716475444171</v>
      </c>
      <c r="O223" s="26"/>
      <c r="P223" s="26"/>
      <c r="Q223" s="17">
        <f t="shared" si="49"/>
        <v>28754.638440735198</v>
      </c>
      <c r="R223" s="17">
        <f t="shared" si="51"/>
        <v>3867.5376231608798</v>
      </c>
      <c r="S223" s="17">
        <f t="shared" si="50"/>
        <v>3286.2443932268802</v>
      </c>
      <c r="T223" s="17"/>
      <c r="U223" s="17"/>
      <c r="V223" s="17"/>
    </row>
    <row r="224" spans="1:22">
      <c r="A224" s="18" t="s">
        <v>709</v>
      </c>
      <c r="B224" s="22" t="s">
        <v>711</v>
      </c>
      <c r="C224" s="22" t="s">
        <v>1561</v>
      </c>
      <c r="D224" s="23">
        <v>985</v>
      </c>
      <c r="E224" s="23">
        <v>1830</v>
      </c>
      <c r="F224" s="21">
        <f t="shared" si="40"/>
        <v>1830</v>
      </c>
      <c r="G224" s="21">
        <f t="shared" si="41"/>
        <v>1830000</v>
      </c>
      <c r="H224" s="21">
        <f t="shared" si="42"/>
        <v>1317600</v>
      </c>
      <c r="I224" s="21">
        <f t="shared" si="43"/>
        <v>82350</v>
      </c>
      <c r="J224" s="21">
        <f t="shared" si="44"/>
        <v>426390</v>
      </c>
      <c r="K224" s="21">
        <f t="shared" si="45"/>
        <v>3660</v>
      </c>
      <c r="L224" s="20">
        <f t="shared" si="46"/>
        <v>29193.327290021993</v>
      </c>
      <c r="M224" s="21">
        <f t="shared" si="47"/>
        <v>3842.1696922389597</v>
      </c>
      <c r="N224" s="21">
        <f t="shared" si="48"/>
        <v>3255.8793322273191</v>
      </c>
      <c r="O224" s="21"/>
      <c r="P224" s="21"/>
      <c r="Q224" s="17">
        <f t="shared" si="49"/>
        <v>25009.975449879003</v>
      </c>
      <c r="R224" s="17">
        <f t="shared" si="51"/>
        <v>3363.8754041751004</v>
      </c>
      <c r="S224" s="17">
        <f t="shared" si="50"/>
        <v>2858.2829085576004</v>
      </c>
    </row>
    <row r="225" spans="1:22">
      <c r="A225" s="18" t="s">
        <v>713</v>
      </c>
      <c r="B225" s="22" t="s">
        <v>711</v>
      </c>
      <c r="C225" s="22" t="s">
        <v>1561</v>
      </c>
      <c r="D225" s="23">
        <v>980</v>
      </c>
      <c r="E225" s="23">
        <v>1040</v>
      </c>
      <c r="F225" s="21">
        <f t="shared" si="40"/>
        <v>1040</v>
      </c>
      <c r="G225" s="21">
        <f t="shared" si="41"/>
        <v>1040000</v>
      </c>
      <c r="H225" s="21">
        <f t="shared" si="42"/>
        <v>748800</v>
      </c>
      <c r="I225" s="21">
        <f t="shared" si="43"/>
        <v>46800</v>
      </c>
      <c r="J225" s="21">
        <f t="shared" si="44"/>
        <v>242320</v>
      </c>
      <c r="K225" s="21">
        <f t="shared" si="45"/>
        <v>2080</v>
      </c>
      <c r="L225" s="20">
        <f t="shared" si="46"/>
        <v>16590.743377935996</v>
      </c>
      <c r="M225" s="21">
        <f t="shared" si="47"/>
        <v>2183.5281311084805</v>
      </c>
      <c r="N225" s="21">
        <f t="shared" si="48"/>
        <v>1850.3357953641598</v>
      </c>
      <c r="O225" s="21"/>
      <c r="P225" s="21"/>
      <c r="Q225" s="17">
        <f t="shared" si="49"/>
        <v>14213.319381352001</v>
      </c>
      <c r="R225" s="17">
        <f t="shared" si="51"/>
        <v>1911.7106122088001</v>
      </c>
      <c r="S225" s="17">
        <f t="shared" si="50"/>
        <v>1624.3793578688003</v>
      </c>
    </row>
    <row r="226" spans="1:22">
      <c r="A226" s="18" t="s">
        <v>716</v>
      </c>
      <c r="B226" s="22" t="s">
        <v>711</v>
      </c>
      <c r="C226" s="22" t="s">
        <v>1561</v>
      </c>
      <c r="D226" s="23">
        <v>1977</v>
      </c>
      <c r="E226" s="23">
        <v>2195</v>
      </c>
      <c r="F226" s="21">
        <f t="shared" si="40"/>
        <v>2195</v>
      </c>
      <c r="G226" s="21">
        <f t="shared" si="41"/>
        <v>2195000</v>
      </c>
      <c r="H226" s="21">
        <f t="shared" si="42"/>
        <v>1580400</v>
      </c>
      <c r="I226" s="21">
        <f t="shared" si="43"/>
        <v>98775</v>
      </c>
      <c r="J226" s="21">
        <f t="shared" si="44"/>
        <v>511435</v>
      </c>
      <c r="K226" s="21">
        <f t="shared" si="45"/>
        <v>4390</v>
      </c>
      <c r="L226" s="20">
        <f t="shared" si="46"/>
        <v>35016.040110163005</v>
      </c>
      <c r="M226" s="21">
        <f t="shared" si="47"/>
        <v>4608.5040844068399</v>
      </c>
      <c r="N226" s="21">
        <f t="shared" si="48"/>
        <v>3905.2760296387796</v>
      </c>
      <c r="O226" s="21"/>
      <c r="P226" s="21"/>
      <c r="Q226" s="17">
        <f t="shared" si="49"/>
        <v>29998.303886603499</v>
      </c>
      <c r="R226" s="17">
        <f t="shared" si="51"/>
        <v>4034.8123017291496</v>
      </c>
      <c r="S226" s="17">
        <f t="shared" si="50"/>
        <v>3428.3775870404002</v>
      </c>
    </row>
    <row r="227" spans="1:22">
      <c r="A227" s="18" t="s">
        <v>719</v>
      </c>
      <c r="B227" s="22" t="s">
        <v>711</v>
      </c>
      <c r="C227" s="22" t="s">
        <v>1561</v>
      </c>
      <c r="D227" s="23">
        <v>978</v>
      </c>
      <c r="E227" s="23">
        <v>1601</v>
      </c>
      <c r="F227" s="21">
        <f t="shared" si="40"/>
        <v>1601</v>
      </c>
      <c r="G227" s="21">
        <f t="shared" si="41"/>
        <v>1601000</v>
      </c>
      <c r="H227" s="21">
        <f t="shared" si="42"/>
        <v>1152720</v>
      </c>
      <c r="I227" s="21">
        <f t="shared" si="43"/>
        <v>72045</v>
      </c>
      <c r="J227" s="21">
        <f t="shared" si="44"/>
        <v>373033</v>
      </c>
      <c r="K227" s="21">
        <f t="shared" si="45"/>
        <v>3202</v>
      </c>
      <c r="L227" s="20">
        <f t="shared" si="46"/>
        <v>25540.1732193034</v>
      </c>
      <c r="M227" s="21">
        <f t="shared" si="47"/>
        <v>3361.3735941391119</v>
      </c>
      <c r="N227" s="21">
        <f t="shared" si="48"/>
        <v>2848.4496234404041</v>
      </c>
      <c r="O227" s="21"/>
      <c r="P227" s="21"/>
      <c r="Q227" s="17">
        <f t="shared" si="49"/>
        <v>21880.311855331303</v>
      </c>
      <c r="R227" s="17">
        <f t="shared" si="51"/>
        <v>2942.9314328329697</v>
      </c>
      <c r="S227" s="17">
        <f t="shared" si="50"/>
        <v>2500.6070691807204</v>
      </c>
    </row>
    <row r="228" spans="1:22" s="27" customFormat="1">
      <c r="A228" s="18" t="s">
        <v>722</v>
      </c>
      <c r="B228" s="24" t="s">
        <v>724</v>
      </c>
      <c r="C228" s="24" t="s">
        <v>1561</v>
      </c>
      <c r="D228" s="25">
        <v>611</v>
      </c>
      <c r="E228" s="25">
        <v>1250</v>
      </c>
      <c r="F228" s="26">
        <f t="shared" si="40"/>
        <v>1250</v>
      </c>
      <c r="G228" s="21">
        <f t="shared" si="41"/>
        <v>1250000</v>
      </c>
      <c r="H228" s="21">
        <f t="shared" si="42"/>
        <v>900000</v>
      </c>
      <c r="I228" s="21">
        <f t="shared" si="43"/>
        <v>56250</v>
      </c>
      <c r="J228" s="21">
        <f t="shared" si="44"/>
        <v>291250</v>
      </c>
      <c r="K228" s="21">
        <f t="shared" si="45"/>
        <v>2500</v>
      </c>
      <c r="L228" s="20">
        <f t="shared" si="46"/>
        <v>19940.797329249999</v>
      </c>
      <c r="M228" s="21">
        <f t="shared" si="47"/>
        <v>2624.4328498900004</v>
      </c>
      <c r="N228" s="21">
        <f t="shared" si="48"/>
        <v>2223.9612925049996</v>
      </c>
      <c r="O228" s="26"/>
      <c r="P228" s="26"/>
      <c r="Q228" s="17">
        <f t="shared" si="49"/>
        <v>17083.316564125002</v>
      </c>
      <c r="R228" s="17">
        <f t="shared" si="51"/>
        <v>2297.7291012125002</v>
      </c>
      <c r="S228" s="17">
        <f t="shared" si="50"/>
        <v>1952.3790359000004</v>
      </c>
      <c r="T228" s="17"/>
      <c r="U228" s="17"/>
      <c r="V228" s="17"/>
    </row>
    <row r="229" spans="1:22" s="27" customFormat="1">
      <c r="A229" s="18" t="s">
        <v>726</v>
      </c>
      <c r="B229" s="24" t="s">
        <v>724</v>
      </c>
      <c r="C229" s="24" t="s">
        <v>1561</v>
      </c>
      <c r="D229" s="25">
        <v>546</v>
      </c>
      <c r="E229" s="25">
        <v>0</v>
      </c>
      <c r="F229" s="26">
        <f t="shared" si="40"/>
        <v>546</v>
      </c>
      <c r="G229" s="21">
        <f t="shared" si="41"/>
        <v>546000</v>
      </c>
      <c r="H229" s="21">
        <f t="shared" si="42"/>
        <v>393120</v>
      </c>
      <c r="I229" s="21">
        <f t="shared" si="43"/>
        <v>24570</v>
      </c>
      <c r="J229" s="21">
        <f t="shared" si="44"/>
        <v>127218</v>
      </c>
      <c r="K229" s="21">
        <f t="shared" si="45"/>
        <v>1092</v>
      </c>
      <c r="L229" s="20">
        <f t="shared" si="46"/>
        <v>8710.1402734164003</v>
      </c>
      <c r="M229" s="21">
        <f t="shared" si="47"/>
        <v>1146.3522688319517</v>
      </c>
      <c r="N229" s="21">
        <f t="shared" si="48"/>
        <v>971.42629256618397</v>
      </c>
      <c r="O229" s="26"/>
      <c r="P229" s="26"/>
      <c r="Q229" s="17">
        <f t="shared" si="49"/>
        <v>7461.992675209799</v>
      </c>
      <c r="R229" s="17">
        <f t="shared" si="51"/>
        <v>1003.6480714096199</v>
      </c>
      <c r="S229" s="17">
        <f t="shared" si="50"/>
        <v>852.79916288112008</v>
      </c>
      <c r="T229" s="17"/>
      <c r="U229" s="17"/>
      <c r="V229" s="17"/>
    </row>
    <row r="230" spans="1:22" s="27" customFormat="1">
      <c r="A230" s="18" t="s">
        <v>729</v>
      </c>
      <c r="B230" s="24" t="s">
        <v>724</v>
      </c>
      <c r="C230" s="24" t="s">
        <v>1561</v>
      </c>
      <c r="D230" s="25">
        <v>948</v>
      </c>
      <c r="E230" s="25">
        <v>0</v>
      </c>
      <c r="F230" s="26">
        <f t="shared" si="40"/>
        <v>948</v>
      </c>
      <c r="G230" s="21">
        <f t="shared" si="41"/>
        <v>948000</v>
      </c>
      <c r="H230" s="21">
        <f t="shared" si="42"/>
        <v>682560</v>
      </c>
      <c r="I230" s="21">
        <f t="shared" si="43"/>
        <v>42660</v>
      </c>
      <c r="J230" s="21">
        <f t="shared" si="44"/>
        <v>220884</v>
      </c>
      <c r="K230" s="21">
        <f t="shared" si="45"/>
        <v>1896</v>
      </c>
      <c r="L230" s="20">
        <f t="shared" si="46"/>
        <v>15123.100694503197</v>
      </c>
      <c r="M230" s="21">
        <f t="shared" si="47"/>
        <v>1990.3698733565759</v>
      </c>
      <c r="N230" s="21">
        <f t="shared" si="48"/>
        <v>1686.6522442357914</v>
      </c>
      <c r="O230" s="26"/>
      <c r="P230" s="26"/>
      <c r="Q230" s="17">
        <f t="shared" si="49"/>
        <v>12955.9872822324</v>
      </c>
      <c r="R230" s="17">
        <f t="shared" si="51"/>
        <v>1742.59775035956</v>
      </c>
      <c r="S230" s="17">
        <f t="shared" si="50"/>
        <v>1480.6842608265599</v>
      </c>
      <c r="T230" s="17"/>
      <c r="U230" s="17"/>
      <c r="V230" s="17"/>
    </row>
    <row r="231" spans="1:22" s="27" customFormat="1">
      <c r="A231" s="18" t="s">
        <v>732</v>
      </c>
      <c r="B231" s="24" t="s">
        <v>724</v>
      </c>
      <c r="C231" s="24" t="s">
        <v>1561</v>
      </c>
      <c r="D231" s="25">
        <v>1813</v>
      </c>
      <c r="E231" s="25">
        <v>0</v>
      </c>
      <c r="F231" s="26">
        <f t="shared" si="40"/>
        <v>1813</v>
      </c>
      <c r="G231" s="21">
        <f t="shared" si="41"/>
        <v>1813000</v>
      </c>
      <c r="H231" s="21">
        <f t="shared" si="42"/>
        <v>1305360</v>
      </c>
      <c r="I231" s="21">
        <f t="shared" si="43"/>
        <v>81585</v>
      </c>
      <c r="J231" s="21">
        <f t="shared" si="44"/>
        <v>422429</v>
      </c>
      <c r="K231" s="21">
        <f t="shared" si="45"/>
        <v>3626</v>
      </c>
      <c r="L231" s="20">
        <f t="shared" si="46"/>
        <v>28922.132446344192</v>
      </c>
      <c r="M231" s="21">
        <f t="shared" si="47"/>
        <v>3806.4774054804566</v>
      </c>
      <c r="N231" s="21">
        <f t="shared" si="48"/>
        <v>3225.6334586492517</v>
      </c>
      <c r="O231" s="26"/>
      <c r="P231" s="26"/>
      <c r="Q231" s="17">
        <f t="shared" si="49"/>
        <v>24777.642344606898</v>
      </c>
      <c r="R231" s="17">
        <f t="shared" si="51"/>
        <v>3332.6262883986101</v>
      </c>
      <c r="S231" s="17">
        <f t="shared" si="50"/>
        <v>2831.7305536693598</v>
      </c>
      <c r="T231" s="17"/>
      <c r="U231" s="17"/>
      <c r="V231" s="17"/>
    </row>
    <row r="232" spans="1:22">
      <c r="A232" s="18" t="s">
        <v>735</v>
      </c>
      <c r="B232" s="22" t="s">
        <v>737</v>
      </c>
      <c r="C232" s="22" t="s">
        <v>1561</v>
      </c>
      <c r="D232" s="23">
        <v>1573</v>
      </c>
      <c r="E232" s="23">
        <v>2511</v>
      </c>
      <c r="F232" s="21">
        <f t="shared" si="40"/>
        <v>2511</v>
      </c>
      <c r="G232" s="21">
        <f t="shared" si="41"/>
        <v>2511000</v>
      </c>
      <c r="H232" s="21">
        <f t="shared" si="42"/>
        <v>1807920</v>
      </c>
      <c r="I232" s="21">
        <f t="shared" si="43"/>
        <v>112995</v>
      </c>
      <c r="J232" s="21">
        <f t="shared" si="44"/>
        <v>585063</v>
      </c>
      <c r="K232" s="21">
        <f t="shared" si="45"/>
        <v>5022</v>
      </c>
      <c r="L232" s="20">
        <f t="shared" si="46"/>
        <v>40057.073674997402</v>
      </c>
      <c r="M232" s="21">
        <f t="shared" si="47"/>
        <v>5271.9607088590319</v>
      </c>
      <c r="N232" s="21">
        <f t="shared" si="48"/>
        <v>4467.4934443840439</v>
      </c>
      <c r="O232" s="21"/>
      <c r="P232" s="21"/>
      <c r="Q232" s="17">
        <f t="shared" si="49"/>
        <v>34316.966314014295</v>
      </c>
      <c r="R232" s="17">
        <f t="shared" si="51"/>
        <v>4615.6782185156699</v>
      </c>
      <c r="S232" s="17">
        <f t="shared" si="50"/>
        <v>3921.9390073159198</v>
      </c>
    </row>
    <row r="233" spans="1:22">
      <c r="A233" s="18" t="s">
        <v>739</v>
      </c>
      <c r="B233" s="22" t="s">
        <v>737</v>
      </c>
      <c r="C233" s="22" t="s">
        <v>1561</v>
      </c>
      <c r="D233" s="23">
        <v>2462</v>
      </c>
      <c r="E233" s="23">
        <v>2708</v>
      </c>
      <c r="F233" s="21">
        <f t="shared" si="40"/>
        <v>2708</v>
      </c>
      <c r="G233" s="21">
        <f t="shared" si="41"/>
        <v>2708000</v>
      </c>
      <c r="H233" s="21">
        <f t="shared" si="42"/>
        <v>1949760</v>
      </c>
      <c r="I233" s="21">
        <f t="shared" si="43"/>
        <v>121860</v>
      </c>
      <c r="J233" s="21">
        <f t="shared" si="44"/>
        <v>630964</v>
      </c>
      <c r="K233" s="21">
        <f t="shared" si="45"/>
        <v>5416</v>
      </c>
      <c r="L233" s="20">
        <f t="shared" si="46"/>
        <v>43199.743334087201</v>
      </c>
      <c r="M233" s="21">
        <f t="shared" si="47"/>
        <v>5685.5713260016983</v>
      </c>
      <c r="N233" s="21">
        <f t="shared" si="48"/>
        <v>4817.9897440828327</v>
      </c>
      <c r="O233" s="21"/>
      <c r="P233" s="21"/>
      <c r="Q233" s="17">
        <f t="shared" si="49"/>
        <v>37009.297004520391</v>
      </c>
      <c r="R233" s="17">
        <f t="shared" si="51"/>
        <v>4977.8003248667592</v>
      </c>
      <c r="S233" s="17">
        <f t="shared" si="50"/>
        <v>4229.6339433737603</v>
      </c>
    </row>
    <row r="234" spans="1:22">
      <c r="A234" s="18" t="s">
        <v>742</v>
      </c>
      <c r="B234" s="22" t="s">
        <v>737</v>
      </c>
      <c r="C234" s="22" t="s">
        <v>1561</v>
      </c>
      <c r="D234" s="23">
        <v>1645</v>
      </c>
      <c r="E234" s="23">
        <v>1891</v>
      </c>
      <c r="F234" s="21">
        <f t="shared" si="40"/>
        <v>1891</v>
      </c>
      <c r="G234" s="21">
        <f t="shared" si="41"/>
        <v>1891000</v>
      </c>
      <c r="H234" s="21">
        <f t="shared" si="42"/>
        <v>1361520</v>
      </c>
      <c r="I234" s="21">
        <f t="shared" si="43"/>
        <v>85095</v>
      </c>
      <c r="J234" s="21">
        <f t="shared" si="44"/>
        <v>440603</v>
      </c>
      <c r="K234" s="21">
        <f t="shared" si="45"/>
        <v>3782</v>
      </c>
      <c r="L234" s="20">
        <f t="shared" si="46"/>
        <v>30166.438199689401</v>
      </c>
      <c r="M234" s="21">
        <f t="shared" si="47"/>
        <v>3970.2420153135918</v>
      </c>
      <c r="N234" s="21">
        <f t="shared" si="48"/>
        <v>3364.4086433015636</v>
      </c>
      <c r="O234" s="21"/>
      <c r="P234" s="21"/>
      <c r="Q234" s="17">
        <f t="shared" si="49"/>
        <v>25843.641298208302</v>
      </c>
      <c r="R234" s="17">
        <f t="shared" si="51"/>
        <v>3476.0045843142702</v>
      </c>
      <c r="S234" s="17">
        <f t="shared" si="50"/>
        <v>2953.5590055095204</v>
      </c>
    </row>
    <row r="235" spans="1:22" s="27" customFormat="1">
      <c r="A235" s="18" t="s">
        <v>745</v>
      </c>
      <c r="B235" s="24" t="s">
        <v>747</v>
      </c>
      <c r="C235" s="24" t="s">
        <v>1561</v>
      </c>
      <c r="D235" s="25">
        <v>1443</v>
      </c>
      <c r="E235" s="25">
        <v>2025</v>
      </c>
      <c r="F235" s="26">
        <f t="shared" si="40"/>
        <v>2025</v>
      </c>
      <c r="G235" s="21">
        <f t="shared" si="41"/>
        <v>2025000</v>
      </c>
      <c r="H235" s="21">
        <f t="shared" si="42"/>
        <v>1458000</v>
      </c>
      <c r="I235" s="21">
        <f t="shared" si="43"/>
        <v>91125</v>
      </c>
      <c r="J235" s="21">
        <f t="shared" si="44"/>
        <v>471825</v>
      </c>
      <c r="K235" s="21">
        <f t="shared" si="45"/>
        <v>4050</v>
      </c>
      <c r="L235" s="20">
        <f t="shared" si="46"/>
        <v>32304.091673384999</v>
      </c>
      <c r="M235" s="21">
        <f t="shared" si="47"/>
        <v>4251.5812168217999</v>
      </c>
      <c r="N235" s="21">
        <f t="shared" si="48"/>
        <v>3602.8172938580997</v>
      </c>
      <c r="O235" s="26"/>
      <c r="P235" s="26"/>
      <c r="Q235" s="17">
        <f t="shared" si="49"/>
        <v>27674.972833882501</v>
      </c>
      <c r="R235" s="17">
        <f t="shared" si="51"/>
        <v>3722.3211439642496</v>
      </c>
      <c r="S235" s="17">
        <f t="shared" si="50"/>
        <v>3162.8540381580005</v>
      </c>
      <c r="T235" s="17"/>
      <c r="U235" s="17"/>
      <c r="V235" s="17"/>
    </row>
    <row r="236" spans="1:22">
      <c r="A236" s="18" t="s">
        <v>749</v>
      </c>
      <c r="B236" s="22" t="s">
        <v>751</v>
      </c>
      <c r="C236" s="22" t="s">
        <v>1561</v>
      </c>
      <c r="D236" s="23">
        <v>1319</v>
      </c>
      <c r="E236" s="23">
        <v>2008</v>
      </c>
      <c r="F236" s="21">
        <f t="shared" si="40"/>
        <v>2008</v>
      </c>
      <c r="G236" s="21">
        <f t="shared" si="41"/>
        <v>2008000</v>
      </c>
      <c r="H236" s="21">
        <f t="shared" si="42"/>
        <v>1445760</v>
      </c>
      <c r="I236" s="21">
        <f t="shared" si="43"/>
        <v>90360</v>
      </c>
      <c r="J236" s="21">
        <f t="shared" si="44"/>
        <v>467864</v>
      </c>
      <c r="K236" s="21">
        <f t="shared" si="45"/>
        <v>4016</v>
      </c>
      <c r="L236" s="20">
        <f t="shared" si="46"/>
        <v>32032.896829707199</v>
      </c>
      <c r="M236" s="21">
        <f t="shared" si="47"/>
        <v>4215.8889300632964</v>
      </c>
      <c r="N236" s="21">
        <f t="shared" si="48"/>
        <v>3572.5714202800323</v>
      </c>
      <c r="O236" s="21"/>
      <c r="P236" s="21"/>
      <c r="Q236" s="17">
        <f t="shared" si="49"/>
        <v>27442.6397286104</v>
      </c>
      <c r="R236" s="17">
        <f t="shared" si="51"/>
        <v>3691.0720281877602</v>
      </c>
      <c r="S236" s="17">
        <f t="shared" si="50"/>
        <v>3136.3016832697608</v>
      </c>
    </row>
    <row r="237" spans="1:22">
      <c r="A237" s="18" t="s">
        <v>753</v>
      </c>
      <c r="B237" s="22" t="s">
        <v>751</v>
      </c>
      <c r="C237" s="22" t="s">
        <v>1561</v>
      </c>
      <c r="D237" s="23">
        <v>3760</v>
      </c>
      <c r="E237" s="23">
        <v>0</v>
      </c>
      <c r="F237" s="21">
        <f t="shared" si="40"/>
        <v>3760</v>
      </c>
      <c r="G237" s="21">
        <f t="shared" si="41"/>
        <v>3760000</v>
      </c>
      <c r="H237" s="21">
        <f t="shared" si="42"/>
        <v>2707200</v>
      </c>
      <c r="I237" s="21">
        <f t="shared" si="43"/>
        <v>169200</v>
      </c>
      <c r="J237" s="21">
        <f t="shared" si="44"/>
        <v>876080</v>
      </c>
      <c r="K237" s="21">
        <f t="shared" si="45"/>
        <v>7520</v>
      </c>
      <c r="L237" s="20">
        <f t="shared" si="46"/>
        <v>59981.918366383987</v>
      </c>
      <c r="M237" s="21">
        <f t="shared" si="47"/>
        <v>7894.2940124691213</v>
      </c>
      <c r="N237" s="21">
        <f t="shared" si="48"/>
        <v>6689.6755678550398</v>
      </c>
      <c r="O237" s="21"/>
      <c r="P237" s="21"/>
      <c r="Q237" s="17">
        <f t="shared" si="49"/>
        <v>51386.616224888006</v>
      </c>
      <c r="R237" s="17">
        <f t="shared" si="51"/>
        <v>6911.5691364471995</v>
      </c>
      <c r="S237" s="17">
        <f t="shared" si="50"/>
        <v>5872.7561399872002</v>
      </c>
    </row>
    <row r="238" spans="1:22">
      <c r="A238" s="18" t="s">
        <v>756</v>
      </c>
      <c r="B238" s="22" t="s">
        <v>751</v>
      </c>
      <c r="C238" s="22" t="s">
        <v>1561</v>
      </c>
      <c r="D238" s="23">
        <v>1873</v>
      </c>
      <c r="E238" s="23">
        <v>4030</v>
      </c>
      <c r="F238" s="21">
        <f t="shared" si="40"/>
        <v>4030</v>
      </c>
      <c r="G238" s="21">
        <f t="shared" si="41"/>
        <v>4030000</v>
      </c>
      <c r="H238" s="21">
        <f t="shared" si="42"/>
        <v>2901600</v>
      </c>
      <c r="I238" s="21">
        <f t="shared" si="43"/>
        <v>181350</v>
      </c>
      <c r="J238" s="21">
        <f t="shared" si="44"/>
        <v>938990</v>
      </c>
      <c r="K238" s="21">
        <f t="shared" si="45"/>
        <v>8060</v>
      </c>
      <c r="L238" s="20">
        <f t="shared" si="46"/>
        <v>64289.130589501998</v>
      </c>
      <c r="M238" s="21">
        <f t="shared" si="47"/>
        <v>8461.1715080453578</v>
      </c>
      <c r="N238" s="21">
        <f t="shared" si="48"/>
        <v>7170.0512070361219</v>
      </c>
      <c r="O238" s="21"/>
      <c r="P238" s="21"/>
      <c r="Q238" s="17">
        <f t="shared" si="49"/>
        <v>55076.612602739006</v>
      </c>
      <c r="R238" s="17">
        <f t="shared" si="51"/>
        <v>7407.8786223091001</v>
      </c>
      <c r="S238" s="17">
        <f t="shared" si="50"/>
        <v>6294.4700117416014</v>
      </c>
    </row>
    <row r="239" spans="1:22">
      <c r="A239" s="18" t="s">
        <v>759</v>
      </c>
      <c r="B239" s="22" t="s">
        <v>751</v>
      </c>
      <c r="C239" s="22" t="s">
        <v>1561</v>
      </c>
      <c r="D239" s="23">
        <v>1781</v>
      </c>
      <c r="E239" s="23">
        <v>1781</v>
      </c>
      <c r="F239" s="21">
        <f t="shared" si="40"/>
        <v>1781</v>
      </c>
      <c r="G239" s="21">
        <f t="shared" si="41"/>
        <v>1781000</v>
      </c>
      <c r="H239" s="21">
        <f t="shared" si="42"/>
        <v>1282320</v>
      </c>
      <c r="I239" s="21">
        <f t="shared" si="43"/>
        <v>80145</v>
      </c>
      <c r="J239" s="21">
        <f t="shared" si="44"/>
        <v>414973</v>
      </c>
      <c r="K239" s="21">
        <f t="shared" si="45"/>
        <v>3562</v>
      </c>
      <c r="L239" s="20">
        <f t="shared" si="46"/>
        <v>28411.648034715396</v>
      </c>
      <c r="M239" s="21">
        <f t="shared" si="47"/>
        <v>3739.2919245232715</v>
      </c>
      <c r="N239" s="21">
        <f t="shared" si="48"/>
        <v>3168.7000495611237</v>
      </c>
      <c r="O239" s="21"/>
      <c r="P239" s="21"/>
      <c r="Q239" s="17">
        <f t="shared" si="49"/>
        <v>24340.309440565299</v>
      </c>
      <c r="R239" s="17">
        <f t="shared" si="51"/>
        <v>3273.8044234075701</v>
      </c>
      <c r="S239" s="17">
        <f t="shared" si="50"/>
        <v>2781.7496503503203</v>
      </c>
    </row>
    <row r="240" spans="1:22" s="27" customFormat="1">
      <c r="A240" s="18" t="s">
        <v>762</v>
      </c>
      <c r="B240" s="24" t="s">
        <v>764</v>
      </c>
      <c r="C240" s="24" t="s">
        <v>1561</v>
      </c>
      <c r="D240" s="25">
        <v>1487</v>
      </c>
      <c r="E240" s="25">
        <v>0</v>
      </c>
      <c r="F240" s="26">
        <f t="shared" si="40"/>
        <v>1487</v>
      </c>
      <c r="G240" s="21">
        <f t="shared" si="41"/>
        <v>1487000</v>
      </c>
      <c r="H240" s="21">
        <f t="shared" si="42"/>
        <v>1070640</v>
      </c>
      <c r="I240" s="21">
        <f t="shared" si="43"/>
        <v>66915</v>
      </c>
      <c r="J240" s="21">
        <f t="shared" si="44"/>
        <v>346471</v>
      </c>
      <c r="K240" s="21">
        <f t="shared" si="45"/>
        <v>2974</v>
      </c>
      <c r="L240" s="20">
        <f t="shared" si="46"/>
        <v>23721.572502875802</v>
      </c>
      <c r="M240" s="21">
        <f t="shared" si="47"/>
        <v>3122.0253182291444</v>
      </c>
      <c r="N240" s="21">
        <f t="shared" si="48"/>
        <v>2645.6243535639483</v>
      </c>
      <c r="O240" s="26"/>
      <c r="P240" s="26"/>
      <c r="Q240" s="17">
        <f t="shared" si="49"/>
        <v>20322.313384683101</v>
      </c>
      <c r="R240" s="17">
        <f t="shared" si="51"/>
        <v>2733.3785388023903</v>
      </c>
      <c r="S240" s="17">
        <f t="shared" si="50"/>
        <v>2322.5501011066403</v>
      </c>
      <c r="T240" s="17"/>
      <c r="U240" s="17"/>
      <c r="V240" s="17"/>
    </row>
    <row r="241" spans="1:22" s="27" customFormat="1">
      <c r="A241" s="18" t="s">
        <v>766</v>
      </c>
      <c r="B241" s="24" t="s">
        <v>764</v>
      </c>
      <c r="C241" s="24" t="s">
        <v>1561</v>
      </c>
      <c r="D241" s="25">
        <v>2825</v>
      </c>
      <c r="E241" s="25">
        <v>0</v>
      </c>
      <c r="F241" s="26">
        <f t="shared" si="40"/>
        <v>2825</v>
      </c>
      <c r="G241" s="21">
        <f t="shared" si="41"/>
        <v>2825000</v>
      </c>
      <c r="H241" s="21">
        <f t="shared" si="42"/>
        <v>2034000</v>
      </c>
      <c r="I241" s="21">
        <f t="shared" si="43"/>
        <v>127125</v>
      </c>
      <c r="J241" s="21">
        <f t="shared" si="44"/>
        <v>658225</v>
      </c>
      <c r="K241" s="21">
        <f t="shared" si="45"/>
        <v>5650</v>
      </c>
      <c r="L241" s="20">
        <f t="shared" si="46"/>
        <v>45066.201964104999</v>
      </c>
      <c r="M241" s="21">
        <f t="shared" si="47"/>
        <v>5931.218240751401</v>
      </c>
      <c r="N241" s="21">
        <f t="shared" si="48"/>
        <v>5026.152521061299</v>
      </c>
      <c r="O241" s="26"/>
      <c r="P241" s="26"/>
      <c r="Q241" s="17">
        <f t="shared" si="49"/>
        <v>38608.295434922504</v>
      </c>
      <c r="R241" s="17">
        <f t="shared" si="51"/>
        <v>5192.8677687402496</v>
      </c>
      <c r="S241" s="17">
        <f t="shared" si="50"/>
        <v>4412.3766211340007</v>
      </c>
      <c r="T241" s="17"/>
      <c r="U241" s="17"/>
      <c r="V241" s="17"/>
    </row>
    <row r="242" spans="1:22" s="27" customFormat="1">
      <c r="A242" s="18" t="s">
        <v>769</v>
      </c>
      <c r="B242" s="24" t="s">
        <v>764</v>
      </c>
      <c r="C242" s="24" t="s">
        <v>1561</v>
      </c>
      <c r="D242" s="25">
        <v>3506</v>
      </c>
      <c r="E242" s="25">
        <v>3659</v>
      </c>
      <c r="F242" s="26">
        <f t="shared" si="40"/>
        <v>3659</v>
      </c>
      <c r="G242" s="21">
        <f t="shared" si="41"/>
        <v>3659000</v>
      </c>
      <c r="H242" s="21">
        <f t="shared" si="42"/>
        <v>2634480</v>
      </c>
      <c r="I242" s="21">
        <f t="shared" si="43"/>
        <v>164655</v>
      </c>
      <c r="J242" s="21">
        <f t="shared" si="44"/>
        <v>852547</v>
      </c>
      <c r="K242" s="21">
        <f t="shared" si="45"/>
        <v>7318</v>
      </c>
      <c r="L242" s="20">
        <f t="shared" si="46"/>
        <v>58370.701942180611</v>
      </c>
      <c r="M242" s="21">
        <f t="shared" si="47"/>
        <v>7682.2398381980092</v>
      </c>
      <c r="N242" s="21">
        <f t="shared" si="48"/>
        <v>6509.9794954206363</v>
      </c>
      <c r="O242" s="26"/>
      <c r="P242" s="26"/>
      <c r="Q242" s="17">
        <f t="shared" si="49"/>
        <v>50006.284246506715</v>
      </c>
      <c r="R242" s="17">
        <f t="shared" si="51"/>
        <v>6725.9126250692307</v>
      </c>
      <c r="S242" s="17">
        <f t="shared" si="50"/>
        <v>5715.0039138864813</v>
      </c>
      <c r="T242" s="17"/>
      <c r="U242" s="17"/>
      <c r="V242" s="17"/>
    </row>
    <row r="243" spans="1:22">
      <c r="A243" s="18" t="s">
        <v>772</v>
      </c>
      <c r="B243" s="22" t="s">
        <v>774</v>
      </c>
      <c r="C243" s="22" t="s">
        <v>1561</v>
      </c>
      <c r="D243" s="23">
        <v>1079</v>
      </c>
      <c r="E243" s="23">
        <v>1143</v>
      </c>
      <c r="F243" s="21">
        <f t="shared" si="40"/>
        <v>1143</v>
      </c>
      <c r="G243" s="21">
        <f t="shared" si="41"/>
        <v>1143000</v>
      </c>
      <c r="H243" s="21">
        <f t="shared" si="42"/>
        <v>822960</v>
      </c>
      <c r="I243" s="21">
        <f t="shared" si="43"/>
        <v>51435</v>
      </c>
      <c r="J243" s="21">
        <f t="shared" si="44"/>
        <v>266319</v>
      </c>
      <c r="K243" s="21">
        <f t="shared" si="45"/>
        <v>2286</v>
      </c>
      <c r="L243" s="20">
        <f t="shared" si="46"/>
        <v>18233.865077866201</v>
      </c>
      <c r="M243" s="21">
        <f t="shared" si="47"/>
        <v>2399.7813979394159</v>
      </c>
      <c r="N243" s="21">
        <f t="shared" si="48"/>
        <v>2033.5902058665722</v>
      </c>
      <c r="O243" s="21"/>
      <c r="P243" s="21"/>
      <c r="Q243" s="17">
        <f t="shared" si="49"/>
        <v>15620.984666235898</v>
      </c>
      <c r="R243" s="17">
        <f t="shared" si="51"/>
        <v>2101.0434901487101</v>
      </c>
      <c r="S243" s="17">
        <f t="shared" si="50"/>
        <v>1785.2553904269603</v>
      </c>
    </row>
    <row r="244" spans="1:22">
      <c r="A244" s="18" t="s">
        <v>776</v>
      </c>
      <c r="B244" s="22" t="s">
        <v>774</v>
      </c>
      <c r="C244" s="22" t="s">
        <v>1561</v>
      </c>
      <c r="D244" s="23">
        <v>3432</v>
      </c>
      <c r="E244" s="23">
        <v>0</v>
      </c>
      <c r="F244" s="21">
        <f t="shared" si="40"/>
        <v>3432</v>
      </c>
      <c r="G244" s="21">
        <f t="shared" si="41"/>
        <v>3432000</v>
      </c>
      <c r="H244" s="21">
        <f t="shared" si="42"/>
        <v>2471040</v>
      </c>
      <c r="I244" s="21">
        <f t="shared" si="43"/>
        <v>154440</v>
      </c>
      <c r="J244" s="21">
        <f t="shared" si="44"/>
        <v>799656</v>
      </c>
      <c r="K244" s="21">
        <f t="shared" si="45"/>
        <v>6864</v>
      </c>
      <c r="L244" s="20">
        <f t="shared" si="46"/>
        <v>54749.453147188797</v>
      </c>
      <c r="M244" s="21">
        <f t="shared" si="47"/>
        <v>7205.6428326579844</v>
      </c>
      <c r="N244" s="21">
        <f t="shared" si="48"/>
        <v>6106.1081247017264</v>
      </c>
      <c r="O244" s="21"/>
      <c r="P244" s="21"/>
      <c r="Q244" s="17">
        <f t="shared" si="49"/>
        <v>46903.953958461607</v>
      </c>
      <c r="R244" s="17">
        <f t="shared" si="51"/>
        <v>6308.6450202890392</v>
      </c>
      <c r="S244" s="17">
        <f t="shared" si="50"/>
        <v>5360.4518809670408</v>
      </c>
    </row>
    <row r="245" spans="1:22" s="27" customFormat="1">
      <c r="A245" s="18" t="s">
        <v>779</v>
      </c>
      <c r="B245" s="24" t="s">
        <v>781</v>
      </c>
      <c r="C245" s="24" t="s">
        <v>1561</v>
      </c>
      <c r="D245" s="25">
        <v>2412</v>
      </c>
      <c r="E245" s="25">
        <v>0</v>
      </c>
      <c r="F245" s="26">
        <f t="shared" si="40"/>
        <v>2412</v>
      </c>
      <c r="G245" s="21">
        <f t="shared" si="41"/>
        <v>2412000</v>
      </c>
      <c r="H245" s="21">
        <f t="shared" si="42"/>
        <v>1736640</v>
      </c>
      <c r="I245" s="21">
        <f t="shared" si="43"/>
        <v>108540</v>
      </c>
      <c r="J245" s="21">
        <f t="shared" si="44"/>
        <v>561996</v>
      </c>
      <c r="K245" s="21">
        <f t="shared" si="45"/>
        <v>4824</v>
      </c>
      <c r="L245" s="20">
        <f t="shared" si="46"/>
        <v>38477.762526520812</v>
      </c>
      <c r="M245" s="21">
        <f t="shared" si="47"/>
        <v>5064.1056271477446</v>
      </c>
      <c r="N245" s="21">
        <f t="shared" si="48"/>
        <v>4291.3557100176486</v>
      </c>
      <c r="O245" s="26"/>
      <c r="P245" s="26"/>
      <c r="Q245" s="17">
        <f t="shared" si="49"/>
        <v>32963.967642135598</v>
      </c>
      <c r="R245" s="17">
        <f t="shared" si="51"/>
        <v>4433.6980736996402</v>
      </c>
      <c r="S245" s="17">
        <f t="shared" si="50"/>
        <v>3767.3105876726399</v>
      </c>
      <c r="T245" s="17"/>
      <c r="U245" s="17"/>
      <c r="V245" s="17"/>
    </row>
    <row r="246" spans="1:22" s="27" customFormat="1">
      <c r="A246" s="18" t="s">
        <v>783</v>
      </c>
      <c r="B246" s="24" t="s">
        <v>781</v>
      </c>
      <c r="C246" s="24" t="s">
        <v>1561</v>
      </c>
      <c r="D246" s="25">
        <v>3874</v>
      </c>
      <c r="E246" s="25">
        <v>0</v>
      </c>
      <c r="F246" s="26">
        <f t="shared" si="40"/>
        <v>3874</v>
      </c>
      <c r="G246" s="21">
        <f t="shared" si="41"/>
        <v>3874000</v>
      </c>
      <c r="H246" s="21">
        <f t="shared" si="42"/>
        <v>2789280</v>
      </c>
      <c r="I246" s="21">
        <f t="shared" si="43"/>
        <v>174330</v>
      </c>
      <c r="J246" s="21">
        <f t="shared" si="44"/>
        <v>902642</v>
      </c>
      <c r="K246" s="21">
        <f t="shared" si="45"/>
        <v>7748</v>
      </c>
      <c r="L246" s="20">
        <f t="shared" si="46"/>
        <v>61800.519082811617</v>
      </c>
      <c r="M246" s="21">
        <f t="shared" si="47"/>
        <v>8133.6422883790883</v>
      </c>
      <c r="N246" s="21">
        <f t="shared" si="48"/>
        <v>6892.5008377314962</v>
      </c>
      <c r="O246" s="26"/>
      <c r="P246" s="26"/>
      <c r="Q246" s="17">
        <f t="shared" si="49"/>
        <v>52944.614695536206</v>
      </c>
      <c r="R246" s="17">
        <f t="shared" si="51"/>
        <v>7121.1220304777798</v>
      </c>
      <c r="S246" s="17">
        <f t="shared" si="50"/>
        <v>6050.8131080612811</v>
      </c>
      <c r="T246" s="17"/>
      <c r="U246" s="17"/>
      <c r="V246" s="17"/>
    </row>
    <row r="247" spans="1:22" s="27" customFormat="1">
      <c r="A247" s="18" t="s">
        <v>786</v>
      </c>
      <c r="B247" s="24" t="s">
        <v>781</v>
      </c>
      <c r="C247" s="24" t="s">
        <v>1561</v>
      </c>
      <c r="D247" s="25">
        <v>3674</v>
      </c>
      <c r="E247" s="25">
        <v>0</v>
      </c>
      <c r="F247" s="26">
        <f t="shared" si="40"/>
        <v>3674</v>
      </c>
      <c r="G247" s="21">
        <f t="shared" si="41"/>
        <v>3674000</v>
      </c>
      <c r="H247" s="21">
        <f t="shared" si="42"/>
        <v>2645280</v>
      </c>
      <c r="I247" s="21">
        <f t="shared" si="43"/>
        <v>165330</v>
      </c>
      <c r="J247" s="21">
        <f t="shared" si="44"/>
        <v>856042</v>
      </c>
      <c r="K247" s="21">
        <f t="shared" si="45"/>
        <v>7348</v>
      </c>
      <c r="L247" s="20">
        <f t="shared" si="46"/>
        <v>58609.991510131615</v>
      </c>
      <c r="M247" s="21">
        <f t="shared" si="47"/>
        <v>7713.7330323966899</v>
      </c>
      <c r="N247" s="21">
        <f t="shared" si="48"/>
        <v>6536.6670309306955</v>
      </c>
      <c r="O247" s="26"/>
      <c r="P247" s="26"/>
      <c r="Q247" s="17">
        <f t="shared" si="49"/>
        <v>50211.284045276203</v>
      </c>
      <c r="R247" s="17">
        <f t="shared" si="51"/>
        <v>6753.4853742837795</v>
      </c>
      <c r="S247" s="17">
        <f t="shared" si="50"/>
        <v>5738.4324623172806</v>
      </c>
      <c r="T247" s="17"/>
      <c r="U247" s="17"/>
      <c r="V247" s="17"/>
    </row>
    <row r="248" spans="1:22">
      <c r="A248" s="18" t="s">
        <v>789</v>
      </c>
      <c r="B248" s="22" t="s">
        <v>791</v>
      </c>
      <c r="C248" s="22" t="s">
        <v>1561</v>
      </c>
      <c r="D248" s="23">
        <v>967</v>
      </c>
      <c r="E248" s="23">
        <v>1668</v>
      </c>
      <c r="F248" s="21">
        <f t="shared" si="40"/>
        <v>1668</v>
      </c>
      <c r="G248" s="21">
        <f t="shared" si="41"/>
        <v>1668000</v>
      </c>
      <c r="H248" s="21">
        <f t="shared" si="42"/>
        <v>1200960</v>
      </c>
      <c r="I248" s="21">
        <f t="shared" si="43"/>
        <v>75060</v>
      </c>
      <c r="J248" s="21">
        <f t="shared" si="44"/>
        <v>388644</v>
      </c>
      <c r="K248" s="21">
        <f t="shared" si="45"/>
        <v>3336</v>
      </c>
      <c r="L248" s="20">
        <f t="shared" si="46"/>
        <v>26608.999956151198</v>
      </c>
      <c r="M248" s="21">
        <f t="shared" si="47"/>
        <v>3502.0431948932164</v>
      </c>
      <c r="N248" s="21">
        <f t="shared" si="48"/>
        <v>2967.6539487186715</v>
      </c>
      <c r="O248" s="21"/>
      <c r="P248" s="21"/>
      <c r="Q248" s="17">
        <f t="shared" si="49"/>
        <v>22795.977623168401</v>
      </c>
      <c r="R248" s="17">
        <f t="shared" si="51"/>
        <v>3066.0897126579603</v>
      </c>
      <c r="S248" s="17">
        <f t="shared" si="50"/>
        <v>2605.2545855049602</v>
      </c>
    </row>
    <row r="249" spans="1:22">
      <c r="A249" s="18" t="s">
        <v>793</v>
      </c>
      <c r="B249" s="22" t="s">
        <v>791</v>
      </c>
      <c r="C249" s="22" t="s">
        <v>1561</v>
      </c>
      <c r="D249" s="23">
        <v>1743</v>
      </c>
      <c r="E249" s="23">
        <v>1743</v>
      </c>
      <c r="F249" s="21">
        <f t="shared" si="40"/>
        <v>1743</v>
      </c>
      <c r="G249" s="21">
        <f t="shared" si="41"/>
        <v>1743000</v>
      </c>
      <c r="H249" s="21">
        <f t="shared" si="42"/>
        <v>1254960</v>
      </c>
      <c r="I249" s="21">
        <f t="shared" si="43"/>
        <v>78435</v>
      </c>
      <c r="J249" s="21">
        <f t="shared" si="44"/>
        <v>406119</v>
      </c>
      <c r="K249" s="21">
        <f t="shared" si="45"/>
        <v>3486</v>
      </c>
      <c r="L249" s="20">
        <f t="shared" si="46"/>
        <v>27805.447795906202</v>
      </c>
      <c r="M249" s="21">
        <f t="shared" si="47"/>
        <v>3659.5091658866158</v>
      </c>
      <c r="N249" s="21">
        <f t="shared" si="48"/>
        <v>3101.0916262689716</v>
      </c>
      <c r="O249" s="21"/>
      <c r="P249" s="21"/>
      <c r="Q249" s="17">
        <f t="shared" si="49"/>
        <v>23820.976617015902</v>
      </c>
      <c r="R249" s="17">
        <f t="shared" si="51"/>
        <v>3203.9534587307094</v>
      </c>
      <c r="S249" s="17">
        <f t="shared" si="50"/>
        <v>2722.39732765896</v>
      </c>
    </row>
  </sheetData>
  <mergeCells count="3">
    <mergeCell ref="A1:A3"/>
    <mergeCell ref="B1:B3"/>
    <mergeCell ref="T1:V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75"/>
  <sheetViews>
    <sheetView workbookViewId="0">
      <selection activeCell="G12" sqref="G12"/>
    </sheetView>
  </sheetViews>
  <sheetFormatPr defaultRowHeight="13.9"/>
  <cols>
    <col min="1" max="1" width="18.6640625" style="34" customWidth="1"/>
    <col min="2" max="2" width="9.06640625" style="34"/>
    <col min="3" max="3" width="11.265625" customWidth="1"/>
    <col min="4" max="5" width="10" customWidth="1"/>
    <col min="14" max="14" width="29.9296875" customWidth="1"/>
    <col min="15" max="15" width="11.06640625" customWidth="1"/>
  </cols>
  <sheetData>
    <row r="1" spans="1:16" s="33" customFormat="1">
      <c r="A1" s="31" t="s">
        <v>1564</v>
      </c>
      <c r="B1" s="31" t="s">
        <v>1565</v>
      </c>
      <c r="C1" s="32" t="s">
        <v>1566</v>
      </c>
      <c r="D1" s="33" t="s">
        <v>1567</v>
      </c>
      <c r="E1" s="33" t="s">
        <v>1568</v>
      </c>
      <c r="F1" s="33" t="s">
        <v>1569</v>
      </c>
      <c r="G1" s="33" t="s">
        <v>1570</v>
      </c>
      <c r="H1" s="33" t="s">
        <v>1571</v>
      </c>
      <c r="I1" s="33" t="s">
        <v>1572</v>
      </c>
    </row>
    <row r="2" spans="1:16" s="33" customFormat="1">
      <c r="A2" s="31"/>
      <c r="B2" s="31" t="s">
        <v>1573</v>
      </c>
      <c r="C2" s="32" t="s">
        <v>1574</v>
      </c>
      <c r="D2" s="32" t="s">
        <v>1574</v>
      </c>
      <c r="E2" s="32" t="s">
        <v>1574</v>
      </c>
      <c r="F2" s="32" t="s">
        <v>1575</v>
      </c>
      <c r="G2" s="32" t="s">
        <v>1576</v>
      </c>
      <c r="H2" s="32" t="s">
        <v>1576</v>
      </c>
      <c r="I2" s="32" t="s">
        <v>1574</v>
      </c>
    </row>
    <row r="3" spans="1:16">
      <c r="A3" s="34" t="s">
        <v>1577</v>
      </c>
      <c r="B3" s="34">
        <v>5771337</v>
      </c>
      <c r="C3">
        <f t="shared" ref="C3:C66" si="0">B3*$O$3/1000</f>
        <v>634847.06999999995</v>
      </c>
      <c r="D3">
        <f t="shared" ref="D3:D66" si="1">C3*$O$5</f>
        <v>196167.74462999997</v>
      </c>
      <c r="E3">
        <f>C3*$O$6</f>
        <v>167282.202945</v>
      </c>
      <c r="F3">
        <f>D3*$O$7</f>
        <v>91767.270937913985</v>
      </c>
      <c r="G3">
        <f>D3*$O$8</f>
        <v>6198.9007303079998</v>
      </c>
      <c r="H3">
        <f>D3*$O$9</f>
        <v>1020.0722720759998</v>
      </c>
      <c r="I3">
        <f>D3*$O$10</f>
        <v>1765.5097016699997</v>
      </c>
      <c r="N3" s="9" t="s">
        <v>1578</v>
      </c>
      <c r="O3">
        <v>110</v>
      </c>
      <c r="P3" t="s">
        <v>1579</v>
      </c>
    </row>
    <row r="4" spans="1:16">
      <c r="A4" s="34" t="s">
        <v>1580</v>
      </c>
      <c r="B4" s="34">
        <v>20148</v>
      </c>
      <c r="C4">
        <f t="shared" si="0"/>
        <v>2216.2800000000002</v>
      </c>
      <c r="D4">
        <f t="shared" si="1"/>
        <v>684.83052000000009</v>
      </c>
      <c r="E4">
        <f t="shared" ref="E4:E67" si="2">C4*$O$6</f>
        <v>583.98978000000011</v>
      </c>
      <c r="F4">
        <f t="shared" ref="F4:F67" si="3">D4*$O$7</f>
        <v>320.36371725600003</v>
      </c>
      <c r="G4">
        <f t="shared" ref="G4:G67" si="4">D4*$O$8</f>
        <v>21.640644432000006</v>
      </c>
      <c r="H4">
        <f t="shared" ref="H4:H67" si="5">D4*$O$9</f>
        <v>3.5611187040000005</v>
      </c>
      <c r="I4">
        <f t="shared" ref="I4:I67" si="6">D4*$O$10</f>
        <v>6.1634746800000002</v>
      </c>
      <c r="N4" s="34" t="s">
        <v>1581</v>
      </c>
      <c r="O4">
        <v>185</v>
      </c>
      <c r="P4" t="s">
        <v>1582</v>
      </c>
    </row>
    <row r="5" spans="1:16">
      <c r="A5" s="34" t="s">
        <v>1583</v>
      </c>
      <c r="B5" s="34">
        <v>15843</v>
      </c>
      <c r="C5">
        <f t="shared" si="0"/>
        <v>1742.73</v>
      </c>
      <c r="D5">
        <f t="shared" si="1"/>
        <v>538.50356999999997</v>
      </c>
      <c r="E5">
        <f t="shared" si="2"/>
        <v>459.20935500000002</v>
      </c>
      <c r="F5">
        <f t="shared" si="3"/>
        <v>251.91197004599999</v>
      </c>
      <c r="G5">
        <f t="shared" si="4"/>
        <v>17.016712812000002</v>
      </c>
      <c r="H5">
        <f t="shared" si="5"/>
        <v>2.8002185639999997</v>
      </c>
      <c r="I5">
        <f t="shared" si="6"/>
        <v>4.8465321299999991</v>
      </c>
      <c r="N5" t="s">
        <v>1584</v>
      </c>
      <c r="O5" s="35">
        <v>0.309</v>
      </c>
      <c r="P5" t="s">
        <v>1585</v>
      </c>
    </row>
    <row r="6" spans="1:16">
      <c r="A6" s="34" t="s">
        <v>1586</v>
      </c>
      <c r="B6" s="34">
        <v>45563</v>
      </c>
      <c r="C6">
        <f t="shared" si="0"/>
        <v>5011.93</v>
      </c>
      <c r="D6">
        <f t="shared" si="1"/>
        <v>1548.6863700000001</v>
      </c>
      <c r="E6">
        <f t="shared" si="2"/>
        <v>1320.6435550000001</v>
      </c>
      <c r="F6">
        <f t="shared" si="3"/>
        <v>724.47548388600001</v>
      </c>
      <c r="G6">
        <f t="shared" si="4"/>
        <v>48.938489292000007</v>
      </c>
      <c r="H6">
        <f t="shared" si="5"/>
        <v>8.0531691240000001</v>
      </c>
      <c r="I6">
        <f t="shared" si="6"/>
        <v>13.93817733</v>
      </c>
      <c r="N6" t="s">
        <v>1587</v>
      </c>
      <c r="O6" s="35">
        <v>0.26350000000000001</v>
      </c>
      <c r="P6" t="s">
        <v>1585</v>
      </c>
    </row>
    <row r="7" spans="1:16">
      <c r="A7" s="34" t="s">
        <v>1588</v>
      </c>
      <c r="B7" s="34">
        <v>14977</v>
      </c>
      <c r="C7">
        <f t="shared" si="0"/>
        <v>1647.47</v>
      </c>
      <c r="D7">
        <f t="shared" si="1"/>
        <v>509.06823000000003</v>
      </c>
      <c r="E7">
        <f t="shared" si="2"/>
        <v>434.10834500000004</v>
      </c>
      <c r="F7">
        <f t="shared" si="3"/>
        <v>238.14211799400002</v>
      </c>
      <c r="G7">
        <f t="shared" si="4"/>
        <v>16.086556068000004</v>
      </c>
      <c r="H7">
        <f t="shared" si="5"/>
        <v>2.6471547960000001</v>
      </c>
      <c r="I7">
        <f t="shared" si="6"/>
        <v>4.5816140699999996</v>
      </c>
      <c r="N7" t="s">
        <v>1589</v>
      </c>
      <c r="O7" s="35">
        <v>0.46779999999999999</v>
      </c>
      <c r="P7" t="s">
        <v>1590</v>
      </c>
    </row>
    <row r="8" spans="1:16">
      <c r="A8" s="34" t="s">
        <v>1591</v>
      </c>
      <c r="B8" s="34">
        <v>258718</v>
      </c>
      <c r="C8">
        <f t="shared" si="0"/>
        <v>28458.98</v>
      </c>
      <c r="D8">
        <f t="shared" si="1"/>
        <v>8793.8248199999998</v>
      </c>
      <c r="E8">
        <f t="shared" si="2"/>
        <v>7498.9412300000004</v>
      </c>
      <c r="F8">
        <f t="shared" si="3"/>
        <v>4113.751250796</v>
      </c>
      <c r="G8">
        <f t="shared" si="4"/>
        <v>277.88486431200005</v>
      </c>
      <c r="H8">
        <f t="shared" si="5"/>
        <v>45.727889063999996</v>
      </c>
      <c r="I8">
        <f t="shared" si="6"/>
        <v>79.144423379999992</v>
      </c>
      <c r="N8" t="s">
        <v>1592</v>
      </c>
      <c r="O8" s="35">
        <v>3.1600000000000003E-2</v>
      </c>
      <c r="P8" t="s">
        <v>1593</v>
      </c>
    </row>
    <row r="9" spans="1:16">
      <c r="A9" s="34" t="s">
        <v>1594</v>
      </c>
      <c r="B9" s="34">
        <v>13192</v>
      </c>
      <c r="C9">
        <f t="shared" si="0"/>
        <v>1451.12</v>
      </c>
      <c r="D9">
        <f t="shared" si="1"/>
        <v>448.39607999999998</v>
      </c>
      <c r="E9">
        <f t="shared" si="2"/>
        <v>382.37011999999999</v>
      </c>
      <c r="F9">
        <f t="shared" si="3"/>
        <v>209.75968622399998</v>
      </c>
      <c r="G9">
        <f t="shared" si="4"/>
        <v>14.169316128</v>
      </c>
      <c r="H9">
        <f t="shared" si="5"/>
        <v>2.3316596159999996</v>
      </c>
      <c r="I9">
        <f t="shared" si="6"/>
        <v>4.0355647199999991</v>
      </c>
      <c r="N9" t="s">
        <v>1595</v>
      </c>
      <c r="O9" s="35">
        <v>5.1999999999999998E-3</v>
      </c>
      <c r="P9" t="s">
        <v>1596</v>
      </c>
    </row>
    <row r="10" spans="1:16">
      <c r="A10" s="34" t="s">
        <v>1597</v>
      </c>
      <c r="B10" s="34">
        <v>15159</v>
      </c>
      <c r="C10">
        <f t="shared" si="0"/>
        <v>1667.49</v>
      </c>
      <c r="D10">
        <f t="shared" si="1"/>
        <v>515.25441000000001</v>
      </c>
      <c r="E10">
        <f t="shared" si="2"/>
        <v>439.38361500000002</v>
      </c>
      <c r="F10">
        <f t="shared" si="3"/>
        <v>241.03601299799999</v>
      </c>
      <c r="G10">
        <f t="shared" si="4"/>
        <v>16.282039356000002</v>
      </c>
      <c r="H10">
        <f t="shared" si="5"/>
        <v>2.6793229319999998</v>
      </c>
      <c r="I10">
        <f t="shared" si="6"/>
        <v>4.6372896899999994</v>
      </c>
      <c r="N10" t="s">
        <v>1598</v>
      </c>
      <c r="O10" s="35">
        <v>8.9999999999999993E-3</v>
      </c>
      <c r="P10" t="s">
        <v>1596</v>
      </c>
    </row>
    <row r="11" spans="1:16">
      <c r="A11" s="34" t="s">
        <v>1599</v>
      </c>
      <c r="B11" s="34">
        <v>49762</v>
      </c>
      <c r="C11">
        <f t="shared" si="0"/>
        <v>5473.82</v>
      </c>
      <c r="D11">
        <f t="shared" si="1"/>
        <v>1691.4103799999998</v>
      </c>
      <c r="E11">
        <f t="shared" si="2"/>
        <v>1442.35157</v>
      </c>
      <c r="F11">
        <f t="shared" si="3"/>
        <v>791.24177576399995</v>
      </c>
      <c r="G11">
        <f t="shared" si="4"/>
        <v>53.448568008000002</v>
      </c>
      <c r="H11">
        <f t="shared" si="5"/>
        <v>8.7953339759999984</v>
      </c>
      <c r="I11">
        <f t="shared" si="6"/>
        <v>15.222693419999997</v>
      </c>
      <c r="N11" t="s">
        <v>1600</v>
      </c>
      <c r="O11" s="35">
        <v>2.1600000000000001E-2</v>
      </c>
      <c r="P11" t="s">
        <v>1596</v>
      </c>
    </row>
    <row r="12" spans="1:16">
      <c r="A12" s="34" t="s">
        <v>1601</v>
      </c>
      <c r="B12" s="34">
        <v>63531</v>
      </c>
      <c r="C12">
        <f t="shared" si="0"/>
        <v>6988.41</v>
      </c>
      <c r="D12">
        <f t="shared" si="1"/>
        <v>2159.41869</v>
      </c>
      <c r="E12">
        <f t="shared" si="2"/>
        <v>1841.4460349999999</v>
      </c>
      <c r="F12">
        <f t="shared" si="3"/>
        <v>1010.176063182</v>
      </c>
      <c r="G12">
        <f t="shared" si="4"/>
        <v>68.237630604000003</v>
      </c>
      <c r="H12">
        <f t="shared" si="5"/>
        <v>11.228977188</v>
      </c>
      <c r="I12">
        <f t="shared" si="6"/>
        <v>19.434768209999998</v>
      </c>
      <c r="N12" t="s">
        <v>1602</v>
      </c>
      <c r="O12" s="35">
        <v>1.4E-3</v>
      </c>
      <c r="P12" t="s">
        <v>1596</v>
      </c>
    </row>
    <row r="13" spans="1:16">
      <c r="A13" s="34" t="s">
        <v>1603</v>
      </c>
      <c r="B13" s="34">
        <v>34445</v>
      </c>
      <c r="C13">
        <f t="shared" si="0"/>
        <v>3788.95</v>
      </c>
      <c r="D13">
        <f t="shared" si="1"/>
        <v>1170.7855499999998</v>
      </c>
      <c r="E13">
        <f t="shared" si="2"/>
        <v>998.38832500000001</v>
      </c>
      <c r="F13">
        <f t="shared" si="3"/>
        <v>547.69348028999991</v>
      </c>
      <c r="G13">
        <f t="shared" si="4"/>
        <v>36.996823379999995</v>
      </c>
      <c r="H13">
        <f t="shared" si="5"/>
        <v>6.0880848599999986</v>
      </c>
      <c r="I13">
        <f t="shared" si="6"/>
        <v>10.537069949999998</v>
      </c>
    </row>
    <row r="14" spans="1:16">
      <c r="A14" s="34" t="s">
        <v>1604</v>
      </c>
      <c r="B14" s="34">
        <v>56743</v>
      </c>
      <c r="C14">
        <f t="shared" si="0"/>
        <v>6241.73</v>
      </c>
      <c r="D14">
        <f t="shared" si="1"/>
        <v>1928.6945699999999</v>
      </c>
      <c r="E14">
        <f t="shared" si="2"/>
        <v>1644.6958549999999</v>
      </c>
      <c r="F14">
        <f t="shared" si="3"/>
        <v>902.24331984599996</v>
      </c>
      <c r="G14">
        <f t="shared" si="4"/>
        <v>60.946748412000005</v>
      </c>
      <c r="H14">
        <f t="shared" si="5"/>
        <v>10.029211763999999</v>
      </c>
      <c r="I14">
        <f t="shared" si="6"/>
        <v>17.358251129999999</v>
      </c>
    </row>
    <row r="15" spans="1:16">
      <c r="A15" s="34" t="s">
        <v>1605</v>
      </c>
      <c r="B15" s="34">
        <v>16391</v>
      </c>
      <c r="C15">
        <f t="shared" si="0"/>
        <v>1803.01</v>
      </c>
      <c r="D15">
        <f t="shared" si="1"/>
        <v>557.13009</v>
      </c>
      <c r="E15">
        <f t="shared" si="2"/>
        <v>475.09313500000002</v>
      </c>
      <c r="F15">
        <f t="shared" si="3"/>
        <v>260.62545610199999</v>
      </c>
      <c r="G15">
        <f t="shared" si="4"/>
        <v>17.605310844000002</v>
      </c>
      <c r="H15">
        <f t="shared" si="5"/>
        <v>2.8970764679999998</v>
      </c>
      <c r="I15">
        <f t="shared" si="6"/>
        <v>5.0141708099999995</v>
      </c>
    </row>
    <row r="16" spans="1:16">
      <c r="A16" s="34" t="s">
        <v>1606</v>
      </c>
      <c r="B16" s="34">
        <v>523643</v>
      </c>
      <c r="C16">
        <f t="shared" si="0"/>
        <v>57600.73</v>
      </c>
      <c r="D16">
        <f t="shared" si="1"/>
        <v>17798.62557</v>
      </c>
      <c r="E16">
        <f t="shared" si="2"/>
        <v>15177.792355000001</v>
      </c>
      <c r="F16">
        <f t="shared" si="3"/>
        <v>8326.1970416460008</v>
      </c>
      <c r="G16">
        <f t="shared" si="4"/>
        <v>562.43656801200007</v>
      </c>
      <c r="H16">
        <f t="shared" si="5"/>
        <v>92.552852963999996</v>
      </c>
      <c r="I16">
        <f t="shared" si="6"/>
        <v>160.18763013</v>
      </c>
    </row>
    <row r="17" spans="1:9">
      <c r="A17" s="34" t="s">
        <v>1607</v>
      </c>
      <c r="B17" s="34">
        <v>88502</v>
      </c>
      <c r="C17">
        <f t="shared" si="0"/>
        <v>9735.2199999999993</v>
      </c>
      <c r="D17">
        <f t="shared" si="1"/>
        <v>3008.1829799999996</v>
      </c>
      <c r="E17">
        <f t="shared" si="2"/>
        <v>2565.23047</v>
      </c>
      <c r="F17">
        <f t="shared" si="3"/>
        <v>1407.2279980439998</v>
      </c>
      <c r="G17">
        <f t="shared" si="4"/>
        <v>95.058582168000001</v>
      </c>
      <c r="H17">
        <f t="shared" si="5"/>
        <v>15.642551495999998</v>
      </c>
      <c r="I17">
        <f t="shared" si="6"/>
        <v>27.073646819999993</v>
      </c>
    </row>
    <row r="18" spans="1:9">
      <c r="A18" s="34" t="s">
        <v>1608</v>
      </c>
      <c r="B18" s="34">
        <v>27554</v>
      </c>
      <c r="C18">
        <f t="shared" si="0"/>
        <v>3030.94</v>
      </c>
      <c r="D18">
        <f t="shared" si="1"/>
        <v>936.56046000000003</v>
      </c>
      <c r="E18">
        <f t="shared" si="2"/>
        <v>798.65269000000001</v>
      </c>
      <c r="F18">
        <f t="shared" si="3"/>
        <v>438.12298318800003</v>
      </c>
      <c r="G18">
        <f t="shared" si="4"/>
        <v>29.595310536000003</v>
      </c>
      <c r="H18">
        <f t="shared" si="5"/>
        <v>4.8701143919999996</v>
      </c>
      <c r="I18">
        <f t="shared" si="6"/>
        <v>8.4290441400000002</v>
      </c>
    </row>
    <row r="19" spans="1:9">
      <c r="A19" s="34" t="s">
        <v>1609</v>
      </c>
      <c r="B19" s="34">
        <v>43601</v>
      </c>
      <c r="C19">
        <f t="shared" si="0"/>
        <v>4796.1099999999997</v>
      </c>
      <c r="D19">
        <f t="shared" si="1"/>
        <v>1481.9979899999998</v>
      </c>
      <c r="E19">
        <f t="shared" si="2"/>
        <v>1263.774985</v>
      </c>
      <c r="F19">
        <f t="shared" si="3"/>
        <v>693.27865972199993</v>
      </c>
      <c r="G19">
        <f t="shared" si="4"/>
        <v>46.831136483999998</v>
      </c>
      <c r="H19">
        <f t="shared" si="5"/>
        <v>7.7063895479999989</v>
      </c>
      <c r="I19">
        <f t="shared" si="6"/>
        <v>13.337981909999998</v>
      </c>
    </row>
    <row r="20" spans="1:9">
      <c r="A20" s="34" t="s">
        <v>1610</v>
      </c>
      <c r="B20" s="34">
        <v>44497</v>
      </c>
      <c r="C20">
        <f t="shared" si="0"/>
        <v>4894.67</v>
      </c>
      <c r="D20">
        <f t="shared" si="1"/>
        <v>1512.4530299999999</v>
      </c>
      <c r="E20">
        <f t="shared" si="2"/>
        <v>1289.745545</v>
      </c>
      <c r="F20">
        <f t="shared" si="3"/>
        <v>707.52552743399997</v>
      </c>
      <c r="G20">
        <f t="shared" si="4"/>
        <v>47.793515748000004</v>
      </c>
      <c r="H20">
        <f t="shared" si="5"/>
        <v>7.8647557559999992</v>
      </c>
      <c r="I20">
        <f t="shared" si="6"/>
        <v>13.612077269999999</v>
      </c>
    </row>
    <row r="21" spans="1:9">
      <c r="A21" s="34" t="s">
        <v>1611</v>
      </c>
      <c r="B21" s="34">
        <v>102105</v>
      </c>
      <c r="C21">
        <f t="shared" si="0"/>
        <v>11231.55</v>
      </c>
      <c r="D21">
        <f t="shared" si="1"/>
        <v>3470.5489499999999</v>
      </c>
      <c r="E21">
        <f t="shared" si="2"/>
        <v>2959.5134250000001</v>
      </c>
      <c r="F21">
        <f t="shared" si="3"/>
        <v>1623.5227988099998</v>
      </c>
      <c r="G21">
        <f t="shared" si="4"/>
        <v>109.66934682</v>
      </c>
      <c r="H21">
        <f t="shared" si="5"/>
        <v>18.046854539999998</v>
      </c>
      <c r="I21">
        <f t="shared" si="6"/>
        <v>31.234940549999997</v>
      </c>
    </row>
    <row r="22" spans="1:9">
      <c r="A22" s="34" t="s">
        <v>1612</v>
      </c>
      <c r="B22" s="34">
        <v>4464</v>
      </c>
      <c r="C22">
        <f t="shared" si="0"/>
        <v>491.04</v>
      </c>
      <c r="D22">
        <f t="shared" si="1"/>
        <v>151.73136</v>
      </c>
      <c r="E22">
        <f t="shared" si="2"/>
        <v>129.38904000000002</v>
      </c>
      <c r="F22">
        <f t="shared" si="3"/>
        <v>70.979930207999999</v>
      </c>
      <c r="G22">
        <f t="shared" si="4"/>
        <v>4.7947109760000002</v>
      </c>
      <c r="H22">
        <f t="shared" si="5"/>
        <v>0.78900307199999997</v>
      </c>
      <c r="I22">
        <f t="shared" si="6"/>
        <v>1.3655822399999999</v>
      </c>
    </row>
    <row r="23" spans="1:9">
      <c r="A23" s="34" t="s">
        <v>1613</v>
      </c>
      <c r="B23" s="34">
        <v>101973</v>
      </c>
      <c r="C23">
        <f t="shared" si="0"/>
        <v>11217.03</v>
      </c>
      <c r="D23">
        <f t="shared" si="1"/>
        <v>3466.0622700000004</v>
      </c>
      <c r="E23">
        <f t="shared" si="2"/>
        <v>2955.6874050000001</v>
      </c>
      <c r="F23">
        <f t="shared" si="3"/>
        <v>1621.4239299060002</v>
      </c>
      <c r="G23">
        <f t="shared" si="4"/>
        <v>109.52756773200002</v>
      </c>
      <c r="H23">
        <f t="shared" si="5"/>
        <v>18.023523804</v>
      </c>
      <c r="I23">
        <f t="shared" si="6"/>
        <v>31.194560429999999</v>
      </c>
    </row>
    <row r="24" spans="1:9">
      <c r="A24" s="34" t="s">
        <v>1614</v>
      </c>
      <c r="B24" s="34">
        <v>9057</v>
      </c>
      <c r="C24">
        <f t="shared" si="0"/>
        <v>996.27</v>
      </c>
      <c r="D24">
        <f t="shared" si="1"/>
        <v>307.84742999999997</v>
      </c>
      <c r="E24">
        <f t="shared" si="2"/>
        <v>262.51714500000003</v>
      </c>
      <c r="F24">
        <f t="shared" si="3"/>
        <v>144.011027754</v>
      </c>
      <c r="G24">
        <f t="shared" si="4"/>
        <v>9.7279787879999997</v>
      </c>
      <c r="H24">
        <f t="shared" si="5"/>
        <v>1.6008066359999997</v>
      </c>
      <c r="I24">
        <f t="shared" si="6"/>
        <v>2.7706268699999996</v>
      </c>
    </row>
    <row r="25" spans="1:9">
      <c r="A25" s="34" t="s">
        <v>1615</v>
      </c>
      <c r="B25" s="34">
        <v>52250</v>
      </c>
      <c r="C25">
        <f t="shared" si="0"/>
        <v>5747.5</v>
      </c>
      <c r="D25">
        <f t="shared" si="1"/>
        <v>1775.9775</v>
      </c>
      <c r="E25">
        <f t="shared" si="2"/>
        <v>1514.4662500000002</v>
      </c>
      <c r="F25">
        <f t="shared" si="3"/>
        <v>830.80227449999995</v>
      </c>
      <c r="G25">
        <f t="shared" si="4"/>
        <v>56.120889000000005</v>
      </c>
      <c r="H25">
        <f t="shared" si="5"/>
        <v>9.2350829999999995</v>
      </c>
      <c r="I25">
        <f t="shared" si="6"/>
        <v>15.983797499999998</v>
      </c>
    </row>
    <row r="26" spans="1:9">
      <c r="A26" s="34" t="s">
        <v>1616</v>
      </c>
      <c r="B26" s="34">
        <v>37186</v>
      </c>
      <c r="C26">
        <f t="shared" si="0"/>
        <v>4090.46</v>
      </c>
      <c r="D26">
        <f t="shared" si="1"/>
        <v>1263.9521400000001</v>
      </c>
      <c r="E26">
        <f t="shared" si="2"/>
        <v>1077.8362100000002</v>
      </c>
      <c r="F26">
        <f t="shared" si="3"/>
        <v>591.276811092</v>
      </c>
      <c r="G26">
        <f t="shared" si="4"/>
        <v>39.940887624000005</v>
      </c>
      <c r="H26">
        <f t="shared" si="5"/>
        <v>6.5725511280000006</v>
      </c>
      <c r="I26">
        <f t="shared" si="6"/>
        <v>11.375569260000001</v>
      </c>
    </row>
    <row r="27" spans="1:9">
      <c r="A27" s="34" t="s">
        <v>1617</v>
      </c>
      <c r="B27" s="34">
        <v>18856</v>
      </c>
      <c r="C27">
        <f t="shared" si="0"/>
        <v>2074.16</v>
      </c>
      <c r="D27">
        <f t="shared" si="1"/>
        <v>640.91543999999999</v>
      </c>
      <c r="E27">
        <f t="shared" si="2"/>
        <v>546.54115999999999</v>
      </c>
      <c r="F27">
        <f t="shared" si="3"/>
        <v>299.82024283199996</v>
      </c>
      <c r="G27">
        <f t="shared" si="4"/>
        <v>20.252927904000003</v>
      </c>
      <c r="H27">
        <f t="shared" si="5"/>
        <v>3.3327602879999998</v>
      </c>
      <c r="I27">
        <f t="shared" si="6"/>
        <v>5.7682389599999997</v>
      </c>
    </row>
    <row r="28" spans="1:9">
      <c r="A28" s="34" t="s">
        <v>1618</v>
      </c>
      <c r="B28" s="34">
        <v>23813</v>
      </c>
      <c r="C28">
        <f t="shared" si="0"/>
        <v>2619.4299999999998</v>
      </c>
      <c r="D28">
        <f t="shared" si="1"/>
        <v>809.40386999999998</v>
      </c>
      <c r="E28">
        <f t="shared" si="2"/>
        <v>690.21980499999995</v>
      </c>
      <c r="F28">
        <f t="shared" si="3"/>
        <v>378.63913038599998</v>
      </c>
      <c r="G28">
        <f t="shared" si="4"/>
        <v>25.577162292000001</v>
      </c>
      <c r="H28">
        <f t="shared" si="5"/>
        <v>4.2089001239999995</v>
      </c>
      <c r="I28">
        <f t="shared" si="6"/>
        <v>7.284634829999999</v>
      </c>
    </row>
    <row r="29" spans="1:9">
      <c r="A29" s="34" t="s">
        <v>1619</v>
      </c>
      <c r="B29" s="34">
        <v>5794</v>
      </c>
      <c r="C29">
        <f t="shared" si="0"/>
        <v>637.34</v>
      </c>
      <c r="D29">
        <f t="shared" si="1"/>
        <v>196.93806000000001</v>
      </c>
      <c r="E29">
        <f t="shared" si="2"/>
        <v>167.93909000000002</v>
      </c>
      <c r="F29">
        <f t="shared" si="3"/>
        <v>92.127624468000008</v>
      </c>
      <c r="G29">
        <f t="shared" si="4"/>
        <v>6.2232426960000007</v>
      </c>
      <c r="H29">
        <f t="shared" si="5"/>
        <v>1.0240779120000001</v>
      </c>
      <c r="I29">
        <f t="shared" si="6"/>
        <v>1.7724425399999999</v>
      </c>
    </row>
    <row r="30" spans="1:9">
      <c r="A30" s="34" t="s">
        <v>1620</v>
      </c>
      <c r="B30" s="34">
        <v>20554</v>
      </c>
      <c r="C30">
        <f t="shared" si="0"/>
        <v>2260.94</v>
      </c>
      <c r="D30">
        <f t="shared" si="1"/>
        <v>698.63045999999997</v>
      </c>
      <c r="E30">
        <f t="shared" si="2"/>
        <v>595.75769000000003</v>
      </c>
      <c r="F30">
        <f t="shared" si="3"/>
        <v>326.81932918799998</v>
      </c>
      <c r="G30">
        <f t="shared" si="4"/>
        <v>22.076722536000002</v>
      </c>
      <c r="H30">
        <f t="shared" si="5"/>
        <v>3.6328783919999998</v>
      </c>
      <c r="I30">
        <f t="shared" si="6"/>
        <v>6.2876741399999991</v>
      </c>
    </row>
    <row r="31" spans="1:9">
      <c r="A31" s="34" t="s">
        <v>1621</v>
      </c>
      <c r="B31" s="34">
        <v>84559</v>
      </c>
      <c r="C31">
        <f t="shared" si="0"/>
        <v>9301.49</v>
      </c>
      <c r="D31">
        <f t="shared" si="1"/>
        <v>2874.16041</v>
      </c>
      <c r="E31">
        <f t="shared" si="2"/>
        <v>2450.9426149999999</v>
      </c>
      <c r="F31">
        <f t="shared" si="3"/>
        <v>1344.5322397979999</v>
      </c>
      <c r="G31">
        <f t="shared" si="4"/>
        <v>90.823468956000013</v>
      </c>
      <c r="H31">
        <f t="shared" si="5"/>
        <v>14.945634131999999</v>
      </c>
      <c r="I31">
        <f t="shared" si="6"/>
        <v>25.867443689999998</v>
      </c>
    </row>
    <row r="32" spans="1:9">
      <c r="A32" s="34" t="s">
        <v>1622</v>
      </c>
      <c r="B32" s="34">
        <v>26224</v>
      </c>
      <c r="C32">
        <f t="shared" si="0"/>
        <v>2884.64</v>
      </c>
      <c r="D32">
        <f t="shared" si="1"/>
        <v>891.35375999999997</v>
      </c>
      <c r="E32">
        <f t="shared" si="2"/>
        <v>760.10263999999995</v>
      </c>
      <c r="F32">
        <f t="shared" si="3"/>
        <v>416.975288928</v>
      </c>
      <c r="G32">
        <f t="shared" si="4"/>
        <v>28.166778816000001</v>
      </c>
      <c r="H32">
        <f t="shared" si="5"/>
        <v>4.6350395519999994</v>
      </c>
      <c r="I32">
        <f t="shared" si="6"/>
        <v>8.0221838399999985</v>
      </c>
    </row>
    <row r="33" spans="1:9">
      <c r="A33" s="34" t="s">
        <v>1623</v>
      </c>
      <c r="B33" s="34">
        <v>168437</v>
      </c>
      <c r="C33">
        <f t="shared" si="0"/>
        <v>18528.07</v>
      </c>
      <c r="D33">
        <f t="shared" si="1"/>
        <v>5725.1736300000002</v>
      </c>
      <c r="E33">
        <f t="shared" si="2"/>
        <v>4882.1464450000003</v>
      </c>
      <c r="F33">
        <f t="shared" si="3"/>
        <v>2678.2362241139999</v>
      </c>
      <c r="G33">
        <f t="shared" si="4"/>
        <v>180.91548670800003</v>
      </c>
      <c r="H33">
        <f t="shared" si="5"/>
        <v>29.770902876000001</v>
      </c>
      <c r="I33">
        <f t="shared" si="6"/>
        <v>51.526562669999997</v>
      </c>
    </row>
    <row r="34" spans="1:9">
      <c r="A34" s="34" t="s">
        <v>1624</v>
      </c>
      <c r="B34" s="34">
        <v>20366</v>
      </c>
      <c r="C34">
        <f t="shared" si="0"/>
        <v>2240.2600000000002</v>
      </c>
      <c r="D34">
        <f t="shared" si="1"/>
        <v>692.24034000000006</v>
      </c>
      <c r="E34">
        <f t="shared" si="2"/>
        <v>590.30851000000007</v>
      </c>
      <c r="F34">
        <f t="shared" si="3"/>
        <v>323.83003105200004</v>
      </c>
      <c r="G34">
        <f t="shared" si="4"/>
        <v>21.874794744000003</v>
      </c>
      <c r="H34">
        <f t="shared" si="5"/>
        <v>3.5996497680000004</v>
      </c>
      <c r="I34">
        <f t="shared" si="6"/>
        <v>6.2301630599999998</v>
      </c>
    </row>
    <row r="35" spans="1:9">
      <c r="A35" s="34" t="s">
        <v>1625</v>
      </c>
      <c r="B35" s="34">
        <v>118212</v>
      </c>
      <c r="C35">
        <f t="shared" si="0"/>
        <v>13003.32</v>
      </c>
      <c r="D35">
        <f t="shared" si="1"/>
        <v>4018.0258799999997</v>
      </c>
      <c r="E35">
        <f t="shared" si="2"/>
        <v>3426.37482</v>
      </c>
      <c r="F35">
        <f t="shared" si="3"/>
        <v>1879.6325066639997</v>
      </c>
      <c r="G35">
        <f t="shared" si="4"/>
        <v>126.96961780800001</v>
      </c>
      <c r="H35">
        <f t="shared" si="5"/>
        <v>20.893734575999996</v>
      </c>
      <c r="I35">
        <f t="shared" si="6"/>
        <v>36.162232919999994</v>
      </c>
    </row>
    <row r="36" spans="1:9">
      <c r="A36" s="34" t="s">
        <v>1626</v>
      </c>
      <c r="B36" s="34">
        <v>16829</v>
      </c>
      <c r="C36">
        <f t="shared" si="0"/>
        <v>1851.19</v>
      </c>
      <c r="D36">
        <f t="shared" si="1"/>
        <v>572.01770999999997</v>
      </c>
      <c r="E36">
        <f t="shared" si="2"/>
        <v>487.78856500000006</v>
      </c>
      <c r="F36">
        <f t="shared" si="3"/>
        <v>267.58988473799997</v>
      </c>
      <c r="G36">
        <f t="shared" si="4"/>
        <v>18.075759636000001</v>
      </c>
      <c r="H36">
        <f t="shared" si="5"/>
        <v>2.9744920919999998</v>
      </c>
      <c r="I36">
        <f t="shared" si="6"/>
        <v>5.1481593899999991</v>
      </c>
    </row>
    <row r="37" spans="1:9">
      <c r="A37" s="34" t="s">
        <v>1627</v>
      </c>
      <c r="B37" s="34">
        <v>19223</v>
      </c>
      <c r="C37">
        <f t="shared" si="0"/>
        <v>2114.5300000000002</v>
      </c>
      <c r="D37">
        <f t="shared" si="1"/>
        <v>653.38977</v>
      </c>
      <c r="E37">
        <f t="shared" si="2"/>
        <v>557.17865500000005</v>
      </c>
      <c r="F37">
        <f t="shared" si="3"/>
        <v>305.65573440600002</v>
      </c>
      <c r="G37">
        <f t="shared" si="4"/>
        <v>20.647116732000001</v>
      </c>
      <c r="H37">
        <f t="shared" si="5"/>
        <v>3.3976268039999997</v>
      </c>
      <c r="I37">
        <f t="shared" si="6"/>
        <v>5.8805079299999994</v>
      </c>
    </row>
    <row r="38" spans="1:9">
      <c r="A38" s="34" t="s">
        <v>1628</v>
      </c>
      <c r="B38" s="34">
        <v>27980</v>
      </c>
      <c r="C38">
        <f t="shared" si="0"/>
        <v>3077.8</v>
      </c>
      <c r="D38">
        <f t="shared" si="1"/>
        <v>951.04020000000003</v>
      </c>
      <c r="E38">
        <f t="shared" si="2"/>
        <v>811.00030000000004</v>
      </c>
      <c r="F38">
        <f t="shared" si="3"/>
        <v>444.89660556000001</v>
      </c>
      <c r="G38">
        <f t="shared" si="4"/>
        <v>30.052870320000004</v>
      </c>
      <c r="H38">
        <f t="shared" si="5"/>
        <v>4.9454090399999995</v>
      </c>
      <c r="I38">
        <f t="shared" si="6"/>
        <v>8.5593617999999996</v>
      </c>
    </row>
    <row r="39" spans="1:9">
      <c r="A39" s="34" t="s">
        <v>1629</v>
      </c>
      <c r="B39" s="34">
        <v>79806</v>
      </c>
      <c r="C39">
        <f t="shared" si="0"/>
        <v>8778.66</v>
      </c>
      <c r="D39">
        <f t="shared" si="1"/>
        <v>2712.6059399999999</v>
      </c>
      <c r="E39">
        <f t="shared" si="2"/>
        <v>2313.1769100000001</v>
      </c>
      <c r="F39">
        <f t="shared" si="3"/>
        <v>1268.957058732</v>
      </c>
      <c r="G39">
        <f t="shared" si="4"/>
        <v>85.71834770400001</v>
      </c>
      <c r="H39">
        <f t="shared" si="5"/>
        <v>14.105550888</v>
      </c>
      <c r="I39">
        <f t="shared" si="6"/>
        <v>24.413453459999996</v>
      </c>
    </row>
    <row r="40" spans="1:9">
      <c r="A40" s="34" t="s">
        <v>1630</v>
      </c>
      <c r="B40" s="34">
        <v>135868</v>
      </c>
      <c r="C40">
        <f t="shared" si="0"/>
        <v>14945.48</v>
      </c>
      <c r="D40">
        <f t="shared" si="1"/>
        <v>4618.1533199999994</v>
      </c>
      <c r="E40">
        <f t="shared" si="2"/>
        <v>3938.1339800000001</v>
      </c>
      <c r="F40">
        <f t="shared" si="3"/>
        <v>2160.3721230959995</v>
      </c>
      <c r="G40">
        <f t="shared" si="4"/>
        <v>145.93364491200001</v>
      </c>
      <c r="H40">
        <f t="shared" si="5"/>
        <v>24.014397263999996</v>
      </c>
      <c r="I40">
        <f t="shared" si="6"/>
        <v>41.563379879999992</v>
      </c>
    </row>
    <row r="41" spans="1:9">
      <c r="A41" s="34" t="s">
        <v>1631</v>
      </c>
      <c r="B41" s="34">
        <v>40884</v>
      </c>
      <c r="C41">
        <f t="shared" si="0"/>
        <v>4497.24</v>
      </c>
      <c r="D41">
        <f t="shared" si="1"/>
        <v>1389.64716</v>
      </c>
      <c r="E41">
        <f t="shared" si="2"/>
        <v>1185.0227399999999</v>
      </c>
      <c r="F41">
        <f t="shared" si="3"/>
        <v>650.07694144799996</v>
      </c>
      <c r="G41">
        <f t="shared" si="4"/>
        <v>43.912850256000006</v>
      </c>
      <c r="H41">
        <f t="shared" si="5"/>
        <v>7.2261652319999996</v>
      </c>
      <c r="I41">
        <f t="shared" si="6"/>
        <v>12.506824439999999</v>
      </c>
    </row>
    <row r="42" spans="1:9">
      <c r="A42" s="34" t="s">
        <v>1632</v>
      </c>
      <c r="B42" s="34">
        <v>15075</v>
      </c>
      <c r="C42">
        <f t="shared" si="0"/>
        <v>1658.25</v>
      </c>
      <c r="D42">
        <f t="shared" si="1"/>
        <v>512.39924999999994</v>
      </c>
      <c r="E42">
        <f t="shared" si="2"/>
        <v>436.94887500000004</v>
      </c>
      <c r="F42">
        <f t="shared" si="3"/>
        <v>239.70036914999997</v>
      </c>
      <c r="G42">
        <f t="shared" si="4"/>
        <v>16.191816299999999</v>
      </c>
      <c r="H42">
        <f t="shared" si="5"/>
        <v>2.6644760999999995</v>
      </c>
      <c r="I42">
        <f t="shared" si="6"/>
        <v>4.6115932499999994</v>
      </c>
    </row>
    <row r="43" spans="1:9">
      <c r="A43" s="34" t="s">
        <v>1633</v>
      </c>
      <c r="B43" s="34">
        <v>4573</v>
      </c>
      <c r="C43">
        <f t="shared" si="0"/>
        <v>503.03</v>
      </c>
      <c r="D43">
        <f t="shared" si="1"/>
        <v>155.43626999999998</v>
      </c>
      <c r="E43">
        <f t="shared" si="2"/>
        <v>132.548405</v>
      </c>
      <c r="F43">
        <f t="shared" si="3"/>
        <v>72.713087105999989</v>
      </c>
      <c r="G43">
        <f t="shared" si="4"/>
        <v>4.9117861319999996</v>
      </c>
      <c r="H43">
        <f t="shared" si="5"/>
        <v>0.80826860399999989</v>
      </c>
      <c r="I43">
        <f t="shared" si="6"/>
        <v>1.3989264299999997</v>
      </c>
    </row>
    <row r="44" spans="1:9">
      <c r="A44" s="34" t="s">
        <v>1634</v>
      </c>
      <c r="B44" s="34">
        <v>957735</v>
      </c>
      <c r="C44">
        <f t="shared" si="0"/>
        <v>105350.85</v>
      </c>
      <c r="D44">
        <f t="shared" si="1"/>
        <v>32553.412650000002</v>
      </c>
      <c r="E44">
        <f t="shared" si="2"/>
        <v>27759.948975000003</v>
      </c>
      <c r="F44">
        <f t="shared" si="3"/>
        <v>15228.486437670001</v>
      </c>
      <c r="G44">
        <f t="shared" si="4"/>
        <v>1028.6878397400001</v>
      </c>
      <c r="H44">
        <f t="shared" si="5"/>
        <v>169.27774578</v>
      </c>
      <c r="I44">
        <f t="shared" si="6"/>
        <v>292.98071384999997</v>
      </c>
    </row>
    <row r="45" spans="1:9">
      <c r="A45" s="34" t="s">
        <v>1635</v>
      </c>
      <c r="B45" s="34">
        <v>45549</v>
      </c>
      <c r="C45">
        <f t="shared" si="0"/>
        <v>5010.3900000000003</v>
      </c>
      <c r="D45">
        <f t="shared" si="1"/>
        <v>1548.2105100000001</v>
      </c>
      <c r="E45">
        <f t="shared" si="2"/>
        <v>1320.2377650000001</v>
      </c>
      <c r="F45">
        <f t="shared" si="3"/>
        <v>724.25287657800004</v>
      </c>
      <c r="G45">
        <f t="shared" si="4"/>
        <v>48.923452116000007</v>
      </c>
      <c r="H45">
        <f t="shared" si="5"/>
        <v>8.0506946520000007</v>
      </c>
      <c r="I45">
        <f t="shared" si="6"/>
        <v>13.93389459</v>
      </c>
    </row>
    <row r="46" spans="1:9">
      <c r="A46" s="34" t="s">
        <v>1636</v>
      </c>
      <c r="B46" s="34">
        <v>37435</v>
      </c>
      <c r="C46">
        <f t="shared" si="0"/>
        <v>4117.8500000000004</v>
      </c>
      <c r="D46">
        <f t="shared" si="1"/>
        <v>1272.4156500000001</v>
      </c>
      <c r="E46">
        <f t="shared" si="2"/>
        <v>1085.0534750000002</v>
      </c>
      <c r="F46">
        <f t="shared" si="3"/>
        <v>595.23604107000006</v>
      </c>
      <c r="G46">
        <f t="shared" si="4"/>
        <v>40.20833454000001</v>
      </c>
      <c r="H46">
        <f t="shared" si="5"/>
        <v>6.6165613800000003</v>
      </c>
      <c r="I46">
        <f t="shared" si="6"/>
        <v>11.45174085</v>
      </c>
    </row>
    <row r="47" spans="1:9">
      <c r="A47" s="34" t="s">
        <v>1637</v>
      </c>
      <c r="B47" s="34">
        <v>35567</v>
      </c>
      <c r="C47">
        <f t="shared" si="0"/>
        <v>3912.37</v>
      </c>
      <c r="D47">
        <f t="shared" si="1"/>
        <v>1208.9223299999999</v>
      </c>
      <c r="E47">
        <f t="shared" si="2"/>
        <v>1030.9094950000001</v>
      </c>
      <c r="F47">
        <f t="shared" si="3"/>
        <v>565.53386597399992</v>
      </c>
      <c r="G47">
        <f t="shared" si="4"/>
        <v>38.201945627999997</v>
      </c>
      <c r="H47">
        <f t="shared" si="5"/>
        <v>6.2863961159999988</v>
      </c>
      <c r="I47">
        <f t="shared" si="6"/>
        <v>10.880300969999999</v>
      </c>
    </row>
    <row r="48" spans="1:9">
      <c r="A48" s="34" t="s">
        <v>1638</v>
      </c>
      <c r="B48" s="34">
        <v>183245</v>
      </c>
      <c r="C48">
        <f t="shared" si="0"/>
        <v>20156.95</v>
      </c>
      <c r="D48">
        <f t="shared" si="1"/>
        <v>6228.49755</v>
      </c>
      <c r="E48">
        <f t="shared" si="2"/>
        <v>5311.3563250000007</v>
      </c>
      <c r="F48">
        <f t="shared" si="3"/>
        <v>2913.6911538899999</v>
      </c>
      <c r="G48">
        <f t="shared" si="4"/>
        <v>196.82052258000002</v>
      </c>
      <c r="H48">
        <f t="shared" si="5"/>
        <v>32.388187260000002</v>
      </c>
      <c r="I48">
        <f t="shared" si="6"/>
        <v>56.056477949999994</v>
      </c>
    </row>
    <row r="49" spans="1:9">
      <c r="A49" s="34" t="s">
        <v>1639</v>
      </c>
      <c r="B49" s="34">
        <v>87850</v>
      </c>
      <c r="C49">
        <f t="shared" si="0"/>
        <v>9663.5</v>
      </c>
      <c r="D49">
        <f t="shared" si="1"/>
        <v>2986.0214999999998</v>
      </c>
      <c r="E49">
        <f t="shared" si="2"/>
        <v>2546.3322499999999</v>
      </c>
      <c r="F49">
        <f t="shared" si="3"/>
        <v>1396.8608577</v>
      </c>
      <c r="G49">
        <f t="shared" si="4"/>
        <v>94.358279400000001</v>
      </c>
      <c r="H49">
        <f t="shared" si="5"/>
        <v>15.527311799999998</v>
      </c>
      <c r="I49">
        <f t="shared" si="6"/>
        <v>26.874193499999997</v>
      </c>
    </row>
    <row r="50" spans="1:9">
      <c r="A50" s="34" t="s">
        <v>1640</v>
      </c>
      <c r="B50" s="34">
        <v>7290</v>
      </c>
      <c r="C50">
        <f t="shared" si="0"/>
        <v>801.9</v>
      </c>
      <c r="D50">
        <f t="shared" si="1"/>
        <v>247.78709999999998</v>
      </c>
      <c r="E50">
        <f t="shared" si="2"/>
        <v>211.30064999999999</v>
      </c>
      <c r="F50">
        <f t="shared" si="3"/>
        <v>115.91480537999999</v>
      </c>
      <c r="G50">
        <f t="shared" si="4"/>
        <v>7.83007236</v>
      </c>
      <c r="H50">
        <f t="shared" si="5"/>
        <v>1.2884929199999999</v>
      </c>
      <c r="I50">
        <f t="shared" si="6"/>
        <v>2.2300838999999995</v>
      </c>
    </row>
    <row r="51" spans="1:9">
      <c r="A51" s="34" t="s">
        <v>1641</v>
      </c>
      <c r="B51" s="34">
        <v>40889</v>
      </c>
      <c r="C51">
        <f t="shared" si="0"/>
        <v>4497.79</v>
      </c>
      <c r="D51">
        <f t="shared" si="1"/>
        <v>1389.81711</v>
      </c>
      <c r="E51">
        <f t="shared" si="2"/>
        <v>1185.1676649999999</v>
      </c>
      <c r="F51">
        <f t="shared" si="3"/>
        <v>650.15644405799992</v>
      </c>
      <c r="G51">
        <f t="shared" si="4"/>
        <v>43.918220676000004</v>
      </c>
      <c r="H51">
        <f t="shared" si="5"/>
        <v>7.2270489719999995</v>
      </c>
      <c r="I51">
        <f t="shared" si="6"/>
        <v>12.508353989999998</v>
      </c>
    </row>
    <row r="52" spans="1:9">
      <c r="A52" s="34" t="s">
        <v>1642</v>
      </c>
      <c r="B52" s="34">
        <v>43441</v>
      </c>
      <c r="C52">
        <f t="shared" si="0"/>
        <v>4778.51</v>
      </c>
      <c r="D52">
        <f t="shared" si="1"/>
        <v>1476.5595900000001</v>
      </c>
      <c r="E52">
        <f t="shared" si="2"/>
        <v>1259.1373850000002</v>
      </c>
      <c r="F52">
        <f t="shared" si="3"/>
        <v>690.73457620199997</v>
      </c>
      <c r="G52">
        <f t="shared" si="4"/>
        <v>46.659283044000006</v>
      </c>
      <c r="H52">
        <f t="shared" si="5"/>
        <v>7.6781098679999999</v>
      </c>
      <c r="I52">
        <f t="shared" si="6"/>
        <v>13.28903631</v>
      </c>
    </row>
    <row r="53" spans="1:9">
      <c r="A53" s="34" t="s">
        <v>1643</v>
      </c>
      <c r="B53" s="34">
        <v>70408</v>
      </c>
      <c r="C53">
        <f t="shared" si="0"/>
        <v>7744.88</v>
      </c>
      <c r="D53">
        <f t="shared" si="1"/>
        <v>2393.1679199999999</v>
      </c>
      <c r="E53">
        <f t="shared" si="2"/>
        <v>2040.7758800000001</v>
      </c>
      <c r="F53">
        <f t="shared" si="3"/>
        <v>1119.5239529759999</v>
      </c>
      <c r="G53">
        <f t="shared" si="4"/>
        <v>75.624106272000006</v>
      </c>
      <c r="H53">
        <f t="shared" si="5"/>
        <v>12.444473184</v>
      </c>
      <c r="I53">
        <f t="shared" si="6"/>
        <v>21.538511279999998</v>
      </c>
    </row>
    <row r="54" spans="1:9">
      <c r="A54" s="34" t="s">
        <v>1644</v>
      </c>
      <c r="B54" s="34">
        <v>13645</v>
      </c>
      <c r="C54">
        <f t="shared" si="0"/>
        <v>1500.95</v>
      </c>
      <c r="D54">
        <f t="shared" si="1"/>
        <v>463.79354999999998</v>
      </c>
      <c r="E54">
        <f t="shared" si="2"/>
        <v>395.50032500000003</v>
      </c>
      <c r="F54">
        <f t="shared" si="3"/>
        <v>216.96262268999999</v>
      </c>
      <c r="G54">
        <f t="shared" si="4"/>
        <v>14.655876180000002</v>
      </c>
      <c r="H54">
        <f t="shared" si="5"/>
        <v>2.4117264599999997</v>
      </c>
      <c r="I54">
        <f t="shared" si="6"/>
        <v>4.1741419499999992</v>
      </c>
    </row>
    <row r="55" spans="1:9">
      <c r="A55" s="34" t="s">
        <v>1645</v>
      </c>
      <c r="B55" s="34">
        <v>195080</v>
      </c>
      <c r="C55">
        <f t="shared" si="0"/>
        <v>21458.799999999999</v>
      </c>
      <c r="D55">
        <f t="shared" si="1"/>
        <v>6630.7691999999997</v>
      </c>
      <c r="E55">
        <f t="shared" si="2"/>
        <v>5654.3937999999998</v>
      </c>
      <c r="F55">
        <f t="shared" si="3"/>
        <v>3101.87383176</v>
      </c>
      <c r="G55">
        <f t="shared" si="4"/>
        <v>209.53230672000001</v>
      </c>
      <c r="H55">
        <f t="shared" si="5"/>
        <v>34.479999839999998</v>
      </c>
      <c r="I55">
        <f t="shared" si="6"/>
        <v>59.676922799999993</v>
      </c>
    </row>
    <row r="56" spans="1:9">
      <c r="A56" s="34" t="s">
        <v>1646</v>
      </c>
      <c r="B56" s="34">
        <v>17495</v>
      </c>
      <c r="C56">
        <f t="shared" si="0"/>
        <v>1924.45</v>
      </c>
      <c r="D56">
        <f t="shared" si="1"/>
        <v>594.65504999999996</v>
      </c>
      <c r="E56">
        <f t="shared" si="2"/>
        <v>507.09257500000001</v>
      </c>
      <c r="F56">
        <f t="shared" si="3"/>
        <v>278.17963238999999</v>
      </c>
      <c r="G56">
        <f t="shared" si="4"/>
        <v>18.791099580000001</v>
      </c>
      <c r="H56">
        <f t="shared" si="5"/>
        <v>3.0922062599999998</v>
      </c>
      <c r="I56">
        <f t="shared" si="6"/>
        <v>5.3518954499999989</v>
      </c>
    </row>
    <row r="57" spans="1:9">
      <c r="A57" s="34" t="s">
        <v>1647</v>
      </c>
      <c r="B57" s="34">
        <v>161448</v>
      </c>
      <c r="C57">
        <f t="shared" si="0"/>
        <v>17759.28</v>
      </c>
      <c r="D57">
        <f t="shared" si="1"/>
        <v>5487.6175199999998</v>
      </c>
      <c r="E57">
        <f t="shared" si="2"/>
        <v>4679.5702799999999</v>
      </c>
      <c r="F57">
        <f t="shared" si="3"/>
        <v>2567.1074758559998</v>
      </c>
      <c r="G57">
        <f t="shared" si="4"/>
        <v>173.408713632</v>
      </c>
      <c r="H57">
        <f t="shared" si="5"/>
        <v>28.535611103999997</v>
      </c>
      <c r="I57">
        <f t="shared" si="6"/>
        <v>49.388557679999991</v>
      </c>
    </row>
    <row r="58" spans="1:9">
      <c r="A58" s="34" t="s">
        <v>1648</v>
      </c>
      <c r="B58" s="34">
        <v>14124</v>
      </c>
      <c r="C58">
        <f t="shared" si="0"/>
        <v>1553.64</v>
      </c>
      <c r="D58">
        <f t="shared" si="1"/>
        <v>480.07476000000003</v>
      </c>
      <c r="E58">
        <f t="shared" si="2"/>
        <v>409.38414000000006</v>
      </c>
      <c r="F58">
        <f t="shared" si="3"/>
        <v>224.578972728</v>
      </c>
      <c r="G58">
        <f t="shared" si="4"/>
        <v>15.170362416000001</v>
      </c>
      <c r="H58">
        <f t="shared" si="5"/>
        <v>2.4963887520000001</v>
      </c>
      <c r="I58">
        <f t="shared" si="6"/>
        <v>4.3206728400000003</v>
      </c>
    </row>
    <row r="59" spans="1:9">
      <c r="A59" s="34" t="s">
        <v>1649</v>
      </c>
      <c r="B59" s="34">
        <v>87513</v>
      </c>
      <c r="C59">
        <f t="shared" si="0"/>
        <v>9626.43</v>
      </c>
      <c r="D59">
        <f t="shared" si="1"/>
        <v>2974.5668700000001</v>
      </c>
      <c r="E59">
        <f t="shared" si="2"/>
        <v>2536.5643050000003</v>
      </c>
      <c r="F59">
        <f t="shared" si="3"/>
        <v>1391.5023817860001</v>
      </c>
      <c r="G59">
        <f t="shared" si="4"/>
        <v>93.996313092000008</v>
      </c>
      <c r="H59">
        <f t="shared" si="5"/>
        <v>15.467747724000001</v>
      </c>
      <c r="I59">
        <f t="shared" si="6"/>
        <v>26.771101829999999</v>
      </c>
    </row>
    <row r="60" spans="1:9">
      <c r="A60" s="34" t="s">
        <v>1650</v>
      </c>
      <c r="B60" s="34">
        <v>63642</v>
      </c>
      <c r="C60">
        <f t="shared" si="0"/>
        <v>7000.62</v>
      </c>
      <c r="D60">
        <f t="shared" si="1"/>
        <v>2163.1915800000002</v>
      </c>
      <c r="E60">
        <f t="shared" si="2"/>
        <v>1844.66337</v>
      </c>
      <c r="F60">
        <f t="shared" si="3"/>
        <v>1011.941021124</v>
      </c>
      <c r="G60">
        <f t="shared" si="4"/>
        <v>68.356853928000007</v>
      </c>
      <c r="H60">
        <f t="shared" si="5"/>
        <v>11.248596216000001</v>
      </c>
      <c r="I60">
        <f t="shared" si="6"/>
        <v>19.468724219999999</v>
      </c>
    </row>
    <row r="61" spans="1:9">
      <c r="A61" s="34" t="s">
        <v>1651</v>
      </c>
      <c r="B61" s="34">
        <v>16376</v>
      </c>
      <c r="C61">
        <f t="shared" si="0"/>
        <v>1801.36</v>
      </c>
      <c r="D61">
        <f t="shared" si="1"/>
        <v>556.62023999999997</v>
      </c>
      <c r="E61">
        <f t="shared" si="2"/>
        <v>474.65836000000002</v>
      </c>
      <c r="F61">
        <f t="shared" si="3"/>
        <v>260.38694827199998</v>
      </c>
      <c r="G61">
        <f t="shared" si="4"/>
        <v>17.589199583999999</v>
      </c>
      <c r="H61">
        <f t="shared" si="5"/>
        <v>2.8944252479999997</v>
      </c>
      <c r="I61">
        <f t="shared" si="6"/>
        <v>5.009582159999999</v>
      </c>
    </row>
    <row r="62" spans="1:9">
      <c r="A62" s="34" t="s">
        <v>1652</v>
      </c>
      <c r="B62" s="34">
        <v>41304</v>
      </c>
      <c r="C62">
        <f t="shared" si="0"/>
        <v>4543.4399999999996</v>
      </c>
      <c r="D62">
        <f t="shared" si="1"/>
        <v>1403.9229599999999</v>
      </c>
      <c r="E62">
        <f t="shared" si="2"/>
        <v>1197.1964399999999</v>
      </c>
      <c r="F62">
        <f t="shared" si="3"/>
        <v>656.75516068799993</v>
      </c>
      <c r="G62">
        <f t="shared" si="4"/>
        <v>44.363965536000002</v>
      </c>
      <c r="H62">
        <f t="shared" si="5"/>
        <v>7.3003993919999992</v>
      </c>
      <c r="I62">
        <f t="shared" si="6"/>
        <v>12.635306639999998</v>
      </c>
    </row>
    <row r="63" spans="1:9">
      <c r="A63" s="34" t="s">
        <v>1653</v>
      </c>
      <c r="B63" s="34">
        <v>115569</v>
      </c>
      <c r="C63">
        <f t="shared" si="0"/>
        <v>12712.59</v>
      </c>
      <c r="D63">
        <f t="shared" si="1"/>
        <v>3928.19031</v>
      </c>
      <c r="E63">
        <f t="shared" si="2"/>
        <v>3349.7674650000004</v>
      </c>
      <c r="F63">
        <f t="shared" si="3"/>
        <v>1837.607427018</v>
      </c>
      <c r="G63">
        <f t="shared" si="4"/>
        <v>124.13081379600001</v>
      </c>
      <c r="H63">
        <f t="shared" si="5"/>
        <v>20.426589611999997</v>
      </c>
      <c r="I63">
        <f t="shared" si="6"/>
        <v>35.353712789999996</v>
      </c>
    </row>
    <row r="64" spans="1:9">
      <c r="A64" s="34" t="s">
        <v>1654</v>
      </c>
      <c r="B64" s="34">
        <v>20455</v>
      </c>
      <c r="C64">
        <f t="shared" si="0"/>
        <v>2250.0500000000002</v>
      </c>
      <c r="D64">
        <f t="shared" si="1"/>
        <v>695.2654500000001</v>
      </c>
      <c r="E64">
        <f t="shared" si="2"/>
        <v>592.88817500000005</v>
      </c>
      <c r="F64">
        <f t="shared" si="3"/>
        <v>325.24517751000002</v>
      </c>
      <c r="G64">
        <f t="shared" si="4"/>
        <v>21.970388220000004</v>
      </c>
      <c r="H64">
        <f t="shared" si="5"/>
        <v>3.6153803400000002</v>
      </c>
      <c r="I64">
        <f t="shared" si="6"/>
        <v>6.2573890500000005</v>
      </c>
    </row>
    <row r="65" spans="1:9">
      <c r="A65" s="34" t="s">
        <v>1655</v>
      </c>
      <c r="B65" s="34">
        <v>29550</v>
      </c>
      <c r="C65">
        <f t="shared" si="0"/>
        <v>3250.5</v>
      </c>
      <c r="D65">
        <f t="shared" si="1"/>
        <v>1004.4045</v>
      </c>
      <c r="E65">
        <f t="shared" si="2"/>
        <v>856.50675000000001</v>
      </c>
      <c r="F65">
        <f t="shared" si="3"/>
        <v>469.86042509999999</v>
      </c>
      <c r="G65">
        <f t="shared" si="4"/>
        <v>31.739182200000002</v>
      </c>
      <c r="H65">
        <f t="shared" si="5"/>
        <v>5.2229033999999999</v>
      </c>
      <c r="I65">
        <f t="shared" si="6"/>
        <v>9.0396404999999991</v>
      </c>
    </row>
    <row r="66" spans="1:9">
      <c r="A66" s="34" t="s">
        <v>1656</v>
      </c>
      <c r="B66" s="34">
        <v>30506</v>
      </c>
      <c r="C66">
        <f t="shared" si="0"/>
        <v>3355.66</v>
      </c>
      <c r="D66">
        <f t="shared" si="1"/>
        <v>1036.89894</v>
      </c>
      <c r="E66">
        <f t="shared" si="2"/>
        <v>884.21641</v>
      </c>
      <c r="F66">
        <f t="shared" si="3"/>
        <v>485.06132413200004</v>
      </c>
      <c r="G66">
        <f t="shared" si="4"/>
        <v>32.766006504000003</v>
      </c>
      <c r="H66">
        <f t="shared" si="5"/>
        <v>5.391874488</v>
      </c>
      <c r="I66">
        <f t="shared" si="6"/>
        <v>9.3320904599999999</v>
      </c>
    </row>
    <row r="67" spans="1:9">
      <c r="A67" s="34" t="s">
        <v>1657</v>
      </c>
      <c r="B67" s="34">
        <v>21387</v>
      </c>
      <c r="C67">
        <f t="shared" ref="C67:C75" si="7">B67*$O$3/1000</f>
        <v>2352.5700000000002</v>
      </c>
      <c r="D67">
        <f t="shared" ref="D67:D75" si="8">C67*$O$5</f>
        <v>726.94413000000009</v>
      </c>
      <c r="E67">
        <f t="shared" si="2"/>
        <v>619.90219500000012</v>
      </c>
      <c r="F67">
        <f t="shared" si="3"/>
        <v>340.06446401400001</v>
      </c>
      <c r="G67">
        <f t="shared" si="4"/>
        <v>22.971434508000005</v>
      </c>
      <c r="H67">
        <f t="shared" si="5"/>
        <v>3.7801094760000002</v>
      </c>
      <c r="I67">
        <f t="shared" si="6"/>
        <v>6.5424971699999999</v>
      </c>
    </row>
    <row r="68" spans="1:9">
      <c r="A68" s="34" t="s">
        <v>1658</v>
      </c>
      <c r="B68" s="34">
        <v>102804</v>
      </c>
      <c r="C68">
        <f t="shared" si="7"/>
        <v>11308.44</v>
      </c>
      <c r="D68">
        <f t="shared" si="8"/>
        <v>3494.3079600000001</v>
      </c>
      <c r="E68">
        <f t="shared" ref="E68:E75" si="9">C68*$O$6</f>
        <v>2979.7739400000005</v>
      </c>
      <c r="F68">
        <f t="shared" ref="F68:F75" si="10">D68*$O$7</f>
        <v>1634.6372636880001</v>
      </c>
      <c r="G68">
        <f t="shared" ref="G68:G75" si="11">D68*$O$8</f>
        <v>110.42013153600001</v>
      </c>
      <c r="H68">
        <f t="shared" ref="H68:H75" si="12">D68*$O$9</f>
        <v>18.170401391999999</v>
      </c>
      <c r="I68">
        <f t="shared" ref="I68:I75" si="13">D68*$O$10</f>
        <v>31.448771639999997</v>
      </c>
    </row>
    <row r="69" spans="1:9">
      <c r="A69" s="34" t="s">
        <v>1659</v>
      </c>
      <c r="B69" s="34">
        <v>15552</v>
      </c>
      <c r="C69">
        <f t="shared" si="7"/>
        <v>1710.72</v>
      </c>
      <c r="D69">
        <f t="shared" si="8"/>
        <v>528.61248000000001</v>
      </c>
      <c r="E69">
        <f t="shared" si="9"/>
        <v>450.77472</v>
      </c>
      <c r="F69">
        <f t="shared" si="10"/>
        <v>247.28491814399999</v>
      </c>
      <c r="G69">
        <f t="shared" si="11"/>
        <v>16.704154368000001</v>
      </c>
      <c r="H69">
        <f t="shared" si="12"/>
        <v>2.7487848960000001</v>
      </c>
      <c r="I69">
        <f t="shared" si="13"/>
        <v>4.75751232</v>
      </c>
    </row>
    <row r="70" spans="1:9">
      <c r="A70" s="34" t="s">
        <v>1660</v>
      </c>
      <c r="B70" s="34">
        <v>133674</v>
      </c>
      <c r="C70">
        <f t="shared" si="7"/>
        <v>14704.14</v>
      </c>
      <c r="D70">
        <f t="shared" si="8"/>
        <v>4543.5792599999995</v>
      </c>
      <c r="E70">
        <f t="shared" si="9"/>
        <v>3874.5408900000002</v>
      </c>
      <c r="F70">
        <f t="shared" si="10"/>
        <v>2125.4863778279996</v>
      </c>
      <c r="G70">
        <f t="shared" si="11"/>
        <v>143.57710461599999</v>
      </c>
      <c r="H70">
        <f t="shared" si="12"/>
        <v>23.626612151999996</v>
      </c>
      <c r="I70">
        <f t="shared" si="13"/>
        <v>40.892213339999991</v>
      </c>
    </row>
    <row r="71" spans="1:9">
      <c r="A71" s="34" t="s">
        <v>1661</v>
      </c>
      <c r="B71" s="34">
        <v>396488</v>
      </c>
      <c r="C71">
        <f t="shared" si="7"/>
        <v>43613.68</v>
      </c>
      <c r="D71">
        <f t="shared" si="8"/>
        <v>13476.627119999999</v>
      </c>
      <c r="E71">
        <f t="shared" si="9"/>
        <v>11492.204680000001</v>
      </c>
      <c r="F71">
        <f t="shared" si="10"/>
        <v>6304.3661667359993</v>
      </c>
      <c r="G71">
        <f t="shared" si="11"/>
        <v>425.86141699199999</v>
      </c>
      <c r="H71">
        <f t="shared" si="12"/>
        <v>70.078461023999992</v>
      </c>
      <c r="I71">
        <f t="shared" si="13"/>
        <v>121.28964407999999</v>
      </c>
    </row>
    <row r="72" spans="1:9">
      <c r="A72" s="34" t="s">
        <v>1662</v>
      </c>
      <c r="B72" s="34">
        <v>51945</v>
      </c>
      <c r="C72">
        <f t="shared" si="7"/>
        <v>5713.95</v>
      </c>
      <c r="D72">
        <f t="shared" si="8"/>
        <v>1765.6105499999999</v>
      </c>
      <c r="E72">
        <f t="shared" si="9"/>
        <v>1505.6258250000001</v>
      </c>
      <c r="F72">
        <f t="shared" si="10"/>
        <v>825.95261528999993</v>
      </c>
      <c r="G72">
        <f t="shared" si="11"/>
        <v>55.793293380000001</v>
      </c>
      <c r="H72">
        <f t="shared" si="12"/>
        <v>9.1811748599999987</v>
      </c>
      <c r="I72">
        <f t="shared" si="13"/>
        <v>15.890494949999997</v>
      </c>
    </row>
    <row r="73" spans="1:9">
      <c r="A73" s="34" t="s">
        <v>1663</v>
      </c>
      <c r="B73" s="34">
        <v>24033</v>
      </c>
      <c r="C73">
        <f t="shared" si="7"/>
        <v>2643.63</v>
      </c>
      <c r="D73">
        <f t="shared" si="8"/>
        <v>816.88166999999999</v>
      </c>
      <c r="E73">
        <f t="shared" si="9"/>
        <v>696.59650500000009</v>
      </c>
      <c r="F73">
        <f t="shared" si="10"/>
        <v>382.137245226</v>
      </c>
      <c r="G73">
        <f t="shared" si="11"/>
        <v>25.813460772000003</v>
      </c>
      <c r="H73">
        <f t="shared" si="12"/>
        <v>4.247784684</v>
      </c>
      <c r="I73">
        <f t="shared" si="13"/>
        <v>7.351935029999999</v>
      </c>
    </row>
    <row r="74" spans="1:9">
      <c r="A74" s="34" t="s">
        <v>1664</v>
      </c>
      <c r="B74" s="34">
        <v>169546</v>
      </c>
      <c r="C74">
        <f t="shared" si="7"/>
        <v>18650.060000000001</v>
      </c>
      <c r="D74">
        <f t="shared" si="8"/>
        <v>5762.8685400000004</v>
      </c>
      <c r="E74">
        <f t="shared" si="9"/>
        <v>4914.2908100000004</v>
      </c>
      <c r="F74">
        <f t="shared" si="10"/>
        <v>2695.8699030120001</v>
      </c>
      <c r="G74">
        <f t="shared" si="11"/>
        <v>182.10664586400003</v>
      </c>
      <c r="H74">
        <f t="shared" si="12"/>
        <v>29.966916407999999</v>
      </c>
      <c r="I74">
        <f t="shared" si="13"/>
        <v>51.865816860000002</v>
      </c>
    </row>
    <row r="75" spans="1:9">
      <c r="A75" s="34" t="s">
        <v>1665</v>
      </c>
      <c r="B75" s="34">
        <v>73435</v>
      </c>
      <c r="C75">
        <f t="shared" si="7"/>
        <v>8077.85</v>
      </c>
      <c r="D75">
        <f t="shared" si="8"/>
        <v>2496.0556500000002</v>
      </c>
      <c r="E75">
        <f t="shared" si="9"/>
        <v>2128.5134750000002</v>
      </c>
      <c r="F75">
        <f t="shared" si="10"/>
        <v>1167.65483307</v>
      </c>
      <c r="G75">
        <f t="shared" si="11"/>
        <v>78.875358540000022</v>
      </c>
      <c r="H75">
        <f t="shared" si="12"/>
        <v>12.97948938</v>
      </c>
      <c r="I75">
        <f t="shared" si="13"/>
        <v>22.46450085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8"/>
  <sheetViews>
    <sheetView workbookViewId="0">
      <selection activeCell="E7" sqref="E7"/>
    </sheetView>
  </sheetViews>
  <sheetFormatPr defaultRowHeight="13.9"/>
  <cols>
    <col min="1" max="1" width="25.59765625" style="14" customWidth="1"/>
    <col min="2" max="2" width="25.3984375" style="14" customWidth="1"/>
    <col min="3" max="3" width="25.06640625" style="14" customWidth="1"/>
    <col min="4" max="4" width="23.59765625" style="14" customWidth="1"/>
    <col min="5" max="5" width="24.3984375" style="14" customWidth="1"/>
    <col min="6" max="6" width="12.1328125" style="14" customWidth="1"/>
    <col min="7" max="7" width="27.265625" style="14" customWidth="1"/>
    <col min="8" max="8" width="13.1328125" style="14" customWidth="1"/>
    <col min="9" max="9" width="26" style="14" customWidth="1"/>
    <col min="10" max="10" width="13.19921875" style="14" customWidth="1"/>
    <col min="11" max="11" width="27.86328125" style="14" customWidth="1"/>
    <col min="12" max="12" width="13.06640625" style="14" customWidth="1"/>
    <col min="13" max="16384" width="9.06640625" style="14"/>
  </cols>
  <sheetData>
    <row r="1" spans="1:10">
      <c r="A1" s="38" t="s">
        <v>1690</v>
      </c>
      <c r="B1" s="14" t="s">
        <v>1691</v>
      </c>
    </row>
    <row r="2" spans="1:10">
      <c r="A2" s="14" t="s">
        <v>1666</v>
      </c>
      <c r="B2" s="39"/>
      <c r="C2" s="14" t="s">
        <v>1667</v>
      </c>
      <c r="E2" s="14" t="s">
        <v>1668</v>
      </c>
      <c r="G2" s="14" t="s">
        <v>1669</v>
      </c>
      <c r="I2" s="14" t="s">
        <v>1670</v>
      </c>
    </row>
    <row r="3" spans="1:10">
      <c r="A3" s="14">
        <v>365000</v>
      </c>
      <c r="B3" s="14" t="s">
        <v>1671</v>
      </c>
      <c r="C3" s="14">
        <v>41</v>
      </c>
      <c r="D3" s="14" t="s">
        <v>1672</v>
      </c>
      <c r="E3" s="14">
        <v>115000</v>
      </c>
      <c r="F3" s="14" t="s">
        <v>1673</v>
      </c>
      <c r="G3" s="36">
        <v>27.4</v>
      </c>
      <c r="H3" s="14" t="s">
        <v>1674</v>
      </c>
      <c r="I3" s="14">
        <v>688000</v>
      </c>
      <c r="J3" s="14" t="s">
        <v>1675</v>
      </c>
    </row>
    <row r="4" spans="1:10">
      <c r="E4" s="14">
        <f>E3*3.785412</f>
        <v>435322.38</v>
      </c>
      <c r="F4" s="14" t="s">
        <v>1676</v>
      </c>
      <c r="G4" s="36">
        <v>22.6</v>
      </c>
      <c r="H4" s="14" t="s">
        <v>1677</v>
      </c>
      <c r="I4" s="14">
        <f>I3*28.316847/1000</f>
        <v>19481.990735999996</v>
      </c>
      <c r="J4" s="14" t="s">
        <v>1678</v>
      </c>
    </row>
    <row r="5" spans="1:10">
      <c r="E5" s="14">
        <f>E4*365/1000</f>
        <v>158892.66869999998</v>
      </c>
      <c r="F5" s="14" t="s">
        <v>1679</v>
      </c>
      <c r="I5" s="14">
        <f>I4*1.15</f>
        <v>22404.289346399994</v>
      </c>
      <c r="J5" s="14" t="s">
        <v>1680</v>
      </c>
    </row>
    <row r="7" spans="1:10">
      <c r="B7" s="14" t="s">
        <v>1681</v>
      </c>
      <c r="C7" s="14">
        <f>C3*1000000/A3</f>
        <v>112.32876712328768</v>
      </c>
      <c r="D7" s="14" t="s">
        <v>1682</v>
      </c>
      <c r="E7" s="14">
        <f>C7*3.785412</f>
        <v>425.21066301369865</v>
      </c>
      <c r="F7" s="14" t="s">
        <v>1683</v>
      </c>
    </row>
    <row r="8" spans="1:10">
      <c r="B8" s="14" t="s">
        <v>1684</v>
      </c>
      <c r="C8" s="14">
        <f>E3/A3</f>
        <v>0.31506849315068491</v>
      </c>
      <c r="D8" s="14" t="s">
        <v>1685</v>
      </c>
      <c r="E8" s="14">
        <f>C8*3.785412</f>
        <v>1.1926640547945204</v>
      </c>
      <c r="F8" s="14" t="s">
        <v>1676</v>
      </c>
    </row>
    <row r="9" spans="1:10">
      <c r="B9" s="14" t="s">
        <v>1686</v>
      </c>
      <c r="C9" s="14">
        <f>G3*1000/E4</f>
        <v>6.294185931814486E-2</v>
      </c>
    </row>
    <row r="10" spans="1:10">
      <c r="B10" s="14" t="s">
        <v>1687</v>
      </c>
      <c r="C10" s="14">
        <f>G4/E4*1000</f>
        <v>5.191554819671803E-2</v>
      </c>
    </row>
    <row r="11" spans="1:10">
      <c r="B11" s="14" t="s">
        <v>1688</v>
      </c>
      <c r="C11" s="33">
        <f>I5/E4</f>
        <v>5.1465971830807304E-2</v>
      </c>
      <c r="D11" s="14" t="s">
        <v>1689</v>
      </c>
    </row>
    <row r="12" spans="1:10">
      <c r="C12" s="37"/>
    </row>
    <row r="14" spans="1:10">
      <c r="A14" s="9" t="s">
        <v>1521</v>
      </c>
      <c r="B14" s="9" t="s">
        <v>1697</v>
      </c>
      <c r="C14" s="9" t="s">
        <v>1667</v>
      </c>
      <c r="D14" s="9" t="s">
        <v>1667</v>
      </c>
      <c r="E14" s="9" t="s">
        <v>1692</v>
      </c>
    </row>
    <row r="15" spans="1:10">
      <c r="A15"/>
      <c r="B15" t="s">
        <v>1693</v>
      </c>
      <c r="C15" t="s">
        <v>1694</v>
      </c>
      <c r="D15" t="s">
        <v>1695</v>
      </c>
      <c r="E15" t="s">
        <v>1695</v>
      </c>
    </row>
    <row r="16" spans="1:10">
      <c r="A16" s="40" t="s">
        <v>1696</v>
      </c>
      <c r="B16" s="40">
        <v>5771337</v>
      </c>
      <c r="C16" s="40">
        <f>B16*112.3287671</f>
        <v>648287169.72861266</v>
      </c>
      <c r="D16" s="40">
        <f>C16*3.785412/1000*365</f>
        <v>895722421.58390546</v>
      </c>
      <c r="E16" s="40">
        <f>B16*0.315068493*3.785412/1000*365</f>
        <v>2512392.1574204811</v>
      </c>
    </row>
    <row r="17" spans="1:5">
      <c r="A17" s="40" t="s">
        <v>800</v>
      </c>
      <c r="B17" s="40">
        <v>20148</v>
      </c>
      <c r="C17" s="40">
        <f t="shared" ref="C17:C80" si="0">B17*112.3287671</f>
        <v>2263199.9995307997</v>
      </c>
      <c r="D17" s="40">
        <f t="shared" ref="D17:D80" si="1">C17*3.785412/1000*365</f>
        <v>3127007.7193677179</v>
      </c>
      <c r="E17" s="40">
        <f t="shared" ref="E17:E80" si="2">B17*0.315068493*3.785412/1000*365</f>
        <v>8770.8753080452334</v>
      </c>
    </row>
    <row r="18" spans="1:5">
      <c r="A18" s="40" t="s">
        <v>804</v>
      </c>
      <c r="B18" s="40">
        <v>15843</v>
      </c>
      <c r="C18" s="40">
        <f t="shared" si="0"/>
        <v>1779624.6571652999</v>
      </c>
      <c r="D18" s="40">
        <f t="shared" si="1"/>
        <v>2458863.5744462353</v>
      </c>
      <c r="E18" s="40">
        <f t="shared" si="2"/>
        <v>6896.812463041525</v>
      </c>
    </row>
    <row r="19" spans="1:5">
      <c r="A19" s="40" t="s">
        <v>807</v>
      </c>
      <c r="B19" s="40">
        <v>45563</v>
      </c>
      <c r="C19" s="40">
        <f t="shared" si="0"/>
        <v>5118035.6153772995</v>
      </c>
      <c r="D19" s="40">
        <f t="shared" si="1"/>
        <v>7071463.8037299635</v>
      </c>
      <c r="E19" s="40">
        <f t="shared" si="2"/>
        <v>19834.593590453893</v>
      </c>
    </row>
    <row r="20" spans="1:5">
      <c r="A20" s="40" t="s">
        <v>810</v>
      </c>
      <c r="B20" s="40">
        <v>14977</v>
      </c>
      <c r="C20" s="40">
        <f t="shared" si="0"/>
        <v>1682347.9448566998</v>
      </c>
      <c r="D20" s="40">
        <f t="shared" si="1"/>
        <v>2324458.7360020997</v>
      </c>
      <c r="E20" s="40">
        <f t="shared" si="2"/>
        <v>6519.8232821418242</v>
      </c>
    </row>
    <row r="21" spans="1:5">
      <c r="A21" s="40" t="s">
        <v>813</v>
      </c>
      <c r="B21" s="40">
        <v>258718</v>
      </c>
      <c r="C21" s="40">
        <f t="shared" si="0"/>
        <v>29061473.966577798</v>
      </c>
      <c r="D21" s="40">
        <f t="shared" si="1"/>
        <v>40153523.086131491</v>
      </c>
      <c r="E21" s="40">
        <f t="shared" si="2"/>
        <v>112625.73545497553</v>
      </c>
    </row>
    <row r="22" spans="1:5">
      <c r="A22" s="40" t="s">
        <v>816</v>
      </c>
      <c r="B22" s="40">
        <v>13192</v>
      </c>
      <c r="C22" s="40">
        <f t="shared" si="0"/>
        <v>1481841.0955832</v>
      </c>
      <c r="D22" s="40">
        <f t="shared" si="1"/>
        <v>2047423.3588395342</v>
      </c>
      <c r="E22" s="40">
        <f t="shared" si="2"/>
        <v>5742.7728342134569</v>
      </c>
    </row>
    <row r="23" spans="1:5">
      <c r="A23" s="40" t="s">
        <v>819</v>
      </c>
      <c r="B23" s="40">
        <v>15159</v>
      </c>
      <c r="C23" s="40">
        <f t="shared" si="0"/>
        <v>1702791.7804689</v>
      </c>
      <c r="D23" s="40">
        <f t="shared" si="1"/>
        <v>2352705.4803402438</v>
      </c>
      <c r="E23" s="40">
        <f t="shared" si="2"/>
        <v>6599.0519552639307</v>
      </c>
    </row>
    <row r="24" spans="1:5">
      <c r="A24" s="40" t="s">
        <v>822</v>
      </c>
      <c r="B24" s="40">
        <v>49762</v>
      </c>
      <c r="C24" s="40">
        <f t="shared" si="0"/>
        <v>5589704.1084301993</v>
      </c>
      <c r="D24" s="40">
        <f t="shared" si="1"/>
        <v>7723156.5481028566</v>
      </c>
      <c r="E24" s="40">
        <f t="shared" si="2"/>
        <v>21662.512263199671</v>
      </c>
    </row>
    <row r="25" spans="1:5">
      <c r="A25" s="40" t="s">
        <v>825</v>
      </c>
      <c r="B25" s="40">
        <v>63531</v>
      </c>
      <c r="C25" s="40">
        <f t="shared" si="0"/>
        <v>7136358.9026301</v>
      </c>
      <c r="D25" s="40">
        <f t="shared" si="1"/>
        <v>9860131.3986078277</v>
      </c>
      <c r="E25" s="40">
        <f t="shared" si="2"/>
        <v>27656.466110552996</v>
      </c>
    </row>
    <row r="26" spans="1:5">
      <c r="A26" s="40" t="s">
        <v>828</v>
      </c>
      <c r="B26" s="40">
        <v>34445</v>
      </c>
      <c r="C26" s="40">
        <f t="shared" si="0"/>
        <v>3869164.3827594998</v>
      </c>
      <c r="D26" s="40">
        <f t="shared" si="1"/>
        <v>5345929.1688316977</v>
      </c>
      <c r="E26" s="40">
        <f t="shared" si="2"/>
        <v>14994.679371928631</v>
      </c>
    </row>
    <row r="27" spans="1:5">
      <c r="A27" s="40" t="s">
        <v>831</v>
      </c>
      <c r="B27" s="40">
        <v>56743</v>
      </c>
      <c r="C27" s="40">
        <f t="shared" si="0"/>
        <v>6373871.2315552998</v>
      </c>
      <c r="D27" s="40">
        <f t="shared" si="1"/>
        <v>8806620.9559302367</v>
      </c>
      <c r="E27" s="40">
        <f t="shared" si="2"/>
        <v>24701.497796526241</v>
      </c>
    </row>
    <row r="28" spans="1:5">
      <c r="A28" s="40" t="s">
        <v>834</v>
      </c>
      <c r="B28" s="40">
        <v>16391</v>
      </c>
      <c r="C28" s="40">
        <f t="shared" si="0"/>
        <v>1841180.8215361</v>
      </c>
      <c r="D28" s="40">
        <f t="shared" si="1"/>
        <v>2543914.2112446032</v>
      </c>
      <c r="E28" s="40">
        <f t="shared" si="2"/>
        <v>7135.3691271674334</v>
      </c>
    </row>
    <row r="29" spans="1:5">
      <c r="A29" s="40" t="s">
        <v>837</v>
      </c>
      <c r="B29" s="40">
        <v>523643</v>
      </c>
      <c r="C29" s="40">
        <f t="shared" si="0"/>
        <v>58820172.590545297</v>
      </c>
      <c r="D29" s="40">
        <f t="shared" si="1"/>
        <v>81270384.315707266</v>
      </c>
      <c r="E29" s="40">
        <f t="shared" si="2"/>
        <v>227953.51692131875</v>
      </c>
    </row>
    <row r="30" spans="1:5">
      <c r="A30" s="40" t="s">
        <v>840</v>
      </c>
      <c r="B30" s="40">
        <v>88502</v>
      </c>
      <c r="C30" s="40">
        <f t="shared" si="0"/>
        <v>9941320.5458841994</v>
      </c>
      <c r="D30" s="40">
        <f t="shared" si="1"/>
        <v>13735677.842936359</v>
      </c>
      <c r="E30" s="40">
        <f t="shared" si="2"/>
        <v>38526.901256334095</v>
      </c>
    </row>
    <row r="31" spans="1:5">
      <c r="A31" s="40" t="s">
        <v>843</v>
      </c>
      <c r="B31" s="40">
        <v>27554</v>
      </c>
      <c r="C31" s="40">
        <f t="shared" si="0"/>
        <v>3095106.8486734</v>
      </c>
      <c r="D31" s="40">
        <f t="shared" si="1"/>
        <v>4276432.9312814223</v>
      </c>
      <c r="E31" s="40">
        <f t="shared" si="2"/>
        <v>11994.872852783321</v>
      </c>
    </row>
    <row r="32" spans="1:5">
      <c r="A32" s="40" t="s">
        <v>846</v>
      </c>
      <c r="B32" s="40">
        <v>43601</v>
      </c>
      <c r="C32" s="40">
        <f t="shared" si="0"/>
        <v>4897646.5743271001</v>
      </c>
      <c r="D32" s="40">
        <f t="shared" si="1"/>
        <v>6766957.6916890936</v>
      </c>
      <c r="E32" s="40">
        <f t="shared" si="2"/>
        <v>18980.491081302371</v>
      </c>
    </row>
    <row r="33" spans="1:5">
      <c r="A33" s="40" t="s">
        <v>849</v>
      </c>
      <c r="B33" s="40">
        <v>44497</v>
      </c>
      <c r="C33" s="40">
        <f t="shared" si="0"/>
        <v>4998293.1496486999</v>
      </c>
      <c r="D33" s="40">
        <f t="shared" si="1"/>
        <v>6906018.586892264</v>
      </c>
      <c r="E33" s="40">
        <f t="shared" si="2"/>
        <v>19370.539933595828</v>
      </c>
    </row>
    <row r="34" spans="1:5">
      <c r="A34" s="40" t="s">
        <v>852</v>
      </c>
      <c r="B34" s="40">
        <v>102105</v>
      </c>
      <c r="C34" s="40">
        <f t="shared" si="0"/>
        <v>11469328.7647455</v>
      </c>
      <c r="D34" s="40">
        <f t="shared" si="1"/>
        <v>15846889.179374669</v>
      </c>
      <c r="E34" s="40">
        <f t="shared" si="2"/>
        <v>44448.591588641983</v>
      </c>
    </row>
    <row r="35" spans="1:5">
      <c r="A35" s="40" t="s">
        <v>855</v>
      </c>
      <c r="B35" s="40">
        <v>4464</v>
      </c>
      <c r="C35" s="40">
        <f t="shared" si="0"/>
        <v>501435.61633439997</v>
      </c>
      <c r="D35" s="40">
        <f t="shared" si="1"/>
        <v>692821.24574436632</v>
      </c>
      <c r="E35" s="40">
        <f t="shared" si="2"/>
        <v>1943.2791033906058</v>
      </c>
    </row>
    <row r="36" spans="1:5">
      <c r="A36" s="40" t="s">
        <v>858</v>
      </c>
      <c r="B36" s="40">
        <v>101973</v>
      </c>
      <c r="C36" s="40">
        <f t="shared" si="0"/>
        <v>11454501.367488299</v>
      </c>
      <c r="D36" s="40">
        <f t="shared" si="1"/>
        <v>15826402.529634913</v>
      </c>
      <c r="E36" s="40">
        <f t="shared" si="2"/>
        <v>44391.129034509468</v>
      </c>
    </row>
    <row r="37" spans="1:5">
      <c r="A37" s="40" t="s">
        <v>861</v>
      </c>
      <c r="B37" s="40">
        <v>9057</v>
      </c>
      <c r="C37" s="40">
        <f t="shared" si="0"/>
        <v>1017361.6436246999</v>
      </c>
      <c r="D37" s="40">
        <f t="shared" si="1"/>
        <v>1405663.5355525818</v>
      </c>
      <c r="E37" s="40">
        <f t="shared" si="2"/>
        <v>3942.7147937743543</v>
      </c>
    </row>
    <row r="38" spans="1:5">
      <c r="A38" s="40" t="s">
        <v>864</v>
      </c>
      <c r="B38" s="40">
        <v>52250</v>
      </c>
      <c r="C38" s="40">
        <f t="shared" si="0"/>
        <v>5869178.0809749998</v>
      </c>
      <c r="D38" s="40">
        <f t="shared" si="1"/>
        <v>8109298.8553188033</v>
      </c>
      <c r="E38" s="40">
        <f t="shared" si="2"/>
        <v>22745.594344121673</v>
      </c>
    </row>
    <row r="39" spans="1:5">
      <c r="A39" s="40" t="s">
        <v>868</v>
      </c>
      <c r="B39" s="40">
        <v>37186</v>
      </c>
      <c r="C39" s="40">
        <f t="shared" si="0"/>
        <v>4177057.5333805997</v>
      </c>
      <c r="D39" s="40">
        <f t="shared" si="1"/>
        <v>5771337.554715503</v>
      </c>
      <c r="E39" s="40">
        <f t="shared" si="2"/>
        <v>16187.89801493796</v>
      </c>
    </row>
    <row r="40" spans="1:5">
      <c r="A40" s="40" t="s">
        <v>871</v>
      </c>
      <c r="B40" s="40">
        <v>18856</v>
      </c>
      <c r="C40" s="40">
        <f t="shared" si="0"/>
        <v>2118071.2324375999</v>
      </c>
      <c r="D40" s="40">
        <f t="shared" si="1"/>
        <v>2926486.8749452895</v>
      </c>
      <c r="E40" s="40">
        <f t="shared" si="2"/>
        <v>8208.4387933542257</v>
      </c>
    </row>
    <row r="41" spans="1:5">
      <c r="A41" s="40" t="s">
        <v>874</v>
      </c>
      <c r="B41" s="40">
        <v>23813</v>
      </c>
      <c r="C41" s="40">
        <f t="shared" si="0"/>
        <v>2674884.9309522999</v>
      </c>
      <c r="D41" s="40">
        <f t="shared" si="1"/>
        <v>3695822.6534297932</v>
      </c>
      <c r="E41" s="40">
        <f t="shared" si="2"/>
        <v>10366.331829982189</v>
      </c>
    </row>
    <row r="42" spans="1:5">
      <c r="A42" s="40" t="s">
        <v>877</v>
      </c>
      <c r="B42" s="40">
        <v>5794</v>
      </c>
      <c r="C42" s="40">
        <f t="shared" si="0"/>
        <v>650832.8765773999</v>
      </c>
      <c r="D42" s="40">
        <f t="shared" si="1"/>
        <v>899239.76206157205</v>
      </c>
      <c r="E42" s="40">
        <f t="shared" si="2"/>
        <v>2522.2578685137032</v>
      </c>
    </row>
    <row r="43" spans="1:5">
      <c r="A43" s="40" t="s">
        <v>880</v>
      </c>
      <c r="B43" s="40">
        <v>20554</v>
      </c>
      <c r="C43" s="40">
        <f t="shared" si="0"/>
        <v>2308805.4789733998</v>
      </c>
      <c r="D43" s="40">
        <f t="shared" si="1"/>
        <v>3190019.6875066543</v>
      </c>
      <c r="E43" s="40">
        <f t="shared" si="2"/>
        <v>8947.6161942407052</v>
      </c>
    </row>
    <row r="44" spans="1:5">
      <c r="A44" s="40" t="s">
        <v>883</v>
      </c>
      <c r="B44" s="40">
        <v>84559</v>
      </c>
      <c r="C44" s="40">
        <f t="shared" si="0"/>
        <v>9498408.2172088996</v>
      </c>
      <c r="D44" s="40">
        <f t="shared" si="1"/>
        <v>13123716.782907227</v>
      </c>
      <c r="E44" s="40">
        <f t="shared" si="2"/>
        <v>36810.425112815006</v>
      </c>
    </row>
    <row r="45" spans="1:5">
      <c r="A45" s="40" t="s">
        <v>886</v>
      </c>
      <c r="B45" s="40">
        <v>26224</v>
      </c>
      <c r="C45" s="40">
        <f t="shared" si="0"/>
        <v>2945709.5884304</v>
      </c>
      <c r="D45" s="40">
        <f t="shared" si="1"/>
        <v>4070014.4149642168</v>
      </c>
      <c r="E45" s="40">
        <f t="shared" si="2"/>
        <v>11415.894087660225</v>
      </c>
    </row>
    <row r="46" spans="1:5">
      <c r="A46" s="40" t="s">
        <v>889</v>
      </c>
      <c r="B46" s="40">
        <v>168437</v>
      </c>
      <c r="C46" s="40">
        <f t="shared" si="0"/>
        <v>18920320.544022698</v>
      </c>
      <c r="D46" s="40">
        <f t="shared" si="1"/>
        <v>26141741.077384364</v>
      </c>
      <c r="E46" s="40">
        <f t="shared" si="2"/>
        <v>73324.395684991818</v>
      </c>
    </row>
    <row r="47" spans="1:5">
      <c r="A47" s="40" t="s">
        <v>892</v>
      </c>
      <c r="B47" s="40">
        <v>20366</v>
      </c>
      <c r="C47" s="40">
        <f t="shared" si="0"/>
        <v>2287687.6707585999</v>
      </c>
      <c r="D47" s="40">
        <f t="shared" si="1"/>
        <v>3160841.7318167039</v>
      </c>
      <c r="E47" s="40">
        <f t="shared" si="2"/>
        <v>8865.7755868398472</v>
      </c>
    </row>
    <row r="48" spans="1:5">
      <c r="A48" s="40" t="s">
        <v>895</v>
      </c>
      <c r="B48" s="40">
        <v>118212</v>
      </c>
      <c r="C48" s="40">
        <f t="shared" si="0"/>
        <v>13278608.216425199</v>
      </c>
      <c r="D48" s="40">
        <f t="shared" si="1"/>
        <v>18346726.053300411</v>
      </c>
      <c r="E48" s="40">
        <f t="shared" si="2"/>
        <v>51460.329159948546</v>
      </c>
    </row>
    <row r="49" spans="1:5">
      <c r="A49" s="40" t="s">
        <v>898</v>
      </c>
      <c r="B49" s="40">
        <v>16829</v>
      </c>
      <c r="C49" s="40">
        <f t="shared" si="0"/>
        <v>1890380.8215258999</v>
      </c>
      <c r="D49" s="40">
        <f t="shared" si="1"/>
        <v>2611892.6399265099</v>
      </c>
      <c r="E49" s="40">
        <f t="shared" si="2"/>
        <v>7326.0403295162414</v>
      </c>
    </row>
    <row r="50" spans="1:5">
      <c r="A50" s="40" t="s">
        <v>901</v>
      </c>
      <c r="B50" s="40">
        <v>19223</v>
      </c>
      <c r="C50" s="40">
        <f t="shared" si="0"/>
        <v>2159295.8899633</v>
      </c>
      <c r="D50" s="40">
        <f t="shared" si="1"/>
        <v>2983445.9692974803</v>
      </c>
      <c r="E50" s="40">
        <f t="shared" si="2"/>
        <v>8368.2021067378173</v>
      </c>
    </row>
    <row r="51" spans="1:5">
      <c r="A51" s="40" t="s">
        <v>904</v>
      </c>
      <c r="B51" s="40">
        <v>27980</v>
      </c>
      <c r="C51" s="40">
        <f t="shared" si="0"/>
        <v>3142958.9034579997</v>
      </c>
      <c r="D51" s="40">
        <f t="shared" si="1"/>
        <v>4342548.9372597151</v>
      </c>
      <c r="E51" s="40">
        <f t="shared" si="2"/>
        <v>12180.32018657463</v>
      </c>
    </row>
    <row r="52" spans="1:5">
      <c r="A52" s="40" t="s">
        <v>907</v>
      </c>
      <c r="B52" s="40">
        <v>79806</v>
      </c>
      <c r="C52" s="40">
        <f t="shared" si="0"/>
        <v>8964509.5871826001</v>
      </c>
      <c r="D52" s="40">
        <f t="shared" si="1"/>
        <v>12386042.190384163</v>
      </c>
      <c r="E52" s="40">
        <f t="shared" si="2"/>
        <v>34741.337841664579</v>
      </c>
    </row>
    <row r="53" spans="1:5">
      <c r="A53" s="40" t="s">
        <v>910</v>
      </c>
      <c r="B53" s="40">
        <v>135868</v>
      </c>
      <c r="C53" s="40">
        <f t="shared" si="0"/>
        <v>15261884.928342799</v>
      </c>
      <c r="D53" s="40">
        <f t="shared" si="1"/>
        <v>21086970.657884311</v>
      </c>
      <c r="E53" s="40">
        <f t="shared" si="2"/>
        <v>59146.381097552607</v>
      </c>
    </row>
    <row r="54" spans="1:5">
      <c r="A54" s="40" t="s">
        <v>913</v>
      </c>
      <c r="B54" s="40">
        <v>40884</v>
      </c>
      <c r="C54" s="40">
        <f t="shared" si="0"/>
        <v>4592449.3141163997</v>
      </c>
      <c r="D54" s="40">
        <f t="shared" si="1"/>
        <v>6345274.1512125162</v>
      </c>
      <c r="E54" s="40">
        <f t="shared" si="2"/>
        <v>17797.720175408049</v>
      </c>
    </row>
    <row r="55" spans="1:5">
      <c r="A55" s="40" t="s">
        <v>916</v>
      </c>
      <c r="B55" s="40">
        <v>15075</v>
      </c>
      <c r="C55" s="40">
        <f t="shared" si="0"/>
        <v>1693356.1640325</v>
      </c>
      <c r="D55" s="40">
        <f t="shared" si="1"/>
        <v>2339668.5214149472</v>
      </c>
      <c r="E55" s="40">
        <f t="shared" si="2"/>
        <v>6562.4848753614206</v>
      </c>
    </row>
    <row r="56" spans="1:5">
      <c r="A56" s="40" t="s">
        <v>919</v>
      </c>
      <c r="B56" s="40">
        <v>4573</v>
      </c>
      <c r="C56" s="40">
        <f t="shared" si="0"/>
        <v>513679.45194829995</v>
      </c>
      <c r="D56" s="40">
        <f t="shared" si="1"/>
        <v>709738.251968859</v>
      </c>
      <c r="E56" s="40">
        <f t="shared" si="2"/>
        <v>1990.7292427879122</v>
      </c>
    </row>
    <row r="57" spans="1:5">
      <c r="A57" s="40" t="s">
        <v>922</v>
      </c>
      <c r="B57" s="40">
        <v>957735</v>
      </c>
      <c r="C57" s="40">
        <f t="shared" si="0"/>
        <v>107581191.75851849</v>
      </c>
      <c r="D57" s="40">
        <f t="shared" si="1"/>
        <v>148642284.00380391</v>
      </c>
      <c r="E57" s="40">
        <f t="shared" si="2"/>
        <v>416923.47940990177</v>
      </c>
    </row>
    <row r="58" spans="1:5">
      <c r="A58" s="40" t="s">
        <v>925</v>
      </c>
      <c r="B58" s="40">
        <v>45549</v>
      </c>
      <c r="C58" s="40">
        <f t="shared" si="0"/>
        <v>5116463.0126378993</v>
      </c>
      <c r="D58" s="40">
        <f t="shared" si="1"/>
        <v>7069290.9772424148</v>
      </c>
      <c r="E58" s="40">
        <f t="shared" si="2"/>
        <v>19828.499077136803</v>
      </c>
    </row>
    <row r="59" spans="1:5">
      <c r="A59" s="40" t="s">
        <v>928</v>
      </c>
      <c r="B59" s="40">
        <v>37435</v>
      </c>
      <c r="C59" s="40">
        <f t="shared" si="0"/>
        <v>4205027.3963885</v>
      </c>
      <c r="D59" s="40">
        <f t="shared" si="1"/>
        <v>5809982.8258154914</v>
      </c>
      <c r="E59" s="40">
        <f t="shared" si="2"/>
        <v>16296.293287506123</v>
      </c>
    </row>
    <row r="60" spans="1:5">
      <c r="A60" s="40" t="s">
        <v>931</v>
      </c>
      <c r="B60" s="40">
        <v>35567</v>
      </c>
      <c r="C60" s="40">
        <f t="shared" si="0"/>
        <v>3995197.2594456999</v>
      </c>
      <c r="D60" s="40">
        <f t="shared" si="1"/>
        <v>5520065.6916195964</v>
      </c>
      <c r="E60" s="40">
        <f t="shared" si="2"/>
        <v>15483.111082055033</v>
      </c>
    </row>
    <row r="61" spans="1:5">
      <c r="A61" s="40" t="s">
        <v>934</v>
      </c>
      <c r="B61" s="40">
        <v>183245</v>
      </c>
      <c r="C61" s="40">
        <f t="shared" si="0"/>
        <v>20583684.9272395</v>
      </c>
      <c r="D61" s="40">
        <f t="shared" si="1"/>
        <v>28439970.693643913</v>
      </c>
      <c r="E61" s="40">
        <f t="shared" si="2"/>
        <v>79770.649484948823</v>
      </c>
    </row>
    <row r="62" spans="1:5">
      <c r="A62" s="40" t="s">
        <v>937</v>
      </c>
      <c r="B62" s="40">
        <v>87850</v>
      </c>
      <c r="C62" s="40">
        <f t="shared" si="0"/>
        <v>9868082.1897349991</v>
      </c>
      <c r="D62" s="40">
        <f t="shared" si="1"/>
        <v>13634486.209373336</v>
      </c>
      <c r="E62" s="40">
        <f t="shared" si="2"/>
        <v>38243.071064709839</v>
      </c>
    </row>
    <row r="63" spans="1:5">
      <c r="A63" s="40" t="s">
        <v>940</v>
      </c>
      <c r="B63" s="40">
        <v>7290</v>
      </c>
      <c r="C63" s="40">
        <f t="shared" si="0"/>
        <v>818876.71215899999</v>
      </c>
      <c r="D63" s="40">
        <f t="shared" si="1"/>
        <v>1131421.7924454371</v>
      </c>
      <c r="E63" s="40">
        <f t="shared" si="2"/>
        <v>3173.5001486822389</v>
      </c>
    </row>
    <row r="64" spans="1:5">
      <c r="A64" s="40" t="s">
        <v>943</v>
      </c>
      <c r="B64" s="40">
        <v>40889</v>
      </c>
      <c r="C64" s="40">
        <f t="shared" si="0"/>
        <v>4593010.9579518996</v>
      </c>
      <c r="D64" s="40">
        <f t="shared" si="1"/>
        <v>6346050.1606723554</v>
      </c>
      <c r="E64" s="40">
        <f t="shared" si="2"/>
        <v>17799.896787307003</v>
      </c>
    </row>
    <row r="65" spans="1:5">
      <c r="A65" s="40" t="s">
        <v>946</v>
      </c>
      <c r="B65" s="40">
        <v>43441</v>
      </c>
      <c r="C65" s="40">
        <f t="shared" si="0"/>
        <v>4879673.9715911001</v>
      </c>
      <c r="D65" s="40">
        <f t="shared" si="1"/>
        <v>6742125.3889742419</v>
      </c>
      <c r="E65" s="40">
        <f t="shared" si="2"/>
        <v>18910.839500535683</v>
      </c>
    </row>
    <row r="66" spans="1:5">
      <c r="A66" s="40" t="s">
        <v>949</v>
      </c>
      <c r="B66" s="40">
        <v>70408</v>
      </c>
      <c r="C66" s="40">
        <f t="shared" si="0"/>
        <v>7908843.8339767996</v>
      </c>
      <c r="D66" s="40">
        <f t="shared" si="1"/>
        <v>10927454.809670551</v>
      </c>
      <c r="E66" s="40">
        <f t="shared" si="2"/>
        <v>30650.178116381219</v>
      </c>
    </row>
    <row r="67" spans="1:5">
      <c r="A67" s="40" t="s">
        <v>952</v>
      </c>
      <c r="B67" s="40">
        <v>13645</v>
      </c>
      <c r="C67" s="40">
        <f t="shared" si="0"/>
        <v>1532726.0270794998</v>
      </c>
      <c r="D67" s="40">
        <f t="shared" si="1"/>
        <v>2117729.8159009581</v>
      </c>
      <c r="E67" s="40">
        <f t="shared" si="2"/>
        <v>5939.9738722591428</v>
      </c>
    </row>
    <row r="68" spans="1:5">
      <c r="A68" s="40" t="s">
        <v>955</v>
      </c>
      <c r="B68" s="40">
        <v>195080</v>
      </c>
      <c r="C68" s="40">
        <f t="shared" si="0"/>
        <v>21913095.885867998</v>
      </c>
      <c r="D68" s="40">
        <f t="shared" si="1"/>
        <v>30276785.085083105</v>
      </c>
      <c r="E68" s="40">
        <f t="shared" si="2"/>
        <v>84922.689849784801</v>
      </c>
    </row>
    <row r="69" spans="1:5">
      <c r="A69" s="40" t="s">
        <v>958</v>
      </c>
      <c r="B69" s="40">
        <v>17495</v>
      </c>
      <c r="C69" s="40">
        <f t="shared" si="0"/>
        <v>1965191.7804144998</v>
      </c>
      <c r="D69" s="40">
        <f t="shared" si="1"/>
        <v>2715257.0999770807</v>
      </c>
      <c r="E69" s="40">
        <f t="shared" si="2"/>
        <v>7615.9650344575812</v>
      </c>
    </row>
    <row r="70" spans="1:5">
      <c r="A70" s="40" t="s">
        <v>961</v>
      </c>
      <c r="B70" s="40">
        <v>161448</v>
      </c>
      <c r="C70" s="40">
        <f t="shared" si="0"/>
        <v>18135254.7907608</v>
      </c>
      <c r="D70" s="40">
        <f t="shared" si="1"/>
        <v>25057035.05442125</v>
      </c>
      <c r="E70" s="40">
        <f t="shared" si="2"/>
        <v>70281.927572626912</v>
      </c>
    </row>
    <row r="71" spans="1:5">
      <c r="A71" s="40" t="s">
        <v>964</v>
      </c>
      <c r="B71" s="40">
        <v>14124</v>
      </c>
      <c r="C71" s="40">
        <f t="shared" si="0"/>
        <v>1586531.5065203998</v>
      </c>
      <c r="D71" s="40">
        <f t="shared" si="1"/>
        <v>2192071.5221535456</v>
      </c>
      <c r="E71" s="40">
        <f t="shared" si="2"/>
        <v>6148.493292179417</v>
      </c>
    </row>
    <row r="72" spans="1:5">
      <c r="A72" s="40" t="s">
        <v>967</v>
      </c>
      <c r="B72" s="40">
        <v>87513</v>
      </c>
      <c r="C72" s="40">
        <f t="shared" si="0"/>
        <v>9830227.3952222988</v>
      </c>
      <c r="D72" s="40">
        <f t="shared" si="1"/>
        <v>13582183.17178018</v>
      </c>
      <c r="E72" s="40">
        <f t="shared" si="2"/>
        <v>38096.367422719995</v>
      </c>
    </row>
    <row r="73" spans="1:5">
      <c r="A73" s="40" t="s">
        <v>970</v>
      </c>
      <c r="B73" s="40">
        <v>63642</v>
      </c>
      <c r="C73" s="40">
        <f t="shared" si="0"/>
        <v>7148827.3957781997</v>
      </c>
      <c r="D73" s="40">
        <f t="shared" si="1"/>
        <v>9877358.8086162545</v>
      </c>
      <c r="E73" s="40">
        <f t="shared" si="2"/>
        <v>27704.786894709887</v>
      </c>
    </row>
    <row r="74" spans="1:5">
      <c r="A74" s="40" t="s">
        <v>973</v>
      </c>
      <c r="B74" s="40">
        <v>16376</v>
      </c>
      <c r="C74" s="40">
        <f t="shared" si="0"/>
        <v>1839495.8900295999</v>
      </c>
      <c r="D74" s="40">
        <f t="shared" si="1"/>
        <v>2541586.1828650855</v>
      </c>
      <c r="E74" s="40">
        <f t="shared" si="2"/>
        <v>7128.8392914705555</v>
      </c>
    </row>
    <row r="75" spans="1:5">
      <c r="A75" s="40" t="s">
        <v>976</v>
      </c>
      <c r="B75" s="40">
        <v>41304</v>
      </c>
      <c r="C75" s="40">
        <f t="shared" si="0"/>
        <v>4639627.3962984001</v>
      </c>
      <c r="D75" s="40">
        <f t="shared" si="1"/>
        <v>6410458.9458390018</v>
      </c>
      <c r="E75" s="40">
        <f t="shared" si="2"/>
        <v>17980.555574920603</v>
      </c>
    </row>
    <row r="76" spans="1:5">
      <c r="A76" s="40" t="s">
        <v>979</v>
      </c>
      <c r="B76" s="40">
        <v>115569</v>
      </c>
      <c r="C76" s="40">
        <f t="shared" si="0"/>
        <v>12981723.284979898</v>
      </c>
      <c r="D76" s="40">
        <f t="shared" si="1"/>
        <v>17936527.45282945</v>
      </c>
      <c r="E76" s="40">
        <f t="shared" si="2"/>
        <v>50309.77211015881</v>
      </c>
    </row>
    <row r="77" spans="1:5">
      <c r="A77" s="40" t="s">
        <v>982</v>
      </c>
      <c r="B77" s="40">
        <v>20455</v>
      </c>
      <c r="C77" s="40">
        <f t="shared" si="0"/>
        <v>2297684.9310304997</v>
      </c>
      <c r="D77" s="40">
        <f t="shared" si="1"/>
        <v>3174654.7002018397</v>
      </c>
      <c r="E77" s="40">
        <f t="shared" si="2"/>
        <v>8904.5192786413172</v>
      </c>
    </row>
    <row r="78" spans="1:5">
      <c r="A78" s="40" t="s">
        <v>985</v>
      </c>
      <c r="B78" s="40">
        <v>29550</v>
      </c>
      <c r="C78" s="40">
        <f t="shared" si="0"/>
        <v>3319315.0678049996</v>
      </c>
      <c r="D78" s="40">
        <f t="shared" si="1"/>
        <v>4586215.9076491985</v>
      </c>
      <c r="E78" s="40">
        <f t="shared" si="2"/>
        <v>12863.77632284776</v>
      </c>
    </row>
    <row r="79" spans="1:5">
      <c r="A79" s="40" t="s">
        <v>988</v>
      </c>
      <c r="B79" s="40">
        <v>30506</v>
      </c>
      <c r="C79" s="40">
        <f t="shared" si="0"/>
        <v>3426701.3691525999</v>
      </c>
      <c r="D79" s="40">
        <f t="shared" si="1"/>
        <v>4734588.9163704384</v>
      </c>
      <c r="E79" s="40">
        <f t="shared" si="2"/>
        <v>13279.944517928723</v>
      </c>
    </row>
    <row r="80" spans="1:5">
      <c r="A80" s="40" t="s">
        <v>991</v>
      </c>
      <c r="B80" s="40">
        <v>21387</v>
      </c>
      <c r="C80" s="40">
        <f t="shared" si="0"/>
        <v>2402375.3419677</v>
      </c>
      <c r="D80" s="40">
        <f t="shared" si="1"/>
        <v>3319302.863515852</v>
      </c>
      <c r="E80" s="40">
        <f t="shared" si="2"/>
        <v>9310.2397366072764</v>
      </c>
    </row>
    <row r="81" spans="1:5">
      <c r="A81" s="40" t="s">
        <v>994</v>
      </c>
      <c r="B81" s="40">
        <v>102804</v>
      </c>
      <c r="C81" s="40">
        <f t="shared" ref="C81:C88" si="3">B81*112.3287671</f>
        <v>11547846.5729484</v>
      </c>
      <c r="D81" s="40">
        <f t="shared" ref="D81:D88" si="4">C81*3.785412/1000*365</f>
        <v>15955375.301860178</v>
      </c>
      <c r="E81" s="40">
        <f t="shared" ref="E81:E88" si="5">B81*0.315068493*3.785412/1000*365</f>
        <v>44752.881932116448</v>
      </c>
    </row>
    <row r="82" spans="1:5">
      <c r="A82" s="40" t="s">
        <v>997</v>
      </c>
      <c r="B82" s="40">
        <v>15552</v>
      </c>
      <c r="C82" s="40">
        <f t="shared" si="3"/>
        <v>1746936.9859391998</v>
      </c>
      <c r="D82" s="40">
        <f t="shared" si="4"/>
        <v>2413699.8238835987</v>
      </c>
      <c r="E82" s="40">
        <f t="shared" si="5"/>
        <v>6770.1336505221097</v>
      </c>
    </row>
    <row r="83" spans="1:5">
      <c r="A83" s="40" t="s">
        <v>1000</v>
      </c>
      <c r="B83" s="40">
        <v>133674</v>
      </c>
      <c r="C83" s="40">
        <f t="shared" si="3"/>
        <v>15015435.613325398</v>
      </c>
      <c r="D83" s="40">
        <f t="shared" si="4"/>
        <v>20746457.706906904</v>
      </c>
      <c r="E83" s="40">
        <f t="shared" si="5"/>
        <v>58191.28379628939</v>
      </c>
    </row>
    <row r="84" spans="1:5">
      <c r="A84" s="40" t="s">
        <v>1003</v>
      </c>
      <c r="B84" s="40">
        <v>396488</v>
      </c>
      <c r="C84" s="40">
        <f t="shared" si="3"/>
        <v>44537008.2099448</v>
      </c>
      <c r="D84" s="40">
        <f t="shared" si="4"/>
        <v>61535687.742538601</v>
      </c>
      <c r="E84" s="40">
        <f t="shared" si="5"/>
        <v>172600.09971889213</v>
      </c>
    </row>
    <row r="85" spans="1:5">
      <c r="A85" s="40" t="s">
        <v>1006</v>
      </c>
      <c r="B85" s="40">
        <v>51945</v>
      </c>
      <c r="C85" s="40">
        <f t="shared" si="3"/>
        <v>5834917.8070094995</v>
      </c>
      <c r="D85" s="40">
        <f t="shared" si="4"/>
        <v>8061962.2782686166</v>
      </c>
      <c r="E85" s="40">
        <f t="shared" si="5"/>
        <v>22612.821018285173</v>
      </c>
    </row>
    <row r="86" spans="1:5">
      <c r="A86" s="40" t="s">
        <v>1009</v>
      </c>
      <c r="B86" s="40">
        <v>24033</v>
      </c>
      <c r="C86" s="40">
        <f t="shared" si="3"/>
        <v>2699597.2597142998</v>
      </c>
      <c r="D86" s="40">
        <f t="shared" si="4"/>
        <v>3729967.0696627139</v>
      </c>
      <c r="E86" s="40">
        <f t="shared" si="5"/>
        <v>10462.102753536386</v>
      </c>
    </row>
    <row r="87" spans="1:5">
      <c r="A87" s="40" t="s">
        <v>1012</v>
      </c>
      <c r="B87" s="40">
        <v>169546</v>
      </c>
      <c r="C87" s="40">
        <f t="shared" si="3"/>
        <v>19044893.1467366</v>
      </c>
      <c r="D87" s="40">
        <f t="shared" si="4"/>
        <v>26313859.975576688</v>
      </c>
      <c r="E87" s="40">
        <f t="shared" si="5"/>
        <v>73807.168204180925</v>
      </c>
    </row>
    <row r="88" spans="1:5">
      <c r="A88" s="40" t="s">
        <v>1015</v>
      </c>
      <c r="B88" s="40">
        <v>73435</v>
      </c>
      <c r="C88" s="40">
        <f t="shared" si="3"/>
        <v>8248863.0119884992</v>
      </c>
      <c r="D88" s="40">
        <f t="shared" si="4"/>
        <v>11397250.936657155</v>
      </c>
      <c r="E88" s="40">
        <f t="shared" si="5"/>
        <v>31967.898960011011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TOC</vt:lpstr>
      <vt:lpstr>CAFO_list</vt:lpstr>
      <vt:lpstr>WWTP_list</vt:lpstr>
      <vt:lpstr>LF_list</vt:lpstr>
      <vt:lpstr>County_list</vt:lpstr>
      <vt:lpstr>Node locations</vt:lpstr>
      <vt:lpstr>CM_supply</vt:lpstr>
      <vt:lpstr>FW_supply</vt:lpstr>
      <vt:lpstr>S_supply</vt:lpstr>
      <vt:lpstr>Biogas_technology_regression</vt:lpstr>
      <vt:lpstr>Biogas_technology_data</vt:lpstr>
      <vt:lpstr>C6_C8_technology_data</vt:lpstr>
      <vt:lpstr>Biogas_yield</vt:lpstr>
      <vt:lpstr>Transportation</vt:lpstr>
      <vt:lpstr>Biogas_price</vt:lpstr>
      <vt:lpstr>Carbon_emission_prod</vt:lpstr>
      <vt:lpstr>Carbon_emission_tech</vt:lpstr>
      <vt:lpstr>Carbon_benefit</vt:lpstr>
      <vt:lpstr>Biogas_Only</vt:lpstr>
      <vt:lpstr>C6C8_Only</vt:lpstr>
      <vt:lpstr>Hybrid</vt:lpstr>
      <vt:lpstr>Compare</vt:lpstr>
      <vt:lpstr>Biogasonly_price_sensitivity</vt:lpstr>
      <vt:lpstr>SCC_sensitivity</vt:lpstr>
      <vt:lpstr>Yield_sensitivity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2017-12-22T23:04:57Z</dcterms:modified>
</cp:coreProperties>
</file>