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yichenghu/Desktop/Research/GitLab/BioGas/Manuscripts/Dulce-nexus/paper_nexus/forACS/Review/Winnie/"/>
    </mc:Choice>
  </mc:AlternateContent>
  <xr:revisionPtr revIDLastSave="0" documentId="13_ncr:1_{6997E4A3-BE78-1446-927C-1372B4725834}" xr6:coauthVersionLast="43" xr6:coauthVersionMax="43" xr10:uidLastSave="{00000000-0000-0000-0000-000000000000}"/>
  <bookViews>
    <workbookView xWindow="0" yWindow="0" windowWidth="28800" windowHeight="18000" activeTab="6" xr2:uid="{00000000-000D-0000-FFFF-FFFF00000000}"/>
  </bookViews>
  <sheets>
    <sheet name="harvest" sheetId="1" r:id="rId1"/>
    <sheet name="fertilizer" sheetId="7" r:id="rId2"/>
    <sheet name="human consumption" sheetId="2" r:id="rId3"/>
    <sheet name="Livestock" sheetId="3" r:id="rId4"/>
    <sheet name="cattle feed" sheetId="5" r:id="rId5"/>
    <sheet name="exports" sheetId="4" r:id="rId6"/>
    <sheet name="parameters" sheetId="6" r:id="rId7"/>
    <sheet name="case study"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1" i="3" l="1"/>
  <c r="L13" i="3"/>
  <c r="L10" i="3"/>
  <c r="L9" i="3"/>
  <c r="L6" i="3"/>
  <c r="D10" i="3"/>
  <c r="D11" i="3"/>
  <c r="D12" i="3"/>
  <c r="D13" i="3"/>
  <c r="D9" i="3"/>
  <c r="D6" i="3"/>
  <c r="G5" i="7"/>
  <c r="G6" i="7"/>
  <c r="G7" i="7"/>
  <c r="G8" i="7"/>
  <c r="G9" i="7"/>
  <c r="G10" i="7"/>
  <c r="G11" i="7"/>
  <c r="G4" i="7"/>
  <c r="K44" i="3" l="1"/>
  <c r="N42" i="3"/>
  <c r="N41" i="3"/>
  <c r="N40" i="3"/>
  <c r="N39" i="3"/>
  <c r="N38" i="3"/>
  <c r="G43" i="3"/>
  <c r="M42" i="3"/>
  <c r="M39" i="3"/>
  <c r="M40" i="3"/>
  <c r="M41" i="3"/>
  <c r="M38" i="3"/>
  <c r="O44" i="8"/>
  <c r="O11" i="8"/>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10" i="8"/>
  <c r="P6" i="8"/>
  <c r="P5" i="8"/>
  <c r="P8" i="8" s="1"/>
  <c r="O9" i="8" s="1"/>
  <c r="B27" i="8"/>
  <c r="B28" i="8" s="1"/>
  <c r="B29" i="8" s="1"/>
  <c r="B30" i="8" s="1"/>
  <c r="B31" i="8" s="1"/>
  <c r="B32" i="8" s="1"/>
  <c r="B33" i="8" s="1"/>
  <c r="B34" i="8" s="1"/>
  <c r="B35" i="8" s="1"/>
  <c r="B36" i="8" s="1"/>
  <c r="B37" i="8" s="1"/>
  <c r="B38" i="8" s="1"/>
  <c r="B39" i="8" s="1"/>
  <c r="B40" i="8" s="1"/>
  <c r="B41" i="8" s="1"/>
  <c r="B42" i="8" s="1"/>
  <c r="B43" i="8" s="1"/>
  <c r="B44" i="8" s="1"/>
  <c r="B45" i="8" s="1"/>
  <c r="B46" i="8" s="1"/>
  <c r="H6" i="8"/>
  <c r="H7" i="8"/>
  <c r="H8" i="8"/>
  <c r="H9" i="8"/>
  <c r="H10" i="8"/>
  <c r="H11" i="8"/>
  <c r="H12" i="8"/>
  <c r="H13" i="8"/>
  <c r="H14" i="8"/>
  <c r="H15" i="8"/>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H5" i="8"/>
  <c r="H17"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C15" i="8"/>
  <c r="B17" i="8" s="1"/>
  <c r="B18" i="8" s="1"/>
  <c r="B19" i="8" s="1"/>
  <c r="B20" i="8" s="1"/>
  <c r="B21" i="8" s="1"/>
  <c r="B22" i="8" s="1"/>
  <c r="B23" i="8" s="1"/>
  <c r="B24" i="8" s="1"/>
  <c r="B25" i="8" s="1"/>
  <c r="B26" i="8" s="1"/>
  <c r="E3" i="5"/>
  <c r="D26" i="7"/>
  <c r="D24" i="7"/>
  <c r="H5" i="7"/>
  <c r="H6" i="7"/>
  <c r="H7" i="7"/>
  <c r="H8" i="7"/>
  <c r="H9" i="7"/>
  <c r="H10" i="7"/>
  <c r="H11" i="7"/>
  <c r="H12" i="7"/>
  <c r="H13" i="7"/>
  <c r="H14" i="7"/>
  <c r="H15" i="7"/>
  <c r="H16" i="7"/>
  <c r="H17" i="7"/>
  <c r="H18" i="7"/>
  <c r="H4" i="7"/>
  <c r="E5" i="7"/>
  <c r="E7" i="7"/>
  <c r="E8" i="7"/>
  <c r="E9" i="7"/>
  <c r="E10" i="7"/>
  <c r="E11" i="7"/>
  <c r="E12" i="7"/>
  <c r="E13" i="7"/>
  <c r="E14" i="7"/>
  <c r="E15" i="7"/>
  <c r="E16" i="7"/>
  <c r="E17" i="7"/>
  <c r="E18" i="7"/>
  <c r="E6" i="7"/>
  <c r="E4" i="7"/>
  <c r="C45" i="7"/>
  <c r="G4" i="1"/>
  <c r="F4" i="1"/>
  <c r="B29" i="3"/>
  <c r="M6" i="3"/>
  <c r="H27" i="7" s="1"/>
  <c r="H28" i="7" s="1"/>
  <c r="H6" i="3"/>
  <c r="H24" i="7" l="1"/>
  <c r="H25" i="7" s="1"/>
  <c r="H26" i="7" s="1"/>
  <c r="H29" i="7" s="1"/>
  <c r="H30" i="7" s="1"/>
  <c r="L88" i="6"/>
  <c r="L82" i="6"/>
  <c r="L83" i="6"/>
  <c r="L84" i="6"/>
  <c r="L85" i="6"/>
  <c r="L86" i="6"/>
  <c r="L87" i="6"/>
  <c r="L81" i="6"/>
  <c r="E4" i="5" l="1"/>
  <c r="E7" i="5" s="1"/>
  <c r="E5" i="5"/>
  <c r="E6" i="5"/>
  <c r="D6" i="4" l="1"/>
  <c r="D5" i="4" l="1"/>
  <c r="D4" i="4"/>
  <c r="D3" i="4"/>
  <c r="L5" i="1"/>
  <c r="L11" i="1"/>
  <c r="L10" i="1"/>
  <c r="L9" i="1"/>
  <c r="L7" i="1"/>
  <c r="L4" i="1"/>
  <c r="L8" i="1"/>
  <c r="E4" i="4" l="1"/>
  <c r="E3" i="4"/>
  <c r="H3" i="4" s="1"/>
  <c r="E5" i="4"/>
  <c r="H5" i="4" s="1"/>
  <c r="E6" i="4"/>
  <c r="H6" i="4" s="1"/>
  <c r="H4" i="4"/>
  <c r="H18" i="3"/>
  <c r="F31" i="2"/>
  <c r="H7" i="4" l="1"/>
  <c r="G34" i="3"/>
  <c r="J27" i="3"/>
  <c r="G26" i="3"/>
  <c r="G25" i="3"/>
  <c r="G27" i="3" l="1"/>
  <c r="H5" i="3"/>
  <c r="H7" i="3" s="1"/>
  <c r="C17" i="3"/>
  <c r="H17" i="3" s="1"/>
  <c r="C16" i="3"/>
  <c r="C15" i="3"/>
  <c r="M15" i="3" s="1"/>
  <c r="C14" i="3"/>
  <c r="C13" i="3"/>
  <c r="H13" i="3" s="1"/>
  <c r="C12" i="3"/>
  <c r="B26" i="3"/>
  <c r="B28" i="3" l="1"/>
  <c r="B37" i="3"/>
  <c r="M13" i="3"/>
  <c r="M17" i="3"/>
  <c r="C5" i="3"/>
  <c r="C6" i="3" s="1"/>
  <c r="B27" i="3"/>
  <c r="B30" i="3" s="1"/>
  <c r="H8" i="3"/>
  <c r="H15" i="3"/>
  <c r="B31" i="3"/>
  <c r="B10" i="3" s="1"/>
  <c r="C11" i="3" l="1"/>
  <c r="M11" i="3" s="1"/>
  <c r="C9" i="3"/>
  <c r="M9" i="3" s="1"/>
  <c r="B38" i="3"/>
  <c r="C10" i="3"/>
  <c r="B39" i="3"/>
  <c r="B9" i="3"/>
  <c r="B32" i="3"/>
  <c r="B40" i="3" s="1"/>
  <c r="H9" i="3" l="1"/>
  <c r="M10" i="3"/>
  <c r="H10" i="3"/>
  <c r="H11" i="3"/>
  <c r="B33" i="3"/>
  <c r="B11" i="3"/>
  <c r="A42" i="3" s="1"/>
  <c r="G29" i="2" l="1"/>
  <c r="G28" i="2"/>
  <c r="G27" i="2"/>
  <c r="F29" i="2"/>
  <c r="F28" i="2"/>
  <c r="F27" i="2"/>
  <c r="G25" i="2"/>
  <c r="G26" i="2"/>
  <c r="J8" i="3" s="1"/>
  <c r="M8" i="3" s="1"/>
  <c r="F25" i="2"/>
  <c r="F26" i="2"/>
  <c r="H29" i="2" l="1"/>
  <c r="M14" i="3" s="1"/>
  <c r="H26" i="2"/>
  <c r="H27" i="2"/>
  <c r="M12" i="3" s="1"/>
  <c r="H25" i="2"/>
  <c r="H28" i="2"/>
  <c r="M16" i="3" s="1"/>
  <c r="J7" i="3"/>
  <c r="M7" i="3" s="1"/>
  <c r="J5" i="3"/>
  <c r="M5" i="3" s="1"/>
  <c r="F7" i="2"/>
  <c r="F5" i="2"/>
  <c r="F6" i="2"/>
  <c r="F8" i="2"/>
  <c r="F9" i="2"/>
  <c r="F10" i="2"/>
  <c r="F11" i="2"/>
  <c r="F12" i="2"/>
  <c r="F13" i="2"/>
  <c r="F14" i="2"/>
  <c r="F15" i="2"/>
  <c r="F16" i="2"/>
  <c r="F17" i="2"/>
  <c r="F18" i="2"/>
  <c r="F19" i="2"/>
  <c r="F20" i="2"/>
  <c r="F21" i="2"/>
  <c r="F22" i="2"/>
  <c r="F23" i="2"/>
  <c r="F4" i="2"/>
  <c r="J22" i="1"/>
  <c r="J21" i="1"/>
  <c r="J19" i="1"/>
  <c r="J20" i="1"/>
  <c r="J18" i="1"/>
  <c r="J17" i="1"/>
  <c r="J16" i="1"/>
  <c r="J15" i="1"/>
  <c r="J14" i="1"/>
  <c r="J13" i="1"/>
  <c r="J12" i="1"/>
  <c r="J11" i="1"/>
  <c r="J10" i="1"/>
  <c r="J9" i="1"/>
  <c r="J8" i="1"/>
  <c r="J7" i="1"/>
  <c r="J4" i="1"/>
  <c r="C51" i="2"/>
  <c r="G23" i="2"/>
  <c r="H23" i="2" s="1"/>
  <c r="G22" i="2"/>
  <c r="G21" i="2"/>
  <c r="G20" i="2"/>
  <c r="G19" i="2"/>
  <c r="G18" i="2"/>
  <c r="G17" i="2"/>
  <c r="G16" i="2"/>
  <c r="H16" i="2" s="1"/>
  <c r="G15" i="2"/>
  <c r="H15" i="2" s="1"/>
  <c r="G14" i="2"/>
  <c r="G13" i="2"/>
  <c r="H13" i="2" s="1"/>
  <c r="G12" i="2"/>
  <c r="G11" i="2"/>
  <c r="G10" i="2"/>
  <c r="G9" i="2"/>
  <c r="G8" i="2"/>
  <c r="G7" i="2"/>
  <c r="G6" i="2"/>
  <c r="H6" i="2" s="1"/>
  <c r="G5" i="2"/>
  <c r="G4" i="2"/>
  <c r="H14" i="2" l="1"/>
  <c r="H22" i="2"/>
  <c r="H10" i="2"/>
  <c r="H5" i="2"/>
  <c r="H17" i="2"/>
  <c r="H9" i="2"/>
  <c r="H20" i="2"/>
  <c r="H11" i="2"/>
  <c r="H12" i="2"/>
  <c r="H19" i="2"/>
  <c r="H18" i="2"/>
  <c r="H4" i="2"/>
  <c r="H21" i="2"/>
  <c r="H8" i="2"/>
  <c r="H7" i="2"/>
  <c r="G23" i="1"/>
  <c r="G22" i="1"/>
  <c r="G21" i="1"/>
  <c r="G20" i="1"/>
  <c r="G19" i="1"/>
  <c r="G18" i="1"/>
  <c r="G12" i="1"/>
  <c r="G14" i="1"/>
  <c r="G15" i="1"/>
  <c r="G16" i="1"/>
  <c r="G17" i="1"/>
  <c r="G13" i="1"/>
  <c r="G11" i="1"/>
  <c r="G10" i="1"/>
  <c r="G9" i="1"/>
  <c r="G8" i="1"/>
  <c r="G7" i="1"/>
  <c r="G6" i="1"/>
  <c r="G5" i="1"/>
  <c r="F6" i="1"/>
  <c r="F5" i="1"/>
  <c r="C45" i="1"/>
  <c r="F21" i="1" s="1"/>
  <c r="H21" i="1" s="1"/>
  <c r="F20" i="1"/>
  <c r="H20" i="1" s="1"/>
  <c r="F23" i="1"/>
  <c r="F22" i="1"/>
  <c r="F19" i="1"/>
  <c r="F18" i="1"/>
  <c r="F17" i="1"/>
  <c r="F16" i="1"/>
  <c r="F15" i="1"/>
  <c r="F14" i="1"/>
  <c r="H14" i="1" s="1"/>
  <c r="F13" i="1"/>
  <c r="F12" i="1"/>
  <c r="F11" i="1"/>
  <c r="F10" i="1"/>
  <c r="F9" i="1"/>
  <c r="F7" i="1"/>
  <c r="F8" i="1"/>
  <c r="H17" i="1" l="1"/>
  <c r="H9" i="1"/>
  <c r="H19" i="1"/>
  <c r="H6" i="1"/>
  <c r="H15" i="1"/>
  <c r="H7" i="1"/>
  <c r="H16" i="1"/>
  <c r="H22" i="1"/>
  <c r="H10" i="1"/>
  <c r="H8" i="1"/>
  <c r="H11" i="1"/>
  <c r="H18" i="1"/>
  <c r="H23" i="1"/>
  <c r="H12" i="1"/>
  <c r="H4" i="1"/>
  <c r="H13" i="1"/>
  <c r="H5" i="1"/>
</calcChain>
</file>

<file path=xl/sharedStrings.xml><?xml version="1.0" encoding="utf-8"?>
<sst xmlns="http://schemas.openxmlformats.org/spreadsheetml/2006/main" count="1034" uniqueCount="471">
  <si>
    <t>Production</t>
  </si>
  <si>
    <t>Production (tonne in 2018)</t>
  </si>
  <si>
    <t>corn grain</t>
  </si>
  <si>
    <t>corn silage</t>
  </si>
  <si>
    <t>hay, alfalfa, haylage</t>
  </si>
  <si>
    <t>soybean</t>
  </si>
  <si>
    <t>potato</t>
  </si>
  <si>
    <t>winter wheat</t>
  </si>
  <si>
    <t>beans</t>
  </si>
  <si>
    <t>sweet corn</t>
  </si>
  <si>
    <t>oats</t>
  </si>
  <si>
    <t>cucumbers</t>
  </si>
  <si>
    <t>peas</t>
  </si>
  <si>
    <t>cabbage</t>
  </si>
  <si>
    <t>carrot</t>
  </si>
  <si>
    <t>pumpkins</t>
  </si>
  <si>
    <t>barley</t>
  </si>
  <si>
    <t>cherries</t>
  </si>
  <si>
    <t>craneberries</t>
  </si>
  <si>
    <t>maple syrup</t>
  </si>
  <si>
    <t>Item</t>
  </si>
  <si>
    <t>apples</t>
  </si>
  <si>
    <t>mint</t>
  </si>
  <si>
    <t>Production Unit</t>
  </si>
  <si>
    <t>BU</t>
  </si>
  <si>
    <t>CWT</t>
  </si>
  <si>
    <t>P Content Unit</t>
  </si>
  <si>
    <t>P Content</t>
  </si>
  <si>
    <t>LB</t>
  </si>
  <si>
    <t>BARRELS</t>
  </si>
  <si>
    <t>GALLON</t>
  </si>
  <si>
    <t>3.5 USD/BU</t>
  </si>
  <si>
    <t>8.6 USD/BU</t>
  </si>
  <si>
    <t>12 USD/CWT</t>
  </si>
  <si>
    <t>4.5 USD/BU</t>
  </si>
  <si>
    <t>2.7 USD/BU</t>
  </si>
  <si>
    <t>21.4 USD/CWT</t>
  </si>
  <si>
    <t>12.1 USD/CWT</t>
  </si>
  <si>
    <t>8 USD/CWT</t>
  </si>
  <si>
    <t>4.14 USD/CWT</t>
  </si>
  <si>
    <t>13 USD/CWT</t>
  </si>
  <si>
    <t>4 USD/BU</t>
  </si>
  <si>
    <t>UNIT TABLE</t>
  </si>
  <si>
    <t>corn</t>
  </si>
  <si>
    <t>note</t>
  </si>
  <si>
    <t>kg</t>
  </si>
  <si>
    <t>wheat</t>
  </si>
  <si>
    <t>oat</t>
  </si>
  <si>
    <t>lb</t>
  </si>
  <si>
    <t>BARREL</t>
  </si>
  <si>
    <t>cranberry</t>
  </si>
  <si>
    <t>Gallon</t>
  </si>
  <si>
    <t>L</t>
  </si>
  <si>
    <t>maple syrup density =1.37 g/ml</t>
  </si>
  <si>
    <t>lb/bu</t>
  </si>
  <si>
    <t>lb/lb</t>
  </si>
  <si>
    <t>lb/ton (milk stage)</t>
  </si>
  <si>
    <t>TON</t>
  </si>
  <si>
    <t>TON(dry)</t>
  </si>
  <si>
    <t>lb/ton (alfalfa)</t>
  </si>
  <si>
    <t>lb/cwt</t>
  </si>
  <si>
    <t>mg/ml</t>
  </si>
  <si>
    <t>lb/ton</t>
  </si>
  <si>
    <t>P Content (tonne P/tonne crop)</t>
  </si>
  <si>
    <t>P Flow (tonne P in 2018)</t>
  </si>
  <si>
    <t>Price</t>
  </si>
  <si>
    <t>P in human consumed crops</t>
  </si>
  <si>
    <t>Consume Rate Unit</t>
  </si>
  <si>
    <t>Consumption (tonne in 2018)</t>
  </si>
  <si>
    <t>Consumption Rate</t>
  </si>
  <si>
    <t>lb/person</t>
  </si>
  <si>
    <t>Population</t>
  </si>
  <si>
    <t>-</t>
  </si>
  <si>
    <t>Total Value(USD)</t>
  </si>
  <si>
    <t>7.55 USD/CWT</t>
  </si>
  <si>
    <t>4.19 USD/CWT</t>
  </si>
  <si>
    <t>29.2 USD/BARREL</t>
  </si>
  <si>
    <t>0.224 USD/lb</t>
  </si>
  <si>
    <t>31.4 USD/GALLON</t>
  </si>
  <si>
    <t>0.549 USD/lb</t>
  </si>
  <si>
    <t>NA</t>
  </si>
  <si>
    <t>milk</t>
  </si>
  <si>
    <t>cheese</t>
  </si>
  <si>
    <t>L/person</t>
  </si>
  <si>
    <t>tonne/L</t>
  </si>
  <si>
    <t>beef</t>
  </si>
  <si>
    <t>lamb</t>
  </si>
  <si>
    <t>hog</t>
  </si>
  <si>
    <t>mg/3oz</t>
  </si>
  <si>
    <t>OZ</t>
  </si>
  <si>
    <t xml:space="preserve">P in Livestock Product </t>
  </si>
  <si>
    <t>Product Type</t>
  </si>
  <si>
    <t>Animal Type</t>
  </si>
  <si>
    <t>Production Rate</t>
  </si>
  <si>
    <t>Milk Cow</t>
  </si>
  <si>
    <t>Manure</t>
  </si>
  <si>
    <t>Beef</t>
  </si>
  <si>
    <t>Beef Cow</t>
  </si>
  <si>
    <t>Hogs</t>
  </si>
  <si>
    <t>Sheep</t>
  </si>
  <si>
    <t>Pork</t>
  </si>
  <si>
    <t>Lamb</t>
  </si>
  <si>
    <t>P Flow</t>
  </si>
  <si>
    <t>milk cow #</t>
  </si>
  <si>
    <t>milk cow weight</t>
  </si>
  <si>
    <t>dry cow weight</t>
  </si>
  <si>
    <t>heifer weight</t>
  </si>
  <si>
    <t>calf weight</t>
  </si>
  <si>
    <t>dry cow #</t>
  </si>
  <si>
    <t>heifer #</t>
  </si>
  <si>
    <t>calf #</t>
  </si>
  <si>
    <t>calf avg weight</t>
  </si>
  <si>
    <t>Total Weight (lb)</t>
  </si>
  <si>
    <t>Draft</t>
  </si>
  <si>
    <t>Dry Cow</t>
  </si>
  <si>
    <t>Heifer</t>
  </si>
  <si>
    <t>Calves</t>
  </si>
  <si>
    <t>Production Rate Unit</t>
  </si>
  <si>
    <t>lb/head/year</t>
  </si>
  <si>
    <t>Product Amount Unit</t>
  </si>
  <si>
    <t>tonne/year</t>
  </si>
  <si>
    <t>tonne/tonne</t>
  </si>
  <si>
    <t>Total Milk</t>
  </si>
  <si>
    <t>Rest Milk</t>
  </si>
  <si>
    <t>Cheese</t>
  </si>
  <si>
    <t>tonne cheese/L milk</t>
  </si>
  <si>
    <t>lb manure/day/1000 lb</t>
  </si>
  <si>
    <t>lb P2O5/day/1000 lb</t>
  </si>
  <si>
    <t>lb P2O5/day/250 lb</t>
  </si>
  <si>
    <t>lb manure/day/250 lb</t>
  </si>
  <si>
    <t>lb P/day/1000 lb</t>
  </si>
  <si>
    <t>to satisfy local demand</t>
  </si>
  <si>
    <t>P from chemical fertilizer</t>
  </si>
  <si>
    <t>P2O5</t>
  </si>
  <si>
    <t>P%</t>
  </si>
  <si>
    <t xml:space="preserve">P </t>
  </si>
  <si>
    <t>ton</t>
  </si>
  <si>
    <t>tonne</t>
  </si>
  <si>
    <t>(reported)</t>
  </si>
  <si>
    <t>P from WWTP sludge</t>
  </si>
  <si>
    <t>estimated</t>
  </si>
  <si>
    <t>population</t>
  </si>
  <si>
    <t>recycle efficiency</t>
  </si>
  <si>
    <t>P</t>
  </si>
  <si>
    <t>P level</t>
  </si>
  <si>
    <t>lb/acre</t>
  </si>
  <si>
    <t>Corn area</t>
  </si>
  <si>
    <t>acre</t>
  </si>
  <si>
    <t>P need</t>
  </si>
  <si>
    <t xml:space="preserve">Overall P needs </t>
  </si>
  <si>
    <t>(estimeted, corn)</t>
  </si>
  <si>
    <t>wastewater</t>
  </si>
  <si>
    <t>gallon/person/day</t>
  </si>
  <si>
    <t>P content</t>
  </si>
  <si>
    <t>mg/L</t>
  </si>
  <si>
    <t>P in harvested crop calculation</t>
  </si>
  <si>
    <t>Product Amount</t>
  </si>
  <si>
    <t>weight per cow</t>
  </si>
  <si>
    <t>milk cow</t>
  </si>
  <si>
    <t>dry cow</t>
  </si>
  <si>
    <t>heifer</t>
  </si>
  <si>
    <t>calf</t>
  </si>
  <si>
    <t>average weight</t>
  </si>
  <si>
    <t>mg P/tonne</t>
  </si>
  <si>
    <t>(vs 405.04)</t>
  </si>
  <si>
    <t>Beef, retail cuts, separable fat, raw</t>
  </si>
  <si>
    <t>Notes</t>
  </si>
  <si>
    <t>corn consumption rate from https://www.ers.usda.gov/data-products/chart-gallery/gallery/chart-detail/?chartId=85059</t>
  </si>
  <si>
    <t>Price per Tonne</t>
  </si>
  <si>
    <t>avg price on pg 17 of 2019AgPrices</t>
  </si>
  <si>
    <t>pg 90, 91 of 369_Dobbins</t>
  </si>
  <si>
    <t>Export Value</t>
  </si>
  <si>
    <t>soybeans</t>
  </si>
  <si>
    <t>Unit Price</t>
  </si>
  <si>
    <t>Mass Exported (tonnes)</t>
  </si>
  <si>
    <t>mass fraction</t>
  </si>
  <si>
    <t>crop total</t>
  </si>
  <si>
    <t>tonne of P in 1 tonne of crop exports</t>
  </si>
  <si>
    <t>feeds</t>
  </si>
  <si>
    <t>96.75/tonne</t>
  </si>
  <si>
    <t>notes</t>
  </si>
  <si>
    <t>unit price of feeds from https://data.ers.usda.gov/FEED-GRAINS-custom-query.aspx#ResultsPanel; using 2017's annual price of corn gluten feed (21% protein) in US Midwest</t>
  </si>
  <si>
    <t>cell C6</t>
  </si>
  <si>
    <t>cell G6</t>
  </si>
  <si>
    <t>column B</t>
  </si>
  <si>
    <t>from state_detail_by_commodity excel file, WI sheet</t>
  </si>
  <si>
    <t>concentrate</t>
  </si>
  <si>
    <t>hay</t>
  </si>
  <si>
    <t>forage</t>
  </si>
  <si>
    <t>"soybean", "corn", and "feeds and other grain" are the top 3 WI crop exports</t>
  </si>
  <si>
    <t>column C</t>
  </si>
  <si>
    <t>feed diet is about 60% forage, 40% concentrate. source: https://albertamilk.com/ask-dairy-farmer/what-do-dairy-cows-eat/ and CornGlutenFeed</t>
  </si>
  <si>
    <t>mass fraction in feed</t>
  </si>
  <si>
    <t>tonne of P in 1 tonne of feed</t>
  </si>
  <si>
    <t>total</t>
  </si>
  <si>
    <t>from cell E7 of "cattle feed"</t>
  </si>
  <si>
    <t>other plant products</t>
  </si>
  <si>
    <t>column A</t>
  </si>
  <si>
    <t>these 4 items are the top 4 WI crop exports by economic value; see state_detail_by_commodity excel file, WI sheet</t>
  </si>
  <si>
    <t>cell C5</t>
  </si>
  <si>
    <t>used the unit price for potatoes, which is the largest crop in the "others" category by econ value</t>
  </si>
  <si>
    <t>etc</t>
  </si>
  <si>
    <t>did not undergo similar analysis for beef and dairy products exports, as state_detail_by_commodity (and other available data) does not break down "beef and veal" and "dairy products" into the specific exports that would allow for further analysis</t>
  </si>
  <si>
    <t>parameter</t>
  </si>
  <si>
    <t>source</t>
  </si>
  <si>
    <t>comments</t>
  </si>
  <si>
    <t>location-specific?</t>
  </si>
  <si>
    <t>uncertainty</t>
  </si>
  <si>
    <t>units</t>
  </si>
  <si>
    <t>definition</t>
  </si>
  <si>
    <t>xcorn</t>
  </si>
  <si>
    <t>xsilage</t>
  </si>
  <si>
    <t>xhay</t>
  </si>
  <si>
    <t>xsoybean</t>
  </si>
  <si>
    <t>xpotato</t>
  </si>
  <si>
    <t>xwinwheat</t>
  </si>
  <si>
    <t>xbeans</t>
  </si>
  <si>
    <t>betapc</t>
  </si>
  <si>
    <t>betaps</t>
  </si>
  <si>
    <t>betaph</t>
  </si>
  <si>
    <t>betapsb</t>
  </si>
  <si>
    <t>betapp</t>
  </si>
  <si>
    <t>betapw</t>
  </si>
  <si>
    <t>betapb</t>
  </si>
  <si>
    <t>betapsc</t>
  </si>
  <si>
    <t>xsweetcorn</t>
  </si>
  <si>
    <t>tonne P/tonne crop</t>
  </si>
  <si>
    <t>P content in this crop</t>
  </si>
  <si>
    <t>"harvest" sheet col G</t>
  </si>
  <si>
    <t>this crop's consumption rate</t>
  </si>
  <si>
    <t>tonne/person/year</t>
  </si>
  <si>
    <t>no</t>
  </si>
  <si>
    <t>yes</t>
  </si>
  <si>
    <t>yes?</t>
  </si>
  <si>
    <t>low</t>
  </si>
  <si>
    <t>depends on source</t>
  </si>
  <si>
    <t>"human consumption" sheet cols B, C</t>
  </si>
  <si>
    <t>alphaMIS</t>
  </si>
  <si>
    <t>P removal efficiency</t>
  </si>
  <si>
    <t>tonne loss P/tonne extracted P from phosphate</t>
  </si>
  <si>
    <t>alphaCS</t>
  </si>
  <si>
    <t>fraction of loss P in the chemical sector</t>
  </si>
  <si>
    <t>tonne loss P/tonne P input to CS</t>
  </si>
  <si>
    <t>requirements of additives by cow population</t>
  </si>
  <si>
    <t>tonne P/cow/year</t>
  </si>
  <si>
    <t>betaCSDC</t>
  </si>
  <si>
    <t>alphaSES</t>
  </si>
  <si>
    <t>alphaRCS</t>
  </si>
  <si>
    <t>alphaRCES</t>
  </si>
  <si>
    <t>alphaHCES</t>
  </si>
  <si>
    <t>fraction of losses in soil stage</t>
  </si>
  <si>
    <t>fraction biochar recycle to cultivated soil (conversion factor in the biochar process)</t>
  </si>
  <si>
    <t>value = 0 in base case</t>
  </si>
  <si>
    <t>fraction losses in crop activities</t>
  </si>
  <si>
    <t>fraction losses from crops during processing</t>
  </si>
  <si>
    <t>alphaFES</t>
  </si>
  <si>
    <t>alphaUSES</t>
  </si>
  <si>
    <t>alphaWSS</t>
  </si>
  <si>
    <t>yield of residues used as fertilisers</t>
  </si>
  <si>
    <t>alphaDCES</t>
  </si>
  <si>
    <t>betamc</t>
  </si>
  <si>
    <t>xcheese</t>
  </si>
  <si>
    <t>betaprc</t>
  </si>
  <si>
    <t>xmilk</t>
  </si>
  <si>
    <t>betamilk</t>
  </si>
  <si>
    <t>betamp</t>
  </si>
  <si>
    <t>betachp</t>
  </si>
  <si>
    <t>xbeef</t>
  </si>
  <si>
    <t>betabfp</t>
  </si>
  <si>
    <t>fraction of dairy cow losses</t>
  </si>
  <si>
    <t>fraction of milk that is transformed to cheese</t>
  </si>
  <si>
    <t xml:space="preserve">P content in cheese </t>
  </si>
  <si>
    <t>P content in milk</t>
  </si>
  <si>
    <t>P content in beef</t>
  </si>
  <si>
    <t>tonne P/tonne cheese</t>
  </si>
  <si>
    <t>cheese yield</t>
  </si>
  <si>
    <t>tonne P/L milk</t>
  </si>
  <si>
    <t>annual production of milk per cow</t>
  </si>
  <si>
    <t>L milk/cow/year</t>
  </si>
  <si>
    <t>milk consumption rate</t>
  </si>
  <si>
    <t>L milk/person/year</t>
  </si>
  <si>
    <t>cheese consumption rate</t>
  </si>
  <si>
    <t>tonne cheese/person/year</t>
  </si>
  <si>
    <t>beef consumption rate</t>
  </si>
  <si>
    <t>tonne P/tonne beef</t>
  </si>
  <si>
    <t>tonne beef/person/year</t>
  </si>
  <si>
    <t>fraction for organic residues in food commodities</t>
  </si>
  <si>
    <t>fraction losses in human sector</t>
  </si>
  <si>
    <t>phosphorus use-efficiency paper</t>
  </si>
  <si>
    <t>pg 809, 1 - 0.91 = 0.09</t>
  </si>
  <si>
    <t>pg 809, 1 - 0.89 - 0.11</t>
  </si>
  <si>
    <t>low-medium</t>
  </si>
  <si>
    <t>medium-high</t>
  </si>
  <si>
    <t>pg 809, (P feed additive/P ore) = 266/3771 = 0.0705. comment on pg 810 on uncertainty. derived value differs significantly from value of 2.5e-6 in original code.</t>
  </si>
  <si>
    <t>pg 809, P to soil/(P fertiliser + uptake + manure + compost) = 672/(1810+489+422+2) = 0.247</t>
  </si>
  <si>
    <t>medium</t>
  </si>
  <si>
    <t>pg 809, P to waste/(P fertiliser + uptake + manure + compost) = 351/(1810+489+422+2) = 0.129</t>
  </si>
  <si>
    <t>pg 809, food processing waste/domestic use crop = 54/607 = 0.089</t>
  </si>
  <si>
    <t>postharvest food losses paper</t>
  </si>
  <si>
    <t>pg 809, household waste/(food and pet food + meat and dairy) = 96/(206+171) = 0.255</t>
  </si>
  <si>
    <t>high</t>
  </si>
  <si>
    <t>phosphorus from wastewater paper</t>
  </si>
  <si>
    <t>pg 2, 75% is middle of 60-90%. value was assigned high uncertainty because there is limited info on whether WI actually uses these P recovery techs, and to what extent.</t>
  </si>
  <si>
    <t>pg 809, (P to pasture + waste)/(feed + grazing input + animal protein feed + P feed additives) = (943+377)/(920+748+121+266) = 0.642. derived value differs significantly from value of 0.05 in original code.</t>
  </si>
  <si>
    <t>"human consumption" sheet col D</t>
  </si>
  <si>
    <t>G18 from 2018AgStats beef slaughter liveweight (p53)</t>
  </si>
  <si>
    <t>I18 from ndb.nal.usda.gov/ndb/search/list:</t>
  </si>
  <si>
    <t>"livestock" sheet cell I18</t>
  </si>
  <si>
    <t>"human consumption" sheet col B</t>
  </si>
  <si>
    <t>WI milk production per cow</t>
  </si>
  <si>
    <r>
      <t>(24002lb milk/cow)*(1kg/2.20462lb)*(1L/1.030kg) = 10570L milk/cow. density of milk is about 1.030g/cm3 at 20</t>
    </r>
    <r>
      <rPr>
        <sz val="12"/>
        <color theme="1"/>
        <rFont val="Calibri"/>
        <family val="2"/>
      </rPr>
      <t>°C.</t>
    </r>
  </si>
  <si>
    <t>slide 12</t>
  </si>
  <si>
    <t>WisconsinDairyData</t>
  </si>
  <si>
    <t>maybe?</t>
  </si>
  <si>
    <t>slide 11 for milk to cheese mass ratio (1:10). (1 tonne cheese/10 tonne milk)*(1 tonne/1000kg)*(1.03kg milk/1 L milk) = 1.03e-4 tonne cheese/1 L milk</t>
  </si>
  <si>
    <t>crock</t>
  </si>
  <si>
    <t>xrock</t>
  </si>
  <si>
    <t>cwaste</t>
  </si>
  <si>
    <t>cadd</t>
  </si>
  <si>
    <t>cfert</t>
  </si>
  <si>
    <t>xadd</t>
  </si>
  <si>
    <t>xfert</t>
  </si>
  <si>
    <t>ccorn</t>
  </si>
  <si>
    <t>csilage</t>
  </si>
  <si>
    <t>chay</t>
  </si>
  <si>
    <t>csoybean</t>
  </si>
  <si>
    <t>cpotato</t>
  </si>
  <si>
    <t>cwinwheat</t>
  </si>
  <si>
    <t>cbeans</t>
  </si>
  <si>
    <t>csweetcorn</t>
  </si>
  <si>
    <t>cfeeds</t>
  </si>
  <si>
    <t>gammahcdc</t>
  </si>
  <si>
    <t>gammahce</t>
  </si>
  <si>
    <t>kappahcecorn</t>
  </si>
  <si>
    <t>kappahcesoybean</t>
  </si>
  <si>
    <t>kappahceothers</t>
  </si>
  <si>
    <t>kappahcefeeds</t>
  </si>
  <si>
    <t>cmanuret</t>
  </si>
  <si>
    <t>csludge</t>
  </si>
  <si>
    <t>xmanuret</t>
  </si>
  <si>
    <t>xsludge</t>
  </si>
  <si>
    <t>cdesh</t>
  </si>
  <si>
    <t>xdesh</t>
  </si>
  <si>
    <t>xmanurer</t>
  </si>
  <si>
    <t>cmanurer</t>
  </si>
  <si>
    <t>cmilk</t>
  </si>
  <si>
    <t>ccheese</t>
  </si>
  <si>
    <t>cbeef</t>
  </si>
  <si>
    <t>price of this crop</t>
  </si>
  <si>
    <t>USD/tonne crop</t>
  </si>
  <si>
    <t>"harvest" sheet col L</t>
  </si>
  <si>
    <t>"exports" sheet cell C6</t>
  </si>
  <si>
    <t>refer to notes in "exports"</t>
  </si>
  <si>
    <t>P per unit cattle feed</t>
  </si>
  <si>
    <t>tonne P/tonne cattle feed</t>
  </si>
  <si>
    <t>tonne P/tonne crop export</t>
  </si>
  <si>
    <t>P per unit crop export</t>
  </si>
  <si>
    <t>"cattle feed" sheet cell E7</t>
  </si>
  <si>
    <t>"exports" sheet cell H7</t>
  </si>
  <si>
    <t>refer to source for calculation</t>
  </si>
  <si>
    <t>"exports" sheet col E</t>
  </si>
  <si>
    <t>mass fraction of this crop in crop exports</t>
  </si>
  <si>
    <t>price per tonne of phosphate rock</t>
  </si>
  <si>
    <t>P content in P rock</t>
  </si>
  <si>
    <t>waste penalty</t>
  </si>
  <si>
    <t>USD/tonne</t>
  </si>
  <si>
    <t>USD/tonne P rock</t>
  </si>
  <si>
    <t>USD/tonne additive</t>
  </si>
  <si>
    <t>USD/tonne fertiliser</t>
  </si>
  <si>
    <t>price of additives</t>
  </si>
  <si>
    <t>price of fertiliser</t>
  </si>
  <si>
    <t>P content in additives</t>
  </si>
  <si>
    <t>P content in DAP fertiliser</t>
  </si>
  <si>
    <t>tonne P/tonne additive</t>
  </si>
  <si>
    <t>tonne P/tonne DAP</t>
  </si>
  <si>
    <t>tonne P/tonne phosphate rock</t>
  </si>
  <si>
    <t>https://www.indexmundi.com/commodities/?commodity=rock-phosphate&amp;months=60</t>
  </si>
  <si>
    <t>couldn't find recent price data of phosphate rock from publications; used commodities indice instead and took $88/tonne as the average price over 2018.</t>
  </si>
  <si>
    <t>http://www.fao.org/3/y5053e/y5053e06.htm</t>
  </si>
  <si>
    <t>low (if fixed)</t>
  </si>
  <si>
    <t xml:space="preserve">byproduct feedstuffs paper suggests dicalcium phosphate is the main type of additive to supply P to cattle. P content in dicalcium phosphate is about 0.228. when accounting for much lower P content (&lt; 1%) in the other additives mentioned in the paper, together with their less widespread use, the value of 21% P content given in pg 7 of 4-phosphorus-management is reasonable. </t>
  </si>
  <si>
    <t>NSS-17 Diammonium Phosphate</t>
  </si>
  <si>
    <t>value in source is supported by independent calculations</t>
  </si>
  <si>
    <t>https://www.indexmundi.com/commodities/?commodity=dap-fertilizer&amp;months=60</t>
  </si>
  <si>
    <t>averaged monthly 2018 price</t>
  </si>
  <si>
    <t>assuming the P additives to cattle feed here comprise only of mono-di calcium phosphate (see xadd note for more info), then the prices found online on sites like alibaba.com and made-in-china.com are around 500USD/tonne.</t>
  </si>
  <si>
    <t>price of treated manure</t>
  </si>
  <si>
    <t>USD/tonne treated manure</t>
  </si>
  <si>
    <t>price of sludge</t>
  </si>
  <si>
    <t>USD/tonne sludge</t>
  </si>
  <si>
    <t>P content in manure</t>
  </si>
  <si>
    <t>P content in sludge</t>
  </si>
  <si>
    <t>tonne P/tonne manure</t>
  </si>
  <si>
    <t>tonne P/tonne sludge</t>
  </si>
  <si>
    <t>price of wastewater gate fee</t>
  </si>
  <si>
    <t>USD/tonne wastewater</t>
  </si>
  <si>
    <t>P content in wastewater inflow</t>
  </si>
  <si>
    <t>tonne P/tonne wastewater</t>
  </si>
  <si>
    <t>price of raw manure</t>
  </si>
  <si>
    <t>USD/tonne raw manure</t>
  </si>
  <si>
    <t>price of milk</t>
  </si>
  <si>
    <t>price of cheese</t>
  </si>
  <si>
    <t>price of beef</t>
  </si>
  <si>
    <t>USD/L milk</t>
  </si>
  <si>
    <t>USD/tonne cheese</t>
  </si>
  <si>
    <t>USD/tonne beef</t>
  </si>
  <si>
    <t>2018 Dairy Annual Summary</t>
  </si>
  <si>
    <t>price</t>
  </si>
  <si>
    <t>USD/lb</t>
  </si>
  <si>
    <t>process american</t>
  </si>
  <si>
    <t>brick and/or muenster</t>
  </si>
  <si>
    <t>cheddar</t>
  </si>
  <si>
    <t>blue</t>
  </si>
  <si>
    <t>mozzarella</t>
  </si>
  <si>
    <t>swiss</t>
  </si>
  <si>
    <t>mass (lb)</t>
  </si>
  <si>
    <t>monterey jack</t>
  </si>
  <si>
    <t>avg</t>
  </si>
  <si>
    <t>see calculation starting at I80 on this sheet. (0.3286 USD/1 lb)*(1 lb/0.00045359 tonne) = 724.44 USD/1 tonne cheese.</t>
  </si>
  <si>
    <t>from pg 54 of 2018 Dairy Annual Summary</t>
  </si>
  <si>
    <t>retail_prices_beef</t>
  </si>
  <si>
    <t>see calculation in column S of retail_prices_beef. (5.346 USD/1lb)*(1 lb/0.00045359 tonne) = 11785.97 USD/1 tonne beef.</t>
  </si>
  <si>
    <t>pg 58, 12-month average for conventional milk. (2.17 USD/0.5 gallon)*(1 gallon/3.785 L) = 1.15 USD/1 L milk.</t>
  </si>
  <si>
    <t>phosphorus in dairy feces paper</t>
  </si>
  <si>
    <t>byproduct feedstuffs paper and 4-phosphorus-management file</t>
  </si>
  <si>
    <t>http://docs.legis.wisconsin.gov/code/admin_code/nr/200/217 and phosphorus from wastewater paper</t>
  </si>
  <si>
    <t>P concentration in TREATED wastewater in WI = (1 mg of P/1 L water)*(1 L water/1 kg water)*(1000 kg/1 tonne)*(1 tonne P/1e9 mg of P) = 1e-6 tonne of P/1 tonne water. since can assume 90% of P present in untreated wastewater is transferred to sludge (see pg 530 of phosphorus from wastewater paper), then the remaining 10% is in the treated wastewater. back-calculate to get P concentration in untreated wastewater: (1e-6 tonne of P/1 tonne water)*(100%/10%) = 1e-5 tonne of P/1 tonne water.</t>
  </si>
  <si>
    <t>(1e-6 tonne of P/1 tonne water)*(90%/10%) = 9e-6 tonne of P/1 tonne sludge (see xdesh note for more info).</t>
  </si>
  <si>
    <t>https://water.unl.edu/article/animal-manure-management/manure-nutrient-losses</t>
  </si>
  <si>
    <r>
      <t xml:space="preserve">"Losses of manure phosphorus and potassium are minimal with some manure handling systems, but considerable phosphorus and potassium may be lost from open feedlots to runoff and leaching." assume </t>
    </r>
    <r>
      <rPr>
        <b/>
        <sz val="12"/>
        <color theme="1"/>
        <rFont val="Calibri"/>
        <family val="2"/>
        <scheme val="minor"/>
      </rPr>
      <t>50%</t>
    </r>
    <r>
      <rPr>
        <sz val="12"/>
        <color theme="1"/>
        <rFont val="Calibri"/>
        <family val="2"/>
        <scheme val="minor"/>
      </rPr>
      <t xml:space="preserve"> losses, so xmanuret = 50%*xmanurer = 4.6e-3 tonne of P/1 tonne manure.</t>
    </r>
  </si>
  <si>
    <t>wastewater treatment costs paper and https://www.statista.com/statistics/412794/euro-to-u-s-dollar-annual-average-exchange-rate/</t>
  </si>
  <si>
    <t>wastewater treatment costs paper and Destroy-Municipal-Waste</t>
  </si>
  <si>
    <t>see line "most marketed grades of PR contain more than 30 percent P2O5". assuming 30% of rock is P2O5, P content is 30% x (2x31)/(2x31 + 5x16) = 0.131.</t>
  </si>
  <si>
    <t>value = 0 in base case. this is actually unrealistic as there are already various laws in place to address different types of waste (see https://dnr.wi.gov/topic/Nonpoint/ and https://dnr.wi.gov/topic/wastewater/wastewaterrules.html for example).</t>
  </si>
  <si>
    <t>pg 7, average amount charged for WWT. (0.37 Euro/1 m3 water)*(1 m3/997 kg water)*(1000 kg/1 tonne)*(1.18 USD/1 Euro) = 0.438 USD/1 tonne water. see URL in cell D75 to find exchange rate average for 2018. note that the value calculated here is the same order of magnitude as the wastewater rates for specific US cities given in pg 5 of water price escalation rates paper.</t>
  </si>
  <si>
    <t>pg 4336 table 2. 9.20 g of P/1 kg feces = 9.2e-3 tonne of P/1 tonne feces.</t>
  </si>
  <si>
    <t>pg 8, average cost per m3 of treated water. price of sludge = (cost of treated water)*(fraction of cost used to treat sludge) = (0.31 Euro/1 m3 water)*(1 m3/997 kg water)*(1000 kg/1 tonne)*(1.18 USD/1 Euro)*50% = 0.183 USD/1 tonne sludge. fraction of WWT costs attributed to sludge treatment is found in pg 3 of Destroy-Municipal-Sludge.</t>
  </si>
  <si>
    <t>pg 11, original was like 0.4</t>
  </si>
  <si>
    <t>Area (Acre)</t>
  </si>
  <si>
    <t>Yiled (unit/acre)</t>
  </si>
  <si>
    <t>Phosphate Recommendation (lb P2O5/acre)</t>
  </si>
  <si>
    <t>P applied (tonne P)</t>
  </si>
  <si>
    <t>total acre considered (~98%)</t>
  </si>
  <si>
    <t>lands with NMPs</t>
  </si>
  <si>
    <t>Nutrient Management Update 2018 (PowerPoint)</t>
  </si>
  <si>
    <t>Total P need</t>
  </si>
  <si>
    <t>P need in lands without NMP (all chemical fert)</t>
  </si>
  <si>
    <t>P need in lands with NMP</t>
  </si>
  <si>
    <t>total P in manure</t>
  </si>
  <si>
    <t>P from manure in lands with NMP</t>
  </si>
  <si>
    <t>P from chemical fert in lands with NMP</t>
  </si>
  <si>
    <t>Total P from chemical fertilizer</t>
  </si>
  <si>
    <t>75% use efficiency</t>
  </si>
  <si>
    <t>A</t>
  </si>
  <si>
    <t>average rate</t>
  </si>
  <si>
    <t>https://www.census.gov/en.html</t>
  </si>
  <si>
    <t>B</t>
  </si>
  <si>
    <t>https://quickstats.nass.usda.gov/results/021EA4CD-48DB-33CF-BAA9-C8A2D88A1E06</t>
  </si>
  <si>
    <t>C</t>
  </si>
  <si>
    <t>increase at average rate</t>
  </si>
  <si>
    <t>decrease at current rate</t>
  </si>
  <si>
    <t>D</t>
  </si>
  <si>
    <t>https://www.farmlandinfo.org/statistics/wisconsin</t>
  </si>
  <si>
    <t>average yearly rate</t>
  </si>
  <si>
    <t>ratio</t>
  </si>
  <si>
    <t>average manure P content</t>
  </si>
  <si>
    <t>P content (tonne P/tonne manure)</t>
  </si>
  <si>
    <t>average P content</t>
  </si>
  <si>
    <t>sum</t>
  </si>
  <si>
    <t>fraction</t>
  </si>
  <si>
    <t>{silage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</si>
</sst>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
    <numFmt numFmtId="165" formatCode="0.000"/>
    <numFmt numFmtId="166" formatCode="0.000%"/>
    <numFmt numFmtId="167" formatCode="0.00000000"/>
  </numFmts>
  <fonts count="13" x14ac:knownFonts="1">
    <font>
      <sz val="12"/>
      <color theme="1"/>
      <name val="Calibri"/>
      <family val="2"/>
      <scheme val="minor"/>
    </font>
    <font>
      <b/>
      <sz val="12"/>
      <color theme="1"/>
      <name val="Calibri"/>
      <family val="2"/>
      <scheme val="minor"/>
    </font>
    <font>
      <sz val="12"/>
      <color theme="2" tint="-0.249977111117893"/>
      <name val="Calibri"/>
      <family val="2"/>
      <scheme val="minor"/>
    </font>
    <font>
      <sz val="12"/>
      <color theme="2" tint="-9.9978637043366805E-2"/>
      <name val="Calibri"/>
      <family val="2"/>
      <scheme val="minor"/>
    </font>
    <font>
      <sz val="12"/>
      <color theme="1"/>
      <name val="Calibri"/>
      <family val="2"/>
    </font>
    <font>
      <sz val="11"/>
      <color rgb="FF000000"/>
      <name val="Calibri"/>
      <family val="2"/>
      <scheme val="minor"/>
    </font>
    <font>
      <i/>
      <sz val="12"/>
      <color theme="1"/>
      <name val="Calibri"/>
      <family val="2"/>
      <scheme val="minor"/>
    </font>
    <font>
      <sz val="12"/>
      <color theme="1"/>
      <name val="Calibri"/>
      <family val="2"/>
      <scheme val="minor"/>
    </font>
    <font>
      <sz val="12"/>
      <color theme="0" tint="-0.34998626667073579"/>
      <name val="Calibri"/>
      <family val="2"/>
      <scheme val="minor"/>
    </font>
    <font>
      <u/>
      <sz val="12"/>
      <color theme="10"/>
      <name val="Calibri"/>
      <family val="2"/>
      <scheme val="minor"/>
    </font>
    <font>
      <sz val="14"/>
      <color rgb="FF1D1D1D"/>
      <name val="Arial"/>
      <family val="2"/>
    </font>
    <font>
      <b/>
      <sz val="14"/>
      <color rgb="FF1D1D1D"/>
      <name val="Arial"/>
      <family val="2"/>
    </font>
    <font>
      <sz val="15"/>
      <color rgb="FF4A413C"/>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67">
    <xf numFmtId="0" fontId="0" fillId="0" borderId="0" xfId="0"/>
    <xf numFmtId="0" fontId="0" fillId="2" borderId="0" xfId="0" applyFill="1" applyAlignment="1">
      <alignment horizontal="center"/>
    </xf>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2" fontId="0" fillId="0" borderId="0" xfId="0" applyNumberFormat="1" applyAlignment="1">
      <alignment horizontal="center"/>
    </xf>
    <xf numFmtId="3" fontId="1" fillId="0" borderId="0" xfId="0" applyNumberFormat="1" applyFont="1" applyAlignment="1">
      <alignment horizontal="center"/>
    </xf>
    <xf numFmtId="3" fontId="0" fillId="0" borderId="0" xfId="0" applyNumberFormat="1" applyAlignment="1">
      <alignment horizontal="center"/>
    </xf>
    <xf numFmtId="0" fontId="0" fillId="0" borderId="0" xfId="0" applyFill="1" applyAlignment="1">
      <alignment horizontal="center"/>
    </xf>
    <xf numFmtId="0" fontId="2" fillId="0" borderId="0" xfId="0" applyFont="1" applyAlignment="1">
      <alignment horizontal="center"/>
    </xf>
    <xf numFmtId="3" fontId="2" fillId="0" borderId="0" xfId="0" applyNumberFormat="1" applyFont="1" applyAlignment="1">
      <alignment horizontal="center"/>
    </xf>
    <xf numFmtId="2" fontId="2" fillId="0" borderId="0" xfId="0" applyNumberFormat="1" applyFont="1" applyAlignment="1">
      <alignment horizontal="center"/>
    </xf>
    <xf numFmtId="11" fontId="0" fillId="0" borderId="0" xfId="0" applyNumberFormat="1" applyAlignment="1">
      <alignment horizontal="center"/>
    </xf>
    <xf numFmtId="0" fontId="0" fillId="0" borderId="0" xfId="0" applyNumberFormat="1" applyAlignment="1">
      <alignment horizontal="center"/>
    </xf>
    <xf numFmtId="0" fontId="0" fillId="0" borderId="0" xfId="0" applyFill="1" applyAlignment="1"/>
    <xf numFmtId="0" fontId="1" fillId="2" borderId="0" xfId="0" applyFont="1" applyFill="1" applyAlignment="1">
      <alignment horizontal="center"/>
    </xf>
    <xf numFmtId="2" fontId="1" fillId="0" borderId="0" xfId="0" applyNumberFormat="1" applyFont="1" applyAlignment="1">
      <alignment horizontal="center"/>
    </xf>
    <xf numFmtId="0" fontId="3" fillId="0" borderId="0" xfId="0" applyFont="1" applyAlignment="1">
      <alignment horizontal="center"/>
    </xf>
    <xf numFmtId="3" fontId="3" fillId="0" borderId="0" xfId="0" applyNumberFormat="1" applyFont="1" applyAlignment="1">
      <alignment horizontal="center"/>
    </xf>
    <xf numFmtId="0" fontId="3" fillId="0" borderId="0" xfId="0" applyNumberFormat="1" applyFont="1" applyAlignment="1">
      <alignment horizontal="center"/>
    </xf>
    <xf numFmtId="2" fontId="3" fillId="0" borderId="0" xfId="0" applyNumberFormat="1" applyFont="1" applyAlignment="1">
      <alignment horizontal="center"/>
    </xf>
    <xf numFmtId="2" fontId="0" fillId="3" borderId="0" xfId="0" applyNumberFormat="1" applyFont="1" applyFill="1" applyAlignment="1">
      <alignment horizontal="center"/>
    </xf>
    <xf numFmtId="0" fontId="3" fillId="0" borderId="0" xfId="0" applyFont="1" applyFill="1" applyAlignment="1">
      <alignment horizontal="center"/>
    </xf>
    <xf numFmtId="0" fontId="0" fillId="2" borderId="0" xfId="0" applyFill="1" applyAlignment="1">
      <alignment horizontal="center"/>
    </xf>
    <xf numFmtId="0" fontId="0" fillId="0" borderId="0" xfId="0" applyFont="1" applyAlignment="1">
      <alignment horizontal="center"/>
    </xf>
    <xf numFmtId="3" fontId="0" fillId="0" borderId="0" xfId="0" applyNumberFormat="1" applyFont="1" applyAlignment="1">
      <alignment horizontal="center"/>
    </xf>
    <xf numFmtId="0" fontId="0" fillId="0" borderId="0" xfId="0" applyFont="1" applyFill="1" applyAlignment="1">
      <alignment horizontal="center"/>
    </xf>
    <xf numFmtId="2" fontId="0" fillId="0" borderId="0" xfId="0" applyNumberFormat="1" applyFont="1" applyAlignment="1">
      <alignment horizontal="center"/>
    </xf>
    <xf numFmtId="0" fontId="0" fillId="0" borderId="0" xfId="0" applyNumberFormat="1" applyFont="1" applyAlignment="1">
      <alignment horizontal="center"/>
    </xf>
    <xf numFmtId="11" fontId="0" fillId="0" borderId="0" xfId="0" applyNumberFormat="1" applyFont="1" applyAlignment="1">
      <alignment horizontal="center"/>
    </xf>
    <xf numFmtId="164" fontId="0" fillId="0" borderId="0" xfId="0" applyNumberFormat="1" applyFont="1" applyAlignment="1">
      <alignment horizontal="center"/>
    </xf>
    <xf numFmtId="0" fontId="0" fillId="4" borderId="0" xfId="0" applyFont="1" applyFill="1" applyAlignment="1">
      <alignment horizontal="center"/>
    </xf>
    <xf numFmtId="2" fontId="0" fillId="4" borderId="0" xfId="0" applyNumberFormat="1" applyFont="1" applyFill="1" applyAlignment="1">
      <alignment horizontal="center"/>
    </xf>
    <xf numFmtId="0" fontId="5" fillId="0" borderId="0" xfId="0" applyFont="1"/>
    <xf numFmtId="165" fontId="0" fillId="0" borderId="0" xfId="0" applyNumberFormat="1" applyAlignment="1">
      <alignment horizontal="center"/>
    </xf>
    <xf numFmtId="0" fontId="0" fillId="5" borderId="0" xfId="0" applyFill="1" applyAlignment="1">
      <alignment horizontal="center"/>
    </xf>
    <xf numFmtId="0" fontId="6" fillId="0" borderId="0" xfId="0" applyFont="1" applyAlignment="1">
      <alignment horizontal="center"/>
    </xf>
    <xf numFmtId="0" fontId="0" fillId="0" borderId="0" xfId="0" applyAlignment="1">
      <alignment horizontal="centerContinuous"/>
    </xf>
    <xf numFmtId="0" fontId="0" fillId="0" borderId="0" xfId="0" applyFont="1" applyAlignment="1">
      <alignment horizontal="center" wrapText="1"/>
    </xf>
    <xf numFmtId="0" fontId="0" fillId="2" borderId="0" xfId="0" applyFill="1" applyAlignment="1">
      <alignment horizontal="centerContinuous"/>
    </xf>
    <xf numFmtId="0" fontId="0" fillId="2" borderId="0" xfId="0" applyFill="1" applyAlignment="1">
      <alignment horizontal="center"/>
    </xf>
    <xf numFmtId="0" fontId="0" fillId="0" borderId="0" xfId="0" applyAlignment="1">
      <alignment horizontal="left"/>
    </xf>
    <xf numFmtId="0" fontId="0" fillId="2" borderId="0" xfId="0" applyFill="1" applyAlignment="1">
      <alignment horizontal="center"/>
    </xf>
    <xf numFmtId="0" fontId="0" fillId="6" borderId="0" xfId="0" applyFill="1" applyAlignment="1">
      <alignment horizontal="center"/>
    </xf>
    <xf numFmtId="0" fontId="6" fillId="6" borderId="0" xfId="0" applyFont="1" applyFill="1" applyAlignment="1">
      <alignment horizontal="center"/>
    </xf>
    <xf numFmtId="0" fontId="0" fillId="6" borderId="0" xfId="0" applyFill="1" applyAlignment="1">
      <alignment horizontal="centerContinuous"/>
    </xf>
    <xf numFmtId="0" fontId="1" fillId="0" borderId="0" xfId="0" applyFont="1" applyAlignment="1">
      <alignment horizontal="left" wrapText="1"/>
    </xf>
    <xf numFmtId="0" fontId="0" fillId="0" borderId="0" xfId="0" applyAlignment="1">
      <alignment horizontal="left" wrapText="1"/>
    </xf>
    <xf numFmtId="0" fontId="0" fillId="6" borderId="0" xfId="0" applyFill="1" applyAlignment="1">
      <alignment horizontal="left" wrapText="1"/>
    </xf>
    <xf numFmtId="0" fontId="0" fillId="2" borderId="0" xfId="0" applyFill="1" applyAlignment="1">
      <alignment horizontal="left" wrapText="1"/>
    </xf>
    <xf numFmtId="0" fontId="8" fillId="0" borderId="0" xfId="0" applyFont="1" applyAlignment="1">
      <alignment horizontal="center"/>
    </xf>
    <xf numFmtId="9" fontId="0" fillId="0" borderId="0" xfId="0" applyNumberFormat="1" applyAlignment="1">
      <alignment horizontal="center"/>
    </xf>
    <xf numFmtId="0" fontId="9" fillId="0" borderId="0" xfId="2"/>
    <xf numFmtId="1" fontId="0" fillId="0" borderId="0" xfId="0" applyNumberFormat="1" applyAlignment="1">
      <alignment horizontal="center"/>
    </xf>
    <xf numFmtId="0" fontId="10" fillId="0" borderId="0" xfId="0" applyFont="1" applyAlignment="1">
      <alignment horizontal="center"/>
    </xf>
    <xf numFmtId="1" fontId="10" fillId="0" borderId="0" xfId="0" applyNumberFormat="1" applyFont="1" applyAlignment="1">
      <alignment horizontal="center"/>
    </xf>
    <xf numFmtId="10" fontId="10" fillId="0" borderId="0" xfId="0" applyNumberFormat="1" applyFont="1" applyAlignment="1">
      <alignment horizontal="center"/>
    </xf>
    <xf numFmtId="1" fontId="11" fillId="0" borderId="0" xfId="0" applyNumberFormat="1" applyFont="1" applyAlignment="1">
      <alignment horizontal="center"/>
    </xf>
    <xf numFmtId="10" fontId="0" fillId="0" borderId="0" xfId="0" applyNumberFormat="1" applyAlignment="1">
      <alignment horizontal="center"/>
    </xf>
    <xf numFmtId="3" fontId="12" fillId="0" borderId="0" xfId="0" applyNumberFormat="1" applyFont="1"/>
    <xf numFmtId="10" fontId="0" fillId="0" borderId="0" xfId="1" applyNumberFormat="1" applyFont="1" applyAlignment="1">
      <alignment horizontal="center"/>
    </xf>
    <xf numFmtId="166" fontId="0" fillId="0" borderId="0" xfId="1" applyNumberFormat="1" applyFont="1" applyAlignment="1">
      <alignment horizontal="center"/>
    </xf>
    <xf numFmtId="166" fontId="0" fillId="0" borderId="0" xfId="0" applyNumberFormat="1" applyAlignment="1">
      <alignment horizontal="center"/>
    </xf>
    <xf numFmtId="2" fontId="1" fillId="0" borderId="0" xfId="0" applyNumberFormat="1" applyFont="1" applyAlignment="1">
      <alignment horizontal="center" wrapText="1"/>
    </xf>
    <xf numFmtId="167" fontId="0" fillId="0" borderId="0" xfId="0" applyNumberFormat="1" applyAlignment="1">
      <alignment horizontal="center"/>
    </xf>
    <xf numFmtId="0" fontId="0" fillId="2" borderId="0" xfId="0" applyFill="1" applyAlignment="1">
      <alignment horizontal="center"/>
    </xf>
    <xf numFmtId="0" fontId="9" fillId="0" borderId="0" xfId="2" applyAlignment="1">
      <alignment horizontal="centerContinuous"/>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datcp.wi.gov/Documents/NMUpdatePwrPt.pdf" TargetMode="External"/><Relationship Id="rId1" Type="http://schemas.openxmlformats.org/officeDocument/2006/relationships/hyperlink" Target="https://datcp.wi.gov/Pages/Programs_Services/NutrientManagement.asp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indexmundi.com/commodities/?commodity=rock-phosphate&amp;months=6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armlandinfo.org/statistics/wisconsin" TargetMode="External"/><Relationship Id="rId2" Type="http://schemas.openxmlformats.org/officeDocument/2006/relationships/hyperlink" Target="https://quickstats.nass.usda.gov/results/021EA4CD-48DB-33CF-BAA9-C8A2D88A1E06" TargetMode="External"/><Relationship Id="rId1" Type="http://schemas.openxmlformats.org/officeDocument/2006/relationships/hyperlink" Target="https://www.census.gov/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topLeftCell="A10" workbookViewId="0">
      <selection activeCell="H4" sqref="H4:H23"/>
    </sheetView>
  </sheetViews>
  <sheetFormatPr baseColWidth="10" defaultColWidth="10.83203125" defaultRowHeight="16" x14ac:dyDescent="0.2"/>
  <cols>
    <col min="1" max="1" width="22.5" style="3" customWidth="1"/>
    <col min="2" max="3" width="23" style="3" customWidth="1"/>
    <col min="4" max="5" width="19.6640625" style="3" customWidth="1"/>
    <col min="6" max="6" width="23.5" style="3" customWidth="1"/>
    <col min="7" max="7" width="34.33203125" style="3" customWidth="1"/>
    <col min="8" max="8" width="30.33203125" style="3" customWidth="1"/>
    <col min="9" max="9" width="28.1640625" style="3" customWidth="1"/>
    <col min="10" max="10" width="23" style="3" customWidth="1"/>
    <col min="11" max="11" width="10.83203125" style="3"/>
    <col min="12" max="12" width="14.1640625" style="3" customWidth="1"/>
    <col min="13" max="16384" width="10.83203125" style="3"/>
  </cols>
  <sheetData>
    <row r="1" spans="1:13" x14ac:dyDescent="0.2">
      <c r="A1" s="65" t="s">
        <v>155</v>
      </c>
      <c r="B1" s="65"/>
      <c r="C1" s="65"/>
      <c r="D1" s="65"/>
      <c r="E1" s="8"/>
    </row>
    <row r="2" spans="1:13" x14ac:dyDescent="0.2">
      <c r="K2" s="7"/>
    </row>
    <row r="3" spans="1:13" s="4" customFormat="1" x14ac:dyDescent="0.2">
      <c r="A3" s="4" t="s">
        <v>20</v>
      </c>
      <c r="B3" s="6" t="s">
        <v>0</v>
      </c>
      <c r="C3" s="4" t="s">
        <v>23</v>
      </c>
      <c r="D3" s="4" t="s">
        <v>27</v>
      </c>
      <c r="E3" s="4" t="s">
        <v>26</v>
      </c>
      <c r="F3" s="4" t="s">
        <v>1</v>
      </c>
      <c r="G3" s="4" t="s">
        <v>63</v>
      </c>
      <c r="H3" s="4" t="s">
        <v>64</v>
      </c>
      <c r="I3" s="4" t="s">
        <v>65</v>
      </c>
      <c r="J3" s="4" t="s">
        <v>73</v>
      </c>
      <c r="L3" s="4" t="s">
        <v>168</v>
      </c>
    </row>
    <row r="4" spans="1:13" x14ac:dyDescent="0.2">
      <c r="A4" s="3" t="s">
        <v>2</v>
      </c>
      <c r="B4" s="7">
        <v>545240000</v>
      </c>
      <c r="C4" s="3" t="s">
        <v>24</v>
      </c>
      <c r="D4" s="3">
        <v>0.15140000000000001</v>
      </c>
      <c r="E4" s="3" t="s">
        <v>54</v>
      </c>
      <c r="F4" s="7">
        <f>B4*B29/1000</f>
        <v>13849750.288000001</v>
      </c>
      <c r="G4" s="3">
        <f>D4*B39/B29</f>
        <v>2.7035663197014317E-3</v>
      </c>
      <c r="H4" s="5">
        <f>F4*G4</f>
        <v>37443.718414912008</v>
      </c>
      <c r="I4" s="3" t="s">
        <v>31</v>
      </c>
      <c r="J4" s="7">
        <f>3.5*B4</f>
        <v>1908340000</v>
      </c>
      <c r="L4" s="3">
        <f xml:space="preserve"> 3.5/B29*1000</f>
        <v>137.78876588507629</v>
      </c>
    </row>
    <row r="5" spans="1:13" x14ac:dyDescent="0.2">
      <c r="A5" s="3" t="s">
        <v>3</v>
      </c>
      <c r="B5" s="7">
        <v>13400000</v>
      </c>
      <c r="C5" s="3" t="s">
        <v>57</v>
      </c>
      <c r="D5" s="3">
        <v>1.1102000000000001</v>
      </c>
      <c r="E5" s="3" t="s">
        <v>56</v>
      </c>
      <c r="F5" s="7">
        <f>B5*B48/1000</f>
        <v>12156275.516000001</v>
      </c>
      <c r="G5" s="3">
        <f>D5*B39/B48</f>
        <v>5.5509954719917354E-4</v>
      </c>
      <c r="H5" s="5">
        <f t="shared" ref="H5:H23" si="0">F5*G5</f>
        <v>6747.9430345600003</v>
      </c>
      <c r="J5" s="7"/>
      <c r="L5" s="3">
        <f xml:space="preserve"> 3.5*8</f>
        <v>28</v>
      </c>
      <c r="M5" s="3" t="s">
        <v>170</v>
      </c>
    </row>
    <row r="6" spans="1:13" x14ac:dyDescent="0.2">
      <c r="A6" s="3" t="s">
        <v>4</v>
      </c>
      <c r="B6" s="7">
        <v>6479000</v>
      </c>
      <c r="C6" s="3" t="s">
        <v>58</v>
      </c>
      <c r="D6" s="3">
        <v>4.5599999999999996</v>
      </c>
      <c r="E6" s="3" t="s">
        <v>59</v>
      </c>
      <c r="F6" s="7">
        <f>B6*B48/1000</f>
        <v>5877649.9304600004</v>
      </c>
      <c r="G6" s="3">
        <f>D6*B39/B48</f>
        <v>2.2799981401803557E-3</v>
      </c>
      <c r="H6" s="5">
        <f t="shared" si="0"/>
        <v>13401.030910079999</v>
      </c>
      <c r="J6" s="7"/>
      <c r="L6" s="3">
        <v>161.33000000000001</v>
      </c>
      <c r="M6" s="3" t="s">
        <v>169</v>
      </c>
    </row>
    <row r="7" spans="1:13" x14ac:dyDescent="0.2">
      <c r="A7" s="3" t="s">
        <v>5</v>
      </c>
      <c r="B7" s="7">
        <v>105840000</v>
      </c>
      <c r="C7" s="3" t="s">
        <v>24</v>
      </c>
      <c r="D7" s="3">
        <v>0.36280000000000001</v>
      </c>
      <c r="E7" s="3" t="s">
        <v>54</v>
      </c>
      <c r="F7" s="7">
        <f>B7*B30/1000</f>
        <v>2878848</v>
      </c>
      <c r="G7" s="3">
        <f>D7*B39/B30</f>
        <v>6.0501168235294117E-3</v>
      </c>
      <c r="H7" s="5">
        <f t="shared" si="0"/>
        <v>17417.366717183999</v>
      </c>
      <c r="I7" s="3" t="s">
        <v>32</v>
      </c>
      <c r="J7" s="7">
        <f>8.6*B7</f>
        <v>910224000</v>
      </c>
      <c r="L7" s="3">
        <f xml:space="preserve"> 8.6/B30*1000</f>
        <v>316.1764705882353</v>
      </c>
    </row>
    <row r="8" spans="1:13" x14ac:dyDescent="0.2">
      <c r="A8" s="3" t="s">
        <v>6</v>
      </c>
      <c r="B8" s="7">
        <v>28400000</v>
      </c>
      <c r="C8" s="3" t="s">
        <v>25</v>
      </c>
      <c r="D8" s="3">
        <v>5.6300000000000003E-2</v>
      </c>
      <c r="E8" s="3" t="s">
        <v>60</v>
      </c>
      <c r="F8" s="7">
        <f>B8*B36/1000</f>
        <v>1288202.3307999999</v>
      </c>
      <c r="G8" s="3">
        <f>D8*B39/B36</f>
        <v>5.6299954075506172E-4</v>
      </c>
      <c r="H8" s="5">
        <f t="shared" si="0"/>
        <v>725.25732063999999</v>
      </c>
      <c r="I8" s="3" t="s">
        <v>33</v>
      </c>
      <c r="J8" s="7">
        <f>12*B8</f>
        <v>340800000</v>
      </c>
      <c r="L8" s="3">
        <f xml:space="preserve"> 12/B36*1000</f>
        <v>264.55471462185307</v>
      </c>
    </row>
    <row r="9" spans="1:13" x14ac:dyDescent="0.2">
      <c r="A9" s="3" t="s">
        <v>7</v>
      </c>
      <c r="B9" s="7">
        <v>14200000</v>
      </c>
      <c r="C9" s="3" t="s">
        <v>24</v>
      </c>
      <c r="D9" s="3">
        <v>0.1986</v>
      </c>
      <c r="E9" s="3" t="s">
        <v>54</v>
      </c>
      <c r="F9" s="7">
        <f>B9*B31/1000</f>
        <v>386460.1</v>
      </c>
      <c r="G9" s="3">
        <f>D9*B39/B31</f>
        <v>3.3100024324373978E-3</v>
      </c>
      <c r="H9" s="5">
        <f t="shared" si="0"/>
        <v>1279.18387104</v>
      </c>
      <c r="I9" s="3" t="s">
        <v>34</v>
      </c>
      <c r="J9" s="7">
        <f>4.5*B9</f>
        <v>63900000</v>
      </c>
      <c r="L9" s="3">
        <f xml:space="preserve"> 4.5/B31*1000</f>
        <v>165.34695302309348</v>
      </c>
    </row>
    <row r="10" spans="1:13" x14ac:dyDescent="0.2">
      <c r="A10" s="3" t="s">
        <v>8</v>
      </c>
      <c r="B10" s="7">
        <v>6600000</v>
      </c>
      <c r="C10" s="3" t="s">
        <v>25</v>
      </c>
      <c r="D10" s="3">
        <v>0.47839999999999999</v>
      </c>
      <c r="E10" s="3" t="s">
        <v>60</v>
      </c>
      <c r="F10" s="7">
        <f>B10*B36/1000</f>
        <v>299370.96419999999</v>
      </c>
      <c r="G10" s="3">
        <f>D10*B39/B36</f>
        <v>4.7839960976415888E-3</v>
      </c>
      <c r="H10" s="5">
        <f t="shared" si="0"/>
        <v>1432.1895244799998</v>
      </c>
      <c r="I10" s="3" t="s">
        <v>74</v>
      </c>
      <c r="J10" s="7">
        <f>7.55*B10</f>
        <v>49830000</v>
      </c>
      <c r="L10" s="3">
        <f xml:space="preserve"> 7.55/B36*1000</f>
        <v>166.44900794958255</v>
      </c>
    </row>
    <row r="11" spans="1:13" x14ac:dyDescent="0.2">
      <c r="A11" s="3" t="s">
        <v>9</v>
      </c>
      <c r="B11" s="7">
        <v>9588000</v>
      </c>
      <c r="C11" s="3" t="s">
        <v>25</v>
      </c>
      <c r="D11" s="3">
        <v>3.5000000000000001E-3</v>
      </c>
      <c r="E11" s="3" t="s">
        <v>55</v>
      </c>
      <c r="F11" s="7">
        <f>B11*B36/1000</f>
        <v>434904.36435600003</v>
      </c>
      <c r="G11" s="3">
        <f>D11</f>
        <v>3.5000000000000001E-3</v>
      </c>
      <c r="H11" s="5">
        <f t="shared" si="0"/>
        <v>1522.1652752460002</v>
      </c>
      <c r="I11" s="3" t="s">
        <v>75</v>
      </c>
      <c r="J11" s="7">
        <f>4.19*B11</f>
        <v>40173720.000000007</v>
      </c>
      <c r="L11" s="3">
        <f xml:space="preserve"> 4.19/B36*1000</f>
        <v>92.373687855463714</v>
      </c>
    </row>
    <row r="12" spans="1:13" s="9" customFormat="1" x14ac:dyDescent="0.2">
      <c r="A12" s="9" t="s">
        <v>10</v>
      </c>
      <c r="B12" s="10">
        <v>5490000</v>
      </c>
      <c r="C12" s="9" t="s">
        <v>24</v>
      </c>
      <c r="D12" s="9">
        <v>0.10920000000000001</v>
      </c>
      <c r="E12" s="9" t="s">
        <v>54</v>
      </c>
      <c r="F12" s="10">
        <f>B12*B32/1000</f>
        <v>79687.350000000006</v>
      </c>
      <c r="G12" s="9">
        <f>D12*B39/B32</f>
        <v>3.4124868343093349E-3</v>
      </c>
      <c r="H12" s="11">
        <f t="shared" si="0"/>
        <v>271.932032736</v>
      </c>
      <c r="I12" s="9" t="s">
        <v>35</v>
      </c>
      <c r="J12" s="10">
        <f>2.7*B12</f>
        <v>14823000.000000002</v>
      </c>
    </row>
    <row r="13" spans="1:13" s="9" customFormat="1" x14ac:dyDescent="0.2">
      <c r="A13" s="9" t="s">
        <v>11</v>
      </c>
      <c r="B13" s="10">
        <v>612000</v>
      </c>
      <c r="C13" s="9" t="s">
        <v>25</v>
      </c>
      <c r="D13" s="9">
        <v>2.0000000000000001E-4</v>
      </c>
      <c r="E13" s="9" t="s">
        <v>55</v>
      </c>
      <c r="F13" s="10">
        <f>B13*B36/1000</f>
        <v>27759.853043999999</v>
      </c>
      <c r="G13" s="9">
        <f>D13</f>
        <v>2.0000000000000001E-4</v>
      </c>
      <c r="H13" s="11">
        <f t="shared" si="0"/>
        <v>5.5519706088000005</v>
      </c>
      <c r="I13" s="9" t="s">
        <v>36</v>
      </c>
      <c r="J13" s="10">
        <f>21.4*B13</f>
        <v>13096800</v>
      </c>
    </row>
    <row r="14" spans="1:13" s="9" customFormat="1" x14ac:dyDescent="0.2">
      <c r="A14" s="9" t="s">
        <v>12</v>
      </c>
      <c r="B14" s="10">
        <v>978600</v>
      </c>
      <c r="C14" s="9" t="s">
        <v>25</v>
      </c>
      <c r="D14" s="9">
        <v>4.4000000000000003E-3</v>
      </c>
      <c r="E14" s="9" t="s">
        <v>55</v>
      </c>
      <c r="F14" s="10">
        <f>B14*B36/1000</f>
        <v>44388.549328199995</v>
      </c>
      <c r="G14" s="9">
        <f>D14</f>
        <v>4.4000000000000003E-3</v>
      </c>
      <c r="H14" s="11">
        <f t="shared" si="0"/>
        <v>195.30961704408</v>
      </c>
      <c r="I14" s="9" t="s">
        <v>37</v>
      </c>
      <c r="J14" s="10">
        <f>12.1*B14</f>
        <v>11841060</v>
      </c>
    </row>
    <row r="15" spans="1:13" s="9" customFormat="1" x14ac:dyDescent="0.2">
      <c r="A15" s="9" t="s">
        <v>13</v>
      </c>
      <c r="B15" s="10">
        <v>1336500</v>
      </c>
      <c r="C15" s="9" t="s">
        <v>25</v>
      </c>
      <c r="D15" s="9">
        <v>2.9999999999999997E-4</v>
      </c>
      <c r="E15" s="9" t="s">
        <v>55</v>
      </c>
      <c r="F15" s="10">
        <f>B15*B36/1000</f>
        <v>60622.620250500004</v>
      </c>
      <c r="G15" s="9">
        <f>D15</f>
        <v>2.9999999999999997E-4</v>
      </c>
      <c r="H15" s="11">
        <f t="shared" si="0"/>
        <v>18.18678607515</v>
      </c>
      <c r="I15" s="9" t="s">
        <v>38</v>
      </c>
      <c r="J15" s="10">
        <f>8*B15</f>
        <v>10692000</v>
      </c>
    </row>
    <row r="16" spans="1:13" s="9" customFormat="1" x14ac:dyDescent="0.2">
      <c r="A16" s="9" t="s">
        <v>14</v>
      </c>
      <c r="B16" s="10">
        <v>1720000</v>
      </c>
      <c r="C16" s="9" t="s">
        <v>25</v>
      </c>
      <c r="D16" s="9">
        <v>4.0000000000000002E-4</v>
      </c>
      <c r="E16" s="9" t="s">
        <v>55</v>
      </c>
      <c r="F16" s="10">
        <f>B16*B36/1000</f>
        <v>78017.887640000001</v>
      </c>
      <c r="G16" s="9">
        <f>D16</f>
        <v>4.0000000000000002E-4</v>
      </c>
      <c r="H16" s="11">
        <f t="shared" si="0"/>
        <v>31.207155056000001</v>
      </c>
      <c r="I16" s="9" t="s">
        <v>39</v>
      </c>
      <c r="J16" s="10">
        <f>4.14*B16</f>
        <v>7120799.9999999991</v>
      </c>
    </row>
    <row r="17" spans="1:10" s="9" customFormat="1" x14ac:dyDescent="0.2">
      <c r="A17" s="9" t="s">
        <v>15</v>
      </c>
      <c r="B17" s="10">
        <v>244200</v>
      </c>
      <c r="C17" s="9" t="s">
        <v>25</v>
      </c>
      <c r="D17" s="9">
        <v>4.0000000000000002E-4</v>
      </c>
      <c r="E17" s="9" t="s">
        <v>55</v>
      </c>
      <c r="F17" s="10">
        <f>B17*B36/1000</f>
        <v>11076.725675400001</v>
      </c>
      <c r="G17" s="9">
        <f>D17</f>
        <v>4.0000000000000002E-4</v>
      </c>
      <c r="H17" s="11">
        <f t="shared" si="0"/>
        <v>4.4306902701600004</v>
      </c>
      <c r="I17" s="9" t="s">
        <v>40</v>
      </c>
      <c r="J17" s="10">
        <f>13*B17</f>
        <v>3174600</v>
      </c>
    </row>
    <row r="18" spans="1:10" s="9" customFormat="1" x14ac:dyDescent="0.2">
      <c r="A18" s="9" t="s">
        <v>16</v>
      </c>
      <c r="B18" s="10">
        <v>450000</v>
      </c>
      <c r="C18" s="9" t="s">
        <v>24</v>
      </c>
      <c r="D18" s="9">
        <v>0.1457</v>
      </c>
      <c r="E18" s="9" t="s">
        <v>54</v>
      </c>
      <c r="F18" s="10">
        <f>B18*B33/1000</f>
        <v>9797.58</v>
      </c>
      <c r="G18" s="9">
        <f>D18*B39/B33</f>
        <v>3.0354188973195418E-3</v>
      </c>
      <c r="H18" s="11">
        <f t="shared" si="0"/>
        <v>29.739759479999996</v>
      </c>
      <c r="I18" s="9" t="s">
        <v>41</v>
      </c>
      <c r="J18" s="10">
        <f>4*B18</f>
        <v>1800000</v>
      </c>
    </row>
    <row r="19" spans="1:10" s="9" customFormat="1" x14ac:dyDescent="0.2">
      <c r="A19" s="9" t="s">
        <v>17</v>
      </c>
      <c r="B19" s="10">
        <v>10200000</v>
      </c>
      <c r="C19" s="9" t="s">
        <v>28</v>
      </c>
      <c r="D19" s="9">
        <v>2.0000000000000001E-4</v>
      </c>
      <c r="E19" s="9" t="s">
        <v>55</v>
      </c>
      <c r="F19" s="10">
        <f>B19*B39/1000</f>
        <v>4626.6384000000007</v>
      </c>
      <c r="G19" s="9">
        <f>D19</f>
        <v>2.0000000000000001E-4</v>
      </c>
      <c r="H19" s="11">
        <f t="shared" si="0"/>
        <v>0.92532768000000021</v>
      </c>
      <c r="I19" s="9" t="s">
        <v>77</v>
      </c>
      <c r="J19" s="10">
        <f>0.224*B19</f>
        <v>2284800</v>
      </c>
    </row>
    <row r="20" spans="1:10" s="9" customFormat="1" x14ac:dyDescent="0.2">
      <c r="A20" s="9" t="s">
        <v>18</v>
      </c>
      <c r="B20" s="10">
        <v>5500000</v>
      </c>
      <c r="C20" s="9" t="s">
        <v>29</v>
      </c>
      <c r="D20" s="9">
        <v>1E-4</v>
      </c>
      <c r="E20" s="9" t="s">
        <v>55</v>
      </c>
      <c r="F20" s="10">
        <f>B20*B42/1000</f>
        <v>249700</v>
      </c>
      <c r="G20" s="9">
        <f>D20</f>
        <v>1E-4</v>
      </c>
      <c r="H20" s="11">
        <f t="shared" si="0"/>
        <v>24.970000000000002</v>
      </c>
      <c r="I20" s="9" t="s">
        <v>76</v>
      </c>
      <c r="J20" s="10">
        <f>29.2*B20</f>
        <v>160600000</v>
      </c>
    </row>
    <row r="21" spans="1:10" s="9" customFormat="1" x14ac:dyDescent="0.2">
      <c r="A21" s="9" t="s">
        <v>19</v>
      </c>
      <c r="B21" s="10">
        <v>225000</v>
      </c>
      <c r="C21" s="9" t="s">
        <v>30</v>
      </c>
      <c r="D21" s="9">
        <v>4.5</v>
      </c>
      <c r="E21" s="9" t="s">
        <v>61</v>
      </c>
      <c r="F21" s="10">
        <f>B21*C45/1000</f>
        <v>1166.853249</v>
      </c>
      <c r="G21" s="9">
        <f>D21/1000/1.37</f>
        <v>3.284671532846715E-3</v>
      </c>
      <c r="H21" s="11">
        <f>F21*G21</f>
        <v>3.8327296499999997</v>
      </c>
      <c r="I21" s="9" t="s">
        <v>78</v>
      </c>
      <c r="J21" s="10">
        <f>31.4*B21</f>
        <v>7065000</v>
      </c>
    </row>
    <row r="22" spans="1:10" s="9" customFormat="1" x14ac:dyDescent="0.2">
      <c r="A22" s="9" t="s">
        <v>21</v>
      </c>
      <c r="B22" s="10">
        <v>51600000</v>
      </c>
      <c r="C22" s="9" t="s">
        <v>28</v>
      </c>
      <c r="D22" s="9">
        <v>1E-4</v>
      </c>
      <c r="E22" s="9" t="s">
        <v>55</v>
      </c>
      <c r="F22" s="10">
        <f>B22*B39/1000</f>
        <v>23405.3472</v>
      </c>
      <c r="G22" s="9">
        <f>D22</f>
        <v>1E-4</v>
      </c>
      <c r="H22" s="11">
        <f t="shared" si="0"/>
        <v>2.34053472</v>
      </c>
      <c r="I22" s="9" t="s">
        <v>79</v>
      </c>
      <c r="J22" s="10">
        <f>0.549*B22</f>
        <v>28328400.000000004</v>
      </c>
    </row>
    <row r="23" spans="1:10" s="9" customFormat="1" x14ac:dyDescent="0.2">
      <c r="A23" s="9" t="s">
        <v>22</v>
      </c>
      <c r="B23" s="10">
        <v>171000</v>
      </c>
      <c r="C23" s="9" t="s">
        <v>28</v>
      </c>
      <c r="D23" s="9">
        <v>3.8601000000000001</v>
      </c>
      <c r="E23" s="9" t="s">
        <v>62</v>
      </c>
      <c r="F23" s="10">
        <f>B23*B39/1000</f>
        <v>77.564232000000004</v>
      </c>
      <c r="G23" s="9">
        <f>D23*B39/B48</f>
        <v>1.9300484256382002E-3</v>
      </c>
      <c r="H23" s="11">
        <f t="shared" si="0"/>
        <v>0.1497027238574361</v>
      </c>
      <c r="I23" s="9" t="s">
        <v>80</v>
      </c>
      <c r="J23" s="10"/>
    </row>
    <row r="27" spans="1:10" x14ac:dyDescent="0.2">
      <c r="A27" s="1" t="s">
        <v>42</v>
      </c>
    </row>
    <row r="28" spans="1:10" x14ac:dyDescent="0.2">
      <c r="A28" s="4" t="s">
        <v>24</v>
      </c>
      <c r="B28" s="4" t="s">
        <v>45</v>
      </c>
      <c r="C28" s="4" t="s">
        <v>44</v>
      </c>
    </row>
    <row r="29" spans="1:10" x14ac:dyDescent="0.2">
      <c r="A29" s="3">
        <v>1</v>
      </c>
      <c r="B29" s="3">
        <v>25.401199999999999</v>
      </c>
      <c r="C29" s="3" t="s">
        <v>43</v>
      </c>
    </row>
    <row r="30" spans="1:10" x14ac:dyDescent="0.2">
      <c r="A30" s="3">
        <v>1</v>
      </c>
      <c r="B30" s="3">
        <v>27.2</v>
      </c>
      <c r="C30" s="3" t="s">
        <v>5</v>
      </c>
    </row>
    <row r="31" spans="1:10" x14ac:dyDescent="0.2">
      <c r="A31" s="3">
        <v>1</v>
      </c>
      <c r="B31" s="3">
        <v>27.215499999999999</v>
      </c>
      <c r="C31" s="3" t="s">
        <v>46</v>
      </c>
    </row>
    <row r="32" spans="1:10" x14ac:dyDescent="0.2">
      <c r="A32" s="3">
        <v>1</v>
      </c>
      <c r="B32" s="3">
        <v>14.515000000000001</v>
      </c>
      <c r="C32" s="3" t="s">
        <v>47</v>
      </c>
    </row>
    <row r="33" spans="1:4" x14ac:dyDescent="0.2">
      <c r="A33" s="3">
        <v>1</v>
      </c>
      <c r="B33" s="3">
        <v>21.772400000000001</v>
      </c>
      <c r="C33" s="3" t="s">
        <v>16</v>
      </c>
    </row>
    <row r="35" spans="1:4" x14ac:dyDescent="0.2">
      <c r="A35" s="4" t="s">
        <v>25</v>
      </c>
      <c r="B35" s="4" t="s">
        <v>45</v>
      </c>
    </row>
    <row r="36" spans="1:4" x14ac:dyDescent="0.2">
      <c r="A36" s="3">
        <v>1</v>
      </c>
      <c r="B36" s="3">
        <v>45.359237</v>
      </c>
    </row>
    <row r="38" spans="1:4" x14ac:dyDescent="0.2">
      <c r="A38" s="4" t="s">
        <v>48</v>
      </c>
      <c r="B38" s="4" t="s">
        <v>45</v>
      </c>
    </row>
    <row r="39" spans="1:4" x14ac:dyDescent="0.2">
      <c r="A39" s="3">
        <v>1</v>
      </c>
      <c r="B39" s="3">
        <v>0.453592</v>
      </c>
    </row>
    <row r="41" spans="1:4" x14ac:dyDescent="0.2">
      <c r="A41" s="4" t="s">
        <v>49</v>
      </c>
      <c r="B41" s="4" t="s">
        <v>45</v>
      </c>
      <c r="C41" s="4" t="s">
        <v>44</v>
      </c>
    </row>
    <row r="42" spans="1:4" x14ac:dyDescent="0.2">
      <c r="A42" s="3">
        <v>1</v>
      </c>
      <c r="B42" s="3">
        <v>45.4</v>
      </c>
      <c r="C42" s="3" t="s">
        <v>50</v>
      </c>
    </row>
    <row r="44" spans="1:4" x14ac:dyDescent="0.2">
      <c r="A44" s="4" t="s">
        <v>51</v>
      </c>
      <c r="B44" s="4" t="s">
        <v>52</v>
      </c>
      <c r="C44" s="4" t="s">
        <v>45</v>
      </c>
      <c r="D44" s="4" t="s">
        <v>44</v>
      </c>
    </row>
    <row r="45" spans="1:4" x14ac:dyDescent="0.2">
      <c r="A45" s="3">
        <v>1</v>
      </c>
      <c r="B45" s="3">
        <v>3.785412</v>
      </c>
      <c r="C45" s="3">
        <f>B45*1.37</f>
        <v>5.1860144400000001</v>
      </c>
      <c r="D45" s="3" t="s">
        <v>53</v>
      </c>
    </row>
    <row r="47" spans="1:4" x14ac:dyDescent="0.2">
      <c r="A47" s="4" t="s">
        <v>57</v>
      </c>
      <c r="B47" s="4" t="s">
        <v>45</v>
      </c>
    </row>
    <row r="48" spans="1:4" x14ac:dyDescent="0.2">
      <c r="A48" s="3">
        <v>1</v>
      </c>
      <c r="B48" s="3">
        <v>907.18474000000003</v>
      </c>
    </row>
  </sheetData>
  <mergeCells count="1">
    <mergeCell ref="A1:D1"/>
  </mergeCells>
  <pageMargins left="0.7" right="0.7" top="0.75" bottom="0.75" header="0.3" footer="0.3"/>
  <pageSetup orientation="portrait" horizontalDpi="0" verticalDpi="0"/>
  <ignoredErrors>
    <ignoredError sqref="G12 G18 G2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FAC09-8D15-1C41-B183-EBB1C82016A0}">
  <dimension ref="A1:L48"/>
  <sheetViews>
    <sheetView workbookViewId="0">
      <selection activeCell="G21" sqref="G21"/>
    </sheetView>
  </sheetViews>
  <sheetFormatPr baseColWidth="10" defaultColWidth="10.83203125" defaultRowHeight="16" x14ac:dyDescent="0.2"/>
  <cols>
    <col min="1" max="1" width="22.5" style="3" customWidth="1"/>
    <col min="2" max="3" width="23" style="3" customWidth="1"/>
    <col min="4" max="5" width="19.6640625" style="3" customWidth="1"/>
    <col min="6" max="7" width="42.83203125" style="3" customWidth="1"/>
    <col min="8" max="8" width="34.33203125" style="3" customWidth="1"/>
    <col min="9" max="9" width="30.33203125" style="3" customWidth="1"/>
    <col min="10" max="10" width="28.1640625" style="3" customWidth="1"/>
    <col min="11" max="11" width="23" style="3" customWidth="1"/>
    <col min="12" max="12" width="10.83203125" style="3"/>
    <col min="13" max="13" width="14.1640625" style="3" customWidth="1"/>
    <col min="14" max="16384" width="10.83203125" style="3"/>
  </cols>
  <sheetData>
    <row r="1" spans="1:12" x14ac:dyDescent="0.2">
      <c r="A1" s="65" t="s">
        <v>155</v>
      </c>
      <c r="B1" s="65"/>
      <c r="C1" s="65"/>
      <c r="D1" s="65"/>
      <c r="E1" s="8"/>
    </row>
    <row r="2" spans="1:12" x14ac:dyDescent="0.2">
      <c r="L2" s="7"/>
    </row>
    <row r="3" spans="1:12" s="4" customFormat="1" x14ac:dyDescent="0.2">
      <c r="A3" s="4" t="s">
        <v>20</v>
      </c>
      <c r="B3" s="6" t="s">
        <v>0</v>
      </c>
      <c r="C3" s="4" t="s">
        <v>23</v>
      </c>
      <c r="D3" s="4" t="s">
        <v>438</v>
      </c>
      <c r="E3" s="4" t="s">
        <v>439</v>
      </c>
      <c r="F3" s="4" t="s">
        <v>440</v>
      </c>
      <c r="H3" s="4" t="s">
        <v>441</v>
      </c>
    </row>
    <row r="4" spans="1:12" x14ac:dyDescent="0.2">
      <c r="A4" s="3" t="s">
        <v>2</v>
      </c>
      <c r="B4" s="7">
        <v>545240000</v>
      </c>
      <c r="C4" s="3" t="s">
        <v>24</v>
      </c>
      <c r="D4" s="3">
        <v>3170000</v>
      </c>
      <c r="E4" s="3">
        <f>B4/D4</f>
        <v>172</v>
      </c>
      <c r="F4" s="7">
        <v>70</v>
      </c>
      <c r="G4" s="12">
        <f>F4*0.44*$B$39/1000</f>
        <v>1.3970633599999999E-2</v>
      </c>
      <c r="H4" s="3">
        <f>F4*D4*$B$39*0.44/1000</f>
        <v>44286.908512000002</v>
      </c>
      <c r="I4" s="5"/>
      <c r="K4" s="7"/>
    </row>
    <row r="5" spans="1:12" x14ac:dyDescent="0.2">
      <c r="A5" s="3" t="s">
        <v>3</v>
      </c>
      <c r="B5" s="7">
        <v>13400000</v>
      </c>
      <c r="C5" s="3" t="s">
        <v>57</v>
      </c>
      <c r="D5" s="3">
        <v>670000</v>
      </c>
      <c r="E5" s="3">
        <f>B5/D5</f>
        <v>20</v>
      </c>
      <c r="F5" s="7">
        <v>80</v>
      </c>
      <c r="G5" s="12">
        <f t="shared" ref="G5:G11" si="0">F5*0.44*$B$39/1000</f>
        <v>1.5966438400000001E-2</v>
      </c>
      <c r="H5" s="3">
        <f t="shared" ref="H5:H18" si="1">F5*D5*$B$39*0.44/1000</f>
        <v>10697.513728</v>
      </c>
      <c r="I5" s="5"/>
      <c r="K5" s="7"/>
    </row>
    <row r="6" spans="1:12" x14ac:dyDescent="0.2">
      <c r="A6" s="3" t="s">
        <v>4</v>
      </c>
      <c r="B6" s="7">
        <v>6479000</v>
      </c>
      <c r="C6" s="3" t="s">
        <v>58</v>
      </c>
      <c r="D6" s="3">
        <v>2210000</v>
      </c>
      <c r="E6" s="3">
        <f>B6/D6</f>
        <v>2.9316742081447962</v>
      </c>
      <c r="F6" s="7">
        <v>40</v>
      </c>
      <c r="G6" s="12">
        <f t="shared" si="0"/>
        <v>7.9832192000000007E-3</v>
      </c>
      <c r="H6" s="3">
        <f t="shared" si="1"/>
        <v>17642.914432000001</v>
      </c>
      <c r="I6" s="5"/>
      <c r="K6" s="7"/>
    </row>
    <row r="7" spans="1:12" x14ac:dyDescent="0.2">
      <c r="A7" s="3" t="s">
        <v>5</v>
      </c>
      <c r="B7" s="7">
        <v>105840000</v>
      </c>
      <c r="C7" s="3" t="s">
        <v>24</v>
      </c>
      <c r="D7" s="3">
        <v>2200000</v>
      </c>
      <c r="E7" s="3">
        <f t="shared" ref="E7:E18" si="2">B7/D7</f>
        <v>48.109090909090909</v>
      </c>
      <c r="F7" s="7">
        <v>55</v>
      </c>
      <c r="G7" s="12">
        <f t="shared" si="0"/>
        <v>1.09769264E-2</v>
      </c>
      <c r="H7" s="3">
        <f t="shared" si="1"/>
        <v>24149.238080000003</v>
      </c>
      <c r="I7" s="5"/>
      <c r="K7" s="7"/>
    </row>
    <row r="8" spans="1:12" x14ac:dyDescent="0.2">
      <c r="A8" s="3" t="s">
        <v>6</v>
      </c>
      <c r="B8" s="7">
        <v>28400000</v>
      </c>
      <c r="C8" s="3" t="s">
        <v>25</v>
      </c>
      <c r="D8" s="3">
        <v>72000</v>
      </c>
      <c r="E8" s="3">
        <f t="shared" si="2"/>
        <v>394.44444444444446</v>
      </c>
      <c r="F8" s="7">
        <v>80</v>
      </c>
      <c r="G8" s="12">
        <f t="shared" si="0"/>
        <v>1.5966438400000001E-2</v>
      </c>
      <c r="H8" s="3">
        <f t="shared" si="1"/>
        <v>1149.5835648</v>
      </c>
      <c r="I8" s="5"/>
      <c r="K8" s="7"/>
    </row>
    <row r="9" spans="1:12" x14ac:dyDescent="0.2">
      <c r="A9" s="3" t="s">
        <v>7</v>
      </c>
      <c r="B9" s="7">
        <v>14200000</v>
      </c>
      <c r="C9" s="3" t="s">
        <v>24</v>
      </c>
      <c r="D9" s="3">
        <v>240000</v>
      </c>
      <c r="E9" s="3">
        <f t="shared" si="2"/>
        <v>59.166666666666664</v>
      </c>
      <c r="F9" s="7">
        <v>35</v>
      </c>
      <c r="G9" s="12">
        <f t="shared" si="0"/>
        <v>6.9853167999999995E-3</v>
      </c>
      <c r="H9" s="3">
        <f t="shared" si="1"/>
        <v>1676.4760319999998</v>
      </c>
      <c r="I9" s="5"/>
      <c r="K9" s="7"/>
    </row>
    <row r="10" spans="1:12" x14ac:dyDescent="0.2">
      <c r="A10" s="3" t="s">
        <v>8</v>
      </c>
      <c r="B10" s="7">
        <v>6600000</v>
      </c>
      <c r="C10" s="3" t="s">
        <v>25</v>
      </c>
      <c r="D10" s="3">
        <v>70000</v>
      </c>
      <c r="E10" s="3">
        <f t="shared" si="2"/>
        <v>94.285714285714292</v>
      </c>
      <c r="F10" s="7">
        <v>20</v>
      </c>
      <c r="G10" s="12">
        <f t="shared" si="0"/>
        <v>3.9916096000000003E-3</v>
      </c>
      <c r="H10" s="3">
        <f t="shared" si="1"/>
        <v>279.41267200000004</v>
      </c>
      <c r="I10" s="5"/>
      <c r="K10" s="7"/>
    </row>
    <row r="11" spans="1:12" x14ac:dyDescent="0.2">
      <c r="A11" s="3" t="s">
        <v>9</v>
      </c>
      <c r="B11" s="7">
        <v>9588000</v>
      </c>
      <c r="C11" s="3" t="s">
        <v>25</v>
      </c>
      <c r="D11" s="3">
        <v>59300</v>
      </c>
      <c r="E11" s="3">
        <f t="shared" si="2"/>
        <v>161.68634064080945</v>
      </c>
      <c r="F11" s="7">
        <v>25</v>
      </c>
      <c r="G11" s="12">
        <f t="shared" si="0"/>
        <v>4.9895119999999998E-3</v>
      </c>
      <c r="H11" s="3">
        <f t="shared" si="1"/>
        <v>295.87806160000002</v>
      </c>
      <c r="I11" s="5"/>
      <c r="K11" s="7"/>
    </row>
    <row r="12" spans="1:12" s="9" customFormat="1" x14ac:dyDescent="0.2">
      <c r="A12" s="9" t="s">
        <v>10</v>
      </c>
      <c r="B12" s="10">
        <v>5490000</v>
      </c>
      <c r="C12" s="9" t="s">
        <v>24</v>
      </c>
      <c r="D12" s="9">
        <v>90000</v>
      </c>
      <c r="E12" s="50">
        <f t="shared" si="2"/>
        <v>61</v>
      </c>
      <c r="F12" s="10">
        <v>15</v>
      </c>
      <c r="G12" s="10"/>
      <c r="H12" s="50">
        <f t="shared" si="1"/>
        <v>269.43364800000001</v>
      </c>
      <c r="I12" s="11"/>
      <c r="K12" s="10"/>
    </row>
    <row r="13" spans="1:12" s="9" customFormat="1" x14ac:dyDescent="0.2">
      <c r="A13" s="9" t="s">
        <v>11</v>
      </c>
      <c r="B13" s="10">
        <v>612000</v>
      </c>
      <c r="C13" s="9" t="s">
        <v>25</v>
      </c>
      <c r="D13" s="9">
        <v>5100</v>
      </c>
      <c r="E13" s="50">
        <f t="shared" si="2"/>
        <v>120</v>
      </c>
      <c r="F13" s="10">
        <v>10</v>
      </c>
      <c r="G13" s="10"/>
      <c r="H13" s="50">
        <f t="shared" si="1"/>
        <v>10.178604480000001</v>
      </c>
      <c r="I13" s="11"/>
      <c r="K13" s="10"/>
    </row>
    <row r="14" spans="1:12" s="9" customFormat="1" x14ac:dyDescent="0.2">
      <c r="A14" s="9" t="s">
        <v>12</v>
      </c>
      <c r="B14" s="10">
        <v>978600</v>
      </c>
      <c r="C14" s="9" t="s">
        <v>25</v>
      </c>
      <c r="D14" s="9">
        <v>24900</v>
      </c>
      <c r="E14" s="50">
        <f t="shared" si="2"/>
        <v>39.30120481927711</v>
      </c>
      <c r="F14" s="10">
        <v>15</v>
      </c>
      <c r="G14" s="10"/>
      <c r="H14" s="50">
        <f t="shared" si="1"/>
        <v>74.543309280000003</v>
      </c>
      <c r="I14" s="11"/>
      <c r="K14" s="10"/>
    </row>
    <row r="15" spans="1:12" s="9" customFormat="1" x14ac:dyDescent="0.2">
      <c r="A15" s="9" t="s">
        <v>13</v>
      </c>
      <c r="B15" s="10">
        <v>1336500</v>
      </c>
      <c r="C15" s="9" t="s">
        <v>25</v>
      </c>
      <c r="D15" s="9">
        <v>3400</v>
      </c>
      <c r="E15" s="50">
        <f t="shared" si="2"/>
        <v>393.08823529411762</v>
      </c>
      <c r="F15" s="10">
        <v>25</v>
      </c>
      <c r="G15" s="10"/>
      <c r="H15" s="50">
        <f t="shared" si="1"/>
        <v>16.964340800000002</v>
      </c>
      <c r="I15" s="11"/>
      <c r="K15" s="10"/>
    </row>
    <row r="16" spans="1:12" s="9" customFormat="1" x14ac:dyDescent="0.2">
      <c r="A16" s="9" t="s">
        <v>14</v>
      </c>
      <c r="B16" s="10">
        <v>1720000</v>
      </c>
      <c r="C16" s="9" t="s">
        <v>25</v>
      </c>
      <c r="D16" s="9">
        <v>4100</v>
      </c>
      <c r="E16" s="50">
        <f t="shared" si="2"/>
        <v>419.51219512195121</v>
      </c>
      <c r="F16" s="10">
        <v>45</v>
      </c>
      <c r="G16" s="10"/>
      <c r="H16" s="50">
        <f t="shared" si="1"/>
        <v>36.822598559999996</v>
      </c>
      <c r="I16" s="11"/>
      <c r="K16" s="10"/>
    </row>
    <row r="17" spans="1:11" s="9" customFormat="1" x14ac:dyDescent="0.2">
      <c r="A17" s="9" t="s">
        <v>15</v>
      </c>
      <c r="B17" s="10">
        <v>244200</v>
      </c>
      <c r="C17" s="9" t="s">
        <v>25</v>
      </c>
      <c r="D17" s="9">
        <v>4100</v>
      </c>
      <c r="E17" s="50">
        <f t="shared" si="2"/>
        <v>59.560975609756099</v>
      </c>
      <c r="F17" s="10">
        <v>50</v>
      </c>
      <c r="G17" s="10"/>
      <c r="H17" s="50">
        <f t="shared" si="1"/>
        <v>40.913998400000004</v>
      </c>
      <c r="I17" s="11"/>
      <c r="K17" s="10"/>
    </row>
    <row r="18" spans="1:11" s="9" customFormat="1" x14ac:dyDescent="0.2">
      <c r="A18" s="9" t="s">
        <v>16</v>
      </c>
      <c r="B18" s="10">
        <v>450000</v>
      </c>
      <c r="C18" s="9" t="s">
        <v>24</v>
      </c>
      <c r="D18" s="9">
        <v>25000</v>
      </c>
      <c r="E18" s="50">
        <f t="shared" si="2"/>
        <v>18</v>
      </c>
      <c r="F18" s="10">
        <v>15</v>
      </c>
      <c r="G18" s="10"/>
      <c r="H18" s="50">
        <f t="shared" si="1"/>
        <v>74.842680000000001</v>
      </c>
      <c r="I18" s="11"/>
      <c r="K18" s="10"/>
    </row>
    <row r="19" spans="1:11" s="9" customFormat="1" x14ac:dyDescent="0.2">
      <c r="A19" s="9" t="s">
        <v>17</v>
      </c>
      <c r="B19" s="10">
        <v>10200000</v>
      </c>
      <c r="C19" s="9" t="s">
        <v>28</v>
      </c>
      <c r="D19" s="9" t="s">
        <v>80</v>
      </c>
      <c r="E19" s="9" t="s">
        <v>72</v>
      </c>
      <c r="F19" s="10" t="s">
        <v>72</v>
      </c>
      <c r="G19" s="10"/>
      <c r="H19" s="9" t="s">
        <v>72</v>
      </c>
      <c r="I19" s="11"/>
      <c r="K19" s="10"/>
    </row>
    <row r="20" spans="1:11" s="9" customFormat="1" x14ac:dyDescent="0.2">
      <c r="A20" s="9" t="s">
        <v>18</v>
      </c>
      <c r="B20" s="10">
        <v>5500000</v>
      </c>
      <c r="C20" s="9" t="s">
        <v>29</v>
      </c>
      <c r="D20" s="9" t="s">
        <v>80</v>
      </c>
      <c r="E20" s="9" t="s">
        <v>72</v>
      </c>
      <c r="F20" s="10" t="s">
        <v>72</v>
      </c>
      <c r="G20" s="10"/>
      <c r="H20" s="9" t="s">
        <v>72</v>
      </c>
      <c r="I20" s="11"/>
      <c r="K20" s="10"/>
    </row>
    <row r="21" spans="1:11" s="9" customFormat="1" x14ac:dyDescent="0.2">
      <c r="A21" s="9" t="s">
        <v>19</v>
      </c>
      <c r="B21" s="10">
        <v>225000</v>
      </c>
      <c r="C21" s="9" t="s">
        <v>30</v>
      </c>
      <c r="D21" s="9" t="s">
        <v>80</v>
      </c>
      <c r="E21" s="9" t="s">
        <v>72</v>
      </c>
      <c r="F21" s="10" t="s">
        <v>72</v>
      </c>
      <c r="G21" s="10"/>
      <c r="H21" s="9" t="s">
        <v>72</v>
      </c>
      <c r="I21" s="11"/>
      <c r="K21" s="10"/>
    </row>
    <row r="22" spans="1:11" s="9" customFormat="1" x14ac:dyDescent="0.2">
      <c r="A22" s="9" t="s">
        <v>21</v>
      </c>
      <c r="B22" s="10">
        <v>51600000</v>
      </c>
      <c r="C22" s="9" t="s">
        <v>28</v>
      </c>
      <c r="D22" s="9" t="s">
        <v>80</v>
      </c>
      <c r="E22" s="9" t="s">
        <v>72</v>
      </c>
      <c r="F22" s="10" t="s">
        <v>72</v>
      </c>
      <c r="G22" s="10"/>
      <c r="H22" s="9" t="s">
        <v>72</v>
      </c>
      <c r="I22" s="11"/>
      <c r="K22" s="10"/>
    </row>
    <row r="23" spans="1:11" s="9" customFormat="1" x14ac:dyDescent="0.2">
      <c r="A23" s="9" t="s">
        <v>22</v>
      </c>
      <c r="B23" s="10">
        <v>171000</v>
      </c>
      <c r="C23" s="9" t="s">
        <v>28</v>
      </c>
      <c r="D23" s="9" t="s">
        <v>80</v>
      </c>
      <c r="E23" s="9" t="s">
        <v>72</v>
      </c>
      <c r="F23" s="10" t="s">
        <v>72</v>
      </c>
      <c r="G23" s="10"/>
      <c r="H23" s="9" t="s">
        <v>72</v>
      </c>
      <c r="I23" s="11"/>
      <c r="K23" s="10"/>
    </row>
    <row r="24" spans="1:11" x14ac:dyDescent="0.2">
      <c r="C24" s="3" t="s">
        <v>442</v>
      </c>
      <c r="D24" s="3">
        <f>SUM(D4:D11)</f>
        <v>8691300</v>
      </c>
      <c r="E24" s="51"/>
      <c r="F24" s="3" t="s">
        <v>445</v>
      </c>
      <c r="H24" s="3">
        <f>SUM(H4:H11)</f>
        <v>100177.92508240003</v>
      </c>
    </row>
    <row r="25" spans="1:11" x14ac:dyDescent="0.2">
      <c r="C25" s="3" t="s">
        <v>443</v>
      </c>
      <c r="D25" s="3">
        <v>3300000</v>
      </c>
      <c r="E25" s="52" t="s">
        <v>470</v>
      </c>
      <c r="F25" s="3" t="s">
        <v>446</v>
      </c>
      <c r="H25" s="3">
        <f>H24*(1-D26)</f>
        <v>62141.36521541579</v>
      </c>
    </row>
    <row r="26" spans="1:11" x14ac:dyDescent="0.2">
      <c r="D26" s="3">
        <f>D25/D24</f>
        <v>0.37969003486244868</v>
      </c>
      <c r="E26" s="52" t="s">
        <v>444</v>
      </c>
      <c r="F26" s="3" t="s">
        <v>447</v>
      </c>
      <c r="H26" s="3">
        <f>H24-H25</f>
        <v>38036.559866984244</v>
      </c>
    </row>
    <row r="27" spans="1:11" x14ac:dyDescent="0.2">
      <c r="A27" s="40" t="s">
        <v>42</v>
      </c>
      <c r="F27" s="3" t="s">
        <v>448</v>
      </c>
      <c r="H27" s="5">
        <f>SUM(Livestock!M6,Livestock!M9:M11,Livestock!M13)</f>
        <v>31335.442230668392</v>
      </c>
    </row>
    <row r="28" spans="1:11" x14ac:dyDescent="0.2">
      <c r="A28" s="4" t="s">
        <v>24</v>
      </c>
      <c r="B28" s="4" t="s">
        <v>45</v>
      </c>
      <c r="C28" s="4" t="s">
        <v>44</v>
      </c>
      <c r="F28" s="3" t="s">
        <v>449</v>
      </c>
      <c r="H28" s="3">
        <f>H27*D26</f>
        <v>11897.755152992728</v>
      </c>
    </row>
    <row r="29" spans="1:11" x14ac:dyDescent="0.2">
      <c r="A29" s="3">
        <v>1</v>
      </c>
      <c r="B29" s="3">
        <v>25.401199999999999</v>
      </c>
      <c r="C29" s="3" t="s">
        <v>43</v>
      </c>
      <c r="F29" s="3" t="s">
        <v>450</v>
      </c>
      <c r="H29" s="3">
        <f>H26/0.75-H28</f>
        <v>38817.65800298626</v>
      </c>
      <c r="I29" s="3" t="s">
        <v>452</v>
      </c>
    </row>
    <row r="30" spans="1:11" x14ac:dyDescent="0.2">
      <c r="A30" s="3">
        <v>1</v>
      </c>
      <c r="B30" s="3">
        <v>27.2</v>
      </c>
      <c r="C30" s="3" t="s">
        <v>5</v>
      </c>
      <c r="F30" s="3" t="s">
        <v>451</v>
      </c>
      <c r="H30" s="3">
        <f>H25+H29</f>
        <v>100959.02321840206</v>
      </c>
    </row>
    <row r="31" spans="1:11" x14ac:dyDescent="0.2">
      <c r="A31" s="3">
        <v>1</v>
      </c>
      <c r="B31" s="3">
        <v>27.215499999999999</v>
      </c>
      <c r="C31" s="3" t="s">
        <v>46</v>
      </c>
    </row>
    <row r="32" spans="1:11" x14ac:dyDescent="0.2">
      <c r="A32" s="3">
        <v>1</v>
      </c>
      <c r="B32" s="3">
        <v>14.515000000000001</v>
      </c>
      <c r="C32" s="3" t="s">
        <v>47</v>
      </c>
    </row>
    <row r="33" spans="1:4" x14ac:dyDescent="0.2">
      <c r="A33" s="3">
        <v>1</v>
      </c>
      <c r="B33" s="3">
        <v>21.772400000000001</v>
      </c>
      <c r="C33" s="3" t="s">
        <v>16</v>
      </c>
    </row>
    <row r="35" spans="1:4" x14ac:dyDescent="0.2">
      <c r="A35" s="4" t="s">
        <v>25</v>
      </c>
      <c r="B35" s="4" t="s">
        <v>45</v>
      </c>
    </row>
    <row r="36" spans="1:4" x14ac:dyDescent="0.2">
      <c r="A36" s="3">
        <v>1</v>
      </c>
      <c r="B36" s="3">
        <v>45.359237</v>
      </c>
    </row>
    <row r="38" spans="1:4" x14ac:dyDescent="0.2">
      <c r="A38" s="4" t="s">
        <v>48</v>
      </c>
      <c r="B38" s="4" t="s">
        <v>45</v>
      </c>
    </row>
    <row r="39" spans="1:4" x14ac:dyDescent="0.2">
      <c r="A39" s="3">
        <v>1</v>
      </c>
      <c r="B39" s="3">
        <v>0.453592</v>
      </c>
    </row>
    <row r="41" spans="1:4" x14ac:dyDescent="0.2">
      <c r="A41" s="4" t="s">
        <v>49</v>
      </c>
      <c r="B41" s="4" t="s">
        <v>45</v>
      </c>
      <c r="C41" s="4" t="s">
        <v>44</v>
      </c>
    </row>
    <row r="42" spans="1:4" x14ac:dyDescent="0.2">
      <c r="A42" s="3">
        <v>1</v>
      </c>
      <c r="B42" s="3">
        <v>45.4</v>
      </c>
      <c r="C42" s="3" t="s">
        <v>50</v>
      </c>
    </row>
    <row r="44" spans="1:4" x14ac:dyDescent="0.2">
      <c r="A44" s="4" t="s">
        <v>51</v>
      </c>
      <c r="B44" s="4" t="s">
        <v>52</v>
      </c>
      <c r="C44" s="4" t="s">
        <v>45</v>
      </c>
      <c r="D44" s="4" t="s">
        <v>44</v>
      </c>
    </row>
    <row r="45" spans="1:4" x14ac:dyDescent="0.2">
      <c r="A45" s="3">
        <v>1</v>
      </c>
      <c r="B45" s="3">
        <v>3.785412</v>
      </c>
      <c r="C45" s="3">
        <f>B45*1.37</f>
        <v>5.1860144400000001</v>
      </c>
      <c r="D45" s="3" t="s">
        <v>53</v>
      </c>
    </row>
    <row r="47" spans="1:4" x14ac:dyDescent="0.2">
      <c r="A47" s="4" t="s">
        <v>57</v>
      </c>
      <c r="B47" s="4" t="s">
        <v>45</v>
      </c>
    </row>
    <row r="48" spans="1:4" x14ac:dyDescent="0.2">
      <c r="A48" s="3">
        <v>1</v>
      </c>
      <c r="B48" s="3">
        <v>907.18474000000003</v>
      </c>
    </row>
  </sheetData>
  <mergeCells count="1">
    <mergeCell ref="A1:D1"/>
  </mergeCells>
  <hyperlinks>
    <hyperlink ref="E25" r:id="rId1" display="https://datcp.wi.gov/Pages/Programs_Services/NutrientManagement.aspx" xr:uid="{671619F0-1534-EE4F-84C5-864B09D2955A}"/>
    <hyperlink ref="E26" r:id="rId2" display="https://datcp.wi.gov/Documents/NMUpdatePwrPt.pdf" xr:uid="{AD4BCA46-7ADB-7549-AF86-219BF6AEACEB}"/>
  </hyperlinks>
  <pageMargins left="0.7" right="0.7" top="0.75" bottom="0.75" header="0.3" footer="0.3"/>
  <ignoredErrors>
    <ignoredError sqref="D24"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
  <sheetViews>
    <sheetView workbookViewId="0">
      <selection activeCell="I4" sqref="I4"/>
    </sheetView>
  </sheetViews>
  <sheetFormatPr baseColWidth="10" defaultColWidth="10.83203125" defaultRowHeight="16" x14ac:dyDescent="0.2"/>
  <cols>
    <col min="1" max="1" width="22.5" style="3" customWidth="1"/>
    <col min="2" max="3" width="23" style="3" customWidth="1"/>
    <col min="4" max="5" width="19.6640625" style="3" customWidth="1"/>
    <col min="6" max="6" width="24.6640625" style="3" customWidth="1"/>
    <col min="7" max="7" width="34.33203125" style="3" customWidth="1"/>
    <col min="8" max="8" width="30.33203125" style="3" customWidth="1"/>
    <col min="9" max="9" width="100.6640625" style="3" customWidth="1"/>
    <col min="10" max="16384" width="10.83203125" style="3"/>
  </cols>
  <sheetData>
    <row r="1" spans="1:9" x14ac:dyDescent="0.2">
      <c r="A1" s="65" t="s">
        <v>66</v>
      </c>
      <c r="B1" s="65"/>
      <c r="C1" s="65"/>
      <c r="D1" s="65"/>
      <c r="E1" s="8"/>
    </row>
    <row r="3" spans="1:9" s="4" customFormat="1" x14ac:dyDescent="0.2">
      <c r="A3" s="4" t="s">
        <v>20</v>
      </c>
      <c r="B3" s="6" t="s">
        <v>69</v>
      </c>
      <c r="C3" s="4" t="s">
        <v>67</v>
      </c>
      <c r="D3" s="4" t="s">
        <v>27</v>
      </c>
      <c r="E3" s="4" t="s">
        <v>26</v>
      </c>
      <c r="F3" s="4" t="s">
        <v>68</v>
      </c>
      <c r="G3" s="4" t="s">
        <v>63</v>
      </c>
      <c r="H3" s="4" t="s">
        <v>64</v>
      </c>
      <c r="I3" s="4" t="s">
        <v>166</v>
      </c>
    </row>
    <row r="4" spans="1:9" x14ac:dyDescent="0.2">
      <c r="A4" s="3" t="s">
        <v>2</v>
      </c>
      <c r="B4" s="7">
        <v>35.200000000000003</v>
      </c>
      <c r="C4" s="3" t="s">
        <v>70</v>
      </c>
      <c r="D4" s="3">
        <v>0.15140000000000001</v>
      </c>
      <c r="E4" s="3" t="s">
        <v>54</v>
      </c>
      <c r="F4" s="7">
        <f>B4*$B$45/1000*$B$31</f>
        <v>92908.705049600001</v>
      </c>
      <c r="G4" s="3">
        <f>D4*B45/B35</f>
        <v>2.7035663197014317E-3</v>
      </c>
      <c r="H4" s="5">
        <f>F4*G4</f>
        <v>251.18484577917289</v>
      </c>
      <c r="I4" s="3" t="s">
        <v>167</v>
      </c>
    </row>
    <row r="5" spans="1:9" x14ac:dyDescent="0.2">
      <c r="A5" s="3" t="s">
        <v>3</v>
      </c>
      <c r="B5" s="7">
        <v>0</v>
      </c>
      <c r="C5" s="3" t="s">
        <v>70</v>
      </c>
      <c r="D5" s="3">
        <v>1.1102000000000001</v>
      </c>
      <c r="E5" s="3" t="s">
        <v>56</v>
      </c>
      <c r="F5" s="7">
        <f>B5*$B$45/1000*$B$31</f>
        <v>0</v>
      </c>
      <c r="G5" s="3">
        <f>D5*B45/B54</f>
        <v>5.5509954719917354E-4</v>
      </c>
      <c r="H5" s="5">
        <f t="shared" ref="H5:H23" si="0">F5*G5</f>
        <v>0</v>
      </c>
    </row>
    <row r="6" spans="1:9" x14ac:dyDescent="0.2">
      <c r="A6" s="3" t="s">
        <v>4</v>
      </c>
      <c r="B6" s="7">
        <v>0</v>
      </c>
      <c r="C6" s="3" t="s">
        <v>70</v>
      </c>
      <c r="D6" s="3">
        <v>4.7217000000000002</v>
      </c>
      <c r="E6" s="3" t="s">
        <v>59</v>
      </c>
      <c r="F6" s="7">
        <f>B6*$B$45/1000*$B$31</f>
        <v>0</v>
      </c>
      <c r="G6" s="3">
        <f>D6*B45/B54</f>
        <v>2.3608480742301724E-3</v>
      </c>
      <c r="H6" s="5">
        <f t="shared" si="0"/>
        <v>0</v>
      </c>
    </row>
    <row r="7" spans="1:9" x14ac:dyDescent="0.2">
      <c r="A7" s="3" t="s">
        <v>5</v>
      </c>
      <c r="B7" s="7" t="s">
        <v>72</v>
      </c>
      <c r="C7" s="3" t="s">
        <v>70</v>
      </c>
      <c r="D7" s="3">
        <v>0.36280000000000001</v>
      </c>
      <c r="E7" s="3" t="s">
        <v>54</v>
      </c>
      <c r="F7" s="7">
        <f>2878848*0.35*21.8/27.2*0.02 + 2878848*0.35*(27.2-21.8)/27.2</f>
        <v>216188.78399999993</v>
      </c>
      <c r="G7" s="3">
        <f>D7*B45/B36</f>
        <v>6.0501168235294117E-3</v>
      </c>
      <c r="H7" s="5">
        <f t="shared" si="0"/>
        <v>1307.9673991367656</v>
      </c>
    </row>
    <row r="8" spans="1:9" x14ac:dyDescent="0.2">
      <c r="A8" s="3" t="s">
        <v>6</v>
      </c>
      <c r="B8" s="7">
        <v>115.8</v>
      </c>
      <c r="C8" s="3" t="s">
        <v>70</v>
      </c>
      <c r="D8" s="3">
        <v>5.6300000000000003E-2</v>
      </c>
      <c r="E8" s="3" t="s">
        <v>60</v>
      </c>
      <c r="F8" s="7">
        <f t="shared" ref="F8:F23" si="1">B8*$B$45/1000*$B$31</f>
        <v>305648.52399840002</v>
      </c>
      <c r="G8" s="3">
        <f>D8*B45/B42</f>
        <v>5.6299954075506172E-4</v>
      </c>
      <c r="H8" s="5">
        <f t="shared" si="0"/>
        <v>172.07997864356167</v>
      </c>
    </row>
    <row r="9" spans="1:9" x14ac:dyDescent="0.2">
      <c r="A9" s="3" t="s">
        <v>7</v>
      </c>
      <c r="B9" s="7">
        <v>131.80000000000001</v>
      </c>
      <c r="C9" s="3" t="s">
        <v>70</v>
      </c>
      <c r="D9" s="3">
        <v>0.1986</v>
      </c>
      <c r="E9" s="3" t="s">
        <v>54</v>
      </c>
      <c r="F9" s="7">
        <f t="shared" si="1"/>
        <v>347879.75356640003</v>
      </c>
      <c r="G9" s="3">
        <f>D9*B45/B37</f>
        <v>3.3100024324373978E-3</v>
      </c>
      <c r="H9" s="5">
        <f t="shared" si="0"/>
        <v>1151.4828305005067</v>
      </c>
    </row>
    <row r="10" spans="1:9" x14ac:dyDescent="0.2">
      <c r="A10" s="3" t="s">
        <v>8</v>
      </c>
      <c r="B10" s="7">
        <v>7.5</v>
      </c>
      <c r="C10" s="3" t="s">
        <v>70</v>
      </c>
      <c r="D10" s="3">
        <v>0.47839999999999999</v>
      </c>
      <c r="E10" s="3" t="s">
        <v>60</v>
      </c>
      <c r="F10" s="7">
        <f t="shared" si="1"/>
        <v>19795.888859999999</v>
      </c>
      <c r="G10" s="3">
        <f>D10*B45/B42</f>
        <v>4.7839960976415888E-3</v>
      </c>
      <c r="H10" s="5">
        <f t="shared" si="0"/>
        <v>94.703455055586602</v>
      </c>
    </row>
    <row r="11" spans="1:9" x14ac:dyDescent="0.2">
      <c r="A11" s="3" t="s">
        <v>9</v>
      </c>
      <c r="B11" s="7">
        <v>21.4</v>
      </c>
      <c r="C11" s="3" t="s">
        <v>70</v>
      </c>
      <c r="D11" s="3">
        <v>3.5000000000000001E-3</v>
      </c>
      <c r="E11" s="3" t="s">
        <v>55</v>
      </c>
      <c r="F11" s="7">
        <f t="shared" si="1"/>
        <v>56484.26954719999</v>
      </c>
      <c r="G11" s="3">
        <f>D11</f>
        <v>3.5000000000000001E-3</v>
      </c>
      <c r="H11" s="5">
        <f t="shared" si="0"/>
        <v>197.69494341519996</v>
      </c>
    </row>
    <row r="12" spans="1:9" s="9" customFormat="1" x14ac:dyDescent="0.2">
      <c r="A12" s="9" t="s">
        <v>10</v>
      </c>
      <c r="B12" s="10">
        <v>4.8</v>
      </c>
      <c r="C12" s="9" t="s">
        <v>70</v>
      </c>
      <c r="D12" s="9">
        <v>0.10920000000000001</v>
      </c>
      <c r="E12" s="9" t="s">
        <v>54</v>
      </c>
      <c r="F12" s="10">
        <f t="shared" si="1"/>
        <v>12669.368870400001</v>
      </c>
      <c r="G12" s="9">
        <f>D12*B45/B38</f>
        <v>3.4124868343093349E-3</v>
      </c>
      <c r="H12" s="11">
        <f t="shared" si="0"/>
        <v>43.234054469248534</v>
      </c>
    </row>
    <row r="13" spans="1:9" s="9" customFormat="1" x14ac:dyDescent="0.2">
      <c r="A13" s="9" t="s">
        <v>11</v>
      </c>
      <c r="B13" s="10">
        <v>11.4</v>
      </c>
      <c r="C13" s="9" t="s">
        <v>70</v>
      </c>
      <c r="D13" s="9">
        <v>2.0000000000000001E-4</v>
      </c>
      <c r="E13" s="9" t="s">
        <v>55</v>
      </c>
      <c r="F13" s="10">
        <f t="shared" si="1"/>
        <v>30089.751067199995</v>
      </c>
      <c r="G13" s="9">
        <f>D13</f>
        <v>2.0000000000000001E-4</v>
      </c>
      <c r="H13" s="11">
        <f t="shared" si="0"/>
        <v>6.0179502134399989</v>
      </c>
    </row>
    <row r="14" spans="1:9" s="9" customFormat="1" x14ac:dyDescent="0.2">
      <c r="A14" s="9" t="s">
        <v>12</v>
      </c>
      <c r="B14" s="10">
        <v>0</v>
      </c>
      <c r="C14" s="9" t="s">
        <v>70</v>
      </c>
      <c r="D14" s="9">
        <v>4.4000000000000003E-3</v>
      </c>
      <c r="E14" s="9" t="s">
        <v>55</v>
      </c>
      <c r="F14" s="10">
        <f t="shared" si="1"/>
        <v>0</v>
      </c>
      <c r="G14" s="9">
        <f>D14</f>
        <v>4.4000000000000003E-3</v>
      </c>
      <c r="H14" s="11">
        <f t="shared" si="0"/>
        <v>0</v>
      </c>
    </row>
    <row r="15" spans="1:9" s="9" customFormat="1" x14ac:dyDescent="0.2">
      <c r="A15" s="9" t="s">
        <v>13</v>
      </c>
      <c r="B15" s="10">
        <v>7.4</v>
      </c>
      <c r="C15" s="9" t="s">
        <v>70</v>
      </c>
      <c r="D15" s="9">
        <v>2.9999999999999997E-4</v>
      </c>
      <c r="E15" s="9" t="s">
        <v>55</v>
      </c>
      <c r="F15" s="10">
        <f t="shared" si="1"/>
        <v>19531.943675200004</v>
      </c>
      <c r="G15" s="9">
        <f>D15</f>
        <v>2.9999999999999997E-4</v>
      </c>
      <c r="H15" s="11">
        <f t="shared" si="0"/>
        <v>5.8595831025600003</v>
      </c>
    </row>
    <row r="16" spans="1:9" s="9" customFormat="1" x14ac:dyDescent="0.2">
      <c r="A16" s="9" t="s">
        <v>14</v>
      </c>
      <c r="B16" s="10">
        <v>10.7</v>
      </c>
      <c r="C16" s="9" t="s">
        <v>70</v>
      </c>
      <c r="D16" s="9">
        <v>4.0000000000000002E-4</v>
      </c>
      <c r="E16" s="9" t="s">
        <v>55</v>
      </c>
      <c r="F16" s="10">
        <f t="shared" si="1"/>
        <v>28242.134773599995</v>
      </c>
      <c r="G16" s="9">
        <f>D16</f>
        <v>4.0000000000000002E-4</v>
      </c>
      <c r="H16" s="11">
        <f t="shared" si="0"/>
        <v>11.296853909439999</v>
      </c>
    </row>
    <row r="17" spans="1:8" s="9" customFormat="1" x14ac:dyDescent="0.2">
      <c r="A17" s="9" t="s">
        <v>15</v>
      </c>
      <c r="B17" s="10">
        <v>4.4000000000000004</v>
      </c>
      <c r="C17" s="9" t="s">
        <v>70</v>
      </c>
      <c r="D17" s="9">
        <v>4.0000000000000002E-4</v>
      </c>
      <c r="E17" s="9" t="s">
        <v>55</v>
      </c>
      <c r="F17" s="10">
        <f t="shared" si="1"/>
        <v>11613.5881312</v>
      </c>
      <c r="G17" s="9">
        <f>D17</f>
        <v>4.0000000000000002E-4</v>
      </c>
      <c r="H17" s="11">
        <f t="shared" si="0"/>
        <v>4.6454352524800004</v>
      </c>
    </row>
    <row r="18" spans="1:8" s="9" customFormat="1" x14ac:dyDescent="0.2">
      <c r="A18" s="9" t="s">
        <v>16</v>
      </c>
      <c r="B18" s="10">
        <v>0.9</v>
      </c>
      <c r="C18" s="9" t="s">
        <v>70</v>
      </c>
      <c r="D18" s="9">
        <v>0.1457</v>
      </c>
      <c r="E18" s="9" t="s">
        <v>54</v>
      </c>
      <c r="F18" s="10">
        <f t="shared" si="1"/>
        <v>2375.5066632000003</v>
      </c>
      <c r="G18" s="9">
        <f>D18*B45/B39</f>
        <v>3.0354188973195418E-3</v>
      </c>
      <c r="H18" s="11">
        <f t="shared" si="0"/>
        <v>7.2106578161857691</v>
      </c>
    </row>
    <row r="19" spans="1:8" s="9" customFormat="1" x14ac:dyDescent="0.2">
      <c r="A19" s="9" t="s">
        <v>17</v>
      </c>
      <c r="B19" s="10">
        <v>0</v>
      </c>
      <c r="C19" s="9" t="s">
        <v>70</v>
      </c>
      <c r="D19" s="9">
        <v>2.0000000000000001E-4</v>
      </c>
      <c r="E19" s="9" t="s">
        <v>55</v>
      </c>
      <c r="F19" s="10">
        <f t="shared" si="1"/>
        <v>0</v>
      </c>
      <c r="G19" s="9">
        <f>D19</f>
        <v>2.0000000000000001E-4</v>
      </c>
      <c r="H19" s="11">
        <f t="shared" si="0"/>
        <v>0</v>
      </c>
    </row>
    <row r="20" spans="1:8" s="9" customFormat="1" x14ac:dyDescent="0.2">
      <c r="A20" s="9" t="s">
        <v>18</v>
      </c>
      <c r="B20" s="10">
        <v>0</v>
      </c>
      <c r="C20" s="9" t="s">
        <v>70</v>
      </c>
      <c r="D20" s="9">
        <v>1E-4</v>
      </c>
      <c r="E20" s="9" t="s">
        <v>55</v>
      </c>
      <c r="F20" s="10">
        <f t="shared" si="1"/>
        <v>0</v>
      </c>
      <c r="G20" s="9">
        <f>D20</f>
        <v>1E-4</v>
      </c>
      <c r="H20" s="11">
        <f t="shared" si="0"/>
        <v>0</v>
      </c>
    </row>
    <row r="21" spans="1:8" s="9" customFormat="1" x14ac:dyDescent="0.2">
      <c r="A21" s="9" t="s">
        <v>19</v>
      </c>
      <c r="B21" s="10">
        <v>0</v>
      </c>
      <c r="C21" s="9" t="s">
        <v>70</v>
      </c>
      <c r="D21" s="9">
        <v>4.5</v>
      </c>
      <c r="E21" s="9" t="s">
        <v>61</v>
      </c>
      <c r="F21" s="10">
        <f t="shared" si="1"/>
        <v>0</v>
      </c>
      <c r="G21" s="9">
        <f>D21/1000/1.37</f>
        <v>3.284671532846715E-3</v>
      </c>
      <c r="H21" s="11">
        <f>F21*G21</f>
        <v>0</v>
      </c>
    </row>
    <row r="22" spans="1:8" s="9" customFormat="1" x14ac:dyDescent="0.2">
      <c r="A22" s="9" t="s">
        <v>21</v>
      </c>
      <c r="B22" s="10">
        <v>0</v>
      </c>
      <c r="C22" s="9" t="s">
        <v>70</v>
      </c>
      <c r="D22" s="9">
        <v>1E-4</v>
      </c>
      <c r="E22" s="9" t="s">
        <v>55</v>
      </c>
      <c r="F22" s="10">
        <f t="shared" si="1"/>
        <v>0</v>
      </c>
      <c r="G22" s="9">
        <f>D22</f>
        <v>1E-4</v>
      </c>
      <c r="H22" s="11">
        <f t="shared" si="0"/>
        <v>0</v>
      </c>
    </row>
    <row r="23" spans="1:8" s="9" customFormat="1" x14ac:dyDescent="0.2">
      <c r="A23" s="9" t="s">
        <v>22</v>
      </c>
      <c r="B23" s="10">
        <v>0</v>
      </c>
      <c r="C23" s="9" t="s">
        <v>70</v>
      </c>
      <c r="D23" s="9">
        <v>3.8601000000000001</v>
      </c>
      <c r="E23" s="9" t="s">
        <v>62</v>
      </c>
      <c r="F23" s="10">
        <f t="shared" si="1"/>
        <v>0</v>
      </c>
      <c r="G23" s="9">
        <f>D23*B45/B54</f>
        <v>1.9300484256382002E-3</v>
      </c>
      <c r="H23" s="11">
        <f t="shared" si="0"/>
        <v>0</v>
      </c>
    </row>
    <row r="25" spans="1:8" x14ac:dyDescent="0.2">
      <c r="A25" s="3" t="s">
        <v>81</v>
      </c>
      <c r="B25" s="3">
        <v>67.682000000000002</v>
      </c>
      <c r="C25" s="3" t="s">
        <v>83</v>
      </c>
      <c r="D25" s="12">
        <v>9.5779999999999996E-7</v>
      </c>
      <c r="E25" s="3" t="s">
        <v>84</v>
      </c>
      <c r="F25" s="3">
        <f>B25*1.03/1000*B31</f>
        <v>405656.80474000005</v>
      </c>
      <c r="G25" s="13">
        <f>D25/1.03*1000</f>
        <v>9.2990291262135915E-4</v>
      </c>
      <c r="H25" s="3">
        <f>F25*G25</f>
        <v>377.22144425240003</v>
      </c>
    </row>
    <row r="26" spans="1:8" x14ac:dyDescent="0.2">
      <c r="A26" s="3" t="s">
        <v>82</v>
      </c>
      <c r="B26" s="3">
        <v>38.36</v>
      </c>
      <c r="C26" s="3" t="s">
        <v>70</v>
      </c>
      <c r="D26" s="12">
        <v>7.809E-3</v>
      </c>
      <c r="E26" s="3" t="s">
        <v>55</v>
      </c>
      <c r="F26" s="3">
        <f>B26*B45/1000*B31</f>
        <v>101249.37288928001</v>
      </c>
      <c r="G26" s="12">
        <f>D26</f>
        <v>7.809E-3</v>
      </c>
      <c r="H26" s="13">
        <f>F26*G26</f>
        <v>790.65635289238764</v>
      </c>
    </row>
    <row r="27" spans="1:8" x14ac:dyDescent="0.2">
      <c r="A27" s="3" t="s">
        <v>85</v>
      </c>
      <c r="B27" s="3">
        <v>79.099999999999994</v>
      </c>
      <c r="C27" s="3" t="s">
        <v>70</v>
      </c>
      <c r="D27" s="3">
        <v>165</v>
      </c>
      <c r="E27" s="3" t="s">
        <v>88</v>
      </c>
      <c r="F27" s="3">
        <f>B27*B45/1000*B31</f>
        <v>208780.64117680001</v>
      </c>
      <c r="G27" s="15">
        <f>D27/1000/3/(B57*1000)</f>
        <v>1.9400352733686065E-3</v>
      </c>
      <c r="H27" s="3">
        <f>F27*G27</f>
        <v>405.04180827950614</v>
      </c>
    </row>
    <row r="28" spans="1:8" x14ac:dyDescent="0.2">
      <c r="A28" s="17" t="s">
        <v>86</v>
      </c>
      <c r="B28" s="17">
        <v>1.2</v>
      </c>
      <c r="C28" s="17" t="s">
        <v>70</v>
      </c>
      <c r="D28" s="17">
        <v>162</v>
      </c>
      <c r="E28" s="17" t="s">
        <v>88</v>
      </c>
      <c r="F28" s="17">
        <f>B28*B45/1000*B31</f>
        <v>3167.3422176000004</v>
      </c>
      <c r="G28" s="17">
        <f>D28/1000/3/(B57*1000)</f>
        <v>1.9047619047619045E-3</v>
      </c>
      <c r="H28" s="17">
        <f t="shared" ref="H28:H29" si="2">F28*G28</f>
        <v>6.0330327954285714</v>
      </c>
    </row>
    <row r="29" spans="1:8" x14ac:dyDescent="0.2">
      <c r="A29" s="17" t="s">
        <v>87</v>
      </c>
      <c r="B29" s="17">
        <v>63.9</v>
      </c>
      <c r="C29" s="17" t="s">
        <v>70</v>
      </c>
      <c r="D29" s="17">
        <v>200</v>
      </c>
      <c r="E29" s="17" t="s">
        <v>88</v>
      </c>
      <c r="F29" s="17">
        <f>B29*B45/1000*B31</f>
        <v>168660.97308719999</v>
      </c>
      <c r="G29" s="17">
        <f>D29/1000/3/(B57*1000)</f>
        <v>2.3515579071134627E-3</v>
      </c>
      <c r="H29" s="17">
        <f t="shared" si="2"/>
        <v>396.61604488465605</v>
      </c>
    </row>
    <row r="31" spans="1:8" x14ac:dyDescent="0.2">
      <c r="A31" s="2" t="s">
        <v>71</v>
      </c>
      <c r="B31" s="3">
        <v>5819000</v>
      </c>
      <c r="F31" s="3">
        <f>B27*B45/1000</f>
        <v>3.5879127199999999E-2</v>
      </c>
    </row>
    <row r="33" spans="1:3" x14ac:dyDescent="0.2">
      <c r="A33" s="2" t="s">
        <v>42</v>
      </c>
    </row>
    <row r="34" spans="1:3" x14ac:dyDescent="0.2">
      <c r="A34" s="4" t="s">
        <v>24</v>
      </c>
      <c r="B34" s="4" t="s">
        <v>45</v>
      </c>
      <c r="C34" s="4" t="s">
        <v>44</v>
      </c>
    </row>
    <row r="35" spans="1:3" x14ac:dyDescent="0.2">
      <c r="A35" s="3">
        <v>1</v>
      </c>
      <c r="B35" s="3">
        <v>25.401199999999999</v>
      </c>
      <c r="C35" s="3" t="s">
        <v>43</v>
      </c>
    </row>
    <row r="36" spans="1:3" x14ac:dyDescent="0.2">
      <c r="A36" s="3">
        <v>1</v>
      </c>
      <c r="B36" s="3">
        <v>27.2</v>
      </c>
      <c r="C36" s="3" t="s">
        <v>5</v>
      </c>
    </row>
    <row r="37" spans="1:3" x14ac:dyDescent="0.2">
      <c r="A37" s="3">
        <v>1</v>
      </c>
      <c r="B37" s="3">
        <v>27.215499999999999</v>
      </c>
      <c r="C37" s="3" t="s">
        <v>46</v>
      </c>
    </row>
    <row r="38" spans="1:3" x14ac:dyDescent="0.2">
      <c r="A38" s="3">
        <v>1</v>
      </c>
      <c r="B38" s="3">
        <v>14.515000000000001</v>
      </c>
      <c r="C38" s="3" t="s">
        <v>47</v>
      </c>
    </row>
    <row r="39" spans="1:3" x14ac:dyDescent="0.2">
      <c r="A39" s="3">
        <v>1</v>
      </c>
      <c r="B39" s="3">
        <v>21.772400000000001</v>
      </c>
      <c r="C39" s="3" t="s">
        <v>16</v>
      </c>
    </row>
    <row r="41" spans="1:3" x14ac:dyDescent="0.2">
      <c r="A41" s="4" t="s">
        <v>25</v>
      </c>
      <c r="B41" s="4" t="s">
        <v>45</v>
      </c>
    </row>
    <row r="42" spans="1:3" x14ac:dyDescent="0.2">
      <c r="A42" s="3">
        <v>1</v>
      </c>
      <c r="B42" s="3">
        <v>45.359237</v>
      </c>
    </row>
    <row r="44" spans="1:3" x14ac:dyDescent="0.2">
      <c r="A44" s="4" t="s">
        <v>48</v>
      </c>
      <c r="B44" s="4" t="s">
        <v>45</v>
      </c>
    </row>
    <row r="45" spans="1:3" x14ac:dyDescent="0.2">
      <c r="A45" s="3">
        <v>1</v>
      </c>
      <c r="B45" s="3">
        <v>0.453592</v>
      </c>
    </row>
    <row r="47" spans="1:3" x14ac:dyDescent="0.2">
      <c r="A47" s="4" t="s">
        <v>49</v>
      </c>
      <c r="B47" s="4" t="s">
        <v>45</v>
      </c>
      <c r="C47" s="4" t="s">
        <v>44</v>
      </c>
    </row>
    <row r="48" spans="1:3" x14ac:dyDescent="0.2">
      <c r="A48" s="3">
        <v>1</v>
      </c>
      <c r="B48" s="3">
        <v>45.4</v>
      </c>
      <c r="C48" s="3" t="s">
        <v>50</v>
      </c>
    </row>
    <row r="50" spans="1:4" x14ac:dyDescent="0.2">
      <c r="A50" s="4" t="s">
        <v>51</v>
      </c>
      <c r="B50" s="4" t="s">
        <v>52</v>
      </c>
      <c r="C50" s="4" t="s">
        <v>45</v>
      </c>
      <c r="D50" s="4" t="s">
        <v>44</v>
      </c>
    </row>
    <row r="51" spans="1:4" x14ac:dyDescent="0.2">
      <c r="A51" s="3">
        <v>1</v>
      </c>
      <c r="B51" s="3">
        <v>3.785412</v>
      </c>
      <c r="C51" s="3">
        <f>B51*1.37</f>
        <v>5.1860144400000001</v>
      </c>
      <c r="D51" s="3" t="s">
        <v>53</v>
      </c>
    </row>
    <row r="53" spans="1:4" x14ac:dyDescent="0.2">
      <c r="A53" s="4" t="s">
        <v>57</v>
      </c>
      <c r="B53" s="4" t="s">
        <v>45</v>
      </c>
    </row>
    <row r="54" spans="1:4" x14ac:dyDescent="0.2">
      <c r="A54" s="3">
        <v>1</v>
      </c>
      <c r="B54" s="3">
        <v>907.18474000000003</v>
      </c>
    </row>
    <row r="56" spans="1:4" x14ac:dyDescent="0.2">
      <c r="A56" s="4" t="s">
        <v>89</v>
      </c>
      <c r="B56" s="4" t="s">
        <v>45</v>
      </c>
    </row>
    <row r="57" spans="1:4" x14ac:dyDescent="0.2">
      <c r="A57" s="3">
        <v>1</v>
      </c>
      <c r="B57" s="3">
        <v>2.835E-2</v>
      </c>
    </row>
  </sheetData>
  <mergeCells count="1">
    <mergeCell ref="A1:D1"/>
  </mergeCells>
  <pageMargins left="0.7" right="0.7" top="0.75" bottom="0.75" header="0.3" footer="0.3"/>
  <pageSetup orientation="portrait" horizontalDpi="0" verticalDpi="0"/>
  <ignoredErrors>
    <ignoredError sqref="G12 G18 G21 F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4"/>
  <sheetViews>
    <sheetView workbookViewId="0">
      <selection activeCell="L12" sqref="L12"/>
    </sheetView>
  </sheetViews>
  <sheetFormatPr baseColWidth="10" defaultColWidth="10.83203125" defaultRowHeight="16" x14ac:dyDescent="0.2"/>
  <cols>
    <col min="1" max="1" width="16.33203125" style="3" customWidth="1"/>
    <col min="2" max="2" width="12" style="7" customWidth="1"/>
    <col min="3" max="4" width="17.83203125" style="7" customWidth="1"/>
    <col min="5" max="5" width="22" style="3" customWidth="1"/>
    <col min="6" max="9" width="20" style="3" customWidth="1"/>
    <col min="10" max="10" width="14.83203125" style="3" customWidth="1"/>
    <col min="11" max="12" width="22.6640625" style="3" customWidth="1"/>
    <col min="13" max="13" width="17.83203125" style="5" customWidth="1"/>
    <col min="14" max="14" width="12.1640625" style="3" bestFit="1" customWidth="1"/>
    <col min="15" max="16384" width="10.83203125" style="3"/>
  </cols>
  <sheetData>
    <row r="1" spans="1:14" x14ac:dyDescent="0.2">
      <c r="A1" s="65" t="s">
        <v>90</v>
      </c>
      <c r="B1" s="65"/>
      <c r="C1" s="65"/>
      <c r="D1" s="42"/>
      <c r="E1" s="14"/>
      <c r="F1" s="14"/>
      <c r="G1" s="14"/>
      <c r="H1" s="14"/>
      <c r="I1" s="14"/>
    </row>
    <row r="4" spans="1:14" s="4" customFormat="1" x14ac:dyDescent="0.2">
      <c r="A4" s="4" t="s">
        <v>92</v>
      </c>
      <c r="B4" s="6" t="s">
        <v>71</v>
      </c>
      <c r="C4" s="6" t="s">
        <v>112</v>
      </c>
      <c r="D4" s="6"/>
      <c r="E4" s="4" t="s">
        <v>91</v>
      </c>
      <c r="F4" s="4" t="s">
        <v>93</v>
      </c>
      <c r="G4" s="4" t="s">
        <v>117</v>
      </c>
      <c r="H4" s="4" t="s">
        <v>156</v>
      </c>
      <c r="I4" s="4" t="s">
        <v>119</v>
      </c>
      <c r="J4" s="4" t="s">
        <v>27</v>
      </c>
      <c r="K4" s="4" t="s">
        <v>26</v>
      </c>
      <c r="M4" s="16" t="s">
        <v>102</v>
      </c>
    </row>
    <row r="5" spans="1:14" x14ac:dyDescent="0.2">
      <c r="A5" s="17" t="s">
        <v>94</v>
      </c>
      <c r="B5" s="18">
        <v>1280000</v>
      </c>
      <c r="C5" s="18">
        <f>B26</f>
        <v>833280000</v>
      </c>
      <c r="D5" s="18"/>
      <c r="E5" s="22" t="s">
        <v>122</v>
      </c>
      <c r="F5" s="17">
        <v>24002</v>
      </c>
      <c r="G5" s="17" t="s">
        <v>118</v>
      </c>
      <c r="H5" s="17">
        <f>F5*B5*0.453592/1000</f>
        <v>13935507.435520001</v>
      </c>
      <c r="I5" s="17" t="s">
        <v>120</v>
      </c>
      <c r="J5" s="19">
        <f>'human consumption'!G25</f>
        <v>9.2990291262135915E-4</v>
      </c>
      <c r="K5" s="17" t="s">
        <v>121</v>
      </c>
      <c r="L5" s="17"/>
      <c r="M5" s="20">
        <f>J5*H5</f>
        <v>12958.668953146656</v>
      </c>
      <c r="N5" s="24"/>
    </row>
    <row r="6" spans="1:14" x14ac:dyDescent="0.2">
      <c r="A6" s="24" t="s">
        <v>94</v>
      </c>
      <c r="B6" s="25">
        <v>1280000</v>
      </c>
      <c r="C6" s="25">
        <f>C5</f>
        <v>833280000</v>
      </c>
      <c r="D6" s="25">
        <f>C6*harvest!$B$39/1000</f>
        <v>377969.14175999997</v>
      </c>
      <c r="E6" s="26" t="s">
        <v>95</v>
      </c>
      <c r="F6" s="24">
        <v>111</v>
      </c>
      <c r="G6" s="24" t="s">
        <v>126</v>
      </c>
      <c r="H6" s="24">
        <f>C6/1000*F6*365*0.453592/1000</f>
        <v>15313419.7784064</v>
      </c>
      <c r="I6" s="24" t="s">
        <v>120</v>
      </c>
      <c r="J6" s="24">
        <v>0.37</v>
      </c>
      <c r="K6" s="24" t="s">
        <v>127</v>
      </c>
      <c r="L6" s="24">
        <f>J6*0.44*harvest!$B$39*365/1000</f>
        <v>2.6953343823999998E-2</v>
      </c>
      <c r="M6" s="21">
        <f>C6/1000*J6*365*0.453592/1000*(31*2)/(31*2+16*5)</f>
        <v>22287.136766694759</v>
      </c>
      <c r="N6" s="24"/>
    </row>
    <row r="7" spans="1:14" x14ac:dyDescent="0.2">
      <c r="A7" s="24" t="s">
        <v>72</v>
      </c>
      <c r="B7" s="25" t="s">
        <v>72</v>
      </c>
      <c r="C7" s="25" t="s">
        <v>72</v>
      </c>
      <c r="D7" s="25"/>
      <c r="E7" s="26" t="s">
        <v>123</v>
      </c>
      <c r="F7" s="24" t="s">
        <v>72</v>
      </c>
      <c r="G7" s="24" t="s">
        <v>72</v>
      </c>
      <c r="H7" s="27">
        <f>H5*0.1</f>
        <v>1393550.7435520003</v>
      </c>
      <c r="I7" s="24" t="s">
        <v>120</v>
      </c>
      <c r="J7" s="28">
        <f>'human consumption'!G25</f>
        <v>9.2990291262135915E-4</v>
      </c>
      <c r="K7" s="24" t="s">
        <v>121</v>
      </c>
      <c r="L7" s="24"/>
      <c r="M7" s="27">
        <f>H7*J7</f>
        <v>1295.8668953146657</v>
      </c>
      <c r="N7" s="24"/>
    </row>
    <row r="8" spans="1:14" x14ac:dyDescent="0.2">
      <c r="A8" s="24" t="s">
        <v>72</v>
      </c>
      <c r="B8" s="25" t="s">
        <v>72</v>
      </c>
      <c r="C8" s="25" t="s">
        <v>72</v>
      </c>
      <c r="D8" s="25"/>
      <c r="E8" s="26" t="s">
        <v>124</v>
      </c>
      <c r="F8" s="29">
        <v>1.002E-4</v>
      </c>
      <c r="G8" s="24" t="s">
        <v>125</v>
      </c>
      <c r="H8" s="27">
        <f>0.9*H5*F8*1000/1.03</f>
        <v>1220101.0296458192</v>
      </c>
      <c r="I8" s="24" t="s">
        <v>120</v>
      </c>
      <c r="J8" s="30">
        <f>'human consumption'!G26</f>
        <v>7.809E-3</v>
      </c>
      <c r="K8" s="24" t="s">
        <v>121</v>
      </c>
      <c r="L8" s="24"/>
      <c r="M8" s="27">
        <f>H8*J8</f>
        <v>9527.768940504202</v>
      </c>
      <c r="N8" s="24"/>
    </row>
    <row r="9" spans="1:14" x14ac:dyDescent="0.2">
      <c r="A9" s="24" t="s">
        <v>114</v>
      </c>
      <c r="B9" s="25">
        <f>B30</f>
        <v>251398.31828090936</v>
      </c>
      <c r="C9" s="25">
        <f>B27</f>
        <v>156872550.60728744</v>
      </c>
      <c r="D9" s="25">
        <f>C9*harvest!$B$39/1000</f>
        <v>71156.133975060715</v>
      </c>
      <c r="E9" s="26" t="s">
        <v>95</v>
      </c>
      <c r="F9" s="24">
        <v>51</v>
      </c>
      <c r="G9" s="24" t="s">
        <v>126</v>
      </c>
      <c r="H9" s="27">
        <f>C9/1000*F9*365*0.453592/1000</f>
        <v>1324571.4339457552</v>
      </c>
      <c r="I9" s="24" t="s">
        <v>120</v>
      </c>
      <c r="J9" s="24">
        <v>0.11</v>
      </c>
      <c r="K9" s="24" t="s">
        <v>127</v>
      </c>
      <c r="L9" s="24">
        <f>J9*0.44*harvest!$B$39*365/1000</f>
        <v>8.0131562719999994E-3</v>
      </c>
      <c r="M9" s="21">
        <f>C9/1000*J9*365*0.453592/1000*(31*2)/(31*2+16*5)</f>
        <v>1247.3870725642159</v>
      </c>
      <c r="N9" s="24"/>
    </row>
    <row r="10" spans="1:14" x14ac:dyDescent="0.2">
      <c r="A10" s="24" t="s">
        <v>115</v>
      </c>
      <c r="B10" s="25">
        <f>B31</f>
        <v>878837.81852822099</v>
      </c>
      <c r="C10" s="25">
        <f>B28</f>
        <v>313745101.21457487</v>
      </c>
      <c r="D10" s="25">
        <f>C10*harvest!$B$39/1000</f>
        <v>142312.26795012143</v>
      </c>
      <c r="E10" s="26" t="s">
        <v>95</v>
      </c>
      <c r="F10" s="24">
        <v>60</v>
      </c>
      <c r="G10" s="24" t="s">
        <v>126</v>
      </c>
      <c r="H10" s="27">
        <f>C10/1000*F10*365*0.453592/1000</f>
        <v>3116638.6681076605</v>
      </c>
      <c r="I10" s="24" t="s">
        <v>120</v>
      </c>
      <c r="J10" s="24">
        <v>0.1</v>
      </c>
      <c r="K10" s="24" t="s">
        <v>127</v>
      </c>
      <c r="L10" s="24">
        <f>J10*0.44*harvest!$B$39*365/1000</f>
        <v>7.2846875200000012E-3</v>
      </c>
      <c r="M10" s="21">
        <f>C10/1000*J10*365*0.453592/1000*(31*2)/(31*2+16*5)</f>
        <v>2267.9764955713017</v>
      </c>
      <c r="N10" s="24"/>
    </row>
    <row r="11" spans="1:14" x14ac:dyDescent="0.2">
      <c r="A11" s="24" t="s">
        <v>116</v>
      </c>
      <c r="B11" s="25">
        <f>B32</f>
        <v>1129763.8631908696</v>
      </c>
      <c r="C11" s="25">
        <f>B29</f>
        <v>140004534.41295546</v>
      </c>
      <c r="D11" s="25">
        <f>C11*harvest!$B$39/1000</f>
        <v>63504.936773441295</v>
      </c>
      <c r="E11" s="26" t="s">
        <v>95</v>
      </c>
      <c r="F11" s="24">
        <v>20</v>
      </c>
      <c r="G11" s="24" t="s">
        <v>129</v>
      </c>
      <c r="H11" s="27">
        <f>C11/250*F11*365*0.453592/1000</f>
        <v>1854344.1537844855</v>
      </c>
      <c r="I11" s="24" t="s">
        <v>120</v>
      </c>
      <c r="J11" s="24">
        <v>0.02</v>
      </c>
      <c r="K11" s="24" t="s">
        <v>128</v>
      </c>
      <c r="L11" s="24">
        <f>J11*0.44*harvest!$B$39*365/1000*4</f>
        <v>5.8277500160000004E-3</v>
      </c>
      <c r="M11" s="21">
        <f>C11/250*J11*365*0.453592/1000*(31*2)/(31*2+16*5)</f>
        <v>809.64322207491637</v>
      </c>
      <c r="N11" s="24"/>
    </row>
    <row r="12" spans="1:14" x14ac:dyDescent="0.2">
      <c r="A12" s="24" t="s">
        <v>97</v>
      </c>
      <c r="B12" s="25">
        <v>290000</v>
      </c>
      <c r="C12" s="25">
        <f>B12*1229.7</f>
        <v>356613000</v>
      </c>
      <c r="D12" s="25">
        <f>C12*harvest!$B$39/1000</f>
        <v>161756.803896</v>
      </c>
      <c r="E12" s="26" t="s">
        <v>96</v>
      </c>
      <c r="F12" s="24" t="s">
        <v>131</v>
      </c>
      <c r="G12" s="24"/>
      <c r="H12" s="24"/>
      <c r="I12" s="24"/>
      <c r="J12" s="24"/>
      <c r="K12" s="24"/>
      <c r="L12" s="24"/>
      <c r="M12" s="27">
        <f>'human consumption'!H27</f>
        <v>405.04180827950614</v>
      </c>
      <c r="N12" s="24"/>
    </row>
    <row r="13" spans="1:14" x14ac:dyDescent="0.2">
      <c r="A13" s="24" t="s">
        <v>97</v>
      </c>
      <c r="B13" s="25">
        <v>290000</v>
      </c>
      <c r="C13" s="25">
        <f>B13*1229.7</f>
        <v>356613000</v>
      </c>
      <c r="D13" s="25">
        <f>C13*harvest!$B$39/1000</f>
        <v>161756.803896</v>
      </c>
      <c r="E13" s="26" t="s">
        <v>95</v>
      </c>
      <c r="F13" s="24">
        <v>104</v>
      </c>
      <c r="G13" s="24" t="s">
        <v>126</v>
      </c>
      <c r="H13" s="27">
        <f>C13/1000*F13*365*0.453592/1000</f>
        <v>6140288.2758921599</v>
      </c>
      <c r="I13" s="24" t="s">
        <v>120</v>
      </c>
      <c r="J13" s="24">
        <v>0.08</v>
      </c>
      <c r="K13" s="24" t="s">
        <v>130</v>
      </c>
      <c r="L13" s="24">
        <f>J13*harvest!$B$39*365/1000</f>
        <v>1.3244886399999999E-2</v>
      </c>
      <c r="M13" s="21">
        <f>C13/1000*J13*365*0.453592/1000</f>
        <v>4723.2986737632</v>
      </c>
      <c r="N13" s="24"/>
    </row>
    <row r="14" spans="1:14" x14ac:dyDescent="0.2">
      <c r="A14" s="17" t="s">
        <v>98</v>
      </c>
      <c r="B14" s="18">
        <v>325000</v>
      </c>
      <c r="C14" s="18">
        <f>B14*156.9</f>
        <v>50992500</v>
      </c>
      <c r="D14" s="18"/>
      <c r="E14" s="17" t="s">
        <v>100</v>
      </c>
      <c r="F14" s="17" t="s">
        <v>131</v>
      </c>
      <c r="G14" s="17"/>
      <c r="H14" s="17"/>
      <c r="I14" s="17"/>
      <c r="J14" s="17"/>
      <c r="K14" s="17"/>
      <c r="L14" s="17"/>
      <c r="M14" s="20">
        <f>'human consumption'!H29</f>
        <v>396.61604488465605</v>
      </c>
      <c r="N14" s="24"/>
    </row>
    <row r="15" spans="1:14" x14ac:dyDescent="0.2">
      <c r="A15" s="17" t="s">
        <v>98</v>
      </c>
      <c r="B15" s="18">
        <v>325000</v>
      </c>
      <c r="C15" s="18">
        <f>B15*156.9</f>
        <v>50992500</v>
      </c>
      <c r="D15" s="18"/>
      <c r="E15" s="17" t="s">
        <v>95</v>
      </c>
      <c r="F15" s="17">
        <v>65</v>
      </c>
      <c r="G15" s="17" t="s">
        <v>126</v>
      </c>
      <c r="H15" s="20">
        <f>C15/1000*F15*365*0.453592/1000</f>
        <v>548754.2691734999</v>
      </c>
      <c r="I15" s="17" t="s">
        <v>120</v>
      </c>
      <c r="J15" s="17">
        <v>0.09</v>
      </c>
      <c r="K15" s="17" t="s">
        <v>130</v>
      </c>
      <c r="L15" s="17"/>
      <c r="M15" s="20">
        <f>C15/1000*J15*365*0.453592/1000</f>
        <v>759.81360347099996</v>
      </c>
      <c r="N15" s="24"/>
    </row>
    <row r="16" spans="1:14" x14ac:dyDescent="0.2">
      <c r="A16" s="17" t="s">
        <v>99</v>
      </c>
      <c r="B16" s="18">
        <v>75000</v>
      </c>
      <c r="C16" s="18">
        <f>B16*100.9</f>
        <v>7567500</v>
      </c>
      <c r="D16" s="18"/>
      <c r="E16" s="17" t="s">
        <v>101</v>
      </c>
      <c r="F16" s="17" t="s">
        <v>131</v>
      </c>
      <c r="G16" s="17"/>
      <c r="H16" s="17"/>
      <c r="I16" s="17"/>
      <c r="J16" s="17"/>
      <c r="K16" s="17"/>
      <c r="L16" s="17"/>
      <c r="M16" s="20">
        <f>'human consumption'!H28</f>
        <v>6.0330327954285714</v>
      </c>
      <c r="N16" s="24"/>
    </row>
    <row r="17" spans="1:14" x14ac:dyDescent="0.2">
      <c r="A17" s="17" t="s">
        <v>99</v>
      </c>
      <c r="B17" s="18">
        <v>75000</v>
      </c>
      <c r="C17" s="18">
        <f>B17*100.9</f>
        <v>7567500</v>
      </c>
      <c r="D17" s="18"/>
      <c r="E17" s="17" t="s">
        <v>95</v>
      </c>
      <c r="F17" s="17">
        <v>40</v>
      </c>
      <c r="G17" s="17" t="s">
        <v>126</v>
      </c>
      <c r="H17" s="20">
        <f>C17/1000*F17*365*0.453592/1000</f>
        <v>50115.338916000001</v>
      </c>
      <c r="I17" s="17" t="s">
        <v>120</v>
      </c>
      <c r="J17" s="17">
        <v>7.0000000000000007E-2</v>
      </c>
      <c r="K17" s="17" t="s">
        <v>130</v>
      </c>
      <c r="L17" s="17"/>
      <c r="M17" s="20">
        <f>C17/1000*J17*365*0.453592/1000</f>
        <v>87.701843102999987</v>
      </c>
      <c r="N17" s="24"/>
    </row>
    <row r="18" spans="1:14" x14ac:dyDescent="0.2">
      <c r="A18" s="24"/>
      <c r="B18" s="25"/>
      <c r="C18" s="25"/>
      <c r="D18" s="25"/>
      <c r="E18" s="31" t="s">
        <v>96</v>
      </c>
      <c r="F18" s="31" t="s">
        <v>131</v>
      </c>
      <c r="G18" s="31"/>
      <c r="H18" s="31">
        <f>835744</f>
        <v>835744</v>
      </c>
      <c r="I18" s="31" t="s">
        <v>120</v>
      </c>
      <c r="J18" s="31">
        <v>610000</v>
      </c>
      <c r="K18" s="31" t="s">
        <v>163</v>
      </c>
      <c r="L18" s="31"/>
      <c r="M18" s="32">
        <v>509.8</v>
      </c>
      <c r="N18" s="24" t="s">
        <v>164</v>
      </c>
    </row>
    <row r="19" spans="1:14" ht="68" x14ac:dyDescent="0.2">
      <c r="A19" s="24"/>
      <c r="B19" s="25"/>
      <c r="C19" s="25"/>
      <c r="D19" s="25"/>
      <c r="E19" s="24"/>
      <c r="F19" s="24"/>
      <c r="G19" s="24"/>
      <c r="H19" s="38" t="s">
        <v>305</v>
      </c>
      <c r="I19" s="24"/>
      <c r="J19" s="38" t="s">
        <v>306</v>
      </c>
      <c r="K19" s="24"/>
      <c r="L19" s="24"/>
      <c r="M19" s="27"/>
      <c r="N19" s="24"/>
    </row>
    <row r="20" spans="1:14" x14ac:dyDescent="0.2">
      <c r="A20" s="24"/>
      <c r="B20" s="25"/>
      <c r="C20" s="25"/>
      <c r="D20" s="25"/>
      <c r="E20" s="24"/>
      <c r="F20" s="24"/>
      <c r="G20" s="24"/>
      <c r="H20" s="24"/>
      <c r="I20" s="24"/>
      <c r="J20" s="33" t="s">
        <v>165</v>
      </c>
      <c r="K20" s="24"/>
      <c r="L20" s="24"/>
      <c r="M20" s="27"/>
      <c r="N20" s="24"/>
    </row>
    <row r="24" spans="1:14" x14ac:dyDescent="0.2">
      <c r="A24" s="15" t="s">
        <v>113</v>
      </c>
      <c r="F24" s="15" t="s">
        <v>132</v>
      </c>
      <c r="G24" s="3" t="s">
        <v>138</v>
      </c>
      <c r="I24" s="15" t="s">
        <v>149</v>
      </c>
      <c r="J24" s="3" t="s">
        <v>150</v>
      </c>
    </row>
    <row r="25" spans="1:14" x14ac:dyDescent="0.2">
      <c r="A25" s="3" t="s">
        <v>103</v>
      </c>
      <c r="B25" s="7">
        <v>1280000</v>
      </c>
      <c r="C25" s="3" t="s">
        <v>72</v>
      </c>
      <c r="D25" s="3"/>
      <c r="F25" s="3" t="s">
        <v>133</v>
      </c>
      <c r="G25" s="3">
        <f>101399</f>
        <v>101399</v>
      </c>
      <c r="H25" s="3" t="s">
        <v>136</v>
      </c>
      <c r="I25" s="3" t="s">
        <v>144</v>
      </c>
      <c r="J25" s="3">
        <v>45</v>
      </c>
      <c r="K25" s="3" t="s">
        <v>145</v>
      </c>
    </row>
    <row r="26" spans="1:14" x14ac:dyDescent="0.2">
      <c r="A26" s="3" t="s">
        <v>104</v>
      </c>
      <c r="B26" s="7">
        <f>B25*651</f>
        <v>833280000</v>
      </c>
      <c r="C26" s="3" t="s">
        <v>45</v>
      </c>
      <c r="D26" s="3"/>
      <c r="F26" s="3" t="s">
        <v>134</v>
      </c>
      <c r="G26" s="3">
        <f>44%</f>
        <v>0.44</v>
      </c>
      <c r="I26" s="3" t="s">
        <v>146</v>
      </c>
      <c r="J26" s="3">
        <v>3900000</v>
      </c>
      <c r="K26" s="3" t="s">
        <v>147</v>
      </c>
    </row>
    <row r="27" spans="1:14" x14ac:dyDescent="0.2">
      <c r="A27" s="3" t="s">
        <v>105</v>
      </c>
      <c r="B27" s="7">
        <f>B26*93/494</f>
        <v>156872550.60728744</v>
      </c>
      <c r="C27" s="3" t="s">
        <v>45</v>
      </c>
      <c r="D27" s="3"/>
      <c r="F27" s="3" t="s">
        <v>135</v>
      </c>
      <c r="G27" s="3">
        <f>G25*G26*harvest!B48/1000</f>
        <v>40474.555198554393</v>
      </c>
      <c r="H27" s="3" t="s">
        <v>137</v>
      </c>
      <c r="I27" s="3" t="s">
        <v>148</v>
      </c>
      <c r="J27" s="3">
        <f>J25*J26*harvest!B39/1000</f>
        <v>79605.395999999993</v>
      </c>
      <c r="K27" s="3" t="s">
        <v>137</v>
      </c>
    </row>
    <row r="28" spans="1:14" x14ac:dyDescent="0.2">
      <c r="A28" s="3" t="s">
        <v>106</v>
      </c>
      <c r="B28" s="7">
        <f>B26*186/494</f>
        <v>313745101.21457487</v>
      </c>
      <c r="C28" s="3" t="s">
        <v>45</v>
      </c>
      <c r="D28" s="3"/>
    </row>
    <row r="29" spans="1:14" x14ac:dyDescent="0.2">
      <c r="A29" s="3" t="s">
        <v>107</v>
      </c>
      <c r="B29" s="7">
        <f>83*B26/494</f>
        <v>140004534.41295546</v>
      </c>
      <c r="C29" s="3" t="s">
        <v>45</v>
      </c>
      <c r="D29" s="3"/>
      <c r="F29" s="15" t="s">
        <v>139</v>
      </c>
      <c r="G29" s="3" t="s">
        <v>140</v>
      </c>
    </row>
    <row r="30" spans="1:14" x14ac:dyDescent="0.2">
      <c r="A30" s="3" t="s">
        <v>108</v>
      </c>
      <c r="B30" s="7">
        <f>B27/624</f>
        <v>251398.31828090936</v>
      </c>
      <c r="C30" s="3" t="s">
        <v>72</v>
      </c>
      <c r="D30" s="3"/>
      <c r="F30" s="3" t="s">
        <v>141</v>
      </c>
      <c r="G30" s="3">
        <v>5814000</v>
      </c>
    </row>
    <row r="31" spans="1:14" x14ac:dyDescent="0.2">
      <c r="A31" s="3" t="s">
        <v>109</v>
      </c>
      <c r="B31" s="7">
        <f>B28/357</f>
        <v>878837.81852822099</v>
      </c>
      <c r="C31" s="3" t="s">
        <v>72</v>
      </c>
      <c r="D31" s="3"/>
      <c r="F31" s="3" t="s">
        <v>151</v>
      </c>
      <c r="G31" s="3">
        <v>212</v>
      </c>
      <c r="H31" s="3" t="s">
        <v>152</v>
      </c>
    </row>
    <row r="32" spans="1:14" x14ac:dyDescent="0.2">
      <c r="A32" s="3" t="s">
        <v>110</v>
      </c>
      <c r="B32" s="7">
        <f>3540000-B25-B30-B31</f>
        <v>1129763.8631908696</v>
      </c>
      <c r="C32" s="3" t="s">
        <v>72</v>
      </c>
      <c r="D32" s="3"/>
      <c r="F32" s="3" t="s">
        <v>153</v>
      </c>
      <c r="G32" s="3">
        <v>3.5</v>
      </c>
      <c r="H32" s="3" t="s">
        <v>154</v>
      </c>
    </row>
    <row r="33" spans="1:14" x14ac:dyDescent="0.2">
      <c r="A33" s="3" t="s">
        <v>111</v>
      </c>
      <c r="B33" s="7">
        <f>B29/B32</f>
        <v>123.92371448094565</v>
      </c>
      <c r="C33" s="3" t="s">
        <v>45</v>
      </c>
      <c r="D33" s="3"/>
      <c r="F33" s="3" t="s">
        <v>142</v>
      </c>
      <c r="G33" s="3">
        <v>0.85</v>
      </c>
    </row>
    <row r="34" spans="1:14" x14ac:dyDescent="0.2">
      <c r="F34" s="3" t="s">
        <v>143</v>
      </c>
      <c r="G34" s="3">
        <f>G30*G31*3.78*G32/1000000*365*G33/1000</f>
        <v>5059.2078570599997</v>
      </c>
      <c r="H34" s="3" t="s">
        <v>120</v>
      </c>
    </row>
    <row r="36" spans="1:14" x14ac:dyDescent="0.2">
      <c r="A36" s="4" t="s">
        <v>157</v>
      </c>
      <c r="F36" s="15" t="s">
        <v>465</v>
      </c>
    </row>
    <row r="37" spans="1:14" ht="34" x14ac:dyDescent="0.2">
      <c r="A37" s="3" t="s">
        <v>158</v>
      </c>
      <c r="B37" s="7">
        <f xml:space="preserve"> B26/B25</f>
        <v>651</v>
      </c>
      <c r="C37" s="7" t="s">
        <v>45</v>
      </c>
      <c r="F37" s="4" t="s">
        <v>92</v>
      </c>
      <c r="G37" s="6" t="s">
        <v>112</v>
      </c>
      <c r="H37" s="4" t="s">
        <v>27</v>
      </c>
      <c r="I37" s="4" t="s">
        <v>26</v>
      </c>
      <c r="J37" s="4" t="s">
        <v>93</v>
      </c>
      <c r="K37" s="4" t="s">
        <v>117</v>
      </c>
      <c r="L37" s="4"/>
      <c r="M37" s="63" t="s">
        <v>466</v>
      </c>
      <c r="N37" s="3" t="s">
        <v>469</v>
      </c>
    </row>
    <row r="38" spans="1:14" x14ac:dyDescent="0.2">
      <c r="A38" s="3" t="s">
        <v>159</v>
      </c>
      <c r="B38" s="7">
        <f xml:space="preserve"> B27/B30</f>
        <v>624</v>
      </c>
      <c r="C38" s="7" t="s">
        <v>45</v>
      </c>
      <c r="F38" s="24" t="s">
        <v>94</v>
      </c>
      <c r="G38" s="25">
        <v>833280000</v>
      </c>
      <c r="H38" s="24">
        <v>0.37</v>
      </c>
      <c r="I38" s="24" t="s">
        <v>127</v>
      </c>
      <c r="J38" s="24">
        <v>111</v>
      </c>
      <c r="K38" s="24" t="s">
        <v>126</v>
      </c>
      <c r="L38" s="24"/>
      <c r="M38" s="64">
        <f>H38/J38*0.44</f>
        <v>1.4666666666666667E-3</v>
      </c>
      <c r="N38" s="3">
        <f>M38*G38/$G$43</f>
        <v>6.7877461370137633E-4</v>
      </c>
    </row>
    <row r="39" spans="1:14" x14ac:dyDescent="0.2">
      <c r="A39" s="3" t="s">
        <v>160</v>
      </c>
      <c r="B39" s="7">
        <f xml:space="preserve"> B28/B31</f>
        <v>357</v>
      </c>
      <c r="C39" s="7" t="s">
        <v>45</v>
      </c>
      <c r="F39" s="24" t="s">
        <v>114</v>
      </c>
      <c r="G39" s="25">
        <v>156872550.60728744</v>
      </c>
      <c r="H39" s="24">
        <v>0.11</v>
      </c>
      <c r="I39" s="24" t="s">
        <v>127</v>
      </c>
      <c r="J39" s="24">
        <v>51</v>
      </c>
      <c r="K39" s="24" t="s">
        <v>126</v>
      </c>
      <c r="L39" s="24"/>
      <c r="M39" s="64">
        <f t="shared" ref="M39:M41" si="0">H39/J39*0.44</f>
        <v>9.4901960784313721E-4</v>
      </c>
      <c r="N39" s="3">
        <f>M39*G39/$G$43</f>
        <v>8.2684738011015455E-5</v>
      </c>
    </row>
    <row r="40" spans="1:14" x14ac:dyDescent="0.2">
      <c r="A40" s="3" t="s">
        <v>161</v>
      </c>
      <c r="B40" s="7">
        <f xml:space="preserve"> B29/B32</f>
        <v>123.92371448094565</v>
      </c>
      <c r="C40" s="7" t="s">
        <v>45</v>
      </c>
      <c r="F40" s="24" t="s">
        <v>115</v>
      </c>
      <c r="G40" s="25">
        <v>313745101.21457487</v>
      </c>
      <c r="H40" s="24">
        <v>0.1</v>
      </c>
      <c r="I40" s="24" t="s">
        <v>127</v>
      </c>
      <c r="J40" s="24">
        <v>60</v>
      </c>
      <c r="K40" s="24" t="s">
        <v>126</v>
      </c>
      <c r="L40" s="24"/>
      <c r="M40" s="64">
        <f t="shared" si="0"/>
        <v>7.3333333333333334E-4</v>
      </c>
      <c r="N40" s="3">
        <f>M40*G40/$G$43</f>
        <v>1.2778550419884207E-4</v>
      </c>
    </row>
    <row r="41" spans="1:14" x14ac:dyDescent="0.2">
      <c r="A41" s="4" t="s">
        <v>162</v>
      </c>
      <c r="B41" s="3"/>
      <c r="F41" s="24" t="s">
        <v>116</v>
      </c>
      <c r="G41" s="25">
        <v>140004534.41295546</v>
      </c>
      <c r="H41" s="24">
        <v>0.08</v>
      </c>
      <c r="I41" s="24" t="s">
        <v>127</v>
      </c>
      <c r="J41" s="24">
        <v>80</v>
      </c>
      <c r="K41" s="24" t="s">
        <v>129</v>
      </c>
      <c r="L41" s="24"/>
      <c r="M41" s="64">
        <f t="shared" si="0"/>
        <v>4.4000000000000002E-4</v>
      </c>
      <c r="N41" s="3">
        <f>M41*G41/$G$43</f>
        <v>3.4213538220980302E-5</v>
      </c>
    </row>
    <row r="42" spans="1:14" x14ac:dyDescent="0.2">
      <c r="A42" s="3">
        <f xml:space="preserve"> SUM(C6:C12)/SUM(B6:B12)</f>
        <v>470.10840371666262</v>
      </c>
      <c r="B42" s="3" t="s">
        <v>45</v>
      </c>
      <c r="F42" s="24" t="s">
        <v>97</v>
      </c>
      <c r="G42" s="25">
        <v>356613000</v>
      </c>
      <c r="H42" s="24">
        <v>0.08</v>
      </c>
      <c r="I42" s="24" t="s">
        <v>130</v>
      </c>
      <c r="J42" s="24">
        <v>104</v>
      </c>
      <c r="K42" s="24" t="s">
        <v>126</v>
      </c>
      <c r="L42" s="24"/>
      <c r="M42" s="64">
        <f>H42/J42</f>
        <v>7.6923076923076923E-4</v>
      </c>
      <c r="N42" s="3">
        <f>M42*G42/$G$43</f>
        <v>1.5235511169519046E-4</v>
      </c>
    </row>
    <row r="43" spans="1:14" x14ac:dyDescent="0.2">
      <c r="F43" s="3" t="s">
        <v>468</v>
      </c>
      <c r="G43" s="7">
        <f>SUM(G38:G42)</f>
        <v>1800515186.2348177</v>
      </c>
    </row>
    <row r="44" spans="1:14" x14ac:dyDescent="0.2">
      <c r="J44" s="4" t="s">
        <v>467</v>
      </c>
      <c r="K44" s="3">
        <f>SUM(N38:N42)</f>
        <v>1.0758135058274046E-3</v>
      </c>
    </row>
  </sheetData>
  <mergeCells count="1">
    <mergeCell ref="A1:C1"/>
  </mergeCells>
  <pageMargins left="0.7" right="0.7" top="0.75" bottom="0.75" header="0.3" footer="0.3"/>
  <pageSetup orientation="portrait" horizontalDpi="0" verticalDpi="0"/>
  <ignoredErrors>
    <ignoredError sqref="M14 M1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5"/>
  <sheetViews>
    <sheetView workbookViewId="0">
      <selection activeCell="B15" sqref="B15"/>
    </sheetView>
  </sheetViews>
  <sheetFormatPr baseColWidth="10" defaultColWidth="8.6640625" defaultRowHeight="16" x14ac:dyDescent="0.2"/>
  <cols>
    <col min="1" max="1" width="11.83203125" style="3" customWidth="1"/>
    <col min="2" max="2" width="42.83203125" style="3" customWidth="1"/>
    <col min="3" max="3" width="19.1640625" style="3" customWidth="1"/>
    <col min="4" max="4" width="28" style="3" customWidth="1"/>
    <col min="5" max="5" width="25.6640625" style="3" customWidth="1"/>
    <col min="6" max="16384" width="8.6640625" style="3"/>
  </cols>
  <sheetData>
    <row r="2" spans="1:5" s="4" customFormat="1" x14ac:dyDescent="0.2">
      <c r="B2" s="4" t="s">
        <v>20</v>
      </c>
      <c r="C2" s="4" t="s">
        <v>192</v>
      </c>
      <c r="D2" s="4" t="s">
        <v>63</v>
      </c>
      <c r="E2" s="4" t="s">
        <v>193</v>
      </c>
    </row>
    <row r="3" spans="1:5" x14ac:dyDescent="0.2">
      <c r="A3" s="3" t="s">
        <v>188</v>
      </c>
      <c r="B3" s="3" t="s">
        <v>3</v>
      </c>
      <c r="C3" s="3">
        <v>0.2</v>
      </c>
      <c r="D3" s="3">
        <v>5.5509954719917354E-4</v>
      </c>
      <c r="E3" s="3">
        <f xml:space="preserve"> C3*D3</f>
        <v>1.1101990943983471E-4</v>
      </c>
    </row>
    <row r="4" spans="1:5" x14ac:dyDescent="0.2">
      <c r="A4" s="3" t="s">
        <v>188</v>
      </c>
      <c r="B4" s="3" t="s">
        <v>187</v>
      </c>
      <c r="C4" s="3">
        <v>0.2</v>
      </c>
      <c r="D4" s="3">
        <v>2.2799981401803557E-3</v>
      </c>
      <c r="E4" s="3">
        <f t="shared" ref="E4:E6" si="0" xml:space="preserve"> C4*D4</f>
        <v>4.5599962803607118E-4</v>
      </c>
    </row>
    <row r="5" spans="1:5" x14ac:dyDescent="0.2">
      <c r="A5" s="3" t="s">
        <v>186</v>
      </c>
      <c r="B5" s="3" t="s">
        <v>2</v>
      </c>
      <c r="C5" s="3">
        <v>0.3</v>
      </c>
      <c r="D5" s="3">
        <v>2.7035663197014317E-3</v>
      </c>
      <c r="E5" s="3">
        <f t="shared" si="0"/>
        <v>8.1106989591042949E-4</v>
      </c>
    </row>
    <row r="6" spans="1:5" x14ac:dyDescent="0.2">
      <c r="A6" s="3" t="s">
        <v>186</v>
      </c>
      <c r="B6" s="3" t="s">
        <v>5</v>
      </c>
      <c r="C6" s="3">
        <v>0.3</v>
      </c>
      <c r="D6" s="3">
        <v>6.0501168235294117E-3</v>
      </c>
      <c r="E6" s="3">
        <f t="shared" si="0"/>
        <v>1.8150350470588234E-3</v>
      </c>
    </row>
    <row r="7" spans="1:5" x14ac:dyDescent="0.2">
      <c r="A7" s="3" t="s">
        <v>194</v>
      </c>
      <c r="E7" s="35">
        <f xml:space="preserve"> SUM(E3:E6)</f>
        <v>3.1931244804451588E-3</v>
      </c>
    </row>
    <row r="13" spans="1:5" x14ac:dyDescent="0.2">
      <c r="A13" s="4" t="s">
        <v>180</v>
      </c>
    </row>
    <row r="14" spans="1:5" x14ac:dyDescent="0.2">
      <c r="A14" s="3" t="s">
        <v>184</v>
      </c>
      <c r="B14" s="3" t="s">
        <v>189</v>
      </c>
    </row>
    <row r="15" spans="1:5" x14ac:dyDescent="0.2">
      <c r="A15" s="3" t="s">
        <v>190</v>
      </c>
      <c r="B15" s="3"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22"/>
  <sheetViews>
    <sheetView workbookViewId="0">
      <selection activeCell="F15" sqref="F15"/>
    </sheetView>
  </sheetViews>
  <sheetFormatPr baseColWidth="10" defaultColWidth="8.6640625" defaultRowHeight="16" x14ac:dyDescent="0.2"/>
  <cols>
    <col min="1" max="1" width="18.33203125" style="3" customWidth="1"/>
    <col min="2" max="2" width="13" style="3" customWidth="1"/>
    <col min="3" max="3" width="13.6640625" style="3" customWidth="1"/>
    <col min="4" max="4" width="21.1640625" style="3" customWidth="1"/>
    <col min="5" max="5" width="12.83203125" style="3" customWidth="1"/>
    <col min="6" max="6" width="11" style="3" customWidth="1"/>
    <col min="7" max="7" width="26.33203125" style="3" customWidth="1"/>
    <col min="8" max="8" width="32.5" style="3" customWidth="1"/>
    <col min="9" max="16384" width="8.6640625" style="3"/>
  </cols>
  <sheetData>
    <row r="2" spans="1:8" s="4" customFormat="1" x14ac:dyDescent="0.2">
      <c r="A2" s="4" t="s">
        <v>20</v>
      </c>
      <c r="B2" s="4" t="s">
        <v>171</v>
      </c>
      <c r="C2" s="4" t="s">
        <v>173</v>
      </c>
      <c r="D2" s="4" t="s">
        <v>174</v>
      </c>
      <c r="E2" s="4" t="s">
        <v>175</v>
      </c>
      <c r="G2" s="4" t="s">
        <v>63</v>
      </c>
      <c r="H2" s="4" t="s">
        <v>177</v>
      </c>
    </row>
    <row r="3" spans="1:8" x14ac:dyDescent="0.2">
      <c r="A3" s="3" t="s">
        <v>43</v>
      </c>
      <c r="B3" s="7">
        <v>264900000</v>
      </c>
      <c r="C3" s="3" t="s">
        <v>31</v>
      </c>
      <c r="D3" s="3">
        <f xml:space="preserve"> B3/3.5*B15/1000</f>
        <v>1922507.9657142856</v>
      </c>
      <c r="E3" s="34">
        <f xml:space="preserve"> D3/SUM(D3:D6)</f>
        <v>0.29520091973819207</v>
      </c>
      <c r="G3" s="3">
        <v>2.7035663197014317E-3</v>
      </c>
      <c r="H3" s="3">
        <f xml:space="preserve"> E3*G3</f>
        <v>7.9809526414906164E-4</v>
      </c>
    </row>
    <row r="4" spans="1:8" x14ac:dyDescent="0.2">
      <c r="A4" s="3" t="s">
        <v>172</v>
      </c>
      <c r="B4" s="7">
        <v>481800000</v>
      </c>
      <c r="C4" s="3" t="s">
        <v>32</v>
      </c>
      <c r="D4" s="3">
        <f xml:space="preserve"> B4/8.6*B16/1000</f>
        <v>1523832.5581395349</v>
      </c>
      <c r="E4" s="34">
        <f xml:space="preserve"> D4/SUM(D3:D6)</f>
        <v>0.23398434789978156</v>
      </c>
      <c r="G4" s="3">
        <v>6.0501168235294117E-3</v>
      </c>
      <c r="H4" s="3">
        <f t="shared" ref="H4:H6" si="0" xml:space="preserve"> E4*G4</f>
        <v>1.4156326396710273E-3</v>
      </c>
    </row>
    <row r="5" spans="1:8" x14ac:dyDescent="0.2">
      <c r="A5" s="3" t="s">
        <v>196</v>
      </c>
      <c r="B5" s="7">
        <v>210700000</v>
      </c>
      <c r="C5" s="3" t="s">
        <v>33</v>
      </c>
      <c r="D5" s="3">
        <f xml:space="preserve"> B5/12*B22/1000</f>
        <v>796432.60299166653</v>
      </c>
      <c r="E5" s="34">
        <f xml:space="preserve"> D5/SUM(D3:D6)</f>
        <v>0.12229215228519004</v>
      </c>
      <c r="G5" s="3">
        <v>5.6299954075506172E-4</v>
      </c>
      <c r="H5" s="3">
        <f t="shared" si="0"/>
        <v>6.885042557451006E-5</v>
      </c>
    </row>
    <row r="6" spans="1:8" x14ac:dyDescent="0.2">
      <c r="A6" s="3" t="s">
        <v>178</v>
      </c>
      <c r="B6" s="7">
        <v>219600000</v>
      </c>
      <c r="C6" s="3" t="s">
        <v>179</v>
      </c>
      <c r="D6" s="3">
        <f xml:space="preserve"> B6/96.75</f>
        <v>2269767.4418604653</v>
      </c>
      <c r="E6" s="34">
        <f xml:space="preserve"> D6/SUM(D3:D6)</f>
        <v>0.34852258007683629</v>
      </c>
      <c r="G6" s="3">
        <v>3.1931244804451588E-3</v>
      </c>
      <c r="H6" s="3">
        <f t="shared" si="0"/>
        <v>1.1128759824312541E-3</v>
      </c>
    </row>
    <row r="7" spans="1:8" x14ac:dyDescent="0.2">
      <c r="A7" s="3" t="s">
        <v>176</v>
      </c>
      <c r="E7" s="34"/>
      <c r="H7" s="35">
        <f xml:space="preserve"> SUM(H3:H6)</f>
        <v>3.3954543118258533E-3</v>
      </c>
    </row>
    <row r="13" spans="1:8" x14ac:dyDescent="0.2">
      <c r="A13" s="23" t="s">
        <v>42</v>
      </c>
      <c r="E13" s="4" t="s">
        <v>180</v>
      </c>
    </row>
    <row r="14" spans="1:8" x14ac:dyDescent="0.2">
      <c r="A14" s="4" t="s">
        <v>24</v>
      </c>
      <c r="B14" s="4" t="s">
        <v>45</v>
      </c>
      <c r="C14" s="4" t="s">
        <v>44</v>
      </c>
      <c r="E14" s="3" t="s">
        <v>197</v>
      </c>
      <c r="F14" s="3" t="s">
        <v>198</v>
      </c>
    </row>
    <row r="15" spans="1:8" x14ac:dyDescent="0.2">
      <c r="A15" s="3">
        <v>1</v>
      </c>
      <c r="B15" s="3">
        <v>25.401199999999999</v>
      </c>
      <c r="C15" s="3" t="s">
        <v>43</v>
      </c>
      <c r="E15" s="3" t="s">
        <v>184</v>
      </c>
      <c r="F15" s="3" t="s">
        <v>185</v>
      </c>
    </row>
    <row r="16" spans="1:8" x14ac:dyDescent="0.2">
      <c r="A16" s="3">
        <v>1</v>
      </c>
      <c r="B16" s="3">
        <v>27.2</v>
      </c>
      <c r="C16" s="3" t="s">
        <v>5</v>
      </c>
      <c r="E16" s="3" t="s">
        <v>199</v>
      </c>
      <c r="F16" s="3" t="s">
        <v>200</v>
      </c>
    </row>
    <row r="17" spans="1:6" x14ac:dyDescent="0.2">
      <c r="A17" s="3">
        <v>1</v>
      </c>
      <c r="B17" s="3">
        <v>27.215499999999999</v>
      </c>
      <c r="C17" s="3" t="s">
        <v>46</v>
      </c>
      <c r="E17" s="3" t="s">
        <v>182</v>
      </c>
      <c r="F17" s="3" t="s">
        <v>181</v>
      </c>
    </row>
    <row r="18" spans="1:6" x14ac:dyDescent="0.2">
      <c r="A18" s="3">
        <v>1</v>
      </c>
      <c r="B18" s="3">
        <v>14.515000000000001</v>
      </c>
      <c r="C18" s="3" t="s">
        <v>47</v>
      </c>
      <c r="E18" s="3" t="s">
        <v>183</v>
      </c>
      <c r="F18" s="3" t="s">
        <v>195</v>
      </c>
    </row>
    <row r="19" spans="1:6" x14ac:dyDescent="0.2">
      <c r="A19" s="3">
        <v>1</v>
      </c>
      <c r="B19" s="3">
        <v>21.772400000000001</v>
      </c>
      <c r="C19" s="3" t="s">
        <v>16</v>
      </c>
      <c r="E19" s="3" t="s">
        <v>201</v>
      </c>
      <c r="F19" s="3" t="s">
        <v>202</v>
      </c>
    </row>
    <row r="21" spans="1:6" x14ac:dyDescent="0.2">
      <c r="A21" s="4" t="s">
        <v>25</v>
      </c>
      <c r="B21" s="4" t="s">
        <v>45</v>
      </c>
    </row>
    <row r="22" spans="1:6" x14ac:dyDescent="0.2">
      <c r="A22" s="3">
        <v>1</v>
      </c>
      <c r="B22" s="3">
        <v>45.359237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88"/>
  <sheetViews>
    <sheetView tabSelected="1" topLeftCell="A75" workbookViewId="0">
      <selection activeCell="E82" sqref="E82"/>
    </sheetView>
  </sheetViews>
  <sheetFormatPr baseColWidth="10" defaultColWidth="8.6640625" defaultRowHeight="16" x14ac:dyDescent="0.2"/>
  <cols>
    <col min="1" max="1" width="13.1640625" style="3" customWidth="1"/>
    <col min="2" max="2" width="37.83203125" style="47" customWidth="1"/>
    <col min="3" max="3" width="22.5" style="36" customWidth="1"/>
    <col min="4" max="4" width="40.5" style="37" customWidth="1"/>
    <col min="5" max="5" width="65.1640625" style="47" customWidth="1"/>
    <col min="6" max="6" width="16.83203125" style="3" customWidth="1"/>
    <col min="7" max="7" width="14.6640625" style="3" customWidth="1"/>
    <col min="8" max="8" width="8.6640625" style="3"/>
    <col min="9" max="9" width="18.1640625" style="3" customWidth="1"/>
    <col min="10" max="16384" width="8.6640625" style="3"/>
  </cols>
  <sheetData>
    <row r="2" spans="1:7" s="4" customFormat="1" ht="17" x14ac:dyDescent="0.2">
      <c r="A2" s="4" t="s">
        <v>203</v>
      </c>
      <c r="B2" s="46" t="s">
        <v>209</v>
      </c>
      <c r="C2" s="4" t="s">
        <v>208</v>
      </c>
      <c r="D2" s="4" t="s">
        <v>204</v>
      </c>
      <c r="E2" s="46" t="s">
        <v>205</v>
      </c>
      <c r="F2" s="4" t="s">
        <v>206</v>
      </c>
      <c r="G2" s="4" t="s">
        <v>207</v>
      </c>
    </row>
    <row r="3" spans="1:7" ht="17" x14ac:dyDescent="0.2">
      <c r="A3" s="3" t="s">
        <v>210</v>
      </c>
      <c r="B3" s="47" t="s">
        <v>227</v>
      </c>
      <c r="C3" s="36" t="s">
        <v>226</v>
      </c>
      <c r="D3" s="37" t="s">
        <v>228</v>
      </c>
      <c r="F3" s="3" t="s">
        <v>231</v>
      </c>
      <c r="G3" s="3" t="s">
        <v>234</v>
      </c>
    </row>
    <row r="4" spans="1:7" ht="17" x14ac:dyDescent="0.2">
      <c r="A4" s="3" t="s">
        <v>211</v>
      </c>
      <c r="B4" s="47" t="s">
        <v>227</v>
      </c>
      <c r="C4" s="36" t="s">
        <v>226</v>
      </c>
      <c r="D4" s="37" t="s">
        <v>228</v>
      </c>
      <c r="F4" s="3" t="s">
        <v>231</v>
      </c>
      <c r="G4" s="3" t="s">
        <v>234</v>
      </c>
    </row>
    <row r="5" spans="1:7" ht="17" x14ac:dyDescent="0.2">
      <c r="A5" s="3" t="s">
        <v>212</v>
      </c>
      <c r="B5" s="47" t="s">
        <v>227</v>
      </c>
      <c r="C5" s="36" t="s">
        <v>226</v>
      </c>
      <c r="D5" s="37" t="s">
        <v>228</v>
      </c>
      <c r="F5" s="3" t="s">
        <v>231</v>
      </c>
      <c r="G5" s="3" t="s">
        <v>234</v>
      </c>
    </row>
    <row r="6" spans="1:7" ht="17" x14ac:dyDescent="0.2">
      <c r="A6" s="3" t="s">
        <v>213</v>
      </c>
      <c r="B6" s="47" t="s">
        <v>227</v>
      </c>
      <c r="C6" s="36" t="s">
        <v>226</v>
      </c>
      <c r="D6" s="37" t="s">
        <v>228</v>
      </c>
      <c r="F6" s="3" t="s">
        <v>231</v>
      </c>
      <c r="G6" s="3" t="s">
        <v>234</v>
      </c>
    </row>
    <row r="7" spans="1:7" ht="17" x14ac:dyDescent="0.2">
      <c r="A7" s="3" t="s">
        <v>214</v>
      </c>
      <c r="B7" s="47" t="s">
        <v>227</v>
      </c>
      <c r="C7" s="36" t="s">
        <v>226</v>
      </c>
      <c r="D7" s="37" t="s">
        <v>228</v>
      </c>
      <c r="F7" s="3" t="s">
        <v>231</v>
      </c>
      <c r="G7" s="3" t="s">
        <v>234</v>
      </c>
    </row>
    <row r="8" spans="1:7" ht="17" x14ac:dyDescent="0.2">
      <c r="A8" s="3" t="s">
        <v>215</v>
      </c>
      <c r="B8" s="47" t="s">
        <v>227</v>
      </c>
      <c r="C8" s="36" t="s">
        <v>226</v>
      </c>
      <c r="D8" s="37" t="s">
        <v>228</v>
      </c>
      <c r="F8" s="3" t="s">
        <v>231</v>
      </c>
      <c r="G8" s="3" t="s">
        <v>234</v>
      </c>
    </row>
    <row r="9" spans="1:7" ht="17" x14ac:dyDescent="0.2">
      <c r="A9" s="3" t="s">
        <v>216</v>
      </c>
      <c r="B9" s="47" t="s">
        <v>227</v>
      </c>
      <c r="C9" s="36" t="s">
        <v>226</v>
      </c>
      <c r="D9" s="37" t="s">
        <v>228</v>
      </c>
      <c r="F9" s="3" t="s">
        <v>231</v>
      </c>
      <c r="G9" s="3" t="s">
        <v>234</v>
      </c>
    </row>
    <row r="10" spans="1:7" ht="17" x14ac:dyDescent="0.2">
      <c r="A10" s="3" t="s">
        <v>225</v>
      </c>
      <c r="B10" s="47" t="s">
        <v>227</v>
      </c>
      <c r="C10" s="36" t="s">
        <v>226</v>
      </c>
      <c r="D10" s="37" t="s">
        <v>228</v>
      </c>
      <c r="F10" s="3" t="s">
        <v>231</v>
      </c>
      <c r="G10" s="3" t="s">
        <v>234</v>
      </c>
    </row>
    <row r="11" spans="1:7" ht="17" x14ac:dyDescent="0.2">
      <c r="A11" s="3" t="s">
        <v>217</v>
      </c>
      <c r="B11" s="47" t="s">
        <v>229</v>
      </c>
      <c r="C11" s="36" t="s">
        <v>230</v>
      </c>
      <c r="D11" s="37" t="s">
        <v>236</v>
      </c>
      <c r="F11" s="3" t="s">
        <v>233</v>
      </c>
      <c r="G11" s="3" t="s">
        <v>235</v>
      </c>
    </row>
    <row r="12" spans="1:7" ht="17" x14ac:dyDescent="0.2">
      <c r="A12" s="3" t="s">
        <v>218</v>
      </c>
      <c r="B12" s="47" t="s">
        <v>229</v>
      </c>
      <c r="C12" s="36" t="s">
        <v>230</v>
      </c>
      <c r="D12" s="37" t="s">
        <v>236</v>
      </c>
      <c r="F12" s="3" t="s">
        <v>233</v>
      </c>
      <c r="G12" s="3" t="s">
        <v>235</v>
      </c>
    </row>
    <row r="13" spans="1:7" ht="17" x14ac:dyDescent="0.2">
      <c r="A13" s="3" t="s">
        <v>219</v>
      </c>
      <c r="B13" s="47" t="s">
        <v>229</v>
      </c>
      <c r="C13" s="36" t="s">
        <v>230</v>
      </c>
      <c r="D13" s="37" t="s">
        <v>236</v>
      </c>
      <c r="F13" s="3" t="s">
        <v>233</v>
      </c>
      <c r="G13" s="3" t="s">
        <v>235</v>
      </c>
    </row>
    <row r="14" spans="1:7" ht="17" x14ac:dyDescent="0.2">
      <c r="A14" s="3" t="s">
        <v>220</v>
      </c>
      <c r="B14" s="47" t="s">
        <v>229</v>
      </c>
      <c r="C14" s="36" t="s">
        <v>230</v>
      </c>
      <c r="D14" s="37" t="s">
        <v>236</v>
      </c>
      <c r="F14" s="3" t="s">
        <v>233</v>
      </c>
      <c r="G14" s="3" t="s">
        <v>235</v>
      </c>
    </row>
    <row r="15" spans="1:7" ht="17" x14ac:dyDescent="0.2">
      <c r="A15" s="3" t="s">
        <v>221</v>
      </c>
      <c r="B15" s="47" t="s">
        <v>229</v>
      </c>
      <c r="C15" s="36" t="s">
        <v>230</v>
      </c>
      <c r="D15" s="37" t="s">
        <v>236</v>
      </c>
      <c r="F15" s="3" t="s">
        <v>233</v>
      </c>
      <c r="G15" s="3" t="s">
        <v>235</v>
      </c>
    </row>
    <row r="16" spans="1:7" ht="17" x14ac:dyDescent="0.2">
      <c r="A16" s="3" t="s">
        <v>222</v>
      </c>
      <c r="B16" s="47" t="s">
        <v>229</v>
      </c>
      <c r="C16" s="36" t="s">
        <v>230</v>
      </c>
      <c r="D16" s="37" t="s">
        <v>236</v>
      </c>
      <c r="F16" s="3" t="s">
        <v>233</v>
      </c>
      <c r="G16" s="3" t="s">
        <v>235</v>
      </c>
    </row>
    <row r="17" spans="1:7" ht="17" x14ac:dyDescent="0.2">
      <c r="A17" s="3" t="s">
        <v>223</v>
      </c>
      <c r="B17" s="47" t="s">
        <v>229</v>
      </c>
      <c r="C17" s="36" t="s">
        <v>230</v>
      </c>
      <c r="D17" s="37" t="s">
        <v>236</v>
      </c>
      <c r="F17" s="3" t="s">
        <v>233</v>
      </c>
      <c r="G17" s="3" t="s">
        <v>235</v>
      </c>
    </row>
    <row r="18" spans="1:7" ht="17" x14ac:dyDescent="0.2">
      <c r="A18" s="3" t="s">
        <v>224</v>
      </c>
      <c r="B18" s="47" t="s">
        <v>229</v>
      </c>
      <c r="C18" s="36" t="s">
        <v>230</v>
      </c>
      <c r="D18" s="37" t="s">
        <v>236</v>
      </c>
      <c r="F18" s="3" t="s">
        <v>233</v>
      </c>
      <c r="G18" s="3" t="s">
        <v>235</v>
      </c>
    </row>
    <row r="20" spans="1:7" ht="17" x14ac:dyDescent="0.2">
      <c r="A20" s="3" t="s">
        <v>237</v>
      </c>
      <c r="B20" s="47" t="s">
        <v>238</v>
      </c>
      <c r="C20" s="36" t="s">
        <v>239</v>
      </c>
      <c r="D20" s="37" t="s">
        <v>288</v>
      </c>
      <c r="E20" s="47" t="s">
        <v>289</v>
      </c>
      <c r="F20" s="3" t="s">
        <v>231</v>
      </c>
      <c r="G20" s="3" t="s">
        <v>291</v>
      </c>
    </row>
    <row r="21" spans="1:7" ht="17" x14ac:dyDescent="0.2">
      <c r="A21" s="3" t="s">
        <v>240</v>
      </c>
      <c r="B21" s="47" t="s">
        <v>241</v>
      </c>
      <c r="C21" s="36" t="s">
        <v>242</v>
      </c>
      <c r="D21" s="37" t="s">
        <v>288</v>
      </c>
      <c r="E21" s="47" t="s">
        <v>290</v>
      </c>
      <c r="F21" s="3" t="s">
        <v>231</v>
      </c>
      <c r="G21" s="3" t="s">
        <v>291</v>
      </c>
    </row>
    <row r="22" spans="1:7" s="43" customFormat="1" ht="47.5" customHeight="1" x14ac:dyDescent="0.2">
      <c r="A22" s="43" t="s">
        <v>245</v>
      </c>
      <c r="B22" s="48" t="s">
        <v>243</v>
      </c>
      <c r="C22" s="44" t="s">
        <v>244</v>
      </c>
      <c r="D22" s="45" t="s">
        <v>288</v>
      </c>
      <c r="E22" s="48" t="s">
        <v>293</v>
      </c>
      <c r="F22" s="43" t="s">
        <v>231</v>
      </c>
      <c r="G22" s="43" t="s">
        <v>300</v>
      </c>
    </row>
    <row r="24" spans="1:7" ht="34" x14ac:dyDescent="0.2">
      <c r="A24" s="3" t="s">
        <v>246</v>
      </c>
      <c r="B24" s="47" t="s">
        <v>250</v>
      </c>
      <c r="C24" s="36" t="s">
        <v>80</v>
      </c>
      <c r="D24" s="37" t="s">
        <v>288</v>
      </c>
      <c r="E24" s="47" t="s">
        <v>294</v>
      </c>
      <c r="F24" s="3" t="s">
        <v>231</v>
      </c>
      <c r="G24" s="3" t="s">
        <v>295</v>
      </c>
    </row>
    <row r="25" spans="1:7" ht="34" x14ac:dyDescent="0.2">
      <c r="A25" s="3" t="s">
        <v>247</v>
      </c>
      <c r="B25" s="47" t="s">
        <v>251</v>
      </c>
      <c r="C25" s="36" t="s">
        <v>80</v>
      </c>
      <c r="D25" s="37" t="s">
        <v>80</v>
      </c>
      <c r="E25" s="47" t="s">
        <v>252</v>
      </c>
      <c r="F25" s="3" t="s">
        <v>231</v>
      </c>
      <c r="G25" s="3" t="s">
        <v>234</v>
      </c>
    </row>
    <row r="26" spans="1:7" ht="34" x14ac:dyDescent="0.2">
      <c r="A26" s="3" t="s">
        <v>248</v>
      </c>
      <c r="B26" s="47" t="s">
        <v>253</v>
      </c>
      <c r="C26" s="36" t="s">
        <v>80</v>
      </c>
      <c r="D26" s="37" t="s">
        <v>288</v>
      </c>
      <c r="E26" s="47" t="s">
        <v>296</v>
      </c>
      <c r="F26" s="3" t="s">
        <v>231</v>
      </c>
      <c r="G26" s="3" t="s">
        <v>295</v>
      </c>
    </row>
    <row r="27" spans="1:7" ht="34" x14ac:dyDescent="0.2">
      <c r="A27" s="3" t="s">
        <v>249</v>
      </c>
      <c r="B27" s="47" t="s">
        <v>254</v>
      </c>
      <c r="C27" s="36" t="s">
        <v>80</v>
      </c>
      <c r="D27" s="37" t="s">
        <v>288</v>
      </c>
      <c r="E27" s="47" t="s">
        <v>297</v>
      </c>
      <c r="F27" s="3" t="s">
        <v>231</v>
      </c>
      <c r="G27" s="3" t="s">
        <v>295</v>
      </c>
    </row>
    <row r="29" spans="1:7" s="43" customFormat="1" ht="34" x14ac:dyDescent="0.2">
      <c r="A29" s="43" t="s">
        <v>255</v>
      </c>
      <c r="B29" s="48" t="s">
        <v>286</v>
      </c>
      <c r="C29" s="44" t="s">
        <v>80</v>
      </c>
      <c r="D29" s="45" t="s">
        <v>298</v>
      </c>
      <c r="E29" s="48" t="s">
        <v>437</v>
      </c>
      <c r="F29" s="43" t="s">
        <v>231</v>
      </c>
      <c r="G29" s="43" t="s">
        <v>291</v>
      </c>
    </row>
    <row r="30" spans="1:7" ht="34" x14ac:dyDescent="0.2">
      <c r="A30" s="3" t="s">
        <v>256</v>
      </c>
      <c r="B30" s="47" t="s">
        <v>287</v>
      </c>
      <c r="C30" s="36" t="s">
        <v>80</v>
      </c>
      <c r="D30" s="37" t="s">
        <v>288</v>
      </c>
      <c r="E30" s="47" t="s">
        <v>299</v>
      </c>
      <c r="F30" s="3" t="s">
        <v>231</v>
      </c>
      <c r="G30" s="3" t="s">
        <v>295</v>
      </c>
    </row>
    <row r="31" spans="1:7" ht="51" x14ac:dyDescent="0.2">
      <c r="A31" s="3" t="s">
        <v>257</v>
      </c>
      <c r="B31" s="47" t="s">
        <v>258</v>
      </c>
      <c r="C31" s="36" t="s">
        <v>80</v>
      </c>
      <c r="D31" s="37" t="s">
        <v>301</v>
      </c>
      <c r="E31" s="47" t="s">
        <v>302</v>
      </c>
      <c r="F31" s="3" t="s">
        <v>231</v>
      </c>
      <c r="G31" s="3" t="s">
        <v>300</v>
      </c>
    </row>
    <row r="33" spans="1:7" ht="49" customHeight="1" x14ac:dyDescent="0.2">
      <c r="A33" s="43" t="s">
        <v>259</v>
      </c>
      <c r="B33" s="48" t="s">
        <v>269</v>
      </c>
      <c r="C33" s="44" t="s">
        <v>80</v>
      </c>
      <c r="D33" s="45" t="s">
        <v>288</v>
      </c>
      <c r="E33" s="48" t="s">
        <v>303</v>
      </c>
      <c r="F33" s="43" t="s">
        <v>231</v>
      </c>
      <c r="G33" s="43" t="s">
        <v>292</v>
      </c>
    </row>
    <row r="34" spans="1:7" ht="34" x14ac:dyDescent="0.2">
      <c r="A34" s="3" t="s">
        <v>260</v>
      </c>
      <c r="B34" s="47" t="s">
        <v>270</v>
      </c>
      <c r="C34" s="36" t="s">
        <v>80</v>
      </c>
      <c r="D34" s="37" t="s">
        <v>312</v>
      </c>
      <c r="E34" s="47" t="s">
        <v>311</v>
      </c>
      <c r="F34" s="3" t="s">
        <v>232</v>
      </c>
      <c r="G34" s="3" t="s">
        <v>234</v>
      </c>
    </row>
    <row r="35" spans="1:7" ht="17" x14ac:dyDescent="0.2">
      <c r="A35" s="3" t="s">
        <v>261</v>
      </c>
      <c r="B35" s="47" t="s">
        <v>271</v>
      </c>
      <c r="C35" s="36" t="s">
        <v>274</v>
      </c>
      <c r="D35" s="37" t="s">
        <v>304</v>
      </c>
      <c r="F35" s="3" t="s">
        <v>231</v>
      </c>
      <c r="G35" s="3" t="s">
        <v>234</v>
      </c>
    </row>
    <row r="36" spans="1:7" ht="51" x14ac:dyDescent="0.2">
      <c r="A36" s="3" t="s">
        <v>262</v>
      </c>
      <c r="B36" s="47" t="s">
        <v>275</v>
      </c>
      <c r="C36" s="36" t="s">
        <v>125</v>
      </c>
      <c r="D36" s="37" t="s">
        <v>312</v>
      </c>
      <c r="E36" s="47" t="s">
        <v>314</v>
      </c>
      <c r="F36" s="3" t="s">
        <v>313</v>
      </c>
      <c r="G36" s="3" t="s">
        <v>291</v>
      </c>
    </row>
    <row r="37" spans="1:7" ht="17" x14ac:dyDescent="0.2">
      <c r="A37" s="3" t="s">
        <v>263</v>
      </c>
      <c r="B37" s="47" t="s">
        <v>272</v>
      </c>
      <c r="C37" s="36" t="s">
        <v>276</v>
      </c>
      <c r="D37" s="37" t="s">
        <v>304</v>
      </c>
      <c r="F37" s="3" t="s">
        <v>231</v>
      </c>
      <c r="G37" s="3" t="s">
        <v>235</v>
      </c>
    </row>
    <row r="38" spans="1:7" ht="34" x14ac:dyDescent="0.2">
      <c r="A38" s="3" t="s">
        <v>264</v>
      </c>
      <c r="B38" s="47" t="s">
        <v>277</v>
      </c>
      <c r="C38" s="36" t="s">
        <v>278</v>
      </c>
      <c r="D38" s="37" t="s">
        <v>309</v>
      </c>
      <c r="E38" s="47" t="s">
        <v>310</v>
      </c>
      <c r="F38" s="3" t="s">
        <v>231</v>
      </c>
      <c r="G38" s="3" t="s">
        <v>291</v>
      </c>
    </row>
    <row r="39" spans="1:7" ht="17" x14ac:dyDescent="0.2">
      <c r="A39" s="3" t="s">
        <v>265</v>
      </c>
      <c r="B39" s="47" t="s">
        <v>279</v>
      </c>
      <c r="C39" s="36" t="s">
        <v>280</v>
      </c>
      <c r="D39" s="37" t="s">
        <v>308</v>
      </c>
      <c r="F39" s="3" t="s">
        <v>233</v>
      </c>
      <c r="G39" s="3" t="s">
        <v>235</v>
      </c>
    </row>
    <row r="40" spans="1:7" ht="17" x14ac:dyDescent="0.2">
      <c r="A40" s="3" t="s">
        <v>266</v>
      </c>
      <c r="B40" s="47" t="s">
        <v>281</v>
      </c>
      <c r="C40" s="36" t="s">
        <v>282</v>
      </c>
      <c r="D40" s="37" t="s">
        <v>308</v>
      </c>
      <c r="F40" s="3" t="s">
        <v>233</v>
      </c>
      <c r="G40" s="3" t="s">
        <v>235</v>
      </c>
    </row>
    <row r="41" spans="1:7" ht="17" x14ac:dyDescent="0.2">
      <c r="A41" s="3" t="s">
        <v>267</v>
      </c>
      <c r="B41" s="47" t="s">
        <v>273</v>
      </c>
      <c r="C41" s="36" t="s">
        <v>284</v>
      </c>
      <c r="D41" s="37" t="s">
        <v>307</v>
      </c>
      <c r="F41" s="3" t="s">
        <v>231</v>
      </c>
      <c r="G41" s="3" t="s">
        <v>234</v>
      </c>
    </row>
    <row r="42" spans="1:7" ht="17" x14ac:dyDescent="0.2">
      <c r="A42" s="3" t="s">
        <v>268</v>
      </c>
      <c r="B42" s="47" t="s">
        <v>283</v>
      </c>
      <c r="C42" s="36" t="s">
        <v>285</v>
      </c>
      <c r="D42" s="37" t="s">
        <v>308</v>
      </c>
      <c r="F42" s="3" t="s">
        <v>233</v>
      </c>
      <c r="G42" s="3" t="s">
        <v>235</v>
      </c>
    </row>
    <row r="46" spans="1:7" ht="51" x14ac:dyDescent="0.2">
      <c r="A46" s="3" t="s">
        <v>315</v>
      </c>
      <c r="B46" s="47" t="s">
        <v>362</v>
      </c>
      <c r="C46" s="36" t="s">
        <v>366</v>
      </c>
      <c r="D46" s="66" t="s">
        <v>376</v>
      </c>
      <c r="E46" s="47" t="s">
        <v>377</v>
      </c>
      <c r="F46" s="3" t="s">
        <v>231</v>
      </c>
      <c r="G46" s="3" t="s">
        <v>295</v>
      </c>
    </row>
    <row r="47" spans="1:7" ht="51" x14ac:dyDescent="0.2">
      <c r="A47" s="43" t="s">
        <v>316</v>
      </c>
      <c r="B47" s="48" t="s">
        <v>363</v>
      </c>
      <c r="C47" s="44" t="s">
        <v>375</v>
      </c>
      <c r="D47" s="45" t="s">
        <v>378</v>
      </c>
      <c r="E47" s="48" t="s">
        <v>432</v>
      </c>
      <c r="F47" s="43" t="s">
        <v>231</v>
      </c>
      <c r="G47" s="43" t="s">
        <v>291</v>
      </c>
    </row>
    <row r="48" spans="1:7" ht="103" customHeight="1" x14ac:dyDescent="0.2">
      <c r="A48" s="23" t="s">
        <v>317</v>
      </c>
      <c r="B48" s="47" t="s">
        <v>364</v>
      </c>
      <c r="C48" s="36" t="s">
        <v>365</v>
      </c>
      <c r="D48" s="37" t="s">
        <v>80</v>
      </c>
      <c r="E48" s="47" t="s">
        <v>433</v>
      </c>
      <c r="F48" s="3" t="s">
        <v>231</v>
      </c>
      <c r="G48" s="3" t="s">
        <v>379</v>
      </c>
    </row>
    <row r="49" spans="1:7" ht="74" customHeight="1" x14ac:dyDescent="0.2">
      <c r="A49" s="43" t="s">
        <v>318</v>
      </c>
      <c r="B49" s="48" t="s">
        <v>369</v>
      </c>
      <c r="C49" s="44" t="s">
        <v>367</v>
      </c>
      <c r="D49" s="39"/>
      <c r="E49" s="48" t="s">
        <v>385</v>
      </c>
      <c r="F49" s="43" t="s">
        <v>231</v>
      </c>
      <c r="G49" s="43" t="s">
        <v>300</v>
      </c>
    </row>
    <row r="50" spans="1:7" ht="17" x14ac:dyDescent="0.2">
      <c r="A50" s="3" t="s">
        <v>319</v>
      </c>
      <c r="B50" s="47" t="s">
        <v>370</v>
      </c>
      <c r="C50" s="36" t="s">
        <v>368</v>
      </c>
      <c r="D50" s="37" t="s">
        <v>383</v>
      </c>
      <c r="E50" s="47" t="s">
        <v>384</v>
      </c>
      <c r="F50" s="3" t="s">
        <v>231</v>
      </c>
      <c r="G50" s="3" t="s">
        <v>295</v>
      </c>
    </row>
    <row r="51" spans="1:7" ht="120" customHeight="1" x14ac:dyDescent="0.2">
      <c r="A51" s="3" t="s">
        <v>320</v>
      </c>
      <c r="B51" s="47" t="s">
        <v>371</v>
      </c>
      <c r="C51" s="36" t="s">
        <v>373</v>
      </c>
      <c r="D51" s="37" t="s">
        <v>424</v>
      </c>
      <c r="E51" s="47" t="s">
        <v>380</v>
      </c>
      <c r="F51" s="3" t="s">
        <v>313</v>
      </c>
      <c r="G51" s="3" t="s">
        <v>291</v>
      </c>
    </row>
    <row r="52" spans="1:7" ht="17" x14ac:dyDescent="0.2">
      <c r="A52" s="3" t="s">
        <v>321</v>
      </c>
      <c r="B52" s="47" t="s">
        <v>372</v>
      </c>
      <c r="C52" s="36" t="s">
        <v>374</v>
      </c>
      <c r="D52" s="37" t="s">
        <v>381</v>
      </c>
      <c r="E52" s="47" t="s">
        <v>382</v>
      </c>
      <c r="F52" s="3" t="s">
        <v>231</v>
      </c>
      <c r="G52" s="3" t="s">
        <v>234</v>
      </c>
    </row>
    <row r="54" spans="1:7" ht="17" x14ac:dyDescent="0.2">
      <c r="A54" s="3" t="s">
        <v>322</v>
      </c>
      <c r="B54" s="47" t="s">
        <v>348</v>
      </c>
      <c r="C54" s="36" t="s">
        <v>349</v>
      </c>
      <c r="D54" s="37" t="s">
        <v>350</v>
      </c>
      <c r="F54" s="3" t="s">
        <v>232</v>
      </c>
      <c r="G54" s="3" t="s">
        <v>291</v>
      </c>
    </row>
    <row r="55" spans="1:7" ht="17" x14ac:dyDescent="0.2">
      <c r="A55" s="3" t="s">
        <v>323</v>
      </c>
      <c r="B55" s="47" t="s">
        <v>348</v>
      </c>
      <c r="C55" s="36" t="s">
        <v>349</v>
      </c>
      <c r="D55" s="37" t="s">
        <v>350</v>
      </c>
      <c r="F55" s="3" t="s">
        <v>232</v>
      </c>
      <c r="G55" s="3" t="s">
        <v>291</v>
      </c>
    </row>
    <row r="56" spans="1:7" ht="17" x14ac:dyDescent="0.2">
      <c r="A56" s="3" t="s">
        <v>324</v>
      </c>
      <c r="B56" s="47" t="s">
        <v>348</v>
      </c>
      <c r="C56" s="36" t="s">
        <v>349</v>
      </c>
      <c r="D56" s="37" t="s">
        <v>350</v>
      </c>
      <c r="F56" s="3" t="s">
        <v>232</v>
      </c>
      <c r="G56" s="3" t="s">
        <v>291</v>
      </c>
    </row>
    <row r="57" spans="1:7" ht="17" x14ac:dyDescent="0.2">
      <c r="A57" s="3" t="s">
        <v>325</v>
      </c>
      <c r="B57" s="47" t="s">
        <v>348</v>
      </c>
      <c r="C57" s="36" t="s">
        <v>349</v>
      </c>
      <c r="D57" s="37" t="s">
        <v>350</v>
      </c>
      <c r="F57" s="3" t="s">
        <v>232</v>
      </c>
      <c r="G57" s="3" t="s">
        <v>291</v>
      </c>
    </row>
    <row r="58" spans="1:7" ht="17" x14ac:dyDescent="0.2">
      <c r="A58" s="3" t="s">
        <v>326</v>
      </c>
      <c r="B58" s="47" t="s">
        <v>348</v>
      </c>
      <c r="C58" s="36" t="s">
        <v>349</v>
      </c>
      <c r="D58" s="37" t="s">
        <v>350</v>
      </c>
      <c r="F58" s="3" t="s">
        <v>232</v>
      </c>
      <c r="G58" s="3" t="s">
        <v>291</v>
      </c>
    </row>
    <row r="59" spans="1:7" ht="17" x14ac:dyDescent="0.2">
      <c r="A59" s="3" t="s">
        <v>327</v>
      </c>
      <c r="B59" s="47" t="s">
        <v>348</v>
      </c>
      <c r="C59" s="36" t="s">
        <v>349</v>
      </c>
      <c r="D59" s="37" t="s">
        <v>350</v>
      </c>
      <c r="F59" s="3" t="s">
        <v>232</v>
      </c>
      <c r="G59" s="3" t="s">
        <v>291</v>
      </c>
    </row>
    <row r="60" spans="1:7" ht="17" x14ac:dyDescent="0.2">
      <c r="A60" s="3" t="s">
        <v>328</v>
      </c>
      <c r="B60" s="47" t="s">
        <v>348</v>
      </c>
      <c r="C60" s="36" t="s">
        <v>349</v>
      </c>
      <c r="D60" s="37" t="s">
        <v>350</v>
      </c>
      <c r="F60" s="3" t="s">
        <v>232</v>
      </c>
      <c r="G60" s="3" t="s">
        <v>291</v>
      </c>
    </row>
    <row r="61" spans="1:7" ht="17" x14ac:dyDescent="0.2">
      <c r="A61" s="3" t="s">
        <v>329</v>
      </c>
      <c r="B61" s="47" t="s">
        <v>348</v>
      </c>
      <c r="C61" s="36" t="s">
        <v>349</v>
      </c>
      <c r="D61" s="37" t="s">
        <v>350</v>
      </c>
      <c r="F61" s="3" t="s">
        <v>232</v>
      </c>
      <c r="G61" s="3" t="s">
        <v>291</v>
      </c>
    </row>
    <row r="62" spans="1:7" ht="17" x14ac:dyDescent="0.2">
      <c r="A62" s="3" t="s">
        <v>330</v>
      </c>
      <c r="B62" s="47" t="s">
        <v>348</v>
      </c>
      <c r="C62" s="36" t="s">
        <v>349</v>
      </c>
      <c r="D62" s="37" t="s">
        <v>351</v>
      </c>
      <c r="E62" s="47" t="s">
        <v>352</v>
      </c>
      <c r="F62" s="3" t="s">
        <v>232</v>
      </c>
      <c r="G62" s="3" t="s">
        <v>295</v>
      </c>
    </row>
    <row r="64" spans="1:7" ht="17" x14ac:dyDescent="0.2">
      <c r="A64" s="3" t="s">
        <v>331</v>
      </c>
      <c r="B64" s="47" t="s">
        <v>353</v>
      </c>
      <c r="C64" s="36" t="s">
        <v>354</v>
      </c>
      <c r="D64" s="37" t="s">
        <v>357</v>
      </c>
      <c r="E64" s="47" t="s">
        <v>359</v>
      </c>
      <c r="F64" s="3" t="s">
        <v>232</v>
      </c>
      <c r="G64" s="3" t="s">
        <v>300</v>
      </c>
    </row>
    <row r="65" spans="1:12" ht="17" x14ac:dyDescent="0.2">
      <c r="A65" s="3" t="s">
        <v>332</v>
      </c>
      <c r="B65" s="47" t="s">
        <v>356</v>
      </c>
      <c r="C65" s="36" t="s">
        <v>355</v>
      </c>
      <c r="D65" s="37" t="s">
        <v>358</v>
      </c>
      <c r="E65" s="47" t="s">
        <v>359</v>
      </c>
      <c r="F65" s="3" t="s">
        <v>232</v>
      </c>
      <c r="G65" s="3" t="s">
        <v>300</v>
      </c>
    </row>
    <row r="66" spans="1:12" ht="17" x14ac:dyDescent="0.2">
      <c r="A66" s="3" t="s">
        <v>333</v>
      </c>
      <c r="B66" s="47" t="s">
        <v>361</v>
      </c>
      <c r="C66" s="36" t="s">
        <v>80</v>
      </c>
      <c r="D66" s="37" t="s">
        <v>360</v>
      </c>
      <c r="E66" s="47" t="s">
        <v>359</v>
      </c>
      <c r="F66" s="3" t="s">
        <v>232</v>
      </c>
      <c r="G66" s="3" t="s">
        <v>292</v>
      </c>
    </row>
    <row r="67" spans="1:12" ht="17" x14ac:dyDescent="0.2">
      <c r="A67" s="3" t="s">
        <v>334</v>
      </c>
      <c r="B67" s="47" t="s">
        <v>361</v>
      </c>
      <c r="C67" s="36" t="s">
        <v>80</v>
      </c>
      <c r="D67" s="37" t="s">
        <v>360</v>
      </c>
      <c r="E67" s="47" t="s">
        <v>359</v>
      </c>
      <c r="F67" s="3" t="s">
        <v>232</v>
      </c>
      <c r="G67" s="3" t="s">
        <v>292</v>
      </c>
    </row>
    <row r="68" spans="1:12" ht="17" x14ac:dyDescent="0.2">
      <c r="A68" s="3" t="s">
        <v>335</v>
      </c>
      <c r="B68" s="47" t="s">
        <v>361</v>
      </c>
      <c r="C68" s="36" t="s">
        <v>80</v>
      </c>
      <c r="D68" s="37" t="s">
        <v>360</v>
      </c>
      <c r="E68" s="47" t="s">
        <v>359</v>
      </c>
      <c r="F68" s="3" t="s">
        <v>232</v>
      </c>
      <c r="G68" s="3" t="s">
        <v>292</v>
      </c>
    </row>
    <row r="69" spans="1:12" ht="17" x14ac:dyDescent="0.2">
      <c r="A69" s="3" t="s">
        <v>336</v>
      </c>
      <c r="B69" s="47" t="s">
        <v>361</v>
      </c>
      <c r="C69" s="36" t="s">
        <v>80</v>
      </c>
      <c r="D69" s="37" t="s">
        <v>360</v>
      </c>
      <c r="E69" s="47" t="s">
        <v>359</v>
      </c>
      <c r="F69" s="3" t="s">
        <v>232</v>
      </c>
      <c r="G69" s="3" t="s">
        <v>292</v>
      </c>
    </row>
    <row r="71" spans="1:12" ht="17" x14ac:dyDescent="0.2">
      <c r="A71" s="3" t="s">
        <v>337</v>
      </c>
      <c r="B71" s="47" t="s">
        <v>386</v>
      </c>
      <c r="C71" s="36" t="s">
        <v>387</v>
      </c>
      <c r="D71" s="39"/>
      <c r="E71" s="49"/>
    </row>
    <row r="72" spans="1:12" ht="119" x14ac:dyDescent="0.2">
      <c r="A72" s="3" t="s">
        <v>338</v>
      </c>
      <c r="B72" s="47" t="s">
        <v>388</v>
      </c>
      <c r="C72" s="36" t="s">
        <v>389</v>
      </c>
      <c r="D72" s="37" t="s">
        <v>431</v>
      </c>
      <c r="E72" s="47" t="s">
        <v>436</v>
      </c>
    </row>
    <row r="73" spans="1:12" ht="94" customHeight="1" x14ac:dyDescent="0.2">
      <c r="A73" s="3" t="s">
        <v>339</v>
      </c>
      <c r="B73" s="47" t="s">
        <v>390</v>
      </c>
      <c r="C73" s="36" t="s">
        <v>392</v>
      </c>
      <c r="D73" s="37" t="s">
        <v>428</v>
      </c>
      <c r="E73" s="47" t="s">
        <v>429</v>
      </c>
      <c r="F73" s="3" t="s">
        <v>231</v>
      </c>
      <c r="G73" s="3" t="s">
        <v>300</v>
      </c>
    </row>
    <row r="74" spans="1:12" ht="34" x14ac:dyDescent="0.2">
      <c r="A74" s="43" t="s">
        <v>340</v>
      </c>
      <c r="B74" s="48" t="s">
        <v>391</v>
      </c>
      <c r="C74" s="44" t="s">
        <v>393</v>
      </c>
      <c r="D74" s="45" t="s">
        <v>425</v>
      </c>
      <c r="E74" s="48" t="s">
        <v>427</v>
      </c>
      <c r="F74" s="43" t="s">
        <v>231</v>
      </c>
      <c r="G74" s="43" t="s">
        <v>292</v>
      </c>
    </row>
    <row r="76" spans="1:12" ht="107" customHeight="1" x14ac:dyDescent="0.2">
      <c r="A76" s="3" t="s">
        <v>341</v>
      </c>
      <c r="B76" s="47" t="s">
        <v>394</v>
      </c>
      <c r="C76" s="36" t="s">
        <v>395</v>
      </c>
      <c r="D76" s="37" t="s">
        <v>430</v>
      </c>
      <c r="E76" s="47" t="s">
        <v>434</v>
      </c>
      <c r="F76" s="3" t="s">
        <v>231</v>
      </c>
      <c r="G76" s="3" t="s">
        <v>300</v>
      </c>
    </row>
    <row r="77" spans="1:12" ht="159" customHeight="1" x14ac:dyDescent="0.2">
      <c r="A77" s="3" t="s">
        <v>342</v>
      </c>
      <c r="B77" s="47" t="s">
        <v>396</v>
      </c>
      <c r="C77" s="36" t="s">
        <v>397</v>
      </c>
      <c r="D77" s="37" t="s">
        <v>425</v>
      </c>
      <c r="E77" s="47" t="s">
        <v>426</v>
      </c>
      <c r="F77" s="3" t="s">
        <v>232</v>
      </c>
      <c r="G77" s="3" t="s">
        <v>292</v>
      </c>
    </row>
    <row r="78" spans="1:12" ht="34" x14ac:dyDescent="0.2">
      <c r="A78" s="3" t="s">
        <v>343</v>
      </c>
      <c r="B78" s="47" t="s">
        <v>390</v>
      </c>
      <c r="C78" s="36" t="s">
        <v>392</v>
      </c>
      <c r="D78" s="37" t="s">
        <v>423</v>
      </c>
      <c r="E78" s="47" t="s">
        <v>435</v>
      </c>
      <c r="F78" s="3" t="s">
        <v>231</v>
      </c>
      <c r="G78" s="3" t="s">
        <v>295</v>
      </c>
    </row>
    <row r="79" spans="1:12" ht="17" x14ac:dyDescent="0.2">
      <c r="A79" s="3" t="s">
        <v>344</v>
      </c>
      <c r="B79" s="47" t="s">
        <v>398</v>
      </c>
      <c r="C79" s="36" t="s">
        <v>399</v>
      </c>
      <c r="D79" s="39"/>
      <c r="E79" s="49"/>
      <c r="I79" s="41" t="s">
        <v>419</v>
      </c>
    </row>
    <row r="80" spans="1:12" ht="34" x14ac:dyDescent="0.2">
      <c r="A80" s="3" t="s">
        <v>345</v>
      </c>
      <c r="B80" s="47" t="s">
        <v>400</v>
      </c>
      <c r="C80" s="36" t="s">
        <v>403</v>
      </c>
      <c r="D80" s="37" t="s">
        <v>406</v>
      </c>
      <c r="E80" s="47" t="s">
        <v>422</v>
      </c>
      <c r="F80" s="3" t="s">
        <v>231</v>
      </c>
      <c r="G80" s="3" t="s">
        <v>234</v>
      </c>
      <c r="I80" s="4" t="s">
        <v>82</v>
      </c>
      <c r="J80" s="4" t="s">
        <v>415</v>
      </c>
      <c r="K80" s="4" t="s">
        <v>407</v>
      </c>
      <c r="L80" s="4" t="s">
        <v>408</v>
      </c>
    </row>
    <row r="81" spans="1:12" ht="34" x14ac:dyDescent="0.2">
      <c r="A81" s="3" t="s">
        <v>346</v>
      </c>
      <c r="B81" s="47" t="s">
        <v>401</v>
      </c>
      <c r="C81" s="36" t="s">
        <v>404</v>
      </c>
      <c r="D81" s="37" t="s">
        <v>406</v>
      </c>
      <c r="E81" s="47" t="s">
        <v>418</v>
      </c>
      <c r="F81" s="3" t="s">
        <v>232</v>
      </c>
      <c r="G81" s="3" t="s">
        <v>295</v>
      </c>
      <c r="I81" s="3" t="s">
        <v>409</v>
      </c>
      <c r="J81" s="3">
        <v>5</v>
      </c>
      <c r="K81" s="3">
        <v>1.6940999999999999</v>
      </c>
      <c r="L81" s="3">
        <f xml:space="preserve"> K81/J81</f>
        <v>0.33882000000000001</v>
      </c>
    </row>
    <row r="82" spans="1:12" ht="51" x14ac:dyDescent="0.2">
      <c r="A82" s="3" t="s">
        <v>347</v>
      </c>
      <c r="B82" s="47" t="s">
        <v>402</v>
      </c>
      <c r="C82" s="36" t="s">
        <v>405</v>
      </c>
      <c r="D82" s="37" t="s">
        <v>420</v>
      </c>
      <c r="E82" s="47" t="s">
        <v>421</v>
      </c>
      <c r="F82" s="3" t="s">
        <v>231</v>
      </c>
      <c r="G82" s="3" t="s">
        <v>295</v>
      </c>
      <c r="I82" s="3" t="s">
        <v>410</v>
      </c>
      <c r="J82" s="3">
        <v>5</v>
      </c>
      <c r="K82" s="3">
        <v>2.1233</v>
      </c>
      <c r="L82" s="3">
        <f t="shared" ref="L82:L87" si="0" xml:space="preserve"> K82/J82</f>
        <v>0.42465999999999998</v>
      </c>
    </row>
    <row r="83" spans="1:12" x14ac:dyDescent="0.2">
      <c r="I83" s="3" t="s">
        <v>411</v>
      </c>
      <c r="J83" s="3">
        <v>40</v>
      </c>
      <c r="K83" s="3">
        <v>1.8358000000000001</v>
      </c>
      <c r="L83" s="3">
        <f t="shared" si="0"/>
        <v>4.5895000000000005E-2</v>
      </c>
    </row>
    <row r="84" spans="1:12" x14ac:dyDescent="0.2">
      <c r="I84" s="3" t="s">
        <v>416</v>
      </c>
      <c r="J84" s="3">
        <v>10</v>
      </c>
      <c r="K84" s="3">
        <v>1.9883</v>
      </c>
      <c r="L84" s="3">
        <f t="shared" si="0"/>
        <v>0.19883000000000001</v>
      </c>
    </row>
    <row r="85" spans="1:12" x14ac:dyDescent="0.2">
      <c r="I85" s="3" t="s">
        <v>412</v>
      </c>
      <c r="J85" s="3">
        <v>5</v>
      </c>
      <c r="K85" s="3">
        <v>2.6800999999999999</v>
      </c>
      <c r="L85" s="3">
        <f t="shared" si="0"/>
        <v>0.53601999999999994</v>
      </c>
    </row>
    <row r="86" spans="1:12" x14ac:dyDescent="0.2">
      <c r="I86" s="3" t="s">
        <v>413</v>
      </c>
      <c r="J86" s="3">
        <v>5.5</v>
      </c>
      <c r="K86" s="3">
        <v>2.1808000000000001</v>
      </c>
      <c r="L86" s="3">
        <f t="shared" si="0"/>
        <v>0.39650909090909092</v>
      </c>
    </row>
    <row r="87" spans="1:12" x14ac:dyDescent="0.2">
      <c r="I87" s="3" t="s">
        <v>414</v>
      </c>
      <c r="J87" s="3">
        <v>7.5</v>
      </c>
      <c r="K87" s="3">
        <v>2.6974999999999998</v>
      </c>
      <c r="L87" s="3">
        <f t="shared" si="0"/>
        <v>0.35966666666666663</v>
      </c>
    </row>
    <row r="88" spans="1:12" x14ac:dyDescent="0.2">
      <c r="K88" s="4" t="s">
        <v>417</v>
      </c>
      <c r="L88" s="3">
        <f>AVERAGE(L81:L87)</f>
        <v>0.32862867965367965</v>
      </c>
    </row>
  </sheetData>
  <hyperlinks>
    <hyperlink ref="D46" r:id="rId1" xr:uid="{2ED20642-B98A-6C42-A227-ECAD35B3D5E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2E103-6889-A545-87B0-46CC5E9655D2}">
  <dimension ref="A2:P49"/>
  <sheetViews>
    <sheetView topLeftCell="B1" workbookViewId="0">
      <selection activeCell="P37" sqref="P37"/>
    </sheetView>
  </sheetViews>
  <sheetFormatPr baseColWidth="10" defaultRowHeight="16" x14ac:dyDescent="0.2"/>
  <cols>
    <col min="1" max="1" width="10.83203125" style="3"/>
    <col min="2" max="2" width="24.33203125" style="53" customWidth="1"/>
    <col min="3" max="4" width="10.83203125" style="3"/>
    <col min="5" max="5" width="23" style="3" customWidth="1"/>
    <col min="6" max="14" width="10.83203125" style="3"/>
    <col min="15" max="15" width="15.33203125" style="3" customWidth="1"/>
    <col min="16" max="16" width="13.5" style="3" customWidth="1"/>
    <col min="17" max="16384" width="10.83203125" style="3"/>
  </cols>
  <sheetData>
    <row r="2" spans="1:16" x14ac:dyDescent="0.2">
      <c r="A2" s="15" t="s">
        <v>453</v>
      </c>
      <c r="B2" s="52" t="s">
        <v>455</v>
      </c>
      <c r="F2" s="15" t="s">
        <v>456</v>
      </c>
      <c r="G2" s="52" t="s">
        <v>457</v>
      </c>
      <c r="N2" s="15" t="s">
        <v>461</v>
      </c>
      <c r="O2" s="52" t="s">
        <v>462</v>
      </c>
    </row>
    <row r="3" spans="1:16" ht="18" x14ac:dyDescent="0.2">
      <c r="A3" s="54">
        <v>2020</v>
      </c>
      <c r="B3" s="55">
        <v>5851754</v>
      </c>
      <c r="C3" s="56">
        <v>3.3E-3</v>
      </c>
      <c r="F3" s="15" t="s">
        <v>458</v>
      </c>
      <c r="G3" s="53"/>
    </row>
    <row r="4" spans="1:16" ht="20" x14ac:dyDescent="0.25">
      <c r="A4" s="54">
        <v>2019</v>
      </c>
      <c r="B4" s="55">
        <v>5832661</v>
      </c>
      <c r="C4" s="56">
        <v>3.3E-3</v>
      </c>
      <c r="F4" s="3">
        <v>2008</v>
      </c>
      <c r="G4" s="53">
        <v>1250000</v>
      </c>
      <c r="N4" s="3">
        <v>2002</v>
      </c>
      <c r="O4" s="59">
        <v>15741552</v>
      </c>
    </row>
    <row r="5" spans="1:16" ht="20" x14ac:dyDescent="0.25">
      <c r="A5" s="54">
        <v>2018</v>
      </c>
      <c r="B5" s="55">
        <v>5813568</v>
      </c>
      <c r="C5" s="56">
        <v>3.7000000000000002E-3</v>
      </c>
      <c r="F5" s="3">
        <v>2009</v>
      </c>
      <c r="G5" s="53">
        <v>1255000</v>
      </c>
      <c r="H5" s="58">
        <f>G5/G4-1</f>
        <v>4.0000000000000036E-3</v>
      </c>
      <c r="N5" s="3">
        <v>2007</v>
      </c>
      <c r="O5" s="59">
        <v>15190804</v>
      </c>
      <c r="P5" s="61">
        <f>O5/O4-1</f>
        <v>-3.4986893287269227E-2</v>
      </c>
    </row>
    <row r="6" spans="1:16" ht="20" x14ac:dyDescent="0.25">
      <c r="A6" s="54">
        <v>2017</v>
      </c>
      <c r="B6" s="55">
        <v>5792051</v>
      </c>
      <c r="C6" s="56">
        <v>3.3E-3</v>
      </c>
      <c r="F6" s="3">
        <v>2010</v>
      </c>
      <c r="G6" s="53">
        <v>1260000</v>
      </c>
      <c r="H6" s="58">
        <f t="shared" ref="H6:H15" si="0">G6/G5-1</f>
        <v>3.9840637450199168E-3</v>
      </c>
      <c r="N6" s="3">
        <v>2012</v>
      </c>
      <c r="O6" s="59">
        <v>14568926</v>
      </c>
      <c r="P6" s="61">
        <f>O6/O5-1</f>
        <v>-4.0937793680966506E-2</v>
      </c>
    </row>
    <row r="7" spans="1:16" ht="18" x14ac:dyDescent="0.2">
      <c r="A7" s="54">
        <v>2016</v>
      </c>
      <c r="B7" s="55">
        <v>5772958</v>
      </c>
      <c r="C7" s="56">
        <v>2E-3</v>
      </c>
      <c r="F7" s="3">
        <v>2011</v>
      </c>
      <c r="G7" s="53">
        <v>1265000</v>
      </c>
      <c r="H7" s="58">
        <f t="shared" si="0"/>
        <v>3.9682539682539542E-3</v>
      </c>
    </row>
    <row r="8" spans="1:16" ht="18" x14ac:dyDescent="0.2">
      <c r="A8" s="54">
        <v>2015</v>
      </c>
      <c r="B8" s="55">
        <v>5761406</v>
      </c>
      <c r="C8" s="56">
        <v>1.6000000000000001E-3</v>
      </c>
      <c r="F8" s="3">
        <v>2012</v>
      </c>
      <c r="G8" s="53">
        <v>1265000</v>
      </c>
      <c r="H8" s="58">
        <f t="shared" si="0"/>
        <v>0</v>
      </c>
      <c r="O8" s="3" t="s">
        <v>463</v>
      </c>
      <c r="P8" s="62">
        <f>AVERAGE(P5:P6)/5</f>
        <v>-7.5924686968235735E-3</v>
      </c>
    </row>
    <row r="9" spans="1:16" ht="18" x14ac:dyDescent="0.2">
      <c r="A9" s="54">
        <v>2014</v>
      </c>
      <c r="B9" s="55">
        <v>5751974</v>
      </c>
      <c r="C9" s="56">
        <v>2.5999999999999999E-3</v>
      </c>
      <c r="F9" s="3">
        <v>2013</v>
      </c>
      <c r="G9" s="53">
        <v>1270000</v>
      </c>
      <c r="H9" s="58">
        <f t="shared" si="0"/>
        <v>3.9525691699604515E-3</v>
      </c>
      <c r="N9" s="3">
        <v>2017</v>
      </c>
      <c r="O9" s="3">
        <f>O6*(1+P8)^5</f>
        <v>14024190.246565824</v>
      </c>
    </row>
    <row r="10" spans="1:16" ht="18" x14ac:dyDescent="0.2">
      <c r="A10" s="54">
        <v>2013</v>
      </c>
      <c r="B10" s="55">
        <v>5736952</v>
      </c>
      <c r="C10" s="56">
        <v>3.0000000000000001E-3</v>
      </c>
      <c r="F10" s="3">
        <v>2014</v>
      </c>
      <c r="G10" s="53">
        <v>1270000</v>
      </c>
      <c r="H10" s="58">
        <f t="shared" si="0"/>
        <v>0</v>
      </c>
      <c r="N10" s="3">
        <v>2018</v>
      </c>
      <c r="O10" s="3">
        <f>O9*(1+$P$8)</f>
        <v>13917712.021120474</v>
      </c>
    </row>
    <row r="11" spans="1:16" ht="18" x14ac:dyDescent="0.2">
      <c r="A11" s="54">
        <v>2012</v>
      </c>
      <c r="B11" s="55">
        <v>5719855</v>
      </c>
      <c r="C11" s="56">
        <v>2.5999999999999999E-3</v>
      </c>
      <c r="F11" s="3">
        <v>2015</v>
      </c>
      <c r="G11" s="53">
        <v>1275000</v>
      </c>
      <c r="H11" s="58">
        <f t="shared" si="0"/>
        <v>3.937007874015741E-3</v>
      </c>
      <c r="N11" s="3">
        <v>2019</v>
      </c>
      <c r="O11" s="3">
        <f t="shared" ref="O11:O42" si="1">O10*(1+$P$8)</f>
        <v>13812042.228268711</v>
      </c>
    </row>
    <row r="12" spans="1:16" ht="18" x14ac:dyDescent="0.2">
      <c r="A12" s="54">
        <v>2011</v>
      </c>
      <c r="B12" s="55">
        <v>5704755</v>
      </c>
      <c r="C12" s="56">
        <v>2.5000000000000001E-3</v>
      </c>
      <c r="F12" s="3">
        <v>2016</v>
      </c>
      <c r="G12" s="53">
        <v>1280000</v>
      </c>
      <c r="H12" s="58">
        <f t="shared" si="0"/>
        <v>3.9215686274509665E-3</v>
      </c>
      <c r="N12" s="3">
        <v>2020</v>
      </c>
      <c r="O12" s="3">
        <f t="shared" si="1"/>
        <v>13707174.730011376</v>
      </c>
    </row>
    <row r="13" spans="1:16" ht="18" x14ac:dyDescent="0.2">
      <c r="A13" s="54">
        <v>2010</v>
      </c>
      <c r="B13" s="55">
        <v>5690479</v>
      </c>
      <c r="C13" s="56">
        <v>5.8999999999999999E-3</v>
      </c>
      <c r="F13" s="3">
        <v>2017</v>
      </c>
      <c r="G13" s="53">
        <v>1280000</v>
      </c>
      <c r="H13" s="58">
        <f t="shared" si="0"/>
        <v>0</v>
      </c>
      <c r="N13" s="3">
        <v>2021</v>
      </c>
      <c r="O13" s="3">
        <f t="shared" si="1"/>
        <v>13603103.434951872</v>
      </c>
    </row>
    <row r="14" spans="1:16" x14ac:dyDescent="0.2">
      <c r="F14" s="3">
        <v>2018</v>
      </c>
      <c r="G14" s="53">
        <v>1275000</v>
      </c>
      <c r="H14" s="58">
        <f t="shared" si="0"/>
        <v>-3.90625E-3</v>
      </c>
      <c r="N14" s="3">
        <v>2022</v>
      </c>
      <c r="O14" s="3">
        <f t="shared" si="1"/>
        <v>13499822.297942346</v>
      </c>
    </row>
    <row r="15" spans="1:16" ht="18" x14ac:dyDescent="0.2">
      <c r="A15" s="55"/>
      <c r="B15" s="55" t="s">
        <v>454</v>
      </c>
      <c r="C15" s="56">
        <f>AVERAGE(C3:C13)</f>
        <v>3.0727272727272725E-3</v>
      </c>
      <c r="D15" s="55"/>
      <c r="F15" s="3">
        <v>2019</v>
      </c>
      <c r="G15" s="53">
        <v>1270000</v>
      </c>
      <c r="H15" s="58">
        <f t="shared" si="0"/>
        <v>-3.9215686274509665E-3</v>
      </c>
      <c r="N15" s="3">
        <v>2023</v>
      </c>
      <c r="O15" s="3">
        <f t="shared" si="1"/>
        <v>13397325.319732537</v>
      </c>
    </row>
    <row r="16" spans="1:16" ht="18" x14ac:dyDescent="0.2">
      <c r="A16" s="55"/>
      <c r="B16" s="55"/>
      <c r="C16" s="55"/>
      <c r="D16" s="55"/>
      <c r="G16" s="53"/>
      <c r="N16" s="3">
        <v>2024</v>
      </c>
      <c r="O16" s="3">
        <f t="shared" si="1"/>
        <v>13295606.546621306</v>
      </c>
    </row>
    <row r="17" spans="1:15" ht="18" x14ac:dyDescent="0.2">
      <c r="A17" s="55">
        <v>2021</v>
      </c>
      <c r="B17" s="55">
        <f>B3*(1+$C$15)</f>
        <v>5869734.844109091</v>
      </c>
      <c r="C17" s="55"/>
      <c r="D17" s="55"/>
      <c r="G17" s="53" t="s">
        <v>454</v>
      </c>
      <c r="H17" s="58">
        <f>AVERAGE(H5:H15)</f>
        <v>1.4486949779318242E-3</v>
      </c>
      <c r="N17" s="3">
        <v>2025</v>
      </c>
      <c r="O17" s="3">
        <f t="shared" si="1"/>
        <v>13194660.0701108</v>
      </c>
    </row>
    <row r="18" spans="1:15" ht="18" x14ac:dyDescent="0.2">
      <c r="A18" s="55">
        <v>2022</v>
      </c>
      <c r="B18" s="55">
        <f>B17*(1+$C$15)</f>
        <v>5887770.9384482633</v>
      </c>
      <c r="C18" s="55"/>
      <c r="D18" s="55"/>
      <c r="F18" s="4" t="s">
        <v>456</v>
      </c>
      <c r="G18" s="53" t="s">
        <v>459</v>
      </c>
      <c r="I18" s="3" t="s">
        <v>458</v>
      </c>
      <c r="J18" s="3" t="s">
        <v>460</v>
      </c>
      <c r="N18" s="3">
        <v>2026</v>
      </c>
      <c r="O18" s="3">
        <f t="shared" si="1"/>
        <v>13094480.026563255</v>
      </c>
    </row>
    <row r="19" spans="1:15" ht="18" x14ac:dyDescent="0.2">
      <c r="A19" s="55">
        <v>2023</v>
      </c>
      <c r="B19" s="55">
        <f t="shared" ref="B19:B46" si="2">B18*(1+$C$15)</f>
        <v>5905862.4527864046</v>
      </c>
      <c r="C19" s="55"/>
      <c r="D19" s="55"/>
      <c r="F19" s="3">
        <v>2020</v>
      </c>
      <c r="G19" s="53">
        <f>G13*(1+H17)</f>
        <v>1281854.3295717526</v>
      </c>
      <c r="I19" s="3">
        <v>2020</v>
      </c>
      <c r="J19" s="53">
        <f>G15*(1+H15)</f>
        <v>1265019.6078431373</v>
      </c>
      <c r="N19" s="3">
        <v>2027</v>
      </c>
      <c r="O19" s="3">
        <f t="shared" si="1"/>
        <v>12995060.596860392</v>
      </c>
    </row>
    <row r="20" spans="1:15" ht="18" x14ac:dyDescent="0.2">
      <c r="A20" s="55">
        <v>2024</v>
      </c>
      <c r="B20" s="55">
        <f t="shared" si="2"/>
        <v>5924009.5574140577</v>
      </c>
      <c r="C20" s="55"/>
      <c r="D20" s="55"/>
      <c r="F20" s="3">
        <v>2021</v>
      </c>
      <c r="G20" s="53">
        <f t="shared" ref="G20:G29" si="3">G19*(1+$H$17)</f>
        <v>1283711.3455014434</v>
      </c>
      <c r="I20" s="3">
        <v>2021</v>
      </c>
      <c r="J20" s="53">
        <f t="shared" ref="J20:J29" si="4">J19*(1+$H$15)</f>
        <v>1260058.7466359094</v>
      </c>
      <c r="N20" s="3">
        <v>2028</v>
      </c>
      <c r="O20" s="3">
        <f t="shared" si="1"/>
        <v>12896396.006065404</v>
      </c>
    </row>
    <row r="21" spans="1:15" ht="18" x14ac:dyDescent="0.2">
      <c r="A21" s="55">
        <v>2025</v>
      </c>
      <c r="B21" s="55">
        <f t="shared" si="2"/>
        <v>5942212.4231450213</v>
      </c>
      <c r="C21" s="55"/>
      <c r="D21" s="55"/>
      <c r="F21" s="3">
        <v>2022</v>
      </c>
      <c r="G21" s="53">
        <f t="shared" si="3"/>
        <v>1285571.0516807854</v>
      </c>
      <c r="I21" s="3">
        <v>2022</v>
      </c>
      <c r="J21" s="53">
        <f t="shared" si="4"/>
        <v>1255117.3397863568</v>
      </c>
      <c r="N21" s="3">
        <v>2029</v>
      </c>
      <c r="O21" s="3">
        <f t="shared" si="1"/>
        <v>12798480.523087511</v>
      </c>
    </row>
    <row r="22" spans="1:15" ht="18" x14ac:dyDescent="0.2">
      <c r="A22" s="55">
        <v>2026</v>
      </c>
      <c r="B22" s="55">
        <f t="shared" si="2"/>
        <v>5960471.2213179581</v>
      </c>
      <c r="F22" s="3">
        <v>2023</v>
      </c>
      <c r="G22" s="53">
        <f t="shared" si="3"/>
        <v>1287433.4520071298</v>
      </c>
      <c r="I22" s="3">
        <v>2023</v>
      </c>
      <c r="J22" s="53">
        <f t="shared" si="4"/>
        <v>1250195.3110028808</v>
      </c>
      <c r="N22" s="3">
        <v>2030</v>
      </c>
      <c r="O22" s="3">
        <f t="shared" si="1"/>
        <v>12701308.460349062</v>
      </c>
    </row>
    <row r="23" spans="1:15" ht="18" x14ac:dyDescent="0.2">
      <c r="A23" s="55">
        <v>2027</v>
      </c>
      <c r="B23" s="55">
        <f t="shared" si="2"/>
        <v>5978786.1237980081</v>
      </c>
      <c r="F23" s="3">
        <v>2024</v>
      </c>
      <c r="G23" s="53">
        <f t="shared" si="3"/>
        <v>1289298.550383474</v>
      </c>
      <c r="I23" s="3">
        <v>2024</v>
      </c>
      <c r="J23" s="53">
        <f t="shared" si="4"/>
        <v>1245292.5842930656</v>
      </c>
      <c r="N23" s="3">
        <v>2031</v>
      </c>
      <c r="O23" s="3">
        <f t="shared" si="1"/>
        <v>12604874.173455162</v>
      </c>
    </row>
    <row r="24" spans="1:15" ht="18" x14ac:dyDescent="0.2">
      <c r="A24" s="55">
        <v>2028</v>
      </c>
      <c r="B24" s="55">
        <f t="shared" si="2"/>
        <v>5997157.3029784057</v>
      </c>
      <c r="F24" s="3">
        <v>2025</v>
      </c>
      <c r="G24" s="53">
        <f t="shared" si="3"/>
        <v>1291166.3507184691</v>
      </c>
      <c r="I24" s="3">
        <v>2025</v>
      </c>
      <c r="J24" s="53">
        <f t="shared" si="4"/>
        <v>1240409.0839625045</v>
      </c>
      <c r="N24" s="3">
        <v>2032</v>
      </c>
      <c r="O24" s="3">
        <f t="shared" si="1"/>
        <v>12509172.060865803</v>
      </c>
    </row>
    <row r="25" spans="1:15" ht="18" x14ac:dyDescent="0.2">
      <c r="A25" s="55">
        <v>2029</v>
      </c>
      <c r="B25" s="55">
        <f t="shared" si="2"/>
        <v>6015584.9317821031</v>
      </c>
      <c r="F25" s="3">
        <v>2026</v>
      </c>
      <c r="G25" s="53">
        <f t="shared" si="3"/>
        <v>1293036.8569264296</v>
      </c>
      <c r="I25" s="3">
        <v>2026</v>
      </c>
      <c r="J25" s="53">
        <f t="shared" si="4"/>
        <v>1235544.7346136321</v>
      </c>
      <c r="N25" s="3">
        <v>2033</v>
      </c>
      <c r="O25" s="3">
        <f t="shared" si="1"/>
        <v>12414196.563570499</v>
      </c>
    </row>
    <row r="26" spans="1:15" ht="18" x14ac:dyDescent="0.2">
      <c r="A26" s="55">
        <v>2030</v>
      </c>
      <c r="B26" s="57">
        <f t="shared" si="2"/>
        <v>6034069.183663398</v>
      </c>
      <c r="F26" s="3">
        <v>2027</v>
      </c>
      <c r="G26" s="53">
        <f t="shared" si="3"/>
        <v>1294910.0729273395</v>
      </c>
      <c r="I26" s="3">
        <v>2027</v>
      </c>
      <c r="J26" s="53">
        <f t="shared" si="4"/>
        <v>1230699.4611445591</v>
      </c>
      <c r="N26" s="3">
        <v>2034</v>
      </c>
      <c r="O26" s="3">
        <f t="shared" si="1"/>
        <v>12319942.164765375</v>
      </c>
    </row>
    <row r="27" spans="1:15" ht="18" x14ac:dyDescent="0.2">
      <c r="A27" s="55">
        <v>2031</v>
      </c>
      <c r="B27" s="55">
        <f t="shared" si="2"/>
        <v>6052610.2326095644</v>
      </c>
      <c r="F27" s="3">
        <v>2028</v>
      </c>
      <c r="G27" s="53">
        <f t="shared" si="3"/>
        <v>1296786.0026468625</v>
      </c>
      <c r="I27" s="3">
        <v>2028</v>
      </c>
      <c r="J27" s="53">
        <f t="shared" si="4"/>
        <v>1225873.1887479138</v>
      </c>
      <c r="N27" s="3">
        <v>2035</v>
      </c>
      <c r="O27" s="3">
        <f t="shared" si="1"/>
        <v>12226403.389532717</v>
      </c>
    </row>
    <row r="28" spans="1:15" ht="18" x14ac:dyDescent="0.2">
      <c r="A28" s="55">
        <v>2032</v>
      </c>
      <c r="B28" s="55">
        <f t="shared" si="2"/>
        <v>6071208.2531424928</v>
      </c>
      <c r="F28" s="3">
        <v>2029</v>
      </c>
      <c r="G28" s="53">
        <f t="shared" si="3"/>
        <v>1298664.6500163493</v>
      </c>
      <c r="I28" s="3">
        <v>2029</v>
      </c>
      <c r="J28" s="53">
        <f t="shared" si="4"/>
        <v>1221065.8429096867</v>
      </c>
      <c r="N28" s="3">
        <v>2036</v>
      </c>
      <c r="O28" s="3">
        <f t="shared" si="1"/>
        <v>12133574.804522952</v>
      </c>
    </row>
    <row r="29" spans="1:15" ht="18" x14ac:dyDescent="0.2">
      <c r="A29" s="55">
        <v>2033</v>
      </c>
      <c r="B29" s="55">
        <f t="shared" si="2"/>
        <v>6089863.4203203311</v>
      </c>
      <c r="F29" s="3">
        <v>2030</v>
      </c>
      <c r="G29" s="53">
        <f t="shared" si="3"/>
        <v>1300546.0189728455</v>
      </c>
      <c r="I29" s="3">
        <v>2030</v>
      </c>
      <c r="J29" s="53">
        <f t="shared" si="4"/>
        <v>1216277.3494080801</v>
      </c>
      <c r="N29" s="3">
        <v>2037</v>
      </c>
      <c r="O29" s="3">
        <f t="shared" si="1"/>
        <v>12041451.017639045</v>
      </c>
    </row>
    <row r="30" spans="1:15" ht="18" x14ac:dyDescent="0.2">
      <c r="A30" s="55">
        <v>2034</v>
      </c>
      <c r="B30" s="55">
        <f t="shared" si="2"/>
        <v>6108575.9097391339</v>
      </c>
      <c r="F30" s="3">
        <v>2031</v>
      </c>
      <c r="G30" s="53">
        <f t="shared" ref="G30:G49" si="5">G29*(1+$H$17)</f>
        <v>1302430.1134591007</v>
      </c>
      <c r="I30" s="3">
        <v>2031</v>
      </c>
      <c r="J30" s="53">
        <f t="shared" ref="J30:J49" si="6">J29*(1+$H$15)</f>
        <v>1211507.6343123622</v>
      </c>
      <c r="N30" s="3">
        <v>2038</v>
      </c>
      <c r="O30" s="3">
        <f t="shared" si="1"/>
        <v>11950026.677723285</v>
      </c>
    </row>
    <row r="31" spans="1:15" ht="18" x14ac:dyDescent="0.2">
      <c r="A31" s="55">
        <v>2035</v>
      </c>
      <c r="B31" s="57">
        <f t="shared" si="2"/>
        <v>6127345.8975345148</v>
      </c>
      <c r="F31" s="3">
        <v>2032</v>
      </c>
      <c r="G31" s="53">
        <f t="shared" si="5"/>
        <v>1304316.9374235759</v>
      </c>
      <c r="I31" s="3">
        <v>2032</v>
      </c>
      <c r="J31" s="53">
        <f t="shared" si="6"/>
        <v>1206756.6239817254</v>
      </c>
      <c r="N31" s="3">
        <v>2039</v>
      </c>
      <c r="O31" s="3">
        <f t="shared" si="1"/>
        <v>11859296.474246463</v>
      </c>
    </row>
    <row r="32" spans="1:15" ht="18" x14ac:dyDescent="0.2">
      <c r="A32" s="55">
        <v>2036</v>
      </c>
      <c r="B32" s="55">
        <f t="shared" si="2"/>
        <v>6146173.5603833031</v>
      </c>
      <c r="F32" s="3">
        <v>2033</v>
      </c>
      <c r="G32" s="53">
        <f t="shared" si="5"/>
        <v>1306206.4948204528</v>
      </c>
      <c r="I32" s="3">
        <v>2033</v>
      </c>
      <c r="J32" s="53">
        <f t="shared" si="6"/>
        <v>1202024.2450641501</v>
      </c>
      <c r="N32" s="3">
        <v>2040</v>
      </c>
      <c r="O32" s="3">
        <f t="shared" si="1"/>
        <v>11769255.136999397</v>
      </c>
    </row>
    <row r="33" spans="1:15" ht="18" x14ac:dyDescent="0.2">
      <c r="A33" s="55">
        <v>2037</v>
      </c>
      <c r="B33" s="55">
        <f t="shared" si="2"/>
        <v>6165059.0755052082</v>
      </c>
      <c r="F33" s="3">
        <v>2034</v>
      </c>
      <c r="G33" s="53">
        <f t="shared" si="5"/>
        <v>1308098.7896096411</v>
      </c>
      <c r="I33" s="3">
        <v>2034</v>
      </c>
      <c r="J33" s="53">
        <f t="shared" si="6"/>
        <v>1197310.4244952712</v>
      </c>
      <c r="N33" s="3">
        <v>2041</v>
      </c>
      <c r="O33" s="3">
        <f t="shared" si="1"/>
        <v>11679897.435786799</v>
      </c>
    </row>
    <row r="34" spans="1:15" ht="18" x14ac:dyDescent="0.2">
      <c r="A34" s="55">
        <v>2038</v>
      </c>
      <c r="B34" s="55">
        <f t="shared" si="2"/>
        <v>6184002.6206644885</v>
      </c>
      <c r="F34" s="3">
        <v>2035</v>
      </c>
      <c r="G34" s="53">
        <f t="shared" si="5"/>
        <v>1309993.8257567871</v>
      </c>
      <c r="I34" s="3">
        <v>2035</v>
      </c>
      <c r="J34" s="53">
        <f t="shared" si="6"/>
        <v>1192615.0894972505</v>
      </c>
      <c r="N34" s="3">
        <v>2042</v>
      </c>
      <c r="O34" s="3">
        <f t="shared" si="1"/>
        <v>11591218.180123476</v>
      </c>
    </row>
    <row r="35" spans="1:15" ht="18" x14ac:dyDescent="0.2">
      <c r="A35" s="55">
        <v>2039</v>
      </c>
      <c r="B35" s="55">
        <f t="shared" si="2"/>
        <v>6203004.3741716212</v>
      </c>
      <c r="F35" s="3">
        <v>2036</v>
      </c>
      <c r="G35" s="53">
        <f t="shared" si="5"/>
        <v>1311891.6072332826</v>
      </c>
      <c r="I35" s="3">
        <v>2036</v>
      </c>
      <c r="J35" s="53">
        <f t="shared" si="6"/>
        <v>1187938.1675776534</v>
      </c>
      <c r="N35" s="3">
        <v>2043</v>
      </c>
      <c r="O35" s="3">
        <f t="shared" si="1"/>
        <v>11503212.218932835</v>
      </c>
    </row>
    <row r="36" spans="1:15" ht="18" x14ac:dyDescent="0.2">
      <c r="A36" s="55">
        <v>2040</v>
      </c>
      <c r="B36" s="57">
        <f t="shared" si="2"/>
        <v>6222064.5148849851</v>
      </c>
      <c r="F36" s="3">
        <v>2037</v>
      </c>
      <c r="G36" s="53">
        <f t="shared" si="5"/>
        <v>1313792.1380162723</v>
      </c>
      <c r="I36" s="3">
        <v>2037</v>
      </c>
      <c r="J36" s="53">
        <f t="shared" si="6"/>
        <v>1183279.5865283294</v>
      </c>
      <c r="N36" s="3">
        <v>2044</v>
      </c>
      <c r="O36" s="3">
        <f t="shared" si="1"/>
        <v>11415874.44024767</v>
      </c>
    </row>
    <row r="37" spans="1:15" ht="18" x14ac:dyDescent="0.2">
      <c r="A37" s="55">
        <v>2041</v>
      </c>
      <c r="B37" s="55">
        <f t="shared" si="2"/>
        <v>6241183.2222125409</v>
      </c>
      <c r="F37" s="3">
        <v>2038</v>
      </c>
      <c r="G37" s="53">
        <f t="shared" si="5"/>
        <v>1315695.4220886629</v>
      </c>
      <c r="I37" s="3">
        <v>2038</v>
      </c>
      <c r="J37" s="53">
        <f t="shared" si="6"/>
        <v>1178639.2744242968</v>
      </c>
      <c r="N37" s="3">
        <v>2045</v>
      </c>
      <c r="O37" s="3">
        <f t="shared" si="1"/>
        <v>11329199.770913221</v>
      </c>
    </row>
    <row r="38" spans="1:15" ht="18" x14ac:dyDescent="0.2">
      <c r="A38" s="55">
        <v>2042</v>
      </c>
      <c r="B38" s="55">
        <f t="shared" si="2"/>
        <v>6260360.6761135217</v>
      </c>
      <c r="F38" s="3">
        <v>2039</v>
      </c>
      <c r="G38" s="53">
        <f t="shared" si="5"/>
        <v>1317601.4634391305</v>
      </c>
      <c r="I38" s="3">
        <v>2039</v>
      </c>
      <c r="J38" s="53">
        <f t="shared" si="6"/>
        <v>1174017.1596226329</v>
      </c>
      <c r="N38" s="3">
        <v>2046</v>
      </c>
      <c r="O38" s="3">
        <f t="shared" si="1"/>
        <v>11243183.176292501</v>
      </c>
    </row>
    <row r="39" spans="1:15" ht="18" x14ac:dyDescent="0.2">
      <c r="A39" s="55">
        <v>2043</v>
      </c>
      <c r="B39" s="55">
        <f t="shared" si="2"/>
        <v>6279597.0571001256</v>
      </c>
      <c r="F39" s="3">
        <v>2040</v>
      </c>
      <c r="G39" s="53">
        <f t="shared" si="5"/>
        <v>1319510.2660621302</v>
      </c>
      <c r="I39" s="3">
        <v>2040</v>
      </c>
      <c r="J39" s="53">
        <f t="shared" si="6"/>
        <v>1169413.1707613678</v>
      </c>
      <c r="N39" s="3">
        <v>2047</v>
      </c>
      <c r="O39" s="3">
        <f t="shared" si="1"/>
        <v>11157819.659973847</v>
      </c>
    </row>
    <row r="40" spans="1:15" ht="18" x14ac:dyDescent="0.2">
      <c r="A40" s="55">
        <v>2044</v>
      </c>
      <c r="B40" s="55">
        <f t="shared" si="2"/>
        <v>6298892.5462392159</v>
      </c>
      <c r="F40" s="3">
        <v>2041</v>
      </c>
      <c r="G40" s="53">
        <f t="shared" si="5"/>
        <v>1321421.8339579038</v>
      </c>
      <c r="I40" s="3">
        <v>2041</v>
      </c>
      <c r="J40" s="53">
        <f t="shared" si="6"/>
        <v>1164827.2367583821</v>
      </c>
      <c r="N40" s="3">
        <v>2048</v>
      </c>
      <c r="O40" s="3">
        <f t="shared" si="1"/>
        <v>11073104.263480693</v>
      </c>
    </row>
    <row r="41" spans="1:15" ht="18" x14ac:dyDescent="0.2">
      <c r="A41" s="55">
        <v>2045</v>
      </c>
      <c r="B41" s="57">
        <f t="shared" si="2"/>
        <v>6318247.3251540242</v>
      </c>
      <c r="F41" s="3">
        <v>2042</v>
      </c>
      <c r="G41" s="53">
        <f t="shared" si="5"/>
        <v>1323336.1711324879</v>
      </c>
      <c r="I41" s="3">
        <v>2042</v>
      </c>
      <c r="J41" s="53">
        <f t="shared" si="6"/>
        <v>1160259.2868103101</v>
      </c>
      <c r="N41" s="3">
        <v>2049</v>
      </c>
      <c r="O41" s="3">
        <f t="shared" si="1"/>
        <v>10989032.065983552</v>
      </c>
    </row>
    <row r="42" spans="1:15" ht="18" x14ac:dyDescent="0.2">
      <c r="A42" s="55">
        <v>2046</v>
      </c>
      <c r="B42" s="55">
        <f t="shared" si="2"/>
        <v>6337661.5760258613</v>
      </c>
      <c r="F42" s="3">
        <v>2043</v>
      </c>
      <c r="G42" s="53">
        <f t="shared" si="5"/>
        <v>1325253.281597723</v>
      </c>
      <c r="I42" s="3">
        <v>2043</v>
      </c>
      <c r="J42" s="53">
        <f t="shared" si="6"/>
        <v>1155709.2503914461</v>
      </c>
      <c r="N42" s="3">
        <v>2050</v>
      </c>
      <c r="O42" s="3">
        <f t="shared" si="1"/>
        <v>10905598.184014181</v>
      </c>
    </row>
    <row r="43" spans="1:15" ht="18" x14ac:dyDescent="0.2">
      <c r="A43" s="55">
        <v>2047</v>
      </c>
      <c r="B43" s="55">
        <f t="shared" si="2"/>
        <v>6357135.4815958319</v>
      </c>
      <c r="F43" s="3">
        <v>2044</v>
      </c>
      <c r="G43" s="53">
        <f t="shared" si="5"/>
        <v>1327173.1693712613</v>
      </c>
      <c r="I43" s="3">
        <v>2044</v>
      </c>
      <c r="J43" s="53">
        <f t="shared" si="6"/>
        <v>1151177.057252656</v>
      </c>
    </row>
    <row r="44" spans="1:15" ht="18" x14ac:dyDescent="0.2">
      <c r="A44" s="55">
        <v>2048</v>
      </c>
      <c r="B44" s="55">
        <f t="shared" si="2"/>
        <v>6376669.2251665536</v>
      </c>
      <c r="F44" s="3">
        <v>2045</v>
      </c>
      <c r="G44" s="53">
        <f t="shared" si="5"/>
        <v>1329095.8384765752</v>
      </c>
      <c r="I44" s="3">
        <v>2045</v>
      </c>
      <c r="J44" s="53">
        <f t="shared" si="6"/>
        <v>1146662.6374202927</v>
      </c>
      <c r="N44" s="3" t="s">
        <v>464</v>
      </c>
      <c r="O44" s="60">
        <f>O42/O10</f>
        <v>0.78357693904462633</v>
      </c>
    </row>
    <row r="45" spans="1:15" ht="18" x14ac:dyDescent="0.2">
      <c r="A45" s="55">
        <v>2049</v>
      </c>
      <c r="B45" s="55">
        <f t="shared" si="2"/>
        <v>6396262.9906038838</v>
      </c>
      <c r="F45" s="3">
        <v>2046</v>
      </c>
      <c r="G45" s="53">
        <f t="shared" si="5"/>
        <v>1331021.2929429663</v>
      </c>
      <c r="I45" s="3">
        <v>2046</v>
      </c>
      <c r="J45" s="53">
        <f t="shared" si="6"/>
        <v>1142165.9211951152</v>
      </c>
    </row>
    <row r="46" spans="1:15" ht="18" x14ac:dyDescent="0.2">
      <c r="A46" s="55">
        <v>2050</v>
      </c>
      <c r="B46" s="57">
        <f t="shared" si="2"/>
        <v>6415916.9623386487</v>
      </c>
      <c r="F46" s="3">
        <v>2047</v>
      </c>
      <c r="G46" s="53">
        <f t="shared" si="5"/>
        <v>1332949.5368055732</v>
      </c>
      <c r="I46" s="3">
        <v>2047</v>
      </c>
      <c r="J46" s="53">
        <f t="shared" si="6"/>
        <v>1137686.8391512127</v>
      </c>
    </row>
    <row r="47" spans="1:15" x14ac:dyDescent="0.2">
      <c r="F47" s="3">
        <v>2048</v>
      </c>
      <c r="G47" s="53">
        <f t="shared" si="5"/>
        <v>1334880.5741053799</v>
      </c>
      <c r="I47" s="3">
        <v>2048</v>
      </c>
      <c r="J47" s="53">
        <f t="shared" si="6"/>
        <v>1133225.3221349334</v>
      </c>
    </row>
    <row r="48" spans="1:15" x14ac:dyDescent="0.2">
      <c r="F48" s="3">
        <v>2049</v>
      </c>
      <c r="G48" s="53">
        <f t="shared" si="5"/>
        <v>1336814.408889225</v>
      </c>
      <c r="I48" s="3">
        <v>2049</v>
      </c>
      <c r="J48" s="53">
        <f t="shared" si="6"/>
        <v>1128781.301263816</v>
      </c>
    </row>
    <row r="49" spans="6:10" x14ac:dyDescent="0.2">
      <c r="F49" s="3">
        <v>2050</v>
      </c>
      <c r="G49" s="53">
        <f t="shared" si="5"/>
        <v>1338751.0452098097</v>
      </c>
      <c r="I49" s="3">
        <v>2050</v>
      </c>
      <c r="J49" s="53">
        <f t="shared" si="6"/>
        <v>1124354.7079255264</v>
      </c>
    </row>
  </sheetData>
  <hyperlinks>
    <hyperlink ref="B2" r:id="rId1" xr:uid="{6D1B8F79-8A63-D346-A3BE-3D4744669356}"/>
    <hyperlink ref="G2" r:id="rId2" xr:uid="{D45B7C1E-7B01-8042-9C69-DA2CF89A8EE7}"/>
    <hyperlink ref="O2" r:id="rId3" xr:uid="{E304229E-C0D3-9F4F-AAC4-CF8729DF9972}"/>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harvest</vt:lpstr>
      <vt:lpstr>fertilizer</vt:lpstr>
      <vt:lpstr>human consumption</vt:lpstr>
      <vt:lpstr>Livestock</vt:lpstr>
      <vt:lpstr>cattle feed</vt:lpstr>
      <vt:lpstr>exports</vt:lpstr>
      <vt:lpstr>parameters</vt:lpstr>
      <vt:lpstr>case 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2019-05-16T14:27:26Z</dcterms:created>
  <dcterms:modified xsi:type="dcterms:W3CDTF">2019-08-06T18:45:41Z</dcterms:modified>
</cp:coreProperties>
</file>