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BWES3-Repository\"/>
    </mc:Choice>
  </mc:AlternateContent>
  <xr:revisionPtr revIDLastSave="0" documentId="13_ncr:1_{0929DD83-8CE0-4886-B9DA-16097910975D}" xr6:coauthVersionLast="47" xr6:coauthVersionMax="47" xr10:uidLastSave="{00000000-0000-0000-0000-000000000000}"/>
  <bookViews>
    <workbookView xWindow="-108" yWindow="-108" windowWidth="23256" windowHeight="12456" xr2:uid="{8689C7FC-1607-4B71-BD5D-27DE32EFF972}"/>
  </bookViews>
  <sheets>
    <sheet name="Master BoM" sheetId="4" r:id="rId1"/>
    <sheet name="Proposed ES3" sheetId="1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/>
  <c r="C27" i="4"/>
  <c r="D27" i="4" s="1"/>
  <c r="G27" i="4" s="1"/>
  <c r="M27" i="4"/>
  <c r="B26" i="4"/>
  <c r="C26" i="4"/>
  <c r="D26" i="4" s="1"/>
  <c r="G26" i="4" s="1"/>
  <c r="M26" i="4"/>
  <c r="B25" i="4"/>
  <c r="C25" i="4"/>
  <c r="D25" i="4" s="1"/>
  <c r="G25" i="4" s="1"/>
  <c r="M25" i="4"/>
  <c r="B24" i="4"/>
  <c r="C24" i="4"/>
  <c r="D24" i="4" s="1"/>
  <c r="G24" i="4" s="1"/>
  <c r="M24" i="4"/>
  <c r="B23" i="4"/>
  <c r="C23" i="4"/>
  <c r="D23" i="4" s="1"/>
  <c r="G23" i="4" s="1"/>
  <c r="M23" i="4"/>
  <c r="B22" i="4"/>
  <c r="C22" i="4"/>
  <c r="D22" i="4" s="1"/>
  <c r="G22" i="4" s="1"/>
  <c r="M22" i="4"/>
  <c r="B21" i="4"/>
  <c r="C21" i="4"/>
  <c r="D21" i="4" s="1"/>
  <c r="G21" i="4" s="1"/>
  <c r="M21" i="4"/>
  <c r="B20" i="4"/>
  <c r="C20" i="4"/>
  <c r="D20" i="4" s="1"/>
  <c r="G20" i="4" s="1"/>
  <c r="M20" i="4"/>
  <c r="B19" i="4"/>
  <c r="C19" i="4"/>
  <c r="D19" i="4" s="1"/>
  <c r="G19" i="4" s="1"/>
  <c r="M19" i="4"/>
  <c r="B18" i="4"/>
  <c r="C18" i="4"/>
  <c r="D18" i="4" s="1"/>
  <c r="G18" i="4" s="1"/>
  <c r="M18" i="4"/>
  <c r="B17" i="4"/>
  <c r="C17" i="4"/>
  <c r="D17" i="4" s="1"/>
  <c r="G17" i="4" s="1"/>
  <c r="M17" i="4"/>
  <c r="B16" i="4"/>
  <c r="C16" i="4"/>
  <c r="D16" i="4" s="1"/>
  <c r="G16" i="4" s="1"/>
  <c r="M16" i="4"/>
  <c r="B15" i="4"/>
  <c r="C15" i="4"/>
  <c r="D15" i="4" s="1"/>
  <c r="G15" i="4" s="1"/>
  <c r="M15" i="4"/>
  <c r="B14" i="4"/>
  <c r="C14" i="4"/>
  <c r="D14" i="4" s="1"/>
  <c r="G14" i="4" s="1"/>
  <c r="M14" i="4"/>
  <c r="B5" i="4"/>
  <c r="C5" i="4"/>
  <c r="E5" i="4" s="1"/>
  <c r="F5" i="4" s="1"/>
  <c r="C6" i="4"/>
  <c r="E6" i="4" s="1"/>
  <c r="F6" i="4" s="1"/>
  <c r="C7" i="4"/>
  <c r="E7" i="4" s="1"/>
  <c r="F7" i="4" s="1"/>
  <c r="C8" i="4"/>
  <c r="D8" i="4" s="1"/>
  <c r="G8" i="4" s="1"/>
  <c r="C9" i="4"/>
  <c r="D9" i="4" s="1"/>
  <c r="G9" i="4" s="1"/>
  <c r="C10" i="4"/>
  <c r="D10" i="4" s="1"/>
  <c r="G10" i="4" s="1"/>
  <c r="C11" i="4"/>
  <c r="D11" i="4" s="1"/>
  <c r="G11" i="4" s="1"/>
  <c r="C12" i="4"/>
  <c r="D12" i="4" s="1"/>
  <c r="G12" i="4" s="1"/>
  <c r="C13" i="4"/>
  <c r="D13" i="4" s="1"/>
  <c r="G13" i="4" s="1"/>
  <c r="B6" i="4"/>
  <c r="B7" i="4"/>
  <c r="B8" i="4"/>
  <c r="B9" i="4"/>
  <c r="B10" i="4"/>
  <c r="B11" i="4"/>
  <c r="B12" i="4"/>
  <c r="B13" i="4"/>
  <c r="D30" i="4"/>
  <c r="B29" i="4"/>
  <c r="D29" i="4" s="1" a="1"/>
  <c r="D29" i="4" s="1"/>
  <c r="M13" i="4"/>
  <c r="M12" i="4"/>
  <c r="M11" i="4"/>
  <c r="M10" i="4"/>
  <c r="M9" i="4"/>
  <c r="M6" i="4"/>
  <c r="M7" i="4"/>
  <c r="M8" i="4"/>
  <c r="M5" i="4"/>
  <c r="F3" i="1"/>
  <c r="E27" i="4" l="1"/>
  <c r="F27" i="4" s="1"/>
  <c r="E25" i="4"/>
  <c r="F25" i="4" s="1"/>
  <c r="E26" i="4"/>
  <c r="F26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D7" i="4"/>
  <c r="G7" i="4" s="1"/>
  <c r="D6" i="4"/>
  <c r="G6" i="4" s="1"/>
  <c r="D5" i="4"/>
  <c r="G5" i="4" s="1"/>
  <c r="E13" i="4"/>
  <c r="F13" i="4" s="1"/>
  <c r="E10" i="4"/>
  <c r="F10" i="4" s="1"/>
  <c r="E9" i="4"/>
  <c r="F9" i="4" s="1"/>
  <c r="E8" i="4"/>
  <c r="F8" i="4" s="1"/>
  <c r="E12" i="4"/>
  <c r="F12" i="4" s="1"/>
  <c r="M28" i="4"/>
  <c r="E11" i="4"/>
  <c r="F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<sst xmlns="http://schemas.openxmlformats.org/spreadsheetml/2006/main" count="198" uniqueCount="147">
  <si>
    <t>PART DESC</t>
  </si>
  <si>
    <t>LINK</t>
  </si>
  <si>
    <t>PRICE</t>
  </si>
  <si>
    <t>QUANTITY</t>
  </si>
  <si>
    <t>Gland Connectors 5-10mm for passing 3phase + sensor cables into enclosure</t>
  </si>
  <si>
    <t>UNIT PRICE</t>
  </si>
  <si>
    <t>UNIT QUANTITY</t>
  </si>
  <si>
    <t>https://www.screwfix.com/p/abb-plastic-quick-connect-cable-gland-16-2mm-10-pack/161jk</t>
  </si>
  <si>
    <t>PURCHASE NO.</t>
  </si>
  <si>
    <t>DEPT</t>
  </si>
  <si>
    <t>DEPT NO.</t>
  </si>
  <si>
    <t>Electrical</t>
  </si>
  <si>
    <t>Battery</t>
  </si>
  <si>
    <t>Skateboard Hardware</t>
  </si>
  <si>
    <t>Body/Fixings</t>
  </si>
  <si>
    <t>Format</t>
  </si>
  <si>
    <t>ES</t>
  </si>
  <si>
    <t>-</t>
  </si>
  <si>
    <t>XX</t>
  </si>
  <si>
    <t>YY</t>
  </si>
  <si>
    <t>ZZZ</t>
  </si>
  <si>
    <t>Electric Skateboard</t>
  </si>
  <si>
    <t>Project Code</t>
  </si>
  <si>
    <t>ES3-06-XXX</t>
  </si>
  <si>
    <t>Trucks</t>
  </si>
  <si>
    <t>Wheels</t>
  </si>
  <si>
    <t>Risers</t>
  </si>
  <si>
    <t>XT90 Series Adapter</t>
  </si>
  <si>
    <t>https://hobbyking.com/en_us/xt90-series-adapter-1pc.html?___store=en_gb</t>
  </si>
  <si>
    <t>SKU</t>
  </si>
  <si>
    <t>ES1</t>
  </si>
  <si>
    <t>https://uk.banggood.com/Flipsky-6354-190KV-2450W-Brushless-Motor-Shaft-8mm-for-Electric-Skateboard-RC-Models-p-1323575.html?imageAb=1&amp;utm_design=41&amp;utm_source=emarsys&amp;utm_medium=Neworder171109&amp;utm_campaign=trigger-order&amp;utm_content=winna&amp;sc_src=email_2675773&amp;sc_eh=ffc32019a4982a831&amp;sc_llid=15647628&amp;sc_lid=105229698&amp;sc_uid=d0NoDMntQX&amp;akmClientCountry=GB&amp;cur_warehouse=CN</t>
  </si>
  <si>
    <t>Flipsky 6354 190KV 2450W Brushless Motor Shaft 8mm</t>
  </si>
  <si>
    <t>Total</t>
  </si>
  <si>
    <t>https://www.skatehut.co.uk//brands/orangatang/orangatang-kegel-80mm-longboard-wheels-pack-of-4-purple-83a.htm</t>
  </si>
  <si>
    <t>Orangatang Kegel 80mm Longboard Wheels (Pack Of 4)</t>
  </si>
  <si>
    <t>Caliber II 10" 50 Degree Longboard Truck (10" - Black)</t>
  </si>
  <si>
    <t>ES2</t>
  </si>
  <si>
    <t>ES3</t>
  </si>
  <si>
    <t>ES-04-001</t>
  </si>
  <si>
    <t>ES-04-002</t>
  </si>
  <si>
    <t>ES-04-003</t>
  </si>
  <si>
    <t>ES-04-004</t>
  </si>
  <si>
    <t>ES-01-005</t>
  </si>
  <si>
    <t>ES-02-006</t>
  </si>
  <si>
    <t>Y</t>
  </si>
  <si>
    <t>PROJECT CODE</t>
  </si>
  <si>
    <t>DELIM1</t>
  </si>
  <si>
    <t>DEPT CODE</t>
  </si>
  <si>
    <t>DELIM2</t>
  </si>
  <si>
    <t>PART DEPT</t>
  </si>
  <si>
    <t>ITEM NO.</t>
  </si>
  <si>
    <t>01</t>
  </si>
  <si>
    <t>03</t>
  </si>
  <si>
    <t>02</t>
  </si>
  <si>
    <t>04</t>
  </si>
  <si>
    <t>05</t>
  </si>
  <si>
    <t>06</t>
  </si>
  <si>
    <t>https://www.skatepro.uk/226-9748.htm</t>
  </si>
  <si>
    <t>ES-04-007</t>
  </si>
  <si>
    <t>Bearings</t>
  </si>
  <si>
    <t>https://www.mboards.co/products/rubber-riser-pads?_pos=1&amp;_sid=214cb06db&amp;_ss=r</t>
  </si>
  <si>
    <t>https://www.mboards.co/products/skateboard-hardware-sets?_pos=4&amp;_sid=5175b15a1&amp;_ss=r</t>
  </si>
  <si>
    <t>PART NAME</t>
  </si>
  <si>
    <t>Skateboard Hardware Set - 1"</t>
  </si>
  <si>
    <t>Truck bolts</t>
  </si>
  <si>
    <t>1/2" Rubber Riser Pads</t>
  </si>
  <si>
    <t>Super Blacks Bearings</t>
  </si>
  <si>
    <t>Basic Motor Mount</t>
  </si>
  <si>
    <t>ES-06-009</t>
  </si>
  <si>
    <t>Motor Mount for attaching to trucks</t>
  </si>
  <si>
    <t>ES-02-010</t>
  </si>
  <si>
    <t>Complete 36T Kegel Pulley System</t>
  </si>
  <si>
    <t>Belt-Pulley system for Motor/Wheel</t>
  </si>
  <si>
    <t>https://www.mboards.co/products/super-blacks-bearings?_pos=1&amp;_sid=670720604&amp;_ss=r</t>
  </si>
  <si>
    <t>https://www.mboards.co/products/complete-36t-kegel-pulley-system?_pos=1&amp;_sid=fd8795070&amp;_ss=r</t>
  </si>
  <si>
    <t>Slick Revolution Carver Deck</t>
  </si>
  <si>
    <t>Longboard Deck</t>
  </si>
  <si>
    <t>n/a</t>
  </si>
  <si>
    <t>First motor - faulty</t>
  </si>
  <si>
    <t>ES-05-011</t>
  </si>
  <si>
    <t>https://rover.ebay.com/rover/0/e11400.m43.l9264/7?euid=18bf052912434fb09d7f7d4f59c240ef&amp;bu=44949611664&amp;loc=https%3A%2F%2Fwww.ebay.co.uk%2Fsignin%2Fg%2Fv%255E1.1%2523i%255E1%2523r%255E1%2523f%255E0%2523I%255E3%2523p%255E3%2523t%255EUl4xMF8xMTozREU4NTNCQjAzMTAxRDMyNDBFNkQwNTVEQTI2QTA5Nl8zXzEjRV4yNjA%253D&amp;sojTags=bu=bu</t>
  </si>
  <si>
    <t xml:space="preserve">
Electric Skateboard Longboard Control Mainboard Single Drive ESC Substitute Gear</t>
  </si>
  <si>
    <t>Cheap ESC</t>
  </si>
  <si>
    <t>QUANUM E4 CUBE 50W BALANCE CHARGER FOR LIPO 100~240V AC (UK PLUG)</t>
  </si>
  <si>
    <t>LiPo battery balance charger</t>
  </si>
  <si>
    <t>TURNIGY 5000MAH 4S 25C LIPO PACK W/XT-90</t>
  </si>
  <si>
    <t>ES-03-012</t>
  </si>
  <si>
    <t>ES-03-013</t>
  </si>
  <si>
    <t>LiPo batteries</t>
  </si>
  <si>
    <t>https://hobbyking.com/en_us/turnigy-5000mah-4s-25c-lipo-pack.html</t>
  </si>
  <si>
    <t>https://hobbyking.com/en_us/ecube-e4-with-uk-plug.html</t>
  </si>
  <si>
    <t>ES-01-014</t>
  </si>
  <si>
    <t>XT60 series harness</t>
  </si>
  <si>
    <t>LiPo batteries xt90 series connector</t>
  </si>
  <si>
    <t>XT60 HARNESS FOR 2 PACKS IN SERIES (1PC)</t>
  </si>
  <si>
    <t>https://hobbyking.com/en_us/xt60-harness-for-2-packs-in-series-1pc.html</t>
  </si>
  <si>
    <t>SUPPLIER</t>
  </si>
  <si>
    <t>Slick Revolution</t>
  </si>
  <si>
    <t>SkatePro</t>
  </si>
  <si>
    <t>SkateHut</t>
  </si>
  <si>
    <t>Mboards</t>
  </si>
  <si>
    <t>HobbyKing</t>
  </si>
  <si>
    <t>Banggood</t>
  </si>
  <si>
    <t>MBoards</t>
  </si>
  <si>
    <t>Ebay</t>
  </si>
  <si>
    <t>Modelsport XT-60 Female to XT-90 Male Adapter Lead</t>
  </si>
  <si>
    <t>ES-01-015</t>
  </si>
  <si>
    <t>XT60F to XT90M battery harness</t>
  </si>
  <si>
    <t>Modelsport</t>
  </si>
  <si>
    <t>https://www.modelsport.co.uk/product/modelsport-xt-60-female-to-xt-90-male-adapter-lead-437397</t>
  </si>
  <si>
    <t>Bolts for Enclosures</t>
  </si>
  <si>
    <t>ES-06-008</t>
  </si>
  <si>
    <t>1.5" Deck Hardware Bolt</t>
  </si>
  <si>
    <t>ES-04-016</t>
  </si>
  <si>
    <t>TorqueBoards 2.4Ghz Mini Remote Controller</t>
  </si>
  <si>
    <t>DIYElectricSkateboard</t>
  </si>
  <si>
    <t>RC remote</t>
  </si>
  <si>
    <t>ES-05-017</t>
  </si>
  <si>
    <t>Electric Skateboard Motor 6355 190KV</t>
  </si>
  <si>
    <t>Motor</t>
  </si>
  <si>
    <t>ES-02-018</t>
  </si>
  <si>
    <t>TORQUE ESC BLDC Electronic Speed Controller</t>
  </si>
  <si>
    <t>VESC</t>
  </si>
  <si>
    <t>ES-05-019</t>
  </si>
  <si>
    <t>Power Switch - On/Off Button</t>
  </si>
  <si>
    <t>ES-01-020</t>
  </si>
  <si>
    <t>ES-05-021</t>
  </si>
  <si>
    <t>BLDC ESC 4.12 Compatible with VESC® Tool</t>
  </si>
  <si>
    <t>10s2p Complete Battery Solution</t>
  </si>
  <si>
    <t>ES-03-022</t>
  </si>
  <si>
    <t>Antispark switch</t>
  </si>
  <si>
    <t>VESC to replace busted DRV chip</t>
  </si>
  <si>
    <t>New Li-ion battery</t>
  </si>
  <si>
    <t>https://www.mboards.co/products/10s2p-battery-complete-battery-solution</t>
  </si>
  <si>
    <t>https://www.mboards.co/products/bldc-esc-4</t>
  </si>
  <si>
    <t>https://www.mboards.co/products/power-switch-on-off-button</t>
  </si>
  <si>
    <t>https://diyelectricskateboard.com/products/electric-skateboard-motor-6355-190kv?_pos=6&amp;_sid=ed9ff81ff&amp;_ss=r</t>
  </si>
  <si>
    <t>https://diyelectricskateboard.com/products/torqueboards-2-4ghz-mini-remote-controller</t>
  </si>
  <si>
    <t>https://diyelectricskateboard.com/products/1-5-deck-hardware-bolts?_pos=1&amp;_psq=1.5&amp;_ss=e&amp;_v=1.0</t>
  </si>
  <si>
    <t>Item</t>
  </si>
  <si>
    <t>Department</t>
  </si>
  <si>
    <t>Revision</t>
  </si>
  <si>
    <t>ES3-01-XXX</t>
  </si>
  <si>
    <t>XT90S pair for loopkey to replace power button</t>
  </si>
  <si>
    <t>Control Electronics</t>
  </si>
  <si>
    <t>Drivetrain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</si>
</sst>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/>
    <xf numFmtId="49" fontId="0" fillId="0" borderId="0" xfId="0" applyNumberFormat="1"/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18">
    <dxf>
      <fill>
        <patternFill>
          <bgColor theme="9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A9607-C493-409D-9E00-80DA94FD3CF1}" name="Table1" displayName="Table1" ref="A4:R28" totalsRowCount="1">
  <autoFilter ref="A4:R27" xr:uid="{776A9607-C493-409D-9E00-80DA94FD3CF1}"/>
  <tableColumns count="18">
    <tableColumn id="1" xr3:uid="{968A13B1-F47E-4155-BEDF-162D964B7A4F}" name="SKU" totalsRowLabel="Total"/>
    <tableColumn id="13" xr3:uid="{D4FF5137-5E91-4A1F-B346-C6CD65681515}" name="PROJECT CODE" dataDxfId="17">
      <calculatedColumnFormula>LEFT(Table1[[#This Row],[SKU]],SEARCH("-",Table1[[#This Row],[SKU]])-1)</calculatedColumnFormula>
    </tableColumn>
    <tableColumn id="14" xr3:uid="{A56ED712-9EDB-4875-B35D-0CA1E2E940BE}" name="DELIM1" dataDxfId="16">
      <calculatedColumnFormula>SEARCH("-",Table1[[#This Row],[SKU]])</calculatedColumnFormula>
    </tableColumn>
    <tableColumn id="12" xr3:uid="{A744971F-04A4-4EB3-892C-AB71A912C050}" name="DEPT CODE" dataDxfId="15">
      <calculatedColumnFormula>MID(Table1[[#This Row],[SKU]], Table1[[#This Row],[DELIM1]]+1, LEN(Table1[[#This Row],[SKU]])-SEARCH("-",Table1[[#This Row],[SKU]],Table1[[#This Row],[DELIM1]]+1)-1)</calculatedColumnFormula>
    </tableColumn>
    <tableColumn id="15" xr3:uid="{924CF372-495E-4EC3-9689-1E261CD9744B}" name="DELIM2" dataDxfId="14">
      <calculatedColumnFormula>SEARCH("-",Table1[[#This Row],[SKU]],Table1[[#This Row],[DELIM1]]+1)</calculatedColumnFormula>
    </tableColumn>
    <tableColumn id="11" xr3:uid="{9555DDC5-C860-4373-8B96-47144CBD008E}" name="ITEM NO." dataDxfId="13">
      <calculatedColumnFormula>RIGHT(Table1[[#This Row],[SKU]],LEN(Table1[[#This Row],[SKU]])-Table1[[#This Row],[DELIM2]])</calculatedColumnFormula>
    </tableColumn>
    <tableColumn id="16" xr3:uid="{5F6158BB-1E3F-439D-8962-C5FB9FCD6785}" name="PART DEPT" dataDxfId="12">
      <calculatedColumnFormula>VLOOKUP(Table1[[#This Row],[DEPT CODE]],Info!$A$1:$B$7,2,FALSE)</calculatedColumnFormula>
    </tableColumn>
    <tableColumn id="2" xr3:uid="{2EB5C5F4-78ED-4C9C-A386-E9B5518620BB}" name="PART NAME" dataDxfId="11" totalsRowDxfId="10"/>
    <tableColumn id="17" xr3:uid="{B406679D-D5CD-4F5C-B9BD-6843AA790D0E}" name="PART DESC" dataDxfId="9" totalsRowDxfId="8"/>
    <tableColumn id="3" xr3:uid="{7E9CAB1B-58D5-4A4D-931C-5EBA5E2168BB}" name="UNIT QUANTITY"/>
    <tableColumn id="4" xr3:uid="{BE8EF167-119B-4164-B836-FB989BBB8EE5}" name="UNIT PRICE" dataDxfId="7"/>
    <tableColumn id="5" xr3:uid="{5C453E69-0F6B-40D9-A3AC-DC8800C631AA}" name="QUANTITY"/>
    <tableColumn id="6" xr3:uid="{0915F2AB-043E-4ACE-905E-E162497DE74A}" name="PRICE" totalsRowFunction="sum" dataDxfId="6" totalsRowDxfId="5">
      <calculatedColumnFormula>K5*L5</calculatedColumnFormula>
    </tableColumn>
    <tableColumn id="18" xr3:uid="{F21EA790-1F95-40AE-B6AD-6C23172A8F27}" name="SUPPLIER" dataDxfId="4" totalsRowDxfId="3"/>
    <tableColumn id="7" xr3:uid="{4675D8ED-8CCD-44D6-9624-64F0C03812F3}" name="LINK" dataDxfId="2" totalsRowDxfId="1"/>
    <tableColumn id="8" xr3:uid="{23FD9023-B862-4CB6-B5D0-22A37E35AB17}" name="ES1"/>
    <tableColumn id="9" xr3:uid="{C03BCFE4-3587-480D-9A46-6461658FD563}" name="ES2"/>
    <tableColumn id="10" xr3:uid="{E88C9257-DA7F-4A32-BD13-D76E3DE8080C}" name="ES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boards.co/products/complete-36t-kegel-pulley-system?_pos=1&amp;_sid=fd8795070&amp;_ss=r" TargetMode="External"/><Relationship Id="rId13" Type="http://schemas.openxmlformats.org/officeDocument/2006/relationships/hyperlink" Target="https://www.modelsport.co.uk/product/modelsport-xt-60-female-to-xt-90-male-adapter-lead-437397" TargetMode="External"/><Relationship Id="rId18" Type="http://schemas.openxmlformats.org/officeDocument/2006/relationships/hyperlink" Target="https://diyelectricskateboard.com/products/torqueboards-2-4ghz-mini-remote-controller" TargetMode="External"/><Relationship Id="rId3" Type="http://schemas.openxmlformats.org/officeDocument/2006/relationships/hyperlink" Target="https://www.skatehut.co.uk/brands/orangatang/orangatang-kegel-80mm-longboard-wheels-pack-of-4-purple-83a.ht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mboards.co/products/super-blacks-bearings?_pos=1&amp;_sid=670720604&amp;_ss=r" TargetMode="External"/><Relationship Id="rId12" Type="http://schemas.openxmlformats.org/officeDocument/2006/relationships/hyperlink" Target="https://hobbyking.com/en_us/xt60-harness-for-2-packs-in-series-1pc.html" TargetMode="External"/><Relationship Id="rId17" Type="http://schemas.openxmlformats.org/officeDocument/2006/relationships/hyperlink" Target="https://diyelectricskateboard.com/products/electric-skateboard-motor-6355-190kv?_pos=6&amp;_sid=ed9ff81ff&amp;_ss=r" TargetMode="External"/><Relationship Id="rId2" Type="http://schemas.openxmlformats.org/officeDocument/2006/relationships/hyperlink" Target="https://uk.banggood.com/Flipsky-6354-190KV-2450W-Brushless-Motor-Shaft-8mm-for-Electric-Skateboard-RC-Models-p-1323575.html?imageAb=1&amp;utm_design=41&amp;utm_source=emarsys&amp;utm_medium=Neworder171109&amp;utm_campaign=trigger-order&amp;utm_content=winna&amp;sc_src=email_2675773&amp;sc_eh=ffc32019a4982a831&amp;sc_llid=15647628&amp;sc_lid=105229698&amp;sc_uid=d0NoDMntQX&amp;akmClientCountry=GB&amp;cur_warehouse=CN" TargetMode="External"/><Relationship Id="rId16" Type="http://schemas.openxmlformats.org/officeDocument/2006/relationships/hyperlink" Target="https://www.mboards.co/products/power-switch-on-off-butto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hobbyking.com/en_us/xt90-series-adapter-1pc.html?___store=en_gb" TargetMode="External"/><Relationship Id="rId6" Type="http://schemas.openxmlformats.org/officeDocument/2006/relationships/hyperlink" Target="https://www.mboards.co/products/skateboard-hardware-sets?_pos=4&amp;_sid=5175b15a1&amp;_ss=r" TargetMode="External"/><Relationship Id="rId11" Type="http://schemas.openxmlformats.org/officeDocument/2006/relationships/hyperlink" Target="https://hobbyking.com/en_us/ecube-e4-with-uk-plug.html" TargetMode="External"/><Relationship Id="rId5" Type="http://schemas.openxmlformats.org/officeDocument/2006/relationships/hyperlink" Target="https://www.mboards.co/products/rubber-riser-pads?_pos=1&amp;_sid=214cb06db&amp;_ss=r" TargetMode="External"/><Relationship Id="rId15" Type="http://schemas.openxmlformats.org/officeDocument/2006/relationships/hyperlink" Target="https://www.mboards.co/products/bldc-esc-4" TargetMode="External"/><Relationship Id="rId10" Type="http://schemas.openxmlformats.org/officeDocument/2006/relationships/hyperlink" Target="https://hobbyking.com/en_us/turnigy-5000mah-4s-25c-lipo-pack.html" TargetMode="External"/><Relationship Id="rId19" Type="http://schemas.openxmlformats.org/officeDocument/2006/relationships/hyperlink" Target="https://diyelectricskateboard.com/products/1-5-deck-hardware-bolts?_pos=1&amp;_psq=1.5&amp;_ss=e&amp;_v=1.0" TargetMode="External"/><Relationship Id="rId4" Type="http://schemas.openxmlformats.org/officeDocument/2006/relationships/hyperlink" Target="https://www.skatepro.uk/226-9748.htm" TargetMode="External"/><Relationship Id="rId9" Type="http://schemas.openxmlformats.org/officeDocument/2006/relationships/hyperlink" Target="https://rover.ebay.com/rover/0/e11400.m43.l9264/7?euid=18bf052912434fb09d7f7d4f59c240ef&amp;bu=44949611664&amp;loc=https%3A%2F%2Fwww.ebay.co.uk%2Fsignin%2Fg%2Fv%255E1.1%2523i%255E1%2523r%255E1%2523f%255E0%2523I%255E3%2523p%255E3%2523t%255EUl4xMF8xMTozREU4NTNCQjAzMTAxRDMyNDBFNkQwNTVEQTI2QTA5Nl8zXzEjRV4yNjA%253D&amp;sojTags=bu=bu" TargetMode="External"/><Relationship Id="rId14" Type="http://schemas.openxmlformats.org/officeDocument/2006/relationships/hyperlink" Target="https://www.mboards.co/products/10s2p-battery-complete-battery-solu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wfix.com/p/abb-plastic-quick-connect-cable-gland-16-2mm-10-pack/161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13AA-F2E9-4C08-9B16-F462D8D77451}">
  <dimension ref="A4:R30"/>
  <sheetViews>
    <sheetView tabSelected="1" zoomScale="89" workbookViewId="0">
      <selection activeCell="G26" sqref="G26"/>
    </sheetView>
  </sheetViews>
  <sheetFormatPr defaultRowHeight="14.4" x14ac:dyDescent="0.3"/>
  <cols>
    <col min="1" max="1" width="13.5546875" bestFit="1" customWidth="1"/>
    <col min="2" max="6" width="13.5546875" hidden="1" customWidth="1"/>
    <col min="7" max="7" width="18.88671875" bestFit="1" customWidth="1"/>
    <col min="8" max="9" width="23.77734375" style="1" customWidth="1"/>
    <col min="10" max="10" width="16.21875" customWidth="1"/>
    <col min="11" max="11" width="14.44140625" bestFit="1" customWidth="1"/>
    <col min="12" max="12" width="11.5546875" customWidth="1"/>
    <col min="14" max="14" width="19.21875" bestFit="1" customWidth="1"/>
    <col min="15" max="15" width="51.6640625" style="1" customWidth="1"/>
  </cols>
  <sheetData>
    <row r="4" spans="1:18" x14ac:dyDescent="0.3">
      <c r="A4" t="s">
        <v>29</v>
      </c>
      <c r="B4" t="s">
        <v>46</v>
      </c>
      <c r="C4" t="s">
        <v>47</v>
      </c>
      <c r="D4" t="s">
        <v>48</v>
      </c>
      <c r="E4" t="s">
        <v>49</v>
      </c>
      <c r="F4" t="s">
        <v>51</v>
      </c>
      <c r="G4" t="s">
        <v>50</v>
      </c>
      <c r="H4" s="1" t="s">
        <v>63</v>
      </c>
      <c r="I4" s="1" t="s">
        <v>0</v>
      </c>
      <c r="J4" t="s">
        <v>6</v>
      </c>
      <c r="K4" t="s">
        <v>5</v>
      </c>
      <c r="L4" t="s">
        <v>3</v>
      </c>
      <c r="M4" t="s">
        <v>2</v>
      </c>
      <c r="N4" t="s">
        <v>97</v>
      </c>
      <c r="O4" s="1" t="s">
        <v>1</v>
      </c>
      <c r="P4" t="s">
        <v>30</v>
      </c>
      <c r="Q4" t="s">
        <v>37</v>
      </c>
      <c r="R4" t="s">
        <v>38</v>
      </c>
    </row>
    <row r="5" spans="1:18" ht="28.8" x14ac:dyDescent="0.3">
      <c r="A5" t="s">
        <v>39</v>
      </c>
      <c r="B5" t="str">
        <f>LEFT(Table1[[#This Row],[SKU]],SEARCH("-",Table1[[#This Row],[SKU]])-1)</f>
        <v>ES</v>
      </c>
      <c r="C5">
        <f>SEARCH("-",Table1[[#This Row],[SKU]])</f>
        <v>3</v>
      </c>
      <c r="D5" t="str">
        <f>MID(Table1[[#This Row],[SKU]], Table1[[#This Row],[DELIM1]]+1, LEN(Table1[[#This Row],[SKU]])-SEARCH("-",Table1[[#This Row],[SKU]],Table1[[#This Row],[DELIM1]]+1)-1)</f>
        <v>04</v>
      </c>
      <c r="E5">
        <f>SEARCH("-",Table1[[#This Row],[SKU]],Table1[[#This Row],[DELIM1]]+1)</f>
        <v>6</v>
      </c>
      <c r="F5" t="str">
        <f>RIGHT(Table1[[#This Row],[SKU]],LEN(Table1[[#This Row],[SKU]])-Table1[[#This Row],[DELIM2]])</f>
        <v>001</v>
      </c>
      <c r="G5" t="str">
        <f>VLOOKUP(Table1[[#This Row],[DEPT CODE]],Info!$A$1:$B$7,2,FALSE)</f>
        <v>Skateboard Hardware</v>
      </c>
      <c r="H5" s="1" t="s">
        <v>76</v>
      </c>
      <c r="I5" s="1" t="s">
        <v>77</v>
      </c>
      <c r="J5">
        <v>1</v>
      </c>
      <c r="K5" s="3">
        <v>44.49</v>
      </c>
      <c r="L5">
        <v>1</v>
      </c>
      <c r="M5" s="3">
        <f>K5*L5</f>
        <v>44.49</v>
      </c>
      <c r="N5" s="3" t="s">
        <v>98</v>
      </c>
      <c r="O5" s="5" t="s">
        <v>78</v>
      </c>
      <c r="P5" t="s">
        <v>45</v>
      </c>
      <c r="Q5" t="s">
        <v>45</v>
      </c>
    </row>
    <row r="6" spans="1:18" ht="43.2" x14ac:dyDescent="0.3">
      <c r="A6" t="s">
        <v>40</v>
      </c>
      <c r="B6" t="str">
        <f>LEFT(Table1[[#This Row],[SKU]],SEARCH("-",Table1[[#This Row],[SKU]])-1)</f>
        <v>ES</v>
      </c>
      <c r="C6">
        <f>SEARCH("-",Table1[[#This Row],[SKU]])</f>
        <v>3</v>
      </c>
      <c r="D6" t="str">
        <f>MID(Table1[[#This Row],[SKU]], Table1[[#This Row],[DELIM1]]+1, LEN(Table1[[#This Row],[SKU]])-SEARCH("-",Table1[[#This Row],[SKU]],Table1[[#This Row],[DELIM1]]+1)-1)</f>
        <v>04</v>
      </c>
      <c r="E6">
        <f>SEARCH("-",Table1[[#This Row],[SKU]],Table1[[#This Row],[DELIM1]]+1)</f>
        <v>6</v>
      </c>
      <c r="F6" t="str">
        <f>RIGHT(Table1[[#This Row],[SKU]],LEN(Table1[[#This Row],[SKU]])-Table1[[#This Row],[DELIM2]])</f>
        <v>002</v>
      </c>
      <c r="G6" t="str">
        <f>VLOOKUP(Table1[[#This Row],[DEPT CODE]],Info!$A$1:$B$7,2,FALSE)</f>
        <v>Skateboard Hardware</v>
      </c>
      <c r="H6" s="1" t="s">
        <v>36</v>
      </c>
      <c r="I6" s="1" t="s">
        <v>24</v>
      </c>
      <c r="J6">
        <v>1</v>
      </c>
      <c r="K6" s="3">
        <v>29.95</v>
      </c>
      <c r="L6">
        <v>2</v>
      </c>
      <c r="M6" s="3">
        <f t="shared" ref="M6:M9" si="0">K6*L6</f>
        <v>59.9</v>
      </c>
      <c r="N6" s="3" t="s">
        <v>99</v>
      </c>
      <c r="O6" s="2" t="s">
        <v>58</v>
      </c>
      <c r="P6" t="s">
        <v>45</v>
      </c>
      <c r="Q6" t="s">
        <v>45</v>
      </c>
    </row>
    <row r="7" spans="1:18" ht="43.2" x14ac:dyDescent="0.3">
      <c r="A7" t="s">
        <v>41</v>
      </c>
      <c r="B7" t="str">
        <f>LEFT(Table1[[#This Row],[SKU]],SEARCH("-",Table1[[#This Row],[SKU]])-1)</f>
        <v>ES</v>
      </c>
      <c r="C7">
        <f>SEARCH("-",Table1[[#This Row],[SKU]])</f>
        <v>3</v>
      </c>
      <c r="D7" t="str">
        <f>MID(Table1[[#This Row],[SKU]], Table1[[#This Row],[DELIM1]]+1, LEN(Table1[[#This Row],[SKU]])-SEARCH("-",Table1[[#This Row],[SKU]],Table1[[#This Row],[DELIM1]]+1)-1)</f>
        <v>04</v>
      </c>
      <c r="E7">
        <f>SEARCH("-",Table1[[#This Row],[SKU]],Table1[[#This Row],[DELIM1]]+1)</f>
        <v>6</v>
      </c>
      <c r="F7" t="str">
        <f>RIGHT(Table1[[#This Row],[SKU]],LEN(Table1[[#This Row],[SKU]])-Table1[[#This Row],[DELIM2]])</f>
        <v>003</v>
      </c>
      <c r="G7" t="str">
        <f>VLOOKUP(Table1[[#This Row],[DEPT CODE]],Info!$A$1:$B$7,2,FALSE)</f>
        <v>Skateboard Hardware</v>
      </c>
      <c r="H7" s="1" t="s">
        <v>35</v>
      </c>
      <c r="I7" s="1" t="s">
        <v>25</v>
      </c>
      <c r="J7">
        <v>4</v>
      </c>
      <c r="K7" s="3">
        <v>53.95</v>
      </c>
      <c r="L7">
        <v>1</v>
      </c>
      <c r="M7" s="3">
        <f t="shared" si="0"/>
        <v>53.95</v>
      </c>
      <c r="N7" s="3" t="s">
        <v>100</v>
      </c>
      <c r="O7" s="2" t="s">
        <v>34</v>
      </c>
      <c r="P7" t="s">
        <v>45</v>
      </c>
      <c r="Q7" t="s">
        <v>45</v>
      </c>
    </row>
    <row r="8" spans="1:18" ht="28.8" x14ac:dyDescent="0.3">
      <c r="A8" t="s">
        <v>42</v>
      </c>
      <c r="B8" t="str">
        <f>LEFT(Table1[[#This Row],[SKU]],SEARCH("-",Table1[[#This Row],[SKU]])-1)</f>
        <v>ES</v>
      </c>
      <c r="C8">
        <f>SEARCH("-",Table1[[#This Row],[SKU]])</f>
        <v>3</v>
      </c>
      <c r="D8" t="str">
        <f>MID(Table1[[#This Row],[SKU]], Table1[[#This Row],[DELIM1]]+1, LEN(Table1[[#This Row],[SKU]])-SEARCH("-",Table1[[#This Row],[SKU]],Table1[[#This Row],[DELIM1]]+1)-1)</f>
        <v>04</v>
      </c>
      <c r="E8">
        <f>SEARCH("-",Table1[[#This Row],[SKU]],Table1[[#This Row],[DELIM1]]+1)</f>
        <v>6</v>
      </c>
      <c r="F8" t="str">
        <f>RIGHT(Table1[[#This Row],[SKU]],LEN(Table1[[#This Row],[SKU]])-Table1[[#This Row],[DELIM2]])</f>
        <v>004</v>
      </c>
      <c r="G8" t="str">
        <f>VLOOKUP(Table1[[#This Row],[DEPT CODE]],Info!$A$1:$B$7,2,FALSE)</f>
        <v>Skateboard Hardware</v>
      </c>
      <c r="H8" s="1" t="s">
        <v>66</v>
      </c>
      <c r="I8" s="1" t="s">
        <v>26</v>
      </c>
      <c r="J8">
        <v>2</v>
      </c>
      <c r="K8" s="3">
        <v>2.0299999999999998</v>
      </c>
      <c r="L8">
        <v>1</v>
      </c>
      <c r="M8" s="3">
        <f t="shared" si="0"/>
        <v>2.0299999999999998</v>
      </c>
      <c r="N8" s="3" t="s">
        <v>101</v>
      </c>
      <c r="O8" s="2" t="s">
        <v>61</v>
      </c>
      <c r="P8" t="s">
        <v>45</v>
      </c>
      <c r="Q8" t="s">
        <v>45</v>
      </c>
    </row>
    <row r="9" spans="1:18" ht="28.8" x14ac:dyDescent="0.3">
      <c r="A9" t="s">
        <v>43</v>
      </c>
      <c r="B9" t="str">
        <f>LEFT(Table1[[#This Row],[SKU]],SEARCH("-",Table1[[#This Row],[SKU]])-1)</f>
        <v>ES</v>
      </c>
      <c r="C9">
        <f>SEARCH("-",Table1[[#This Row],[SKU]])</f>
        <v>3</v>
      </c>
      <c r="D9" t="str">
        <f>MID(Table1[[#This Row],[SKU]], Table1[[#This Row],[DELIM1]]+1, LEN(Table1[[#This Row],[SKU]])-SEARCH("-",Table1[[#This Row],[SKU]],Table1[[#This Row],[DELIM1]]+1)-1)</f>
        <v>01</v>
      </c>
      <c r="E9">
        <f>SEARCH("-",Table1[[#This Row],[SKU]],Table1[[#This Row],[DELIM1]]+1)</f>
        <v>6</v>
      </c>
      <c r="F9" t="str">
        <f>RIGHT(Table1[[#This Row],[SKU]],LEN(Table1[[#This Row],[SKU]])-Table1[[#This Row],[DELIM2]])</f>
        <v>005</v>
      </c>
      <c r="G9" t="str">
        <f>VLOOKUP(Table1[[#This Row],[DEPT CODE]],Info!$A$1:$B$7,2,FALSE)</f>
        <v>Electrical</v>
      </c>
      <c r="H9" s="1" t="s">
        <v>27</v>
      </c>
      <c r="I9" s="1" t="s">
        <v>94</v>
      </c>
      <c r="J9">
        <v>1</v>
      </c>
      <c r="K9" s="3">
        <v>2.75</v>
      </c>
      <c r="L9">
        <v>1</v>
      </c>
      <c r="M9" s="3">
        <f t="shared" si="0"/>
        <v>2.75</v>
      </c>
      <c r="N9" s="3" t="s">
        <v>102</v>
      </c>
      <c r="O9" s="2" t="s">
        <v>28</v>
      </c>
      <c r="P9" t="s">
        <v>45</v>
      </c>
    </row>
    <row r="10" spans="1:18" ht="28.2" customHeight="1" x14ac:dyDescent="0.3">
      <c r="A10" t="s">
        <v>44</v>
      </c>
      <c r="B10" t="str">
        <f>LEFT(Table1[[#This Row],[SKU]],SEARCH("-",Table1[[#This Row],[SKU]])-1)</f>
        <v>ES</v>
      </c>
      <c r="C10">
        <f>SEARCH("-",Table1[[#This Row],[SKU]])</f>
        <v>3</v>
      </c>
      <c r="D10" t="str">
        <f>MID(Table1[[#This Row],[SKU]], Table1[[#This Row],[DELIM1]]+1, LEN(Table1[[#This Row],[SKU]])-SEARCH("-",Table1[[#This Row],[SKU]],Table1[[#This Row],[DELIM1]]+1)-1)</f>
        <v>02</v>
      </c>
      <c r="E10">
        <f>SEARCH("-",Table1[[#This Row],[SKU]],Table1[[#This Row],[DELIM1]]+1)</f>
        <v>6</v>
      </c>
      <c r="F10" t="str">
        <f>RIGHT(Table1[[#This Row],[SKU]],LEN(Table1[[#This Row],[SKU]])-Table1[[#This Row],[DELIM2]])</f>
        <v>006</v>
      </c>
      <c r="G10" t="str">
        <f>VLOOKUP(Table1[[#This Row],[DEPT CODE]],Info!$A$1:$B$7,2,FALSE)</f>
        <v>Drivetrain</v>
      </c>
      <c r="H10" s="1" t="s">
        <v>32</v>
      </c>
      <c r="I10" s="1" t="s">
        <v>79</v>
      </c>
      <c r="J10">
        <v>1</v>
      </c>
      <c r="K10" s="3">
        <v>59.2</v>
      </c>
      <c r="L10">
        <v>1</v>
      </c>
      <c r="M10" s="3">
        <f t="shared" ref="M10:M26" si="1">K10*L10</f>
        <v>59.2</v>
      </c>
      <c r="N10" s="3" t="s">
        <v>103</v>
      </c>
      <c r="O10" s="2" t="s">
        <v>31</v>
      </c>
    </row>
    <row r="11" spans="1:18" ht="28.8" x14ac:dyDescent="0.3">
      <c r="A11" t="s">
        <v>59</v>
      </c>
      <c r="B11" t="str">
        <f>LEFT(Table1[[#This Row],[SKU]],SEARCH("-",Table1[[#This Row],[SKU]])-1)</f>
        <v>ES</v>
      </c>
      <c r="C11">
        <f>SEARCH("-",Table1[[#This Row],[SKU]])</f>
        <v>3</v>
      </c>
      <c r="D11" t="str">
        <f>MID(Table1[[#This Row],[SKU]], Table1[[#This Row],[DELIM1]]+1, LEN(Table1[[#This Row],[SKU]])-SEARCH("-",Table1[[#This Row],[SKU]],Table1[[#This Row],[DELIM1]]+1)-1)</f>
        <v>04</v>
      </c>
      <c r="E11">
        <f>SEARCH("-",Table1[[#This Row],[SKU]],Table1[[#This Row],[DELIM1]]+1)</f>
        <v>6</v>
      </c>
      <c r="F11" t="str">
        <f>RIGHT(Table1[[#This Row],[SKU]],LEN(Table1[[#This Row],[SKU]])-Table1[[#This Row],[DELIM2]])</f>
        <v>007</v>
      </c>
      <c r="G11" t="str">
        <f>VLOOKUP(Table1[[#This Row],[DEPT CODE]],Info!$A$1:$B$7,2,FALSE)</f>
        <v>Skateboard Hardware</v>
      </c>
      <c r="H11" s="1" t="s">
        <v>67</v>
      </c>
      <c r="I11" s="1" t="s">
        <v>60</v>
      </c>
      <c r="J11">
        <v>4</v>
      </c>
      <c r="K11" s="3">
        <v>12.18</v>
      </c>
      <c r="L11">
        <v>1</v>
      </c>
      <c r="M11" s="3">
        <f t="shared" si="1"/>
        <v>12.18</v>
      </c>
      <c r="N11" s="3" t="s">
        <v>104</v>
      </c>
      <c r="O11" s="2" t="s">
        <v>74</v>
      </c>
      <c r="P11" t="s">
        <v>45</v>
      </c>
      <c r="Q11" t="s">
        <v>45</v>
      </c>
    </row>
    <row r="12" spans="1:18" ht="28.8" x14ac:dyDescent="0.3">
      <c r="A12" t="s">
        <v>112</v>
      </c>
      <c r="B12" t="str">
        <f>LEFT(Table1[[#This Row],[SKU]],SEARCH("-",Table1[[#This Row],[SKU]])-1)</f>
        <v>ES</v>
      </c>
      <c r="C12">
        <f>SEARCH("-",Table1[[#This Row],[SKU]])</f>
        <v>3</v>
      </c>
      <c r="D12" t="str">
        <f>MID(Table1[[#This Row],[SKU]], Table1[[#This Row],[DELIM1]]+1, LEN(Table1[[#This Row],[SKU]])-SEARCH("-",Table1[[#This Row],[SKU]],Table1[[#This Row],[DELIM1]]+1)-1)</f>
        <v>06</v>
      </c>
      <c r="E12">
        <f>SEARCH("-",Table1[[#This Row],[SKU]],Table1[[#This Row],[DELIM1]]+1)</f>
        <v>6</v>
      </c>
      <c r="F12" t="str">
        <f>RIGHT(Table1[[#This Row],[SKU]],LEN(Table1[[#This Row],[SKU]])-Table1[[#This Row],[DELIM2]])</f>
        <v>008</v>
      </c>
      <c r="G12" t="str">
        <f>VLOOKUP(Table1[[#This Row],[DEPT CODE]],Info!$A$1:$B$7,2,FALSE)</f>
        <v>Body/Fixings</v>
      </c>
      <c r="H12" s="1" t="s">
        <v>64</v>
      </c>
      <c r="I12" s="1" t="s">
        <v>111</v>
      </c>
      <c r="J12">
        <v>8</v>
      </c>
      <c r="K12" s="3">
        <v>1.62</v>
      </c>
      <c r="L12">
        <v>1</v>
      </c>
      <c r="M12" s="3">
        <f t="shared" si="1"/>
        <v>1.62</v>
      </c>
      <c r="N12" s="3" t="s">
        <v>101</v>
      </c>
      <c r="O12" s="2" t="s">
        <v>62</v>
      </c>
      <c r="P12" t="s">
        <v>45</v>
      </c>
      <c r="Q12" t="s">
        <v>45</v>
      </c>
    </row>
    <row r="13" spans="1:18" ht="28.8" x14ac:dyDescent="0.3">
      <c r="A13" t="s">
        <v>69</v>
      </c>
      <c r="B13" t="str">
        <f>LEFT(Table1[[#This Row],[SKU]],SEARCH("-",Table1[[#This Row],[SKU]])-1)</f>
        <v>ES</v>
      </c>
      <c r="C13">
        <f>SEARCH("-",Table1[[#This Row],[SKU]])</f>
        <v>3</v>
      </c>
      <c r="D13" t="str">
        <f>MID(Table1[[#This Row],[SKU]], Table1[[#This Row],[DELIM1]]+1, LEN(Table1[[#This Row],[SKU]])-SEARCH("-",Table1[[#This Row],[SKU]],Table1[[#This Row],[DELIM1]]+1)-1)</f>
        <v>06</v>
      </c>
      <c r="E13">
        <f>SEARCH("-",Table1[[#This Row],[SKU]],Table1[[#This Row],[DELIM1]]+1)</f>
        <v>6</v>
      </c>
      <c r="F13" t="str">
        <f>RIGHT(Table1[[#This Row],[SKU]],LEN(Table1[[#This Row],[SKU]])-Table1[[#This Row],[DELIM2]])</f>
        <v>009</v>
      </c>
      <c r="G13" t="str">
        <f>VLOOKUP(Table1[[#This Row],[DEPT CODE]],Info!$A$1:$B$7,2,FALSE)</f>
        <v>Body/Fixings</v>
      </c>
      <c r="H13" s="1" t="s">
        <v>68</v>
      </c>
      <c r="I13" s="1" t="s">
        <v>70</v>
      </c>
      <c r="J13">
        <v>1</v>
      </c>
      <c r="K13" s="3">
        <v>14.61</v>
      </c>
      <c r="L13">
        <v>1</v>
      </c>
      <c r="M13" s="3">
        <f t="shared" si="1"/>
        <v>14.61</v>
      </c>
      <c r="N13" s="3" t="s">
        <v>101</v>
      </c>
      <c r="O13" s="1" t="s">
        <v>78</v>
      </c>
      <c r="P13" t="s">
        <v>45</v>
      </c>
      <c r="Q13" t="s">
        <v>45</v>
      </c>
    </row>
    <row r="14" spans="1:18" ht="28.8" x14ac:dyDescent="0.3">
      <c r="A14" t="s">
        <v>71</v>
      </c>
      <c r="B14" t="str">
        <f>LEFT(Table1[[#This Row],[SKU]],SEARCH("-",Table1[[#This Row],[SKU]])-1)</f>
        <v>ES</v>
      </c>
      <c r="C14">
        <f>SEARCH("-",Table1[[#This Row],[SKU]])</f>
        <v>3</v>
      </c>
      <c r="D14" t="str">
        <f>MID(Table1[[#This Row],[SKU]], Table1[[#This Row],[DELIM1]]+1, LEN(Table1[[#This Row],[SKU]])-SEARCH("-",Table1[[#This Row],[SKU]],Table1[[#This Row],[DELIM1]]+1)-1)</f>
        <v>02</v>
      </c>
      <c r="E14">
        <f>SEARCH("-",Table1[[#This Row],[SKU]],Table1[[#This Row],[DELIM1]]+1)</f>
        <v>6</v>
      </c>
      <c r="F14" t="str">
        <f>RIGHT(Table1[[#This Row],[SKU]],LEN(Table1[[#This Row],[SKU]])-Table1[[#This Row],[DELIM2]])</f>
        <v>010</v>
      </c>
      <c r="G14" t="str">
        <f>VLOOKUP(Table1[[#This Row],[DEPT CODE]],Info!$A$1:$B$7,2,FALSE)</f>
        <v>Drivetrain</v>
      </c>
      <c r="H14" s="1" t="s">
        <v>72</v>
      </c>
      <c r="I14" s="1" t="s">
        <v>73</v>
      </c>
      <c r="J14">
        <v>1</v>
      </c>
      <c r="K14" s="3">
        <v>32.479999999999997</v>
      </c>
      <c r="L14">
        <v>1</v>
      </c>
      <c r="M14" s="3">
        <f t="shared" si="1"/>
        <v>32.479999999999997</v>
      </c>
      <c r="N14" s="3" t="s">
        <v>101</v>
      </c>
      <c r="O14" s="2" t="s">
        <v>75</v>
      </c>
      <c r="P14" t="s">
        <v>45</v>
      </c>
      <c r="Q14" t="s">
        <v>45</v>
      </c>
    </row>
    <row r="15" spans="1:18" ht="100.8" x14ac:dyDescent="0.3">
      <c r="A15" t="s">
        <v>80</v>
      </c>
      <c r="B15" t="str">
        <f>LEFT(Table1[[#This Row],[SKU]],SEARCH("-",Table1[[#This Row],[SKU]])-1)</f>
        <v>ES</v>
      </c>
      <c r="C15">
        <f>SEARCH("-",Table1[[#This Row],[SKU]])</f>
        <v>3</v>
      </c>
      <c r="D15" t="str">
        <f>MID(Table1[[#This Row],[SKU]], Table1[[#This Row],[DELIM1]]+1, LEN(Table1[[#This Row],[SKU]])-SEARCH("-",Table1[[#This Row],[SKU]],Table1[[#This Row],[DELIM1]]+1)-1)</f>
        <v>05</v>
      </c>
      <c r="E15">
        <f>SEARCH("-",Table1[[#This Row],[SKU]],Table1[[#This Row],[DELIM1]]+1)</f>
        <v>6</v>
      </c>
      <c r="F15" t="str">
        <f>RIGHT(Table1[[#This Row],[SKU]],LEN(Table1[[#This Row],[SKU]])-Table1[[#This Row],[DELIM2]])</f>
        <v>011</v>
      </c>
      <c r="G15" t="str">
        <f>VLOOKUP(Table1[[#This Row],[DEPT CODE]],Info!$A$1:$B$7,2,FALSE)</f>
        <v>Control Electronics</v>
      </c>
      <c r="H15" s="1" t="s">
        <v>82</v>
      </c>
      <c r="I15" s="1" t="s">
        <v>83</v>
      </c>
      <c r="J15">
        <v>1</v>
      </c>
      <c r="K15" s="3">
        <v>25</v>
      </c>
      <c r="L15">
        <v>1</v>
      </c>
      <c r="M15" s="3">
        <f t="shared" si="1"/>
        <v>25</v>
      </c>
      <c r="N15" s="3" t="s">
        <v>105</v>
      </c>
      <c r="O15" s="2" t="s">
        <v>81</v>
      </c>
    </row>
    <row r="16" spans="1:18" ht="57.6" x14ac:dyDescent="0.3">
      <c r="A16" t="s">
        <v>87</v>
      </c>
      <c r="B16" t="str">
        <f>LEFT(Table1[[#This Row],[SKU]],SEARCH("-",Table1[[#This Row],[SKU]])-1)</f>
        <v>ES</v>
      </c>
      <c r="C16">
        <f>SEARCH("-",Table1[[#This Row],[SKU]])</f>
        <v>3</v>
      </c>
      <c r="D16" t="str">
        <f>MID(Table1[[#This Row],[SKU]], Table1[[#This Row],[DELIM1]]+1, LEN(Table1[[#This Row],[SKU]])-SEARCH("-",Table1[[#This Row],[SKU]],Table1[[#This Row],[DELIM1]]+1)-1)</f>
        <v>03</v>
      </c>
      <c r="E16">
        <f>SEARCH("-",Table1[[#This Row],[SKU]],Table1[[#This Row],[DELIM1]]+1)</f>
        <v>6</v>
      </c>
      <c r="F16" t="str">
        <f>RIGHT(Table1[[#This Row],[SKU]],LEN(Table1[[#This Row],[SKU]])-Table1[[#This Row],[DELIM2]])</f>
        <v>012</v>
      </c>
      <c r="G16" t="str">
        <f>VLOOKUP(Table1[[#This Row],[DEPT CODE]],Info!$A$1:$B$7,2,FALSE)</f>
        <v>Battery</v>
      </c>
      <c r="H16" s="1" t="s">
        <v>84</v>
      </c>
      <c r="I16" s="1" t="s">
        <v>85</v>
      </c>
      <c r="J16">
        <v>1</v>
      </c>
      <c r="K16" s="3">
        <v>17.87</v>
      </c>
      <c r="L16">
        <v>1</v>
      </c>
      <c r="M16" s="3">
        <f t="shared" si="1"/>
        <v>17.87</v>
      </c>
      <c r="N16" s="3" t="s">
        <v>102</v>
      </c>
      <c r="O16" s="2" t="s">
        <v>91</v>
      </c>
    </row>
    <row r="17" spans="1:17" ht="28.8" x14ac:dyDescent="0.3">
      <c r="A17" t="s">
        <v>88</v>
      </c>
      <c r="B17" t="str">
        <f>LEFT(Table1[[#This Row],[SKU]],SEARCH("-",Table1[[#This Row],[SKU]])-1)</f>
        <v>ES</v>
      </c>
      <c r="C17">
        <f>SEARCH("-",Table1[[#This Row],[SKU]])</f>
        <v>3</v>
      </c>
      <c r="D17" t="str">
        <f>MID(Table1[[#This Row],[SKU]], Table1[[#This Row],[DELIM1]]+1, LEN(Table1[[#This Row],[SKU]])-SEARCH("-",Table1[[#This Row],[SKU]],Table1[[#This Row],[DELIM1]]+1)-1)</f>
        <v>03</v>
      </c>
      <c r="E17">
        <f>SEARCH("-",Table1[[#This Row],[SKU]],Table1[[#This Row],[DELIM1]]+1)</f>
        <v>6</v>
      </c>
      <c r="F17" t="str">
        <f>RIGHT(Table1[[#This Row],[SKU]],LEN(Table1[[#This Row],[SKU]])-Table1[[#This Row],[DELIM2]])</f>
        <v>013</v>
      </c>
      <c r="G17" t="str">
        <f>VLOOKUP(Table1[[#This Row],[DEPT CODE]],Info!$A$1:$B$7,2,FALSE)</f>
        <v>Battery</v>
      </c>
      <c r="H17" s="1" t="s">
        <v>86</v>
      </c>
      <c r="I17" s="1" t="s">
        <v>89</v>
      </c>
      <c r="J17">
        <v>1</v>
      </c>
      <c r="K17" s="3">
        <v>34.46</v>
      </c>
      <c r="L17">
        <v>2</v>
      </c>
      <c r="M17" s="3">
        <f t="shared" si="1"/>
        <v>68.92</v>
      </c>
      <c r="N17" s="3" t="s">
        <v>102</v>
      </c>
      <c r="O17" s="2" t="s">
        <v>90</v>
      </c>
      <c r="P17" t="s">
        <v>45</v>
      </c>
    </row>
    <row r="18" spans="1:17" ht="28.8" x14ac:dyDescent="0.3">
      <c r="A18" t="s">
        <v>92</v>
      </c>
      <c r="B18" t="str">
        <f>LEFT(Table1[[#This Row],[SKU]],SEARCH("-",Table1[[#This Row],[SKU]])-1)</f>
        <v>ES</v>
      </c>
      <c r="C18">
        <f>SEARCH("-",Table1[[#This Row],[SKU]])</f>
        <v>3</v>
      </c>
      <c r="D18" t="str">
        <f>MID(Table1[[#This Row],[SKU]], Table1[[#This Row],[DELIM1]]+1, LEN(Table1[[#This Row],[SKU]])-SEARCH("-",Table1[[#This Row],[SKU]],Table1[[#This Row],[DELIM1]]+1)-1)</f>
        <v>01</v>
      </c>
      <c r="E18">
        <f>SEARCH("-",Table1[[#This Row],[SKU]],Table1[[#This Row],[DELIM1]]+1)</f>
        <v>6</v>
      </c>
      <c r="F18" t="str">
        <f>RIGHT(Table1[[#This Row],[SKU]],LEN(Table1[[#This Row],[SKU]])-Table1[[#This Row],[DELIM2]])</f>
        <v>014</v>
      </c>
      <c r="G18" t="str">
        <f>VLOOKUP(Table1[[#This Row],[DEPT CODE]],Info!$A$1:$B$7,2,FALSE)</f>
        <v>Electrical</v>
      </c>
      <c r="H18" s="1" t="s">
        <v>95</v>
      </c>
      <c r="I18" s="1" t="s">
        <v>93</v>
      </c>
      <c r="J18">
        <v>1</v>
      </c>
      <c r="K18" s="3">
        <v>2.56</v>
      </c>
      <c r="L18">
        <v>1</v>
      </c>
      <c r="M18" s="3">
        <f t="shared" si="1"/>
        <v>2.56</v>
      </c>
      <c r="N18" s="3" t="s">
        <v>102</v>
      </c>
      <c r="O18" s="2" t="s">
        <v>96</v>
      </c>
      <c r="P18" t="s">
        <v>45</v>
      </c>
    </row>
    <row r="19" spans="1:17" ht="43.2" x14ac:dyDescent="0.3">
      <c r="A19" t="s">
        <v>107</v>
      </c>
      <c r="B19" t="str">
        <f>LEFT(Table1[[#This Row],[SKU]],SEARCH("-",Table1[[#This Row],[SKU]])-1)</f>
        <v>ES</v>
      </c>
      <c r="C19">
        <f>SEARCH("-",Table1[[#This Row],[SKU]])</f>
        <v>3</v>
      </c>
      <c r="D19" t="str">
        <f>MID(Table1[[#This Row],[SKU]], Table1[[#This Row],[DELIM1]]+1, LEN(Table1[[#This Row],[SKU]])-SEARCH("-",Table1[[#This Row],[SKU]],Table1[[#This Row],[DELIM1]]+1)-1)</f>
        <v>01</v>
      </c>
      <c r="E19">
        <f>SEARCH("-",Table1[[#This Row],[SKU]],Table1[[#This Row],[DELIM1]]+1)</f>
        <v>6</v>
      </c>
      <c r="F19" t="str">
        <f>RIGHT(Table1[[#This Row],[SKU]],LEN(Table1[[#This Row],[SKU]])-Table1[[#This Row],[DELIM2]])</f>
        <v>015</v>
      </c>
      <c r="G19" t="str">
        <f>VLOOKUP(Table1[[#This Row],[DEPT CODE]],Info!$A$1:$B$7,2,FALSE)</f>
        <v>Electrical</v>
      </c>
      <c r="H19" s="1" t="s">
        <v>106</v>
      </c>
      <c r="I19" s="1" t="s">
        <v>108</v>
      </c>
      <c r="J19">
        <v>1</v>
      </c>
      <c r="K19" s="3">
        <v>4.5</v>
      </c>
      <c r="L19">
        <v>2</v>
      </c>
      <c r="M19" s="3">
        <f t="shared" si="1"/>
        <v>9</v>
      </c>
      <c r="N19" s="3" t="s">
        <v>109</v>
      </c>
      <c r="O19" s="2" t="s">
        <v>110</v>
      </c>
      <c r="P19" t="s">
        <v>45</v>
      </c>
    </row>
    <row r="20" spans="1:17" ht="28.8" x14ac:dyDescent="0.3">
      <c r="A20" t="s">
        <v>114</v>
      </c>
      <c r="B20" t="str">
        <f>LEFT(Table1[[#This Row],[SKU]],SEARCH("-",Table1[[#This Row],[SKU]])-1)</f>
        <v>ES</v>
      </c>
      <c r="C20">
        <f>SEARCH("-",Table1[[#This Row],[SKU]])</f>
        <v>3</v>
      </c>
      <c r="D20" t="str">
        <f>MID(Table1[[#This Row],[SKU]], Table1[[#This Row],[DELIM1]]+1, LEN(Table1[[#This Row],[SKU]])-SEARCH("-",Table1[[#This Row],[SKU]],Table1[[#This Row],[DELIM1]]+1)-1)</f>
        <v>04</v>
      </c>
      <c r="E20">
        <f>SEARCH("-",Table1[[#This Row],[SKU]],Table1[[#This Row],[DELIM1]]+1)</f>
        <v>6</v>
      </c>
      <c r="F20" t="str">
        <f>RIGHT(Table1[[#This Row],[SKU]],LEN(Table1[[#This Row],[SKU]])-Table1[[#This Row],[DELIM2]])</f>
        <v>016</v>
      </c>
      <c r="G20" t="str">
        <f>VLOOKUP(Table1[[#This Row],[DEPT CODE]],Info!$A$1:$B$7,2,FALSE)</f>
        <v>Skateboard Hardware</v>
      </c>
      <c r="H20" s="1" t="s">
        <v>113</v>
      </c>
      <c r="I20" s="1" t="s">
        <v>65</v>
      </c>
      <c r="J20">
        <v>8</v>
      </c>
      <c r="K20" s="3">
        <v>4.8099999999999996</v>
      </c>
      <c r="L20">
        <v>1</v>
      </c>
      <c r="M20" s="3">
        <f t="shared" si="1"/>
        <v>4.8099999999999996</v>
      </c>
      <c r="N20" s="3" t="s">
        <v>116</v>
      </c>
      <c r="O20" s="2" t="s">
        <v>139</v>
      </c>
      <c r="P20" t="s">
        <v>45</v>
      </c>
      <c r="Q20" t="s">
        <v>45</v>
      </c>
    </row>
    <row r="21" spans="1:17" ht="28.8" x14ac:dyDescent="0.3">
      <c r="A21" t="s">
        <v>118</v>
      </c>
      <c r="B21" t="str">
        <f>LEFT(Table1[[#This Row],[SKU]],SEARCH("-",Table1[[#This Row],[SKU]])-1)</f>
        <v>ES</v>
      </c>
      <c r="C21">
        <f>SEARCH("-",Table1[[#This Row],[SKU]])</f>
        <v>3</v>
      </c>
      <c r="D21" t="str">
        <f>MID(Table1[[#This Row],[SKU]], Table1[[#This Row],[DELIM1]]+1, LEN(Table1[[#This Row],[SKU]])-SEARCH("-",Table1[[#This Row],[SKU]],Table1[[#This Row],[DELIM1]]+1)-1)</f>
        <v>05</v>
      </c>
      <c r="E21">
        <f>SEARCH("-",Table1[[#This Row],[SKU]],Table1[[#This Row],[DELIM1]]+1)</f>
        <v>6</v>
      </c>
      <c r="F21" t="str">
        <f>RIGHT(Table1[[#This Row],[SKU]],LEN(Table1[[#This Row],[SKU]])-Table1[[#This Row],[DELIM2]])</f>
        <v>017</v>
      </c>
      <c r="G21" t="str">
        <f>VLOOKUP(Table1[[#This Row],[DEPT CODE]],Info!$A$1:$B$7,2,FALSE)</f>
        <v>Control Electronics</v>
      </c>
      <c r="H21" s="1" t="s">
        <v>115</v>
      </c>
      <c r="I21" s="1" t="s">
        <v>117</v>
      </c>
      <c r="J21">
        <v>1</v>
      </c>
      <c r="K21" s="3">
        <v>28.92</v>
      </c>
      <c r="L21">
        <v>1</v>
      </c>
      <c r="M21" s="3">
        <f t="shared" si="1"/>
        <v>28.92</v>
      </c>
      <c r="N21" s="3" t="s">
        <v>116</v>
      </c>
      <c r="O21" s="2" t="s">
        <v>138</v>
      </c>
      <c r="P21" t="s">
        <v>45</v>
      </c>
      <c r="Q21" t="s">
        <v>45</v>
      </c>
    </row>
    <row r="22" spans="1:17" ht="43.2" x14ac:dyDescent="0.3">
      <c r="A22" t="s">
        <v>121</v>
      </c>
      <c r="B22" t="str">
        <f>LEFT(Table1[[#This Row],[SKU]],SEARCH("-",Table1[[#This Row],[SKU]])-1)</f>
        <v>ES</v>
      </c>
      <c r="C22">
        <f>SEARCH("-",Table1[[#This Row],[SKU]])</f>
        <v>3</v>
      </c>
      <c r="D22" t="str">
        <f>MID(Table1[[#This Row],[SKU]], Table1[[#This Row],[DELIM1]]+1, LEN(Table1[[#This Row],[SKU]])-SEARCH("-",Table1[[#This Row],[SKU]],Table1[[#This Row],[DELIM1]]+1)-1)</f>
        <v>02</v>
      </c>
      <c r="E22">
        <f>SEARCH("-",Table1[[#This Row],[SKU]],Table1[[#This Row],[DELIM1]]+1)</f>
        <v>6</v>
      </c>
      <c r="F22" t="str">
        <f>RIGHT(Table1[[#This Row],[SKU]],LEN(Table1[[#This Row],[SKU]])-Table1[[#This Row],[DELIM2]])</f>
        <v>018</v>
      </c>
      <c r="G22" t="str">
        <f>VLOOKUP(Table1[[#This Row],[DEPT CODE]],Info!$A$1:$B$7,2,FALSE)</f>
        <v>Drivetrain</v>
      </c>
      <c r="H22" s="1" t="s">
        <v>119</v>
      </c>
      <c r="I22" s="1" t="s">
        <v>120</v>
      </c>
      <c r="J22">
        <v>1</v>
      </c>
      <c r="K22" s="3">
        <v>72.33</v>
      </c>
      <c r="L22">
        <v>1</v>
      </c>
      <c r="M22" s="3">
        <f t="shared" si="1"/>
        <v>72.33</v>
      </c>
      <c r="N22" s="3" t="s">
        <v>116</v>
      </c>
      <c r="O22" s="2" t="s">
        <v>137</v>
      </c>
      <c r="P22" t="s">
        <v>45</v>
      </c>
      <c r="Q22" t="s">
        <v>45</v>
      </c>
    </row>
    <row r="23" spans="1:17" ht="28.8" x14ac:dyDescent="0.3">
      <c r="A23" t="s">
        <v>124</v>
      </c>
      <c r="B23" t="str">
        <f>LEFT(Table1[[#This Row],[SKU]],SEARCH("-",Table1[[#This Row],[SKU]])-1)</f>
        <v>ES</v>
      </c>
      <c r="C23">
        <f>SEARCH("-",Table1[[#This Row],[SKU]])</f>
        <v>3</v>
      </c>
      <c r="D23" t="str">
        <f>MID(Table1[[#This Row],[SKU]], Table1[[#This Row],[DELIM1]]+1, LEN(Table1[[#This Row],[SKU]])-SEARCH("-",Table1[[#This Row],[SKU]],Table1[[#This Row],[DELIM1]]+1)-1)</f>
        <v>05</v>
      </c>
      <c r="E23">
        <f>SEARCH("-",Table1[[#This Row],[SKU]],Table1[[#This Row],[DELIM1]]+1)</f>
        <v>6</v>
      </c>
      <c r="F23" t="str">
        <f>RIGHT(Table1[[#This Row],[SKU]],LEN(Table1[[#This Row],[SKU]])-Table1[[#This Row],[DELIM2]])</f>
        <v>019</v>
      </c>
      <c r="G23" t="str">
        <f>VLOOKUP(Table1[[#This Row],[DEPT CODE]],Info!$A$1:$B$7,2,FALSE)</f>
        <v>Control Electronics</v>
      </c>
      <c r="H23" s="1" t="s">
        <v>122</v>
      </c>
      <c r="I23" s="1" t="s">
        <v>123</v>
      </c>
      <c r="J23">
        <v>1</v>
      </c>
      <c r="K23" s="3">
        <v>74.72</v>
      </c>
      <c r="L23">
        <v>1</v>
      </c>
      <c r="M23" s="3">
        <f t="shared" si="1"/>
        <v>74.72</v>
      </c>
      <c r="N23" s="3" t="s">
        <v>116</v>
      </c>
      <c r="O23" s="5" t="s">
        <v>78</v>
      </c>
      <c r="P23" t="s">
        <v>45</v>
      </c>
    </row>
    <row r="24" spans="1:17" ht="28.8" x14ac:dyDescent="0.3">
      <c r="A24" t="s">
        <v>126</v>
      </c>
      <c r="B24" t="str">
        <f>LEFT(Table1[[#This Row],[SKU]],SEARCH("-",Table1[[#This Row],[SKU]])-1)</f>
        <v>ES</v>
      </c>
      <c r="C24">
        <f>SEARCH("-",Table1[[#This Row],[SKU]])</f>
        <v>3</v>
      </c>
      <c r="D24" t="str">
        <f>MID(Table1[[#This Row],[SKU]], Table1[[#This Row],[DELIM1]]+1, LEN(Table1[[#This Row],[SKU]])-SEARCH("-",Table1[[#This Row],[SKU]],Table1[[#This Row],[DELIM1]]+1)-1)</f>
        <v>01</v>
      </c>
      <c r="E24">
        <f>SEARCH("-",Table1[[#This Row],[SKU]],Table1[[#This Row],[DELIM1]]+1)</f>
        <v>6</v>
      </c>
      <c r="F24" t="str">
        <f>RIGHT(Table1[[#This Row],[SKU]],LEN(Table1[[#This Row],[SKU]])-Table1[[#This Row],[DELIM2]])</f>
        <v>020</v>
      </c>
      <c r="G24" t="str">
        <f>VLOOKUP(Table1[[#This Row],[DEPT CODE]],Info!$A$1:$B$7,2,FALSE)</f>
        <v>Electrical</v>
      </c>
      <c r="H24" s="1" t="s">
        <v>125</v>
      </c>
      <c r="I24" s="1" t="s">
        <v>131</v>
      </c>
      <c r="J24">
        <v>1</v>
      </c>
      <c r="K24" s="3">
        <v>25.95</v>
      </c>
      <c r="L24">
        <v>1</v>
      </c>
      <c r="M24" s="3">
        <f t="shared" si="1"/>
        <v>25.95</v>
      </c>
      <c r="N24" s="3" t="s">
        <v>101</v>
      </c>
      <c r="O24" s="2" t="s">
        <v>136</v>
      </c>
      <c r="Q24" t="s">
        <v>45</v>
      </c>
    </row>
    <row r="25" spans="1:17" ht="28.8" x14ac:dyDescent="0.3">
      <c r="A25" t="s">
        <v>127</v>
      </c>
      <c r="B25" t="str">
        <f>LEFT(Table1[[#This Row],[SKU]],SEARCH("-",Table1[[#This Row],[SKU]])-1)</f>
        <v>ES</v>
      </c>
      <c r="C25">
        <f>SEARCH("-",Table1[[#This Row],[SKU]])</f>
        <v>3</v>
      </c>
      <c r="D25" t="str">
        <f>MID(Table1[[#This Row],[SKU]], Table1[[#This Row],[DELIM1]]+1, LEN(Table1[[#This Row],[SKU]])-SEARCH("-",Table1[[#This Row],[SKU]],Table1[[#This Row],[DELIM1]]+1)-1)</f>
        <v>05</v>
      </c>
      <c r="E25">
        <f>SEARCH("-",Table1[[#This Row],[SKU]],Table1[[#This Row],[DELIM1]]+1)</f>
        <v>6</v>
      </c>
      <c r="F25" t="str">
        <f>RIGHT(Table1[[#This Row],[SKU]],LEN(Table1[[#This Row],[SKU]])-Table1[[#This Row],[DELIM2]])</f>
        <v>021</v>
      </c>
      <c r="G25" t="str">
        <f>VLOOKUP(Table1[[#This Row],[DEPT CODE]],Info!$A$1:$B$7,2,FALSE)</f>
        <v>Control Electronics</v>
      </c>
      <c r="H25" s="1" t="s">
        <v>128</v>
      </c>
      <c r="I25" s="1" t="s">
        <v>132</v>
      </c>
      <c r="J25">
        <v>1</v>
      </c>
      <c r="K25" s="3">
        <v>74.150000000000006</v>
      </c>
      <c r="L25">
        <v>1</v>
      </c>
      <c r="M25" s="3">
        <f t="shared" si="1"/>
        <v>74.150000000000006</v>
      </c>
      <c r="N25" s="3" t="s">
        <v>101</v>
      </c>
      <c r="O25" s="2" t="s">
        <v>135</v>
      </c>
      <c r="Q25" t="s">
        <v>45</v>
      </c>
    </row>
    <row r="26" spans="1:17" ht="28.8" x14ac:dyDescent="0.3">
      <c r="A26" t="s">
        <v>130</v>
      </c>
      <c r="B26" t="str">
        <f>LEFT(Table1[[#This Row],[SKU]],SEARCH("-",Table1[[#This Row],[SKU]])-1)</f>
        <v>ES</v>
      </c>
      <c r="C26">
        <f>SEARCH("-",Table1[[#This Row],[SKU]])</f>
        <v>3</v>
      </c>
      <c r="D26" t="str">
        <f>MID(Table1[[#This Row],[SKU]], Table1[[#This Row],[DELIM1]]+1, LEN(Table1[[#This Row],[SKU]])-SEARCH("-",Table1[[#This Row],[SKU]],Table1[[#This Row],[DELIM1]]+1)-1)</f>
        <v>03</v>
      </c>
      <c r="E26">
        <f>SEARCH("-",Table1[[#This Row],[SKU]],Table1[[#This Row],[DELIM1]]+1)</f>
        <v>6</v>
      </c>
      <c r="F26" t="str">
        <f>RIGHT(Table1[[#This Row],[SKU]],LEN(Table1[[#This Row],[SKU]])-Table1[[#This Row],[DELIM2]])</f>
        <v>022</v>
      </c>
      <c r="G26" t="str">
        <f>VLOOKUP(Table1[[#This Row],[DEPT CODE]],Info!$A$1:$B$7,2,FALSE)</f>
        <v>Battery</v>
      </c>
      <c r="H26" s="1" t="s">
        <v>129</v>
      </c>
      <c r="I26" s="1" t="s">
        <v>133</v>
      </c>
      <c r="J26">
        <v>1</v>
      </c>
      <c r="K26" s="3">
        <v>133.49</v>
      </c>
      <c r="L26">
        <v>1</v>
      </c>
      <c r="M26" s="3">
        <f t="shared" si="1"/>
        <v>133.49</v>
      </c>
      <c r="N26" s="3" t="s">
        <v>101</v>
      </c>
      <c r="O26" s="2" t="s">
        <v>134</v>
      </c>
      <c r="Q26" t="s">
        <v>45</v>
      </c>
    </row>
    <row r="27" spans="1:17" x14ac:dyDescent="0.3">
      <c r="B27" t="e">
        <f>LEFT(Table1[[#This Row],[SKU]],SEARCH("-",Table1[[#This Row],[SKU]])-1)</f>
        <v>#VALUE!</v>
      </c>
      <c r="C27" t="e">
        <f>SEARCH("-",Table1[[#This Row],[SKU]])</f>
        <v>#VALUE!</v>
      </c>
      <c r="D27" t="e">
        <f>MID(Table1[[#This Row],[SKU]], Table1[[#This Row],[DELIM1]]+1, LEN(Table1[[#This Row],[SKU]])-SEARCH("-",Table1[[#This Row],[SKU]],Table1[[#This Row],[DELIM1]]+1)-1)</f>
        <v>#VALUE!</v>
      </c>
      <c r="E27" t="e">
        <f>SEARCH("-",Table1[[#This Row],[SKU]],Table1[[#This Row],[DELIM1]]+1)</f>
        <v>#VALUE!</v>
      </c>
      <c r="F27" t="e">
        <f>RIGHT(Table1[[#This Row],[SKU]],LEN(Table1[[#This Row],[SKU]])-Table1[[#This Row],[DELIM2]])</f>
        <v>#VALUE!</v>
      </c>
      <c r="G27" t="e">
        <f>VLOOKUP(Table1[[#This Row],[DEPT CODE]],Info!$A$1:$B$7,2,FALSE)</f>
        <v>#VALUE!</v>
      </c>
      <c r="K27" s="3"/>
      <c r="M27" s="3">
        <f>K27*L27</f>
        <v>0</v>
      </c>
      <c r="N27" s="3"/>
      <c r="O27" s="2"/>
    </row>
    <row r="28" spans="1:17" x14ac:dyDescent="0.3">
      <c r="A28" t="s">
        <v>33</v>
      </c>
      <c r="M28" s="3">
        <f>SUBTOTAL(109,Table1[PRICE])</f>
        <v>820.93000000000018</v>
      </c>
      <c r="N28" s="3"/>
    </row>
    <row r="29" spans="1:17" x14ac:dyDescent="0.3">
      <c r="B29" t="str">
        <f>A10</f>
        <v>ES-02-006</v>
      </c>
      <c r="D29" t="str" cm="1">
        <f t="array" ref="D29:F29">_xlfn.TEXTSPLIT(B29,"-")</f>
        <v>ES</v>
      </c>
      <c r="E29" t="str">
        <v>02</v>
      </c>
      <c r="F29" t="str">
        <v>006</v>
      </c>
    </row>
    <row r="30" spans="1:17" x14ac:dyDescent="0.3">
      <c r="D30" t="str">
        <f>LEFT(A5,SEARCH("-",A5)-1)</f>
        <v>ES</v>
      </c>
    </row>
  </sheetData>
  <phoneticPr fontId="2" type="noConversion"/>
  <conditionalFormatting sqref="P5:R27">
    <cfRule type="cellIs" dxfId="0" priority="1" operator="equal">
      <formula>"Y"</formula>
    </cfRule>
  </conditionalFormatting>
  <hyperlinks>
    <hyperlink ref="O9" r:id="rId1" xr:uid="{14289C51-BB3F-4541-ABC3-9697115DB2E4}"/>
    <hyperlink ref="O10" r:id="rId2" display="https://uk.banggood.com/Flipsky-6354-190KV-2450W-Brushless-Motor-Shaft-8mm-for-Electric-Skateboard-RC-Models-p-1323575.html?imageAb=1&amp;utm_design=41&amp;utm_source=emarsys&amp;utm_medium=Neworder171109&amp;utm_campaign=trigger-order&amp;utm_content=winna&amp;sc_src=email_2675773&amp;sc_eh=ffc32019a4982a831&amp;sc_llid=15647628&amp;sc_lid=105229698&amp;sc_uid=d0NoDMntQX&amp;akmClientCountry=GB&amp;cur_warehouse=CN" xr:uid="{3818573E-E867-45E9-8BC1-F7A0B936B330}"/>
    <hyperlink ref="O7" r:id="rId3" xr:uid="{5B2C6E73-A36A-4512-8287-530B8BB9A712}"/>
    <hyperlink ref="O6" r:id="rId4" xr:uid="{994514F3-D27A-430A-BCD7-B4F5F5A72D81}"/>
    <hyperlink ref="O8" r:id="rId5" xr:uid="{67ADE5A0-3CDA-479B-949C-365E76501299}"/>
    <hyperlink ref="O12" r:id="rId6" xr:uid="{D330C34A-A1F8-425A-8E1A-8DD15BF2AD59}"/>
    <hyperlink ref="O11" r:id="rId7" xr:uid="{BB2D4D9B-34CA-4428-9461-507CC0CDBE8B}"/>
    <hyperlink ref="O14" r:id="rId8" xr:uid="{045CD857-479F-475B-A4DE-8506800851C0}"/>
    <hyperlink ref="O15" r:id="rId9" display="https://rover.ebay.com/rover/0/e11400.m43.l9264/7?euid=18bf052912434fb09d7f7d4f59c240ef&amp;bu=44949611664&amp;loc=https%3A%2F%2Fwww.ebay.co.uk%2Fsignin%2Fg%2Fv%255E1.1%2523i%255E1%2523r%255E1%2523f%255E0%2523I%255E3%2523p%255E3%2523t%255EUl4xMF8xMTozREU4NTNCQjAzMTAxRDMyNDBFNkQwNTVEQTI2QTA5Nl8zXzEjRV4yNjA%253D&amp;sojTags=bu=bu" xr:uid="{DDC12E79-9D8B-4744-A5F5-5FF6FDD6ABBA}"/>
    <hyperlink ref="O17" r:id="rId10" xr:uid="{B4DE4CF1-0347-4662-8EA3-5C4E6E38C41C}"/>
    <hyperlink ref="O16" r:id="rId11" xr:uid="{8BE3230A-9B35-4CB2-985E-71C7AE18D47C}"/>
    <hyperlink ref="O18" r:id="rId12" xr:uid="{DD78854D-5D48-4E91-A9A5-E8571CD9F655}"/>
    <hyperlink ref="O19" r:id="rId13" xr:uid="{2E918F54-8CC1-4406-B608-1DE39881D77C}"/>
    <hyperlink ref="O26" r:id="rId14" xr:uid="{A3861E13-5452-44D6-9886-C73AE8014510}"/>
    <hyperlink ref="O25" r:id="rId15" xr:uid="{982398A9-3AFA-4555-95D4-310673249702}"/>
    <hyperlink ref="O24" r:id="rId16" xr:uid="{2614FD68-52E9-4383-BEF2-98F1666BDF70}"/>
    <hyperlink ref="O22" r:id="rId17" xr:uid="{5575F01D-6979-43CF-95CB-2350C4F3FFCD}"/>
    <hyperlink ref="O21" r:id="rId18" xr:uid="{05A8AC16-0522-43E9-8654-0E26DE8E4B09}"/>
    <hyperlink ref="O20" r:id="rId19" xr:uid="{48D72F07-58E7-4CD2-9E11-3A3AFB55BA33}"/>
  </hyperlinks>
  <pageMargins left="0.7" right="0.7" top="0.75" bottom="0.75" header="0.3" footer="0.3"/>
  <pageSetup paperSize="9" orientation="portrait" horizontalDpi="300" verticalDpi="300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F271-04F3-4149-9F7A-8A0A209E6E1F}">
  <dimension ref="A2:G4"/>
  <sheetViews>
    <sheetView workbookViewId="0">
      <selection activeCell="G4" sqref="G4"/>
    </sheetView>
  </sheetViews>
  <sheetFormatPr defaultRowHeight="14.4" x14ac:dyDescent="0.3"/>
  <cols>
    <col min="1" max="1" width="13.5546875" bestFit="1" customWidth="1"/>
    <col min="2" max="2" width="23.77734375" style="1" customWidth="1"/>
    <col min="3" max="4" width="14.44140625" bestFit="1" customWidth="1"/>
    <col min="5" max="5" width="9.6640625" bestFit="1" customWidth="1"/>
    <col min="7" max="7" width="78" style="1" bestFit="1" customWidth="1"/>
  </cols>
  <sheetData>
    <row r="2" spans="1:7" x14ac:dyDescent="0.3">
      <c r="A2" t="s">
        <v>8</v>
      </c>
      <c r="B2" s="1" t="s">
        <v>0</v>
      </c>
      <c r="C2" t="s">
        <v>6</v>
      </c>
      <c r="D2" t="s">
        <v>5</v>
      </c>
      <c r="E2" t="s">
        <v>3</v>
      </c>
      <c r="F2" t="s">
        <v>2</v>
      </c>
      <c r="G2" s="1" t="s">
        <v>1</v>
      </c>
    </row>
    <row r="3" spans="1:7" ht="43.2" x14ac:dyDescent="0.3">
      <c r="A3" t="s">
        <v>23</v>
      </c>
      <c r="B3" s="1" t="s">
        <v>4</v>
      </c>
      <c r="C3">
        <v>10</v>
      </c>
      <c r="D3">
        <v>10.67</v>
      </c>
      <c r="E3">
        <v>1</v>
      </c>
      <c r="F3">
        <f>D3*E3</f>
        <v>10.67</v>
      </c>
      <c r="G3" s="2" t="s">
        <v>7</v>
      </c>
    </row>
    <row r="4" spans="1:7" ht="28.8" x14ac:dyDescent="0.3">
      <c r="A4" t="s">
        <v>143</v>
      </c>
      <c r="B4" s="1" t="s">
        <v>144</v>
      </c>
      <c r="C4">
        <v>1</v>
      </c>
      <c r="E4">
        <v>1</v>
      </c>
    </row>
  </sheetData>
  <hyperlinks>
    <hyperlink ref="G3" r:id="rId1" xr:uid="{2D3F17AE-1B51-4CB7-A547-4EC048B8CC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CD19-A3FE-423C-863B-9E38118FFB7C}">
  <dimension ref="A1:L7"/>
  <sheetViews>
    <sheetView workbookViewId="0">
      <selection activeCell="B7" sqref="B7"/>
    </sheetView>
  </sheetViews>
  <sheetFormatPr defaultRowHeight="14.4" x14ac:dyDescent="0.3"/>
  <cols>
    <col min="2" max="2" width="19.21875" bestFit="1" customWidth="1"/>
    <col min="6" max="6" width="16.77734375" bestFit="1" customWidth="1"/>
    <col min="8" max="8" width="13.44140625" bestFit="1" customWidth="1"/>
  </cols>
  <sheetData>
    <row r="1" spans="1:12" x14ac:dyDescent="0.3">
      <c r="A1" t="s">
        <v>10</v>
      </c>
      <c r="B1" t="s">
        <v>9</v>
      </c>
      <c r="F1" t="s">
        <v>22</v>
      </c>
      <c r="H1" t="s">
        <v>141</v>
      </c>
      <c r="J1" t="s">
        <v>140</v>
      </c>
      <c r="L1" t="s">
        <v>142</v>
      </c>
    </row>
    <row r="2" spans="1:12" x14ac:dyDescent="0.3">
      <c r="A2" s="4" t="s">
        <v>52</v>
      </c>
      <c r="B2" t="s">
        <v>11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17</v>
      </c>
      <c r="L2" t="s">
        <v>20</v>
      </c>
    </row>
    <row r="3" spans="1:12" x14ac:dyDescent="0.3">
      <c r="A3" s="4" t="s">
        <v>54</v>
      </c>
      <c r="B3" t="s">
        <v>146</v>
      </c>
      <c r="F3" t="s">
        <v>21</v>
      </c>
    </row>
    <row r="4" spans="1:12" x14ac:dyDescent="0.3">
      <c r="A4" s="4" t="s">
        <v>53</v>
      </c>
      <c r="B4" t="s">
        <v>12</v>
      </c>
    </row>
    <row r="5" spans="1:12" x14ac:dyDescent="0.3">
      <c r="A5" s="4" t="s">
        <v>55</v>
      </c>
      <c r="B5" t="s">
        <v>13</v>
      </c>
    </row>
    <row r="6" spans="1:12" x14ac:dyDescent="0.3">
      <c r="A6" s="4" t="s">
        <v>56</v>
      </c>
      <c r="B6" t="s">
        <v>145</v>
      </c>
    </row>
    <row r="7" spans="1:12" x14ac:dyDescent="0.3">
      <c r="A7" s="4" t="s">
        <v>57</v>
      </c>
      <c r="B7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BoM</vt:lpstr>
      <vt:lpstr>Proposed ES3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🏍</dc:creator>
  <cp:lastModifiedBy>Ben Watt</cp:lastModifiedBy>
  <dcterms:created xsi:type="dcterms:W3CDTF">2023-04-26T22:15:30Z</dcterms:created>
  <dcterms:modified xsi:type="dcterms:W3CDTF">2024-05-16T14:39:35Z</dcterms:modified>
</cp:coreProperties>
</file>