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5.xml" ContentType="application/vnd.openxmlformats-officedocument.drawingml.chart+xml"/>
  <Override PartName="/xl/drawings/drawing16.xml" ContentType="application/vnd.openxmlformats-officedocument.drawing+xml"/>
  <Override PartName="/xl/drawings/drawing17.xml" ContentType="application/vnd.openxmlformats-officedocument.drawing+xml"/>
  <Override PartName="/xl/charts/chart6.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7.xml" ContentType="application/vnd.openxmlformats-officedocument.drawingml.chart+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ml.chartshapes+xml"/>
  <Override PartName="/xl/drawings/drawing23.xml" ContentType="application/vnd.openxmlformats-officedocument.drawing+xml"/>
  <Override PartName="/xl/charts/chart10.xml" ContentType="application/vnd.openxmlformats-officedocument.drawingml.chart+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charts/chart12.xml" ContentType="application/vnd.openxmlformats-officedocument.drawingml.chart+xml"/>
  <Override PartName="/xl/drawings/drawing41.xml" ContentType="application/vnd.openxmlformats-officedocument.drawing+xml"/>
  <Override PartName="/xl/drawings/drawing42.xml" ContentType="application/vnd.openxmlformats-officedocument.drawing+xml"/>
  <Override PartName="/xl/charts/chart1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9"/>
  <workbookPr codeName="ThisWorkbook" defaultThemeVersion="124226"/>
  <mc:AlternateContent xmlns:mc="http://schemas.openxmlformats.org/markup-compatibility/2006">
    <mc:Choice Requires="x15">
      <x15ac:absPath xmlns:x15ac="http://schemas.microsoft.com/office/spreadsheetml/2010/11/ac" url="S:\office\LearnExcel-source\resources\"/>
    </mc:Choice>
  </mc:AlternateContent>
  <xr:revisionPtr revIDLastSave="0" documentId="13_ncr:1_{D26ED853-F798-4F39-BF80-5FAB296AD618}" xr6:coauthVersionLast="45" xr6:coauthVersionMax="45" xr10:uidLastSave="{00000000-0000-0000-0000-000000000000}"/>
  <bookViews>
    <workbookView xWindow="28680" yWindow="-120" windowWidth="29040" windowHeight="15840" tabRatio="744" firstSheet="28" activeTab="40" xr2:uid="{00000000-000D-0000-FFFF-FFFF00000000}"/>
  </bookViews>
  <sheets>
    <sheet name="TOC" sheetId="100" r:id="rId1"/>
    <sheet name="data001" sheetId="111" r:id="rId2"/>
    <sheet name="fcast001" sheetId="98" r:id="rId3"/>
    <sheet name="fcast002" sheetId="99" r:id="rId4"/>
    <sheet name="form001" sheetId="10" r:id="rId5"/>
    <sheet name="form002" sheetId="46" r:id="rId6"/>
    <sheet name="form003" sheetId="12" r:id="rId7"/>
    <sheet name="form004" sheetId="13" r:id="rId8"/>
    <sheet name="form005" sheetId="14" r:id="rId9"/>
    <sheet name="form006" sheetId="41" r:id="rId10"/>
    <sheet name="form007" sheetId="89" r:id="rId11"/>
    <sheet name="form008" sheetId="90" r:id="rId12"/>
    <sheet name="form009" sheetId="91" r:id="rId13"/>
    <sheet name="form010" sheetId="92" r:id="rId14"/>
    <sheet name="form011" sheetId="97" r:id="rId15"/>
    <sheet name="form012" sheetId="103" r:id="rId16"/>
    <sheet name="form013" sheetId="104" r:id="rId17"/>
    <sheet name="goal001" sheetId="36" r:id="rId18"/>
    <sheet name="goal002" sheetId="47" r:id="rId19"/>
    <sheet name="goal003" sheetId="48" r:id="rId20"/>
    <sheet name="goal004" sheetId="82" r:id="rId21"/>
    <sheet name="graf001" sheetId="15" r:id="rId22"/>
    <sheet name="graf002" sheetId="22" r:id="rId23"/>
    <sheet name="graf003" sheetId="23" r:id="rId24"/>
    <sheet name="graf004" sheetId="40" r:id="rId25"/>
    <sheet name="graf005" sheetId="42" r:id="rId26"/>
    <sheet name="graf006" sheetId="88" r:id="rId27"/>
    <sheet name="list001" sheetId="18" r:id="rId28"/>
    <sheet name="list002" sheetId="19" r:id="rId29"/>
    <sheet name="list003" sheetId="20" r:id="rId30"/>
    <sheet name="list004" sheetId="21" r:id="rId31"/>
    <sheet name="macr001" sheetId="78" r:id="rId32"/>
    <sheet name="macr002" sheetId="79" r:id="rId33"/>
    <sheet name="macr003" sheetId="80" r:id="rId34"/>
    <sheet name="macr004" sheetId="81" r:id="rId35"/>
    <sheet name="matr001" sheetId="83" r:id="rId36"/>
    <sheet name="matr002" sheetId="45" r:id="rId37"/>
    <sheet name="matr003" sheetId="112" r:id="rId38"/>
    <sheet name="matr004" sheetId="113" r:id="rId39"/>
    <sheet name="matr005" sheetId="114" r:id="rId40"/>
    <sheet name="matr006" sheetId="115" r:id="rId41"/>
    <sheet name="meas001" sheetId="84" r:id="rId42"/>
    <sheet name="meas002" sheetId="85" r:id="rId43"/>
    <sheet name="meas003" sheetId="86" r:id="rId44"/>
    <sheet name="meas004" sheetId="87" r:id="rId45"/>
    <sheet name="pivo001" sheetId="94" r:id="rId46"/>
    <sheet name="pivo002" sheetId="38" r:id="rId47"/>
    <sheet name="pivo003" sheetId="50" r:id="rId48"/>
    <sheet name="pivo004" sheetId="51" r:id="rId49"/>
    <sheet name="pivo005" sheetId="52" r:id="rId50"/>
    <sheet name="pivo006" sheetId="53" r:id="rId51"/>
    <sheet name="pivo007" sheetId="54" r:id="rId52"/>
    <sheet name="pivo008" sheetId="55" r:id="rId53"/>
    <sheet name="pivo009" sheetId="56" r:id="rId54"/>
    <sheet name="pivo010" sheetId="57" r:id="rId55"/>
    <sheet name="pivo011" sheetId="58" r:id="rId56"/>
    <sheet name="pivo012" sheetId="59" r:id="rId57"/>
    <sheet name="scen001" sheetId="69" r:id="rId58"/>
    <sheet name="scen002" sheetId="70" r:id="rId59"/>
    <sheet name="scen003" sheetId="71" r:id="rId60"/>
    <sheet name="scen004" sheetId="72" r:id="rId61"/>
    <sheet name="solv001" sheetId="39" r:id="rId62"/>
    <sheet name="solv002" sheetId="60" r:id="rId63"/>
    <sheet name="solv003" sheetId="61" r:id="rId64"/>
    <sheet name="solv004" sheetId="62" r:id="rId65"/>
    <sheet name="solv005" sheetId="63" r:id="rId66"/>
    <sheet name="solv006" sheetId="64" r:id="rId67"/>
    <sheet name="solv007" sheetId="65" r:id="rId68"/>
    <sheet name="solv008" sheetId="66" r:id="rId69"/>
    <sheet name="solv009" sheetId="67" r:id="rId70"/>
    <sheet name="solv010" sheetId="68" r:id="rId71"/>
    <sheet name="stat001" sheetId="105" r:id="rId72"/>
    <sheet name="stat002" sheetId="106" r:id="rId73"/>
    <sheet name="stat003" sheetId="107" r:id="rId74"/>
    <sheet name="stat004" sheetId="108" r:id="rId75"/>
    <sheet name="tabl001" sheetId="109" r:id="rId76"/>
    <sheet name="tabl002" sheetId="110" r:id="rId77"/>
  </sheets>
  <externalReferences>
    <externalReference r:id="rId78"/>
    <externalReference r:id="rId79"/>
    <externalReference r:id="rId80"/>
  </externalReferences>
  <definedNames>
    <definedName name="_xlnm._FilterDatabase" localSheetId="27" hidden="1">list001!$D$8:$F$16</definedName>
    <definedName name="_xlnm._FilterDatabase" localSheetId="30" hidden="1">list004!$D$8:$J$168</definedName>
    <definedName name="aantal_hazelnoot" localSheetId="71">[1]solv001!$H$12</definedName>
    <definedName name="aantal_hazelnoot" localSheetId="72">[1]solv001!$H$12</definedName>
    <definedName name="aantal_hazelnoot" localSheetId="73">[1]solv001!$H$12</definedName>
    <definedName name="aantal_hazelnoot" localSheetId="74">[1]solv001!$H$12</definedName>
    <definedName name="aantal_hazelnoot" localSheetId="75">[1]solv001!$H$12</definedName>
    <definedName name="aantal_hazelnoot" localSheetId="76">[1]solv001!$H$12</definedName>
    <definedName name="aantal_hazelnoot">[2]solv001!$H$12</definedName>
    <definedName name="aantal_kers" localSheetId="71">[1]solv001!$H$11</definedName>
    <definedName name="aantal_kers" localSheetId="72">[1]solv001!$H$11</definedName>
    <definedName name="aantal_kers" localSheetId="73">[1]solv001!$H$11</definedName>
    <definedName name="aantal_kers" localSheetId="74">[1]solv001!$H$11</definedName>
    <definedName name="aantal_kers" localSheetId="75">[1]solv001!$H$11</definedName>
    <definedName name="aantal_kers" localSheetId="76">[1]solv001!$H$11</definedName>
    <definedName name="aantal_kers">[2]solv001!$H$11</definedName>
    <definedName name="AOW_Datum" localSheetId="71">[1]form003!$E$13</definedName>
    <definedName name="AOW_Datum" localSheetId="72">[1]form003!$E$13</definedName>
    <definedName name="AOW_Datum" localSheetId="73">[1]form003!$E$13</definedName>
    <definedName name="AOW_Datum" localSheetId="74">[1]form003!$E$13</definedName>
    <definedName name="AOW_Datum" localSheetId="75">[1]form003!$E$13</definedName>
    <definedName name="AOW_Datum" localSheetId="76">[1]form003!$E$13</definedName>
    <definedName name="AOW_Datum">[2]form003!$E$13</definedName>
    <definedName name="AOW_Leeftijd" localSheetId="71">[1]form003!$E$10</definedName>
    <definedName name="AOW_Leeftijd" localSheetId="72">[1]form003!$E$10</definedName>
    <definedName name="AOW_Leeftijd" localSheetId="73">[1]form003!$E$10</definedName>
    <definedName name="AOW_Leeftijd" localSheetId="74">[1]form003!$E$10</definedName>
    <definedName name="AOW_Leeftijd" localSheetId="75">[1]form003!$E$10</definedName>
    <definedName name="AOW_Leeftijd" localSheetId="76">[1]form003!$E$10</definedName>
    <definedName name="AOW_Leeftijd">[2]form003!$E$10</definedName>
    <definedName name="blikken_totaal">[2]form013!$H$8</definedName>
    <definedName name="box_area">solv001!$I$13</definedName>
    <definedName name="box_area_min" localSheetId="71">[3]solv001!$E$16</definedName>
    <definedName name="box_area_min" localSheetId="72">[3]solv001!$E$16</definedName>
    <definedName name="box_area_min" localSheetId="73">[3]solv001!$E$16</definedName>
    <definedName name="box_area_min" localSheetId="74">[3]solv001!$E$16</definedName>
    <definedName name="box_area_min" localSheetId="75">[3]solv001!$E$16</definedName>
    <definedName name="box_area_min" localSheetId="76">[3]solv001!$E$16</definedName>
    <definedName name="box_area_min">solv001!$E$16</definedName>
    <definedName name="box_number">solv001!$H$13</definedName>
    <definedName name="box_number_min" localSheetId="71">[3]solv001!$E$21</definedName>
    <definedName name="box_number_min" localSheetId="72">[3]solv001!$E$21</definedName>
    <definedName name="box_number_min" localSheetId="73">[3]solv001!$E$21</definedName>
    <definedName name="box_number_min" localSheetId="74">[3]solv001!$E$21</definedName>
    <definedName name="box_number_min" localSheetId="75">[3]solv001!$E$21</definedName>
    <definedName name="box_number_min" localSheetId="76">[3]solv001!$E$21</definedName>
    <definedName name="box_number_min">solv001!$E$21</definedName>
    <definedName name="box_profit">solv001!$K$13</definedName>
    <definedName name="box_weight">solv001!$J$13</definedName>
    <definedName name="box_weight_max" localSheetId="71">[3]solv001!$E$18</definedName>
    <definedName name="box_weight_max" localSheetId="72">[3]solv001!$E$18</definedName>
    <definedName name="box_weight_max" localSheetId="73">[3]solv001!$E$18</definedName>
    <definedName name="box_weight_max" localSheetId="74">[3]solv001!$E$18</definedName>
    <definedName name="box_weight_max" localSheetId="75">[3]solv001!$E$18</definedName>
    <definedName name="box_weight_max" localSheetId="76">[3]solv001!$E$18</definedName>
    <definedName name="box_weight_max">solv001!$E$18</definedName>
    <definedName name="box_weight_min" localSheetId="71">[3]solv001!$E$17</definedName>
    <definedName name="box_weight_min" localSheetId="72">[3]solv001!$E$17</definedName>
    <definedName name="box_weight_min" localSheetId="73">[3]solv001!$E$17</definedName>
    <definedName name="box_weight_min" localSheetId="74">[3]solv001!$E$17</definedName>
    <definedName name="box_weight_min" localSheetId="75">[3]solv001!$E$17</definedName>
    <definedName name="box_weight_min" localSheetId="76">[3]solv001!$E$17</definedName>
    <definedName name="box_weight_min">solv001!$E$17</definedName>
    <definedName name="cans_total" localSheetId="71">[3]form013!$H$8</definedName>
    <definedName name="cans_total" localSheetId="72">[3]form013!$H$8</definedName>
    <definedName name="cans_total" localSheetId="73">[3]form013!$H$8</definedName>
    <definedName name="cans_total" localSheetId="74">[3]form013!$H$8</definedName>
    <definedName name="cans_total" localSheetId="75">[3]form013!$H$8</definedName>
    <definedName name="cans_total" localSheetId="76">[3]form013!$H$8</definedName>
    <definedName name="cans_total">form013!$H$8</definedName>
    <definedName name="Canteen">scen002!$E$12</definedName>
    <definedName name="CommissieHoog" localSheetId="71">[1]form004!$E$10</definedName>
    <definedName name="CommissieHoog" localSheetId="72">[1]form004!$E$10</definedName>
    <definedName name="CommissieHoog" localSheetId="73">[1]form004!$E$10</definedName>
    <definedName name="CommissieHoog" localSheetId="74">[1]form004!$E$10</definedName>
    <definedName name="CommissieHoog" localSheetId="75">[1]form004!$E$10</definedName>
    <definedName name="CommissieHoog" localSheetId="76">[1]form004!$E$10</definedName>
    <definedName name="CommissieHoog">[2]form004!$E$10</definedName>
    <definedName name="CommissieLaag" localSheetId="71">[1]form004!$E$9</definedName>
    <definedName name="CommissieLaag" localSheetId="72">[1]form004!$E$9</definedName>
    <definedName name="CommissieLaag" localSheetId="73">[1]form004!$E$9</definedName>
    <definedName name="CommissieLaag" localSheetId="74">[1]form004!$E$9</definedName>
    <definedName name="CommissieLaag" localSheetId="75">[1]form004!$E$9</definedName>
    <definedName name="CommissieLaag" localSheetId="76">[1]form004!$E$9</definedName>
    <definedName name="CommissieLaag">[2]form004!$E$9</definedName>
    <definedName name="Commission_High" localSheetId="71">[3]form004!$E$10</definedName>
    <definedName name="Commission_High" localSheetId="72">[3]form004!$E$10</definedName>
    <definedName name="Commission_High" localSheetId="73">[3]form004!$E$10</definedName>
    <definedName name="Commission_High" localSheetId="74">[3]form004!$E$10</definedName>
    <definedName name="Commission_High" localSheetId="75">[3]form004!$E$10</definedName>
    <definedName name="Commission_High" localSheetId="76">[3]form004!$E$10</definedName>
    <definedName name="Commission_High">form004!$E$10</definedName>
    <definedName name="Commission_Low" localSheetId="71">[3]form004!$E$9</definedName>
    <definedName name="Commission_Low" localSheetId="72">[3]form004!$E$9</definedName>
    <definedName name="Commission_Low" localSheetId="73">[3]form004!$E$9</definedName>
    <definedName name="Commission_Low" localSheetId="74">[3]form004!$E$9</definedName>
    <definedName name="Commission_Low" localSheetId="75">[3]form004!$E$9</definedName>
    <definedName name="Commission_Low" localSheetId="76">[3]form004!$E$9</definedName>
    <definedName name="Commission_Low">form004!$E$9</definedName>
    <definedName name="Date_of_Birth" localSheetId="71">[3]form003!$E$9</definedName>
    <definedName name="Date_of_Birth" localSheetId="72">[3]form003!$E$9</definedName>
    <definedName name="Date_of_Birth" localSheetId="73">[3]form003!$E$9</definedName>
    <definedName name="Date_of_Birth" localSheetId="74">[3]form003!$E$9</definedName>
    <definedName name="Date_of_Birth" localSheetId="75">[3]form003!$E$9</definedName>
    <definedName name="Date_of_Birth" localSheetId="76">[3]form003!$E$9</definedName>
    <definedName name="Date_of_Birth">form003!$E$9</definedName>
    <definedName name="ExternalData_1" localSheetId="1" hidden="1">data001!$E$8:$F$41</definedName>
    <definedName name="geboortedatum" localSheetId="71">[1]form003!$E$9</definedName>
    <definedName name="geboortedatum" localSheetId="72">[1]form003!$E$9</definedName>
    <definedName name="geboortedatum" localSheetId="73">[1]form003!$E$9</definedName>
    <definedName name="geboortedatum" localSheetId="74">[1]form003!$E$9</definedName>
    <definedName name="geboortedatum" localSheetId="75">[1]form003!$E$9</definedName>
    <definedName name="geboortedatum" localSheetId="76">[1]form003!$E$9</definedName>
    <definedName name="geboortedatum">[2]form003!$E$9</definedName>
    <definedName name="Growth">scen004!$E$8</definedName>
    <definedName name="Growth_Rate">tabl002!$B$2</definedName>
    <definedName name="Inflation">scen004!$E$9</definedName>
    <definedName name="Interest">scen004!$E$10</definedName>
    <definedName name="kolom_def_matrix" localSheetId="71">{"Kledingsoort",0,"Auto","Auto",""}</definedName>
    <definedName name="kolom_def_matrix" localSheetId="72">{"Kledingsoort",0,"Auto","Auto",""}</definedName>
    <definedName name="kolom_def_matrix" localSheetId="73">{"Kledingsoort",0,"Auto","Auto",""}</definedName>
    <definedName name="kolom_def_matrix" localSheetId="74">{"Kledingsoort",0,"Auto","Auto",""}</definedName>
    <definedName name="kolom_def_matrix" localSheetId="75">{"Kledingsoort",0,"Auto","Auto",""}</definedName>
    <definedName name="kolom_def_matrix" localSheetId="76">{"Kledingsoort",0,"Auto","Auto",""}</definedName>
    <definedName name="kolom_def_matrix" localSheetId="0">{"Kledingsoort",0,"Auto","Auto",""}</definedName>
    <definedName name="kolom_def_matrix">{"Kledingsoort",0,"Auto","Auto",""}</definedName>
    <definedName name="Material_costs">scen003!$E$10</definedName>
    <definedName name="Materials">scen002!$E$16</definedName>
    <definedName name="Miscellaneous">scen002!$E$18</definedName>
    <definedName name="number_cherry" localSheetId="71">[3]solv001!$H$11</definedName>
    <definedName name="number_cherry" localSheetId="72">[3]solv001!$H$11</definedName>
    <definedName name="number_cherry" localSheetId="73">[3]solv001!$H$11</definedName>
    <definedName name="number_cherry" localSheetId="74">[3]solv001!$H$11</definedName>
    <definedName name="number_cherry" localSheetId="75">[3]solv001!$H$11</definedName>
    <definedName name="number_cherry" localSheetId="76">[3]solv001!$H$11</definedName>
    <definedName name="number_cherry">solv001!$H$11</definedName>
    <definedName name="number_cherry_min" localSheetId="71">[3]solv001!$E$19</definedName>
    <definedName name="number_cherry_min" localSheetId="72">[3]solv001!$E$19</definedName>
    <definedName name="number_cherry_min" localSheetId="73">[3]solv001!$E$19</definedName>
    <definedName name="number_cherry_min" localSheetId="74">[3]solv001!$E$19</definedName>
    <definedName name="number_cherry_min" localSheetId="75">[3]solv001!$E$19</definedName>
    <definedName name="number_cherry_min" localSheetId="76">[3]solv001!$E$19</definedName>
    <definedName name="number_cherry_min">solv001!$E$19</definedName>
    <definedName name="number_hazelnut" localSheetId="71">[3]solv001!$H$12</definedName>
    <definedName name="number_hazelnut" localSheetId="72">[3]solv001!$H$12</definedName>
    <definedName name="number_hazelnut" localSheetId="73">[3]solv001!$H$12</definedName>
    <definedName name="number_hazelnut" localSheetId="74">[3]solv001!$H$12</definedName>
    <definedName name="number_hazelnut" localSheetId="75">[3]solv001!$H$12</definedName>
    <definedName name="number_hazelnut" localSheetId="76">[3]solv001!$H$12</definedName>
    <definedName name="number_hazelnut">solv001!$H$12</definedName>
    <definedName name="number_hazelnut_min">solv001!$E$20</definedName>
    <definedName name="Operating_profit">scen003!$E$25</definedName>
    <definedName name="Pension_Age" localSheetId="71">[3]form003!$E$10</definedName>
    <definedName name="Pension_Age" localSheetId="72">[3]form003!$E$10</definedName>
    <definedName name="Pension_Age" localSheetId="73">[3]form003!$E$10</definedName>
    <definedName name="Pension_Age" localSheetId="74">[3]form003!$E$10</definedName>
    <definedName name="Pension_Age" localSheetId="75">[3]form003!$E$10</definedName>
    <definedName name="Pension_Age" localSheetId="76">[3]form003!$E$10</definedName>
    <definedName name="Pension_Age">form003!$E$10</definedName>
    <definedName name="Pension_Date" localSheetId="71">[3]form003!$E$13</definedName>
    <definedName name="Pension_Date" localSheetId="72">[3]form003!$E$13</definedName>
    <definedName name="Pension_Date" localSheetId="73">[3]form003!$E$13</definedName>
    <definedName name="Pension_Date" localSheetId="74">[3]form003!$E$13</definedName>
    <definedName name="Pension_Date" localSheetId="75">[3]form003!$E$13</definedName>
    <definedName name="Pension_Date" localSheetId="76">[3]form003!$E$13</definedName>
    <definedName name="Pension_Date">form003!$E$13</definedName>
    <definedName name="price_high" localSheetId="71">[3]form013!$F$9</definedName>
    <definedName name="price_high" localSheetId="72">[3]form013!$F$9</definedName>
    <definedName name="price_high" localSheetId="73">[3]form013!$F$9</definedName>
    <definedName name="price_high" localSheetId="74">[3]form013!$F$9</definedName>
    <definedName name="price_high" localSheetId="75">[3]form013!$F$9</definedName>
    <definedName name="price_high" localSheetId="76">[3]form013!$F$9</definedName>
    <definedName name="price_high">form013!$F$9</definedName>
    <definedName name="price_low" localSheetId="71">[3]form013!$F$10</definedName>
    <definedName name="price_low" localSheetId="72">[3]form013!$F$10</definedName>
    <definedName name="price_low" localSheetId="73">[3]form013!$F$10</definedName>
    <definedName name="price_low" localSheetId="74">[3]form013!$F$10</definedName>
    <definedName name="price_low" localSheetId="75">[3]form013!$F$10</definedName>
    <definedName name="price_low" localSheetId="76">[3]form013!$F$10</definedName>
    <definedName name="price_low">form013!$F$10</definedName>
    <definedName name="price_total">form013!$H$9</definedName>
    <definedName name="Price_XXX">scen001!$I$12</definedName>
    <definedName name="Price_YYY">scen001!$I$13</definedName>
    <definedName name="Price_ZZZ">scen001!$I$14</definedName>
    <definedName name="prijs_hoog">[2]form013!$F$9</definedName>
    <definedName name="prijs_laag">[2]form013!$F$10</definedName>
    <definedName name="Profit">scen002!$E$21</definedName>
    <definedName name="Profit_2011">scen004!$F$32</definedName>
    <definedName name="Profit_2012">scen004!$G$32</definedName>
    <definedName name="Profit_margin">scen001!$E$8</definedName>
    <definedName name="quantity_limit" localSheetId="71">[3]form013!$F$8</definedName>
    <definedName name="quantity_limit" localSheetId="72">[3]form013!$F$8</definedName>
    <definedName name="quantity_limit" localSheetId="73">[3]form013!$F$8</definedName>
    <definedName name="quantity_limit" localSheetId="74">[3]form013!$F$8</definedName>
    <definedName name="quantity_limit" localSheetId="75">[3]form013!$F$8</definedName>
    <definedName name="quantity_limit" localSheetId="76">[3]form013!$F$8</definedName>
    <definedName name="quantity_limit">form013!$F$8</definedName>
    <definedName name="RapportDatum" localSheetId="71">[1]form005!$E$11</definedName>
    <definedName name="RapportDatum" localSheetId="72">[1]form005!$E$11</definedName>
    <definedName name="RapportDatum" localSheetId="73">[1]form005!$E$11</definedName>
    <definedName name="RapportDatum" localSheetId="74">[1]form005!$E$11</definedName>
    <definedName name="RapportDatum" localSheetId="75">[1]form005!$E$11</definedName>
    <definedName name="RapportDatum" localSheetId="76">[1]form005!$E$11</definedName>
    <definedName name="RapportDatum">[2]form005!$E$11</definedName>
    <definedName name="Report_Date" localSheetId="71">[3]form005!$E$11</definedName>
    <definedName name="Report_Date" localSheetId="72">[3]form005!$E$11</definedName>
    <definedName name="Report_Date" localSheetId="73">[3]form005!$E$11</definedName>
    <definedName name="Report_Date" localSheetId="74">[3]form005!$E$11</definedName>
    <definedName name="Report_Date" localSheetId="75">[3]form005!$E$11</definedName>
    <definedName name="Report_Date" localSheetId="76">[3]form005!$E$11</definedName>
    <definedName name="Report_Date">form005!$E$11</definedName>
    <definedName name="rij_def_matrix" localSheetId="71">{"Jaar",0,"Auto","Auto","";"Vertegenwoordiger",0,"Auto","Auto",""}</definedName>
    <definedName name="rij_def_matrix" localSheetId="72">{"Jaar",0,"Auto","Auto","";"Vertegenwoordiger",0,"Auto","Auto",""}</definedName>
    <definedName name="rij_def_matrix" localSheetId="73">{"Jaar",0,"Auto","Auto","";"Vertegenwoordiger",0,"Auto","Auto",""}</definedName>
    <definedName name="rij_def_matrix" localSheetId="74">{"Jaar",0,"Auto","Auto","";"Vertegenwoordiger",0,"Auto","Auto",""}</definedName>
    <definedName name="rij_def_matrix" localSheetId="75">{"Jaar",0,"Auto","Auto","";"Vertegenwoordiger",0,"Auto","Auto",""}</definedName>
    <definedName name="rij_def_matrix" localSheetId="76">{"Jaar",0,"Auto","Auto","";"Vertegenwoordiger",0,"Auto","Auto",""}</definedName>
    <definedName name="rij_def_matrix" localSheetId="0">{"Jaar",0,"Auto","Auto","";"Vertegenwoordiger",0,"Auto","Auto",""}</definedName>
    <definedName name="rij_def_matrix">{"Jaar",0,"Auto","Auto","";"Vertegenwoordiger",0,"Auto","Auto",""}</definedName>
    <definedName name="Sales_2010">tabl002!$B$1</definedName>
    <definedName name="Sales_Target" localSheetId="71">[3]form004!$E$8</definedName>
    <definedName name="Sales_Target" localSheetId="72">[3]form004!$E$8</definedName>
    <definedName name="Sales_Target" localSheetId="73">[3]form004!$E$8</definedName>
    <definedName name="Sales_Target" localSheetId="74">[3]form004!$E$8</definedName>
    <definedName name="Sales_Target" localSheetId="75">[3]form004!$E$8</definedName>
    <definedName name="Sales_Target" localSheetId="76">[3]form004!$E$8</definedName>
    <definedName name="Sales_Target">form004!$E$8</definedName>
    <definedName name="solver_adj" localSheetId="61" hidden="1">solv001!$H$11,solv001!$H$12</definedName>
    <definedName name="solver_adj" localSheetId="62" hidden="1">solv002!$F$9:$F$12</definedName>
    <definedName name="solver_adj" localSheetId="63" hidden="1">solv003!$H$11:$H$13</definedName>
    <definedName name="solver_adj" localSheetId="64" hidden="1">solv004!$H$10:$H$12</definedName>
    <definedName name="solver_adj" localSheetId="65" hidden="1">solv005!$H$10:$H$11</definedName>
    <definedName name="solver_adj" localSheetId="66" hidden="1">solv006!$H$10:$H$12</definedName>
    <definedName name="solver_adj" localSheetId="67" hidden="1">solv007!$G$10:$G$11</definedName>
    <definedName name="solver_adj" localSheetId="68" hidden="1">solv008!$F$18:$H$23</definedName>
    <definedName name="solver_adj" localSheetId="69" hidden="1">solv009!$E$17:$I$17</definedName>
    <definedName name="solver_adj" localSheetId="70" hidden="1">solv010!$G$9:$G$12</definedName>
    <definedName name="solver_cvg" localSheetId="61" hidden="1">0.0001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cvg" localSheetId="67" hidden="1">0.0001</definedName>
    <definedName name="solver_cvg" localSheetId="68" hidden="1">0.0001</definedName>
    <definedName name="solver_cvg" localSheetId="69" hidden="1">0.0001</definedName>
    <definedName name="solver_cvg" localSheetId="70" hidden="1">0.0001</definedName>
    <definedName name="solver_drv" localSheetId="61"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drv" localSheetId="67" hidden="1">1</definedName>
    <definedName name="solver_drv" localSheetId="68" hidden="1">1</definedName>
    <definedName name="solver_drv" localSheetId="69" hidden="1">1</definedName>
    <definedName name="solver_drv" localSheetId="70" hidden="1">1</definedName>
    <definedName name="solver_eng" localSheetId="61" hidden="1">1</definedName>
    <definedName name="solver_eng" localSheetId="62" hidden="1">2</definedName>
    <definedName name="solver_eng" localSheetId="63" hidden="1">1</definedName>
    <definedName name="solver_eng" localSheetId="68" hidden="1">1</definedName>
    <definedName name="solver_eng" localSheetId="70" hidden="1">1</definedName>
    <definedName name="solver_est" localSheetId="61"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est" localSheetId="67" hidden="1">1</definedName>
    <definedName name="solver_est" localSheetId="68" hidden="1">1</definedName>
    <definedName name="solver_est" localSheetId="69" hidden="1">1</definedName>
    <definedName name="solver_est" localSheetId="70" hidden="1">1</definedName>
    <definedName name="solver_itr" localSheetId="61"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itr" localSheetId="67" hidden="1">100</definedName>
    <definedName name="solver_itr" localSheetId="68" hidden="1">100</definedName>
    <definedName name="solver_itr" localSheetId="69" hidden="1">100</definedName>
    <definedName name="solver_itr" localSheetId="70" hidden="1">100</definedName>
    <definedName name="solver_lhs0" localSheetId="65" hidden="1">solv005!$I$12</definedName>
    <definedName name="solver_lhs0" localSheetId="66" hidden="1">solv006!$I$13</definedName>
    <definedName name="solver_lhs1" localSheetId="61" hidden="1">solv001!$I$13</definedName>
    <definedName name="solver_lhs1" localSheetId="62" hidden="1">solv002!$F$9:$F$12</definedName>
    <definedName name="solver_lhs1" localSheetId="63" hidden="1">solv003!$H$11</definedName>
    <definedName name="solver_lhs1" localSheetId="64" hidden="1">solv004!$H$10:$H$12</definedName>
    <definedName name="solver_lhs1" localSheetId="65" hidden="1">solv005!$H$10:$H$11</definedName>
    <definedName name="solver_lhs1" localSheetId="66" hidden="1">solv006!$K$13</definedName>
    <definedName name="solver_lhs1" localSheetId="67" hidden="1">solv007!$G$10:$G$11</definedName>
    <definedName name="solver_lhs1" localSheetId="68" hidden="1">solv008!$E$18:$E$23</definedName>
    <definedName name="solver_lhs1" localSheetId="70" hidden="1">solv010!$G$9:$G$12</definedName>
    <definedName name="solver_lhs2" localSheetId="61" hidden="1">solv001!$J$13</definedName>
    <definedName name="solver_lhs2" localSheetId="62" hidden="1">solv002!$F$9:$F$12</definedName>
    <definedName name="solver_lhs2" localSheetId="63" hidden="1">solv003!$H$11:$H$13</definedName>
    <definedName name="solver_lhs2" localSheetId="64" hidden="1">solv004!$H$10:$H$12</definedName>
    <definedName name="solver_lhs2" localSheetId="65" hidden="1">solv005!$H$10:$H$11</definedName>
    <definedName name="solver_lhs2" localSheetId="66" hidden="1">solv006!$H$10:$H$12</definedName>
    <definedName name="solver_lhs2" localSheetId="67" hidden="1">solv007!$G$10:$G$11</definedName>
    <definedName name="solver_lhs2" localSheetId="68" hidden="1">solv008!$F$18:$H$23</definedName>
    <definedName name="solver_lhs2" localSheetId="70" hidden="1">solv010!$G$9:$G$12</definedName>
    <definedName name="solver_lhs3" localSheetId="61" hidden="1">solv001!$J$13</definedName>
    <definedName name="solver_lhs3" localSheetId="62" hidden="1">solv002!$G$13</definedName>
    <definedName name="solver_lhs3" localSheetId="63" hidden="1">solv003!$H$12</definedName>
    <definedName name="solver_lhs3" localSheetId="64" hidden="1">solv004!$I$13</definedName>
    <definedName name="solver_lhs3" localSheetId="65" hidden="1">solv005!$I$12</definedName>
    <definedName name="solver_lhs3" localSheetId="66" hidden="1">solv006!$H$10</definedName>
    <definedName name="solver_lhs3" localSheetId="67" hidden="1">solv007!$H$12</definedName>
    <definedName name="solver_lhs3" localSheetId="68" hidden="1">solv008!$F$18:$H$23</definedName>
    <definedName name="solver_lhs3" localSheetId="70" hidden="1">solv010!$E$16</definedName>
    <definedName name="solver_lhs4" localSheetId="61" hidden="1">solv001!$H$13</definedName>
    <definedName name="solver_lhs4" localSheetId="63" hidden="1">solv003!$H$13</definedName>
    <definedName name="solver_lhs4" localSheetId="64" hidden="1">solv004!$J$13</definedName>
    <definedName name="solver_lhs4" localSheetId="65" hidden="1">solv005!$J$12</definedName>
    <definedName name="solver_lhs4" localSheetId="66" hidden="1">solv006!$H$11</definedName>
    <definedName name="solver_lhs4" localSheetId="67" hidden="1">solv007!$I$12</definedName>
    <definedName name="solver_lhs4" localSheetId="68" hidden="1">solv008!$F$27:$H$27</definedName>
    <definedName name="solver_lhs4" localSheetId="70" hidden="1">solv010!$E$17</definedName>
    <definedName name="solver_lhs5" localSheetId="61" hidden="1">solv001!$H$11</definedName>
    <definedName name="solver_lhs5" localSheetId="63" hidden="1">solv003!$H$11:$H$13</definedName>
    <definedName name="solver_lhs5" localSheetId="64" hidden="1">solv004!$K$13</definedName>
    <definedName name="solver_lhs5" localSheetId="65" hidden="1">solv005!$K$12</definedName>
    <definedName name="solver_lhs5" localSheetId="66" hidden="1">solv006!$H$12</definedName>
    <definedName name="solver_lhs5" localSheetId="70" hidden="1">solv010!$E$18</definedName>
    <definedName name="solver_lhs6" localSheetId="61" hidden="1">solv001!$H$11</definedName>
    <definedName name="solver_lhs6" localSheetId="63" hidden="1">solv003!$I$14</definedName>
    <definedName name="solver_lhs6" localSheetId="66" hidden="1">solv006!$I$13</definedName>
    <definedName name="solver_lhs6" localSheetId="70" hidden="1">solv010!$E$19</definedName>
    <definedName name="solver_lhs7" localSheetId="61" hidden="1">solv001!$H$12</definedName>
    <definedName name="solver_lhs7" localSheetId="63" hidden="1">solv003!$J$14</definedName>
    <definedName name="solver_lhs7" localSheetId="66" hidden="1">solv006!$J$13</definedName>
    <definedName name="solver_lhs7" localSheetId="70" hidden="1">solv010!$E$20</definedName>
    <definedName name="solver_lhs8" localSheetId="66" hidden="1">solv006!$K$13</definedName>
    <definedName name="solver_lin" localSheetId="61"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lin" localSheetId="67" hidden="1">2</definedName>
    <definedName name="solver_lin" localSheetId="68" hidden="1">2</definedName>
    <definedName name="solver_lin" localSheetId="69" hidden="1">2</definedName>
    <definedName name="solver_lin" localSheetId="70" hidden="1">2</definedName>
    <definedName name="solver_mip" localSheetId="61" hidden="1">2147483647</definedName>
    <definedName name="solver_mip" localSheetId="62" hidden="1">2147483647</definedName>
    <definedName name="solver_mni" localSheetId="61" hidden="1">30</definedName>
    <definedName name="solver_mni" localSheetId="62" hidden="1">30</definedName>
    <definedName name="solver_mrt" localSheetId="61" hidden="1">0.075</definedName>
    <definedName name="solver_mrt" localSheetId="62" hidden="1">0.075</definedName>
    <definedName name="solver_msl" localSheetId="61" hidden="1">2</definedName>
    <definedName name="solver_msl" localSheetId="62" hidden="1">2</definedName>
    <definedName name="solver_neg" localSheetId="61"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eg" localSheetId="67" hidden="1">2</definedName>
    <definedName name="solver_neg" localSheetId="68" hidden="1">2</definedName>
    <definedName name="solver_neg" localSheetId="69" hidden="1">2</definedName>
    <definedName name="solver_neg" localSheetId="70" hidden="1">2</definedName>
    <definedName name="solver_nod" localSheetId="61" hidden="1">2147483647</definedName>
    <definedName name="solver_nod" localSheetId="62" hidden="1">2147483647</definedName>
    <definedName name="solver_num" localSheetId="61" hidden="1">7</definedName>
    <definedName name="solver_num" localSheetId="62" hidden="1">3</definedName>
    <definedName name="solver_num" localSheetId="63" hidden="1">7</definedName>
    <definedName name="solver_num" localSheetId="64" hidden="1">5</definedName>
    <definedName name="solver_num" localSheetId="65" hidden="1">5</definedName>
    <definedName name="solver_num" localSheetId="66" hidden="1">7</definedName>
    <definedName name="solver_num" localSheetId="67" hidden="1">4</definedName>
    <definedName name="solver_num" localSheetId="68" hidden="1">4</definedName>
    <definedName name="solver_num" localSheetId="69" hidden="1">0</definedName>
    <definedName name="solver_num" localSheetId="70" hidden="1">7</definedName>
    <definedName name="solver_nwt" localSheetId="61"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nwt" localSheetId="67" hidden="1">1</definedName>
    <definedName name="solver_nwt" localSheetId="68" hidden="1">1</definedName>
    <definedName name="solver_nwt" localSheetId="69" hidden="1">1</definedName>
    <definedName name="solver_nwt" localSheetId="70" hidden="1">1</definedName>
    <definedName name="solver_opt" localSheetId="61" hidden="1">solv001!$K$13</definedName>
    <definedName name="solver_opt" localSheetId="62" hidden="1">solv002!$H$13</definedName>
    <definedName name="solver_opt" localSheetId="63" hidden="1">solv003!$M$23</definedName>
    <definedName name="solver_opt" localSheetId="64" hidden="1">solv004!$L$13</definedName>
    <definedName name="solver_opt" localSheetId="65" hidden="1">solv005!$L$12</definedName>
    <definedName name="solver_opt" localSheetId="66" hidden="1">solv006!$L$13</definedName>
    <definedName name="solver_opt" localSheetId="67" hidden="1">solv007!$J$12</definedName>
    <definedName name="solver_opt" localSheetId="68" hidden="1">solv008!$I$29</definedName>
    <definedName name="solver_opt" localSheetId="69" hidden="1">solv009!$M$15</definedName>
    <definedName name="solver_opt" localSheetId="70" hidden="1">solv010!$H$13</definedName>
    <definedName name="solver_pre" localSheetId="61"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pre" localSheetId="67" hidden="1">0.000001</definedName>
    <definedName name="solver_pre" localSheetId="68" hidden="1">0.000001</definedName>
    <definedName name="solver_pre" localSheetId="69" hidden="1">0.000001</definedName>
    <definedName name="solver_pre" localSheetId="70" hidden="1">0.000001</definedName>
    <definedName name="solver_rbv" localSheetId="61" hidden="1">1</definedName>
    <definedName name="solver_rbv" localSheetId="62" hidden="1">1</definedName>
    <definedName name="solver_rel0" localSheetId="65" hidden="1">1</definedName>
    <definedName name="solver_rel0" localSheetId="66" hidden="1">1</definedName>
    <definedName name="solver_rel1" localSheetId="61" hidden="1">3</definedName>
    <definedName name="solver_rel1" localSheetId="62" hidden="1">4</definedName>
    <definedName name="solver_rel1" localSheetId="63" hidden="1">1</definedName>
    <definedName name="solver_rel1" localSheetId="64" hidden="1">4</definedName>
    <definedName name="solver_rel1" localSheetId="65" hidden="1">4</definedName>
    <definedName name="solver_rel1" localSheetId="66" hidden="1">3</definedName>
    <definedName name="solver_rel1" localSheetId="67" hidden="1">4</definedName>
    <definedName name="solver_rel1" localSheetId="68" hidden="1">2</definedName>
    <definedName name="solver_rel1" localSheetId="70" hidden="1">3</definedName>
    <definedName name="solver_rel2" localSheetId="61" hidden="1">1</definedName>
    <definedName name="solver_rel2" localSheetId="62" hidden="1">3</definedName>
    <definedName name="solver_rel2" localSheetId="63" hidden="1">4</definedName>
    <definedName name="solver_rel2" localSheetId="64" hidden="1">3</definedName>
    <definedName name="solver_rel2" localSheetId="65" hidden="1">3</definedName>
    <definedName name="solver_rel2" localSheetId="66" hidden="1">3</definedName>
    <definedName name="solver_rel2" localSheetId="67" hidden="1">3</definedName>
    <definedName name="solver_rel2" localSheetId="68" hidden="1">4</definedName>
    <definedName name="solver_rel2" localSheetId="70" hidden="1">4</definedName>
    <definedName name="solver_rel3" localSheetId="61" hidden="1">3</definedName>
    <definedName name="solver_rel3" localSheetId="62" hidden="1">1</definedName>
    <definedName name="solver_rel3" localSheetId="63" hidden="1">1</definedName>
    <definedName name="solver_rel3" localSheetId="64" hidden="1">1</definedName>
    <definedName name="solver_rel3" localSheetId="65" hidden="1">3</definedName>
    <definedName name="solver_rel3" localSheetId="66" hidden="1">1</definedName>
    <definedName name="solver_rel3" localSheetId="67" hidden="1">3</definedName>
    <definedName name="solver_rel3" localSheetId="68" hidden="1">3</definedName>
    <definedName name="solver_rel3" localSheetId="70" hidden="1">3</definedName>
    <definedName name="solver_rel4" localSheetId="61" hidden="1">3</definedName>
    <definedName name="solver_rel4" localSheetId="63" hidden="1">1</definedName>
    <definedName name="solver_rel4" localSheetId="64" hidden="1">1</definedName>
    <definedName name="solver_rel4" localSheetId="65" hidden="1">3</definedName>
    <definedName name="solver_rel4" localSheetId="66" hidden="1">1</definedName>
    <definedName name="solver_rel4" localSheetId="67" hidden="1">3</definedName>
    <definedName name="solver_rel4" localSheetId="68" hidden="1">3</definedName>
    <definedName name="solver_rel4" localSheetId="70" hidden="1">3</definedName>
    <definedName name="solver_rel5" localSheetId="61" hidden="1">3</definedName>
    <definedName name="solver_rel5" localSheetId="63" hidden="1">3</definedName>
    <definedName name="solver_rel5" localSheetId="64" hidden="1">1</definedName>
    <definedName name="solver_rel5" localSheetId="65" hidden="1">3</definedName>
    <definedName name="solver_rel5" localSheetId="66" hidden="1">1</definedName>
    <definedName name="solver_rel5" localSheetId="70" hidden="1">1</definedName>
    <definedName name="solver_rel6" localSheetId="61" hidden="1">4</definedName>
    <definedName name="solver_rel6" localSheetId="63" hidden="1">1</definedName>
    <definedName name="solver_rel6" localSheetId="66" hidden="1">3</definedName>
    <definedName name="solver_rel6" localSheetId="70" hidden="1">1</definedName>
    <definedName name="solver_rel7" localSheetId="61" hidden="1">4</definedName>
    <definedName name="solver_rel7" localSheetId="63" hidden="1">1</definedName>
    <definedName name="solver_rel7" localSheetId="66" hidden="1">3</definedName>
    <definedName name="solver_rel7" localSheetId="70" hidden="1">1</definedName>
    <definedName name="solver_rel8" localSheetId="66" hidden="1">3</definedName>
    <definedName name="solver_rhs0" localSheetId="65" hidden="1">solv005!#REF!</definedName>
    <definedName name="solver_rhs0" localSheetId="66" hidden="1">solv006!#REF!</definedName>
    <definedName name="solver_rhs1" localSheetId="61" hidden="1">box_area_min</definedName>
    <definedName name="solver_rhs1" localSheetId="62" hidden="1">integer</definedName>
    <definedName name="solver_rhs1" localSheetId="63" hidden="1">solv003!$E$18</definedName>
    <definedName name="solver_rhs1" localSheetId="64" hidden="1">integer</definedName>
    <definedName name="solver_rhs1" localSheetId="65" hidden="1">integer</definedName>
    <definedName name="solver_rhs1" localSheetId="66" hidden="1">solv006!$D$18</definedName>
    <definedName name="solver_rhs1" localSheetId="67" hidden="1">integer</definedName>
    <definedName name="solver_rhs1" localSheetId="68" hidden="1">solv008!$I$18:$I$23</definedName>
    <definedName name="solver_rhs1" localSheetId="70" hidden="1">0</definedName>
    <definedName name="solver_rhs2" localSheetId="61" hidden="1">box_weight_max</definedName>
    <definedName name="solver_rhs2" localSheetId="62" hidden="1">0</definedName>
    <definedName name="solver_rhs2" localSheetId="63" hidden="1">geheeltallig</definedName>
    <definedName name="solver_rhs2" localSheetId="64" hidden="1">0</definedName>
    <definedName name="solver_rhs2" localSheetId="65" hidden="1">0</definedName>
    <definedName name="solver_rhs2" localSheetId="66" hidden="1">0</definedName>
    <definedName name="solver_rhs2" localSheetId="67" hidden="1">0</definedName>
    <definedName name="solver_rhs2" localSheetId="68" hidden="1">integer</definedName>
    <definedName name="solver_rhs2" localSheetId="70" hidden="1">integer</definedName>
    <definedName name="solver_rhs3" localSheetId="61" hidden="1">box_weight_min</definedName>
    <definedName name="solver_rhs3" localSheetId="62" hidden="1">solv002!$G$14</definedName>
    <definedName name="solver_rhs3" localSheetId="63" hidden="1">solv003!$E$19</definedName>
    <definedName name="solver_rhs3" localSheetId="64" hidden="1">solv004!$I$15</definedName>
    <definedName name="solver_rhs3" localSheetId="65" hidden="1">solv005!$I$14</definedName>
    <definedName name="solver_rhs3" localSheetId="66" hidden="1">solv006!$D$19</definedName>
    <definedName name="solver_rhs3" localSheetId="67" hidden="1">solv007!$H$14</definedName>
    <definedName name="solver_rhs3" localSheetId="68" hidden="1">0</definedName>
    <definedName name="solver_rhs3" localSheetId="70" hidden="1">solv010!$G$16</definedName>
    <definedName name="solver_rhs4" localSheetId="61" hidden="1">box_number_min</definedName>
    <definedName name="solver_rhs4" localSheetId="63" hidden="1">solv003!$E$20</definedName>
    <definedName name="solver_rhs4" localSheetId="64" hidden="1">solv004!$J$15</definedName>
    <definedName name="solver_rhs4" localSheetId="65" hidden="1">solv005!$J$14</definedName>
    <definedName name="solver_rhs4" localSheetId="66" hidden="1">solv006!$D$20</definedName>
    <definedName name="solver_rhs4" localSheetId="67" hidden="1">solv007!$I$14</definedName>
    <definedName name="solver_rhs4" localSheetId="68" hidden="1">0</definedName>
    <definedName name="solver_rhs4" localSheetId="70" hidden="1">solv010!$G$17</definedName>
    <definedName name="solver_rhs5" localSheetId="61" hidden="1">number_cherry_min</definedName>
    <definedName name="solver_rhs5" localSheetId="63" hidden="1">0</definedName>
    <definedName name="solver_rhs5" localSheetId="64" hidden="1">solv004!$K$15</definedName>
    <definedName name="solver_rhs5" localSheetId="65" hidden="1">solv005!$K$14</definedName>
    <definedName name="solver_rhs5" localSheetId="66" hidden="1">solv006!$D$21</definedName>
    <definedName name="solver_rhs5" localSheetId="70" hidden="1">solv010!$G$18</definedName>
    <definedName name="solver_rhs6" localSheetId="61" hidden="1">integer</definedName>
    <definedName name="solver_rhs6" localSheetId="63" hidden="1">solv003!$E$16</definedName>
    <definedName name="solver_rhs6" localSheetId="66" hidden="1">solv006!$D$16</definedName>
    <definedName name="solver_rhs6" localSheetId="70" hidden="1">solv010!$G$19</definedName>
    <definedName name="solver_rhs7" localSheetId="61" hidden="1">integer</definedName>
    <definedName name="solver_rhs7" localSheetId="63" hidden="1">solv003!$E$17</definedName>
    <definedName name="solver_rhs7" localSheetId="66" hidden="1">solv006!$D$17</definedName>
    <definedName name="solver_rhs7" localSheetId="70" hidden="1">solv010!$G$20</definedName>
    <definedName name="solver_rhs8" localSheetId="66" hidden="1">solv006!$D$18</definedName>
    <definedName name="solver_rlx" localSheetId="61" hidden="1">1</definedName>
    <definedName name="solver_rlx" localSheetId="62" hidden="1">1</definedName>
    <definedName name="solver_rsd" localSheetId="61" hidden="1">0</definedName>
    <definedName name="solver_rsd" localSheetId="62" hidden="1">0</definedName>
    <definedName name="solver_scl" localSheetId="61"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cl" localSheetId="67" hidden="1">2</definedName>
    <definedName name="solver_scl" localSheetId="68" hidden="1">2</definedName>
    <definedName name="solver_scl" localSheetId="69" hidden="1">2</definedName>
    <definedName name="solver_scl" localSheetId="70" hidden="1">2</definedName>
    <definedName name="solver_sho" localSheetId="61"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ho" localSheetId="67" hidden="1">2</definedName>
    <definedName name="solver_sho" localSheetId="68" hidden="1">2</definedName>
    <definedName name="solver_sho" localSheetId="69" hidden="1">2</definedName>
    <definedName name="solver_sho" localSheetId="70" hidden="1">2</definedName>
    <definedName name="solver_ssz" localSheetId="61" hidden="1">100</definedName>
    <definedName name="solver_ssz" localSheetId="62" hidden="1">100</definedName>
    <definedName name="solver_tim" localSheetId="61"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im" localSheetId="67" hidden="1">100</definedName>
    <definedName name="solver_tim" localSheetId="68" hidden="1">100</definedName>
    <definedName name="solver_tim" localSheetId="69" hidden="1">100</definedName>
    <definedName name="solver_tim" localSheetId="70" hidden="1">100</definedName>
    <definedName name="solver_tol" localSheetId="61"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ol" localSheetId="67" hidden="1">0.05</definedName>
    <definedName name="solver_tol" localSheetId="68" hidden="1">0.05</definedName>
    <definedName name="solver_tol" localSheetId="69" hidden="1">0.05</definedName>
    <definedName name="solver_tol" localSheetId="70" hidden="1">0.05</definedName>
    <definedName name="solver_typ" localSheetId="61" hidden="1">1</definedName>
    <definedName name="solver_typ" localSheetId="62" hidden="1">1</definedName>
    <definedName name="solver_typ" localSheetId="63" hidden="1">1</definedName>
    <definedName name="solver_typ" localSheetId="64" hidden="1">1</definedName>
    <definedName name="solver_typ" localSheetId="65" hidden="1">2</definedName>
    <definedName name="solver_typ" localSheetId="66" hidden="1">2</definedName>
    <definedName name="solver_typ" localSheetId="67" hidden="1">2</definedName>
    <definedName name="solver_typ" localSheetId="68" hidden="1">2</definedName>
    <definedName name="solver_typ" localSheetId="69" hidden="1">2</definedName>
    <definedName name="solver_typ" localSheetId="70" hidden="1">1</definedName>
    <definedName name="solver_val" localSheetId="61"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al" localSheetId="67" hidden="1">0</definedName>
    <definedName name="solver_val" localSheetId="68" hidden="1">0</definedName>
    <definedName name="solver_val" localSheetId="69" hidden="1">0</definedName>
    <definedName name="solver_val" localSheetId="70" hidden="1">0</definedName>
    <definedName name="solver_ver" localSheetId="61" hidden="1">3</definedName>
    <definedName name="solver_ver" localSheetId="62" hidden="1">3</definedName>
    <definedName name="solver_ver" localSheetId="63" hidden="1">3</definedName>
    <definedName name="solver_ver" localSheetId="68" hidden="1">3</definedName>
    <definedName name="solver_ver" localSheetId="70" hidden="1">3</definedName>
    <definedName name="staffel_limiet">[2]form013!$F$8</definedName>
    <definedName name="Subscriptions">scen002!$E$11</definedName>
    <definedName name="Tax">scen004!$E$11</definedName>
    <definedName name="TitelsTabel">[1]Inhoud!$A$2:$F$70</definedName>
    <definedName name="TocTable">[3]TOC!$A$2:$F$64</definedName>
    <definedName name="VerkoopDoelstelling" localSheetId="71">[1]form004!$E$8</definedName>
    <definedName name="VerkoopDoelstelling" localSheetId="72">[1]form004!$E$8</definedName>
    <definedName name="VerkoopDoelstelling" localSheetId="73">[1]form004!$E$8</definedName>
    <definedName name="VerkoopDoelstelling" localSheetId="74">[1]form004!$E$8</definedName>
    <definedName name="VerkoopDoelstelling" localSheetId="75">[1]form004!$E$8</definedName>
    <definedName name="VerkoopDoelstelling" localSheetId="76">[1]form004!$E$8</definedName>
    <definedName name="VerkoopDoelstelling">[2]form004!$E$8</definedName>
    <definedName name="waarde_def_matrix" localSheetId="71">{"Verkopen","SOM(Verkopen)","JNNNN",FALSE}</definedName>
    <definedName name="waarde_def_matrix" localSheetId="72">{"Verkopen","SOM(Verkopen)","JNNNN",FALSE}</definedName>
    <definedName name="waarde_def_matrix" localSheetId="73">{"Verkopen","SOM(Verkopen)","JNNNN",FALSE}</definedName>
    <definedName name="waarde_def_matrix" localSheetId="74">{"Verkopen","SOM(Verkopen)","JNNNN",FALSE}</definedName>
    <definedName name="waarde_def_matrix" localSheetId="75">{"Verkopen","SOM(Verkopen)","JNNNN",FALSE}</definedName>
    <definedName name="waarde_def_matrix" localSheetId="76">{"Verkopen","SOM(Verkopen)","JNNNN",FALSE}</definedName>
    <definedName name="waarde_def_matrix">{"Verkopen","SOM(Verkopen)","JNNNN",FALSE}</definedName>
    <definedName name="Wages">scen003!$E$9</definedName>
  </definedNames>
  <calcPr calcId="191029"/>
  <pivotCaches>
    <pivotCache cacheId="6" r:id="rId81"/>
    <pivotCache cacheId="7" r:id="rId82"/>
    <pivotCache cacheId="8" r:id="rId83"/>
    <pivotCache cacheId="9" r:id="rId84"/>
    <pivotCache cacheId="10" r:id="rId85"/>
    <pivotCache cacheId="11" r:id="rId86"/>
    <pivotCache cacheId="12" r:id="rId87"/>
    <pivotCache cacheId="13" r:id="rId88"/>
    <pivotCache cacheId="14" r:id="rId89"/>
    <pivotCache cacheId="15" r:id="rId90"/>
    <pivotCache cacheId="16" r:id="rId9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15" l="1" a="1"/>
  <c r="A1" i="115" s="1"/>
  <c r="J1" i="114" a="1"/>
  <c r="J1" i="114" s="1"/>
  <c r="E5" i="113" a="1"/>
  <c r="E5" i="113" s="1"/>
  <c r="B5" i="113" a="1"/>
  <c r="B5" i="113" s="1"/>
  <c r="B7" i="112" a="1"/>
  <c r="B7" i="112" s="1"/>
  <c r="B6" i="112" s="1"/>
  <c r="D4" i="111" l="1"/>
  <c r="D3" i="111"/>
  <c r="D2" i="111"/>
  <c r="D4" i="110"/>
  <c r="D3" i="110"/>
  <c r="D2" i="110"/>
  <c r="D4" i="109"/>
  <c r="D3" i="109"/>
  <c r="D2" i="109"/>
  <c r="D4" i="108"/>
  <c r="D3" i="108"/>
  <c r="D2" i="108"/>
  <c r="D4" i="107"/>
  <c r="D3" i="107"/>
  <c r="D2" i="107"/>
  <c r="D4" i="106"/>
  <c r="D3" i="106"/>
  <c r="D2" i="106"/>
  <c r="D4" i="105"/>
  <c r="D3" i="105"/>
  <c r="D2" i="105"/>
  <c r="E10" i="110"/>
  <c r="E12" i="110" s="1"/>
  <c r="E11" i="109"/>
  <c r="D28" i="109" s="1"/>
  <c r="C29" i="108"/>
  <c r="C28" i="108"/>
  <c r="D22" i="108"/>
  <c r="D21" i="108"/>
  <c r="D20" i="108"/>
  <c r="D19" i="108"/>
  <c r="D18" i="108"/>
  <c r="D17" i="108"/>
  <c r="D16" i="108"/>
  <c r="D15" i="108"/>
  <c r="D14" i="108"/>
  <c r="D13" i="108"/>
  <c r="D12" i="108"/>
  <c r="D25" i="107"/>
  <c r="D24" i="107"/>
  <c r="D23" i="107"/>
  <c r="D22" i="107"/>
  <c r="D21" i="107"/>
  <c r="I32" i="106"/>
  <c r="I31" i="106"/>
  <c r="I30" i="106"/>
  <c r="I29" i="106"/>
  <c r="I28" i="106"/>
  <c r="I27" i="106"/>
  <c r="I26" i="106"/>
  <c r="I23" i="105"/>
  <c r="I22" i="105"/>
  <c r="I21" i="105"/>
  <c r="I20" i="105"/>
  <c r="I19" i="105"/>
  <c r="D15" i="105"/>
  <c r="D14" i="105"/>
  <c r="D13" i="105"/>
  <c r="D12" i="105"/>
  <c r="D11" i="105"/>
  <c r="D10" i="105"/>
  <c r="D9" i="105"/>
  <c r="E14" i="109" l="1"/>
  <c r="H9" i="104"/>
  <c r="P18" i="103"/>
  <c r="O18" i="103"/>
  <c r="N18" i="103"/>
  <c r="M18" i="103"/>
  <c r="L18" i="103"/>
  <c r="K18" i="103"/>
  <c r="J18" i="103"/>
  <c r="I18" i="103"/>
  <c r="H18" i="103"/>
  <c r="G18" i="103"/>
  <c r="P17" i="103"/>
  <c r="O17" i="103"/>
  <c r="N17" i="103"/>
  <c r="M17" i="103"/>
  <c r="L17" i="103"/>
  <c r="K17" i="103"/>
  <c r="J17" i="103"/>
  <c r="I17" i="103"/>
  <c r="H17" i="103"/>
  <c r="G17" i="103"/>
  <c r="P16" i="103"/>
  <c r="O16" i="103"/>
  <c r="N16" i="103"/>
  <c r="M16" i="103"/>
  <c r="L16" i="103"/>
  <c r="K16" i="103"/>
  <c r="J16" i="103"/>
  <c r="I16" i="103"/>
  <c r="H16" i="103"/>
  <c r="G16" i="103"/>
  <c r="P15" i="103"/>
  <c r="O15" i="103"/>
  <c r="N15" i="103"/>
  <c r="M15" i="103"/>
  <c r="L15" i="103"/>
  <c r="K15" i="103"/>
  <c r="J15" i="103"/>
  <c r="I15" i="103"/>
  <c r="H15" i="103"/>
  <c r="G15" i="103"/>
  <c r="P14" i="103"/>
  <c r="O14" i="103"/>
  <c r="N14" i="103"/>
  <c r="M14" i="103"/>
  <c r="L14" i="103"/>
  <c r="K14" i="103"/>
  <c r="J14" i="103"/>
  <c r="I14" i="103"/>
  <c r="H14" i="103"/>
  <c r="G14" i="103"/>
  <c r="P13" i="103"/>
  <c r="O13" i="103"/>
  <c r="N13" i="103"/>
  <c r="M13" i="103"/>
  <c r="L13" i="103"/>
  <c r="K13" i="103"/>
  <c r="J13" i="103"/>
  <c r="I13" i="103"/>
  <c r="H13" i="103"/>
  <c r="G13" i="103"/>
  <c r="P12" i="103"/>
  <c r="O12" i="103"/>
  <c r="N12" i="103"/>
  <c r="M12" i="103"/>
  <c r="L12" i="103"/>
  <c r="K12" i="103"/>
  <c r="J12" i="103"/>
  <c r="I12" i="103"/>
  <c r="H12" i="103"/>
  <c r="G12" i="103"/>
  <c r="P11" i="103"/>
  <c r="O11" i="103"/>
  <c r="N11" i="103"/>
  <c r="M11" i="103"/>
  <c r="L11" i="103"/>
  <c r="K11" i="103"/>
  <c r="J11" i="103"/>
  <c r="I11" i="103"/>
  <c r="H11" i="103"/>
  <c r="G11" i="103"/>
  <c r="P10" i="103"/>
  <c r="O10" i="103"/>
  <c r="N10" i="103"/>
  <c r="M10" i="103"/>
  <c r="L10" i="103"/>
  <c r="K10" i="103"/>
  <c r="J10" i="103"/>
  <c r="I10" i="103"/>
  <c r="H10" i="103"/>
  <c r="G10" i="103"/>
  <c r="P9" i="103"/>
  <c r="O9" i="103"/>
  <c r="N9" i="103"/>
  <c r="M9" i="103"/>
  <c r="L9" i="103"/>
  <c r="K9" i="103"/>
  <c r="J9" i="103"/>
  <c r="I9" i="103"/>
  <c r="H9" i="103"/>
  <c r="G9" i="103"/>
  <c r="D4" i="68"/>
  <c r="D3" i="68"/>
  <c r="D2" i="68"/>
  <c r="D4" i="67"/>
  <c r="D3" i="67"/>
  <c r="D2" i="67"/>
  <c r="D4" i="66"/>
  <c r="D3" i="66"/>
  <c r="D2" i="66"/>
  <c r="D4" i="65"/>
  <c r="D3" i="65"/>
  <c r="D2" i="65"/>
  <c r="D4" i="64"/>
  <c r="D3" i="64"/>
  <c r="D2" i="64"/>
  <c r="D4" i="63"/>
  <c r="D3" i="63"/>
  <c r="D2" i="63"/>
  <c r="D4" i="62"/>
  <c r="D3" i="62"/>
  <c r="D2" i="62"/>
  <c r="D4" i="61"/>
  <c r="D3" i="61"/>
  <c r="D2" i="61"/>
  <c r="D4" i="60"/>
  <c r="D3" i="60"/>
  <c r="D2" i="60"/>
  <c r="D4" i="39"/>
  <c r="D3" i="39"/>
  <c r="D2" i="39"/>
  <c r="D4" i="72"/>
  <c r="D3" i="72"/>
  <c r="D2" i="72"/>
  <c r="D4" i="71"/>
  <c r="D3" i="71"/>
  <c r="D2" i="71"/>
  <c r="D4" i="70"/>
  <c r="D3" i="70"/>
  <c r="D2" i="70"/>
  <c r="D4" i="69"/>
  <c r="D3" i="69"/>
  <c r="D2" i="69"/>
  <c r="D4" i="59"/>
  <c r="D3" i="59"/>
  <c r="D2" i="59"/>
  <c r="D4" i="58"/>
  <c r="D3" i="58"/>
  <c r="D2" i="58"/>
  <c r="D4" i="57"/>
  <c r="D3" i="57"/>
  <c r="D2" i="57"/>
  <c r="D4" i="56"/>
  <c r="D3" i="56"/>
  <c r="D2" i="56"/>
  <c r="D4" i="55"/>
  <c r="D3" i="55"/>
  <c r="D2" i="55"/>
  <c r="D4" i="54"/>
  <c r="D3" i="54"/>
  <c r="D2" i="54"/>
  <c r="D4" i="53"/>
  <c r="D3" i="53"/>
  <c r="D2" i="53"/>
  <c r="D4" i="52"/>
  <c r="D3" i="52"/>
  <c r="D2" i="52"/>
  <c r="D4" i="51"/>
  <c r="D3" i="51"/>
  <c r="D2" i="51"/>
  <c r="D4" i="50"/>
  <c r="D3" i="50"/>
  <c r="D2" i="50"/>
  <c r="D4" i="38"/>
  <c r="D3" i="38"/>
  <c r="D2" i="38"/>
  <c r="D4" i="94"/>
  <c r="D3" i="94"/>
  <c r="D2" i="94"/>
  <c r="D4" i="87"/>
  <c r="D3" i="87"/>
  <c r="D2" i="87"/>
  <c r="D4" i="86"/>
  <c r="D3" i="86"/>
  <c r="D2" i="86"/>
  <c r="D4" i="85"/>
  <c r="D3" i="85"/>
  <c r="D2" i="85"/>
  <c r="D4" i="84"/>
  <c r="D3" i="84"/>
  <c r="D2" i="84"/>
  <c r="D4" i="45"/>
  <c r="D3" i="45"/>
  <c r="D2" i="45"/>
  <c r="D4" i="83"/>
  <c r="D3" i="83"/>
  <c r="D2" i="83"/>
  <c r="D4" i="81"/>
  <c r="D3" i="81"/>
  <c r="D2" i="81"/>
  <c r="D4" i="80"/>
  <c r="D3" i="80"/>
  <c r="D2" i="80"/>
  <c r="D4" i="79"/>
  <c r="D3" i="79"/>
  <c r="D2" i="79"/>
  <c r="D4" i="78"/>
  <c r="D3" i="78"/>
  <c r="D2" i="78"/>
  <c r="D4" i="21"/>
  <c r="D3" i="21"/>
  <c r="D2" i="21"/>
  <c r="D4" i="20"/>
  <c r="D3" i="20"/>
  <c r="D2" i="20"/>
  <c r="D4" i="19"/>
  <c r="D3" i="19"/>
  <c r="D2" i="19"/>
  <c r="D4" i="18"/>
  <c r="D3" i="18"/>
  <c r="D2" i="18"/>
  <c r="D4" i="88"/>
  <c r="D3" i="88"/>
  <c r="D2" i="88"/>
  <c r="D4" i="42"/>
  <c r="D3" i="42"/>
  <c r="D2" i="42"/>
  <c r="D4" i="40"/>
  <c r="D3" i="40"/>
  <c r="D2" i="40"/>
  <c r="D4" i="23"/>
  <c r="D3" i="23"/>
  <c r="D2" i="23"/>
  <c r="D4" i="22"/>
  <c r="D3" i="22"/>
  <c r="D2" i="22"/>
  <c r="D4" i="15"/>
  <c r="D3" i="15"/>
  <c r="D2" i="15"/>
  <c r="D4" i="82"/>
  <c r="D3" i="82"/>
  <c r="D2" i="82"/>
  <c r="D4" i="48"/>
  <c r="D3" i="48"/>
  <c r="D2" i="48"/>
  <c r="D4" i="47"/>
  <c r="D3" i="47"/>
  <c r="D2" i="47"/>
  <c r="D4" i="36"/>
  <c r="D3" i="36"/>
  <c r="D2" i="36"/>
  <c r="D4" i="104"/>
  <c r="D3" i="104"/>
  <c r="D2" i="104"/>
  <c r="D4" i="103"/>
  <c r="D3" i="103"/>
  <c r="D2" i="103"/>
  <c r="D4" i="97"/>
  <c r="D3" i="97"/>
  <c r="D2" i="97"/>
  <c r="D4" i="92"/>
  <c r="D3" i="92"/>
  <c r="D2" i="92"/>
  <c r="D4" i="91"/>
  <c r="D3" i="91"/>
  <c r="D2" i="91"/>
  <c r="D4" i="90"/>
  <c r="D3" i="90"/>
  <c r="D2" i="90"/>
  <c r="D4" i="89"/>
  <c r="D3" i="89"/>
  <c r="D2" i="89"/>
  <c r="D4" i="41"/>
  <c r="D3" i="41"/>
  <c r="D2" i="41"/>
  <c r="D4" i="14"/>
  <c r="D3" i="14"/>
  <c r="D2" i="14"/>
  <c r="D4" i="13"/>
  <c r="D3" i="13"/>
  <c r="D2" i="13"/>
  <c r="D4" i="12"/>
  <c r="D3" i="12"/>
  <c r="D2" i="12"/>
  <c r="D4" i="46"/>
  <c r="D3" i="46"/>
  <c r="D2" i="46"/>
  <c r="D4" i="10"/>
  <c r="D3" i="10"/>
  <c r="D2" i="10"/>
  <c r="D4" i="98"/>
  <c r="D3" i="98"/>
  <c r="D2" i="98"/>
  <c r="D4" i="99"/>
  <c r="D3" i="99"/>
  <c r="D2" i="99"/>
  <c r="E18" i="99" l="1"/>
  <c r="E14" i="47" l="1"/>
  <c r="H13" i="39" l="1"/>
  <c r="J12" i="39"/>
  <c r="K12" i="39"/>
  <c r="I12" i="39"/>
  <c r="J11" i="39"/>
  <c r="K11" i="39"/>
  <c r="I11" i="39"/>
  <c r="I13" i="39" l="1"/>
  <c r="J13" i="39"/>
  <c r="K13" i="39"/>
  <c r="F23" i="45" a="1"/>
  <c r="F23" i="45" s="1"/>
  <c r="F12" i="82" l="1"/>
  <c r="E11" i="92" l="1"/>
  <c r="E13" i="12" l="1"/>
  <c r="F29" i="66" l="1"/>
  <c r="G29" i="66"/>
  <c r="H29" i="66"/>
  <c r="I18" i="66"/>
  <c r="I19" i="66"/>
  <c r="I20" i="66"/>
  <c r="I21" i="66"/>
  <c r="I22" i="66"/>
  <c r="I23" i="66"/>
  <c r="F24" i="66"/>
  <c r="F27" i="66" s="1"/>
  <c r="G24" i="66"/>
  <c r="G27" i="66" s="1"/>
  <c r="H24" i="66"/>
  <c r="H27" i="66" s="1"/>
  <c r="I11" i="61"/>
  <c r="J11" i="61"/>
  <c r="K11" i="61"/>
  <c r="I12" i="61"/>
  <c r="J12" i="61"/>
  <c r="K12" i="61"/>
  <c r="K14" i="61" s="1"/>
  <c r="I13" i="61"/>
  <c r="J13" i="61"/>
  <c r="K13" i="61"/>
  <c r="G9" i="60"/>
  <c r="H9" i="60"/>
  <c r="G10" i="60"/>
  <c r="H10" i="60"/>
  <c r="G11" i="60"/>
  <c r="H11" i="60"/>
  <c r="G12" i="60"/>
  <c r="H12" i="60"/>
  <c r="H13" i="60" l="1"/>
  <c r="J14" i="61"/>
  <c r="I14" i="61"/>
  <c r="G13" i="60"/>
  <c r="I24" i="66"/>
  <c r="I29" i="66"/>
  <c r="K9" i="45" l="1" a="1"/>
  <c r="K9" i="45" s="1"/>
  <c r="K18" i="45" l="1"/>
  <c r="K16" i="45"/>
  <c r="K14" i="45"/>
  <c r="K12" i="45"/>
  <c r="K10" i="45"/>
  <c r="K17" i="45"/>
  <c r="K15" i="45"/>
  <c r="K13" i="45"/>
  <c r="K11" i="45"/>
  <c r="F15" i="90"/>
  <c r="F14" i="90"/>
  <c r="M9" i="45" l="1" a="1"/>
  <c r="M9" i="45" s="1"/>
  <c r="M12" i="45"/>
  <c r="N11" i="45"/>
  <c r="N16" i="45"/>
  <c r="N14" i="45"/>
  <c r="O13" i="45"/>
  <c r="J15" i="14"/>
  <c r="J16" i="14"/>
  <c r="J17" i="14"/>
  <c r="J18" i="14"/>
  <c r="J19" i="14"/>
  <c r="J20" i="14"/>
  <c r="J21" i="14"/>
  <c r="J14" i="14"/>
  <c r="I15" i="14"/>
  <c r="I16" i="14"/>
  <c r="I17" i="14"/>
  <c r="I18" i="14"/>
  <c r="I19" i="14"/>
  <c r="I20" i="14"/>
  <c r="I21" i="14"/>
  <c r="I14" i="14"/>
  <c r="M11" i="45" l="1"/>
  <c r="O16" i="45"/>
  <c r="N17" i="45"/>
  <c r="O14" i="45"/>
  <c r="M17" i="45"/>
  <c r="N15" i="45"/>
  <c r="N12" i="45"/>
  <c r="O9" i="45"/>
  <c r="O17" i="45"/>
  <c r="M16" i="45"/>
  <c r="N13" i="45"/>
  <c r="O18" i="45"/>
  <c r="M15" i="45"/>
  <c r="O10" i="45"/>
  <c r="O11" i="45"/>
  <c r="M13" i="45"/>
  <c r="N18" i="45"/>
  <c r="N9" i="45"/>
  <c r="N10" i="45"/>
  <c r="O12" i="45"/>
  <c r="M14" i="45"/>
  <c r="M10" i="45"/>
  <c r="O15" i="45"/>
  <c r="M18" i="45"/>
  <c r="E14" i="12"/>
  <c r="I10" i="56" l="1"/>
  <c r="I11" i="56"/>
  <c r="I12" i="56"/>
  <c r="I13" i="56"/>
  <c r="I14" i="56"/>
  <c r="I15" i="56"/>
  <c r="I16" i="56"/>
  <c r="I17" i="56"/>
  <c r="I18" i="56"/>
  <c r="I19" i="56"/>
  <c r="I20" i="56"/>
  <c r="I21" i="56"/>
  <c r="I22" i="56"/>
  <c r="I23" i="56"/>
  <c r="I9" i="56"/>
  <c r="F12" i="46" l="1"/>
  <c r="F11" i="46"/>
  <c r="E12" i="91" l="1"/>
  <c r="E13" i="91" s="1"/>
  <c r="F17" i="90"/>
  <c r="E13" i="89"/>
  <c r="N9" i="87"/>
  <c r="N8" i="87"/>
  <c r="O9" i="86"/>
  <c r="O8" i="86"/>
  <c r="E14" i="86" s="1"/>
  <c r="M9" i="85"/>
  <c r="M8" i="85"/>
  <c r="L9" i="84"/>
  <c r="L8" i="84"/>
  <c r="N8" i="83" a="1"/>
  <c r="N9" i="83" s="1"/>
  <c r="E13" i="82"/>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H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I12" i="63" l="1"/>
  <c r="I13" i="64"/>
  <c r="J12" i="63"/>
  <c r="J13" i="64"/>
  <c r="K12" i="63"/>
  <c r="K13" i="64"/>
  <c r="L12" i="63"/>
  <c r="L13" i="64"/>
  <c r="E14" i="87"/>
  <c r="O8" i="83"/>
  <c r="O9" i="83"/>
  <c r="N8" i="83"/>
  <c r="E15" i="82"/>
  <c r="F15" i="82" s="1"/>
  <c r="E30" i="72"/>
  <c r="E31" i="72" s="1"/>
  <c r="E32" i="72" s="1"/>
  <c r="F20" i="72"/>
  <c r="F28" i="72"/>
  <c r="G28" i="72"/>
  <c r="G16" i="72"/>
  <c r="G20" i="72" s="1"/>
  <c r="E25" i="71"/>
  <c r="E21" i="70"/>
  <c r="I12" i="69"/>
  <c r="H13" i="69"/>
  <c r="I13" i="69" s="1"/>
  <c r="H14" i="69"/>
  <c r="I14" i="69" s="1"/>
  <c r="H13" i="68"/>
  <c r="E18" i="68"/>
  <c r="E20" i="68"/>
  <c r="E16" i="68"/>
  <c r="M15" i="67"/>
  <c r="I12" i="65"/>
  <c r="J12" i="65"/>
  <c r="H12" i="65"/>
  <c r="I13" i="62"/>
  <c r="L13" i="62"/>
  <c r="J13" i="62"/>
  <c r="K13" i="62"/>
  <c r="K30" i="48"/>
  <c r="K29" i="48"/>
  <c r="F24" i="45" a="1"/>
  <c r="F24" i="45" s="1"/>
  <c r="F25" i="45" a="1"/>
  <c r="F25" i="45" s="1"/>
  <c r="F26" i="45" a="1"/>
  <c r="F26" i="45" s="1"/>
  <c r="E18" i="41"/>
  <c r="E19" i="41"/>
  <c r="E10" i="36"/>
  <c r="F14" i="23"/>
  <c r="F13" i="23"/>
  <c r="F12" i="23"/>
  <c r="F11" i="23"/>
  <c r="H12" i="22"/>
  <c r="G12" i="22"/>
  <c r="F12" i="22"/>
  <c r="E12" i="22"/>
  <c r="D12" i="22"/>
  <c r="I11" i="22"/>
  <c r="I10" i="22"/>
  <c r="I9" i="22"/>
  <c r="D9" i="15"/>
  <c r="H15" i="14"/>
  <c r="H16" i="14"/>
  <c r="H17" i="14"/>
  <c r="H18" i="14"/>
  <c r="H19" i="14"/>
  <c r="H20" i="14"/>
  <c r="H21" i="14"/>
  <c r="H14" i="14"/>
  <c r="G15" i="14"/>
  <c r="G16" i="14"/>
  <c r="G17" i="14"/>
  <c r="G18" i="14"/>
  <c r="G19" i="14"/>
  <c r="G20" i="14"/>
  <c r="G21" i="14"/>
  <c r="G14" i="14"/>
  <c r="F13" i="13"/>
  <c r="F14" i="13"/>
  <c r="F15" i="13"/>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G14" i="10"/>
  <c r="G13" i="10"/>
  <c r="G12" i="10"/>
  <c r="G11" i="10"/>
  <c r="J14" i="10" l="1"/>
  <c r="H14" i="10"/>
  <c r="I14" i="10" s="1"/>
  <c r="I12" i="22"/>
  <c r="F15" i="23"/>
  <c r="H11" i="10"/>
  <c r="I11" i="10" s="1"/>
  <c r="H13" i="10"/>
  <c r="I13" i="10" s="1"/>
  <c r="H12" i="10"/>
  <c r="I12" i="10" s="1"/>
  <c r="E16" i="82"/>
  <c r="F16" i="82" s="1"/>
  <c r="G30" i="72"/>
  <c r="G31" i="72" s="1"/>
  <c r="G32" i="72" s="1"/>
  <c r="F30" i="72"/>
  <c r="E20" i="41"/>
  <c r="E21" i="41" s="1"/>
  <c r="E15" i="12"/>
  <c r="J11" i="10" l="1"/>
  <c r="J13" i="10"/>
  <c r="J12" i="10"/>
  <c r="E17" i="82"/>
  <c r="F17" i="82" s="1"/>
  <c r="F31" i="72"/>
  <c r="F32" i="72" s="1"/>
  <c r="E22" i="41"/>
  <c r="D22" i="41" s="1"/>
  <c r="E18" i="82" l="1"/>
  <c r="F18" i="82" s="1"/>
  <c r="E19" i="82" l="1"/>
  <c r="F19" i="82" s="1"/>
  <c r="E20" i="82" l="1"/>
  <c r="F20" i="82" s="1"/>
  <c r="E21" i="82" l="1"/>
  <c r="F21" i="82" s="1"/>
  <c r="E22" i="82" l="1"/>
  <c r="F22" i="8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2F3486-6C5A-4796-A1E1-96263BD4D674}" keepAlive="1" name="Query - Revenues" description="Connection to the 'Revenues' query in the workbook." type="5" refreshedVersion="6" background="1" saveData="1">
    <dbPr connection="Provider=Microsoft.Mashup.OleDb.1;Data Source=$Workbook$;Location=Revenues;Extended Properties=&quot;&quot;" command="SELECT * FROM [Revenu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<sst xmlns="http://schemas.openxmlformats.org/spreadsheetml/2006/main" count="4115" uniqueCount="1332">
  <si>
    <t>Computers</t>
  </si>
  <si>
    <t>Software</t>
  </si>
  <si>
    <t>+</t>
  </si>
  <si>
    <t>=</t>
  </si>
  <si>
    <t>Jansen</t>
  </si>
  <si>
    <t>Pietersen</t>
  </si>
  <si>
    <t>Klaassen</t>
  </si>
  <si>
    <t>Hendriksen</t>
  </si>
  <si>
    <t>Barendsen</t>
  </si>
  <si>
    <t>Boswinkel</t>
  </si>
  <si>
    <t>Deppen</t>
  </si>
  <si>
    <t>Noordebos</t>
  </si>
  <si>
    <t>x</t>
  </si>
  <si>
    <t>y</t>
  </si>
  <si>
    <t>China</t>
  </si>
  <si>
    <t>Nepal</t>
  </si>
  <si>
    <t>Sahara</t>
  </si>
  <si>
    <t>totaal</t>
  </si>
  <si>
    <t>form001</t>
  </si>
  <si>
    <t>form003</t>
  </si>
  <si>
    <t>form004</t>
  </si>
  <si>
    <t>graf001</t>
  </si>
  <si>
    <t>graf002</t>
  </si>
  <si>
    <t>graf003</t>
  </si>
  <si>
    <t>list001</t>
  </si>
  <si>
    <t>list002</t>
  </si>
  <si>
    <t>form005</t>
  </si>
  <si>
    <t>list003</t>
  </si>
  <si>
    <t>list004</t>
  </si>
  <si>
    <t>jan</t>
  </si>
  <si>
    <t>jansen</t>
  </si>
  <si>
    <t>piet</t>
  </si>
  <si>
    <t>pietersen</t>
  </si>
  <si>
    <t>lin</t>
  </si>
  <si>
    <t>linsen</t>
  </si>
  <si>
    <t>phi</t>
  </si>
  <si>
    <t>philips</t>
  </si>
  <si>
    <t>joost</t>
  </si>
  <si>
    <t>joosten</t>
  </si>
  <si>
    <t>wil</t>
  </si>
  <si>
    <t>willemsen</t>
  </si>
  <si>
    <t>ger</t>
  </si>
  <si>
    <t>gerritsen</t>
  </si>
  <si>
    <t>imka</t>
  </si>
  <si>
    <t>marina</t>
  </si>
  <si>
    <t>student</t>
  </si>
  <si>
    <t>martin</t>
  </si>
  <si>
    <t>klaas</t>
  </si>
  <si>
    <t>kees</t>
  </si>
  <si>
    <t>paul</t>
  </si>
  <si>
    <t>peter</t>
  </si>
  <si>
    <t>henk</t>
  </si>
  <si>
    <t>gert</t>
  </si>
  <si>
    <t>rik</t>
  </si>
  <si>
    <t>frank</t>
  </si>
  <si>
    <t>erik</t>
  </si>
  <si>
    <t>bert</t>
  </si>
  <si>
    <t>bruin</t>
  </si>
  <si>
    <t>wit</t>
  </si>
  <si>
    <t>krenten</t>
  </si>
  <si>
    <t>Type</t>
  </si>
  <si>
    <t>Cylinders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</si>
  <si>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</si>
  <si>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</si>
  <si>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</si>
  <si>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</si>
  <si>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</si>
  <si>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</si>
  <si>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</si>
  <si>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</si>
  <si>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</si>
  <si>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</si>
  <si>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</si>
  <si>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</si>
  <si>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</si>
  <si>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</si>
  <si>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</si>
  <si>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</si>
  <si>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</si>
  <si>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</si>
  <si>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</si>
  <si>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</si>
  <si>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</si>
  <si>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</si>
  <si>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</si>
  <si>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</si>
  <si>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</si>
  <si>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</si>
  <si>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</si>
  <si>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</si>
  <si>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</si>
  <si>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</si>
  <si>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</si>
  <si>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</si>
  <si>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</si>
  <si>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</si>
  <si>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</si>
  <si>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</si>
  <si>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</si>
  <si>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</si>
  <si>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</si>
  <si>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</si>
  <si>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</si>
  <si>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</si>
  <si>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</si>
  <si>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</si>
  <si>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</si>
  <si>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</si>
  <si>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</si>
  <si>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</si>
  <si>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</si>
  <si>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</si>
  <si>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</si>
  <si>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</si>
  <si>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</si>
  <si>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</si>
  <si>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</si>
  <si>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</si>
  <si>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</si>
  <si>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</si>
  <si>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</si>
  <si>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</si>
  <si>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</si>
  <si>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</si>
  <si>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</si>
  <si>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</si>
  <si>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</si>
  <si>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</si>
  <si>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</si>
  <si>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</si>
  <si>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</si>
  <si>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</si>
  <si>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</si>
  <si>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</si>
  <si>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</si>
  <si>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</si>
  <si>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</si>
  <si>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</si>
  <si>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</si>
  <si>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</si>
  <si>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</si>
  <si>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</si>
  <si>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</si>
  <si>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</si>
  <si>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</si>
  <si>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</si>
  <si>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</si>
  <si>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</si>
  <si>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</si>
  <si>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</si>
  <si>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</si>
  <si>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</si>
  <si>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</si>
  <si>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</si>
  <si>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</si>
  <si>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</si>
  <si>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</si>
  <si>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</si>
  <si>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</si>
  <si>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</si>
  <si>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</si>
  <si>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</si>
  <si>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</si>
  <si>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</si>
  <si>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</si>
  <si>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</si>
  <si>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</si>
  <si>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</si>
  <si>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</si>
  <si>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</si>
  <si>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</si>
  <si>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</si>
  <si>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</si>
  <si>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</si>
  <si>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</si>
  <si>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</si>
  <si>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</si>
  <si>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</si>
  <si>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</si>
  <si>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</si>
  <si>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</si>
  <si>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</si>
  <si>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</si>
  <si>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</si>
  <si>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</si>
  <si>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</si>
  <si>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</si>
  <si>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</si>
  <si>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</si>
  <si>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</si>
  <si>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</si>
  <si>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</si>
  <si>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</si>
  <si>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</si>
  <si>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</si>
  <si>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</si>
  <si>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</si>
  <si>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</si>
  <si>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</si>
  <si>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</si>
  <si>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</si>
  <si>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</si>
  <si>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</si>
  <si>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</si>
  <si>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</si>
  <si>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</si>
  <si>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</si>
  <si>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</si>
  <si>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</si>
  <si>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</si>
  <si>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</si>
  <si>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</si>
  <si>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</si>
  <si>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</si>
  <si>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</si>
  <si>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</si>
  <si>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</si>
  <si>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</si>
  <si>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</si>
  <si>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</si>
  <si>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</si>
  <si>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</si>
  <si>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</si>
  <si>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</si>
  <si>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</si>
  <si>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</si>
  <si>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</si>
  <si>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</si>
  <si>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</si>
  <si>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</si>
  <si>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</si>
  <si>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</si>
  <si>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</si>
  <si>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</si>
  <si>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</si>
  <si>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</si>
  <si>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</si>
  <si>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</si>
  <si>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</si>
  <si>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</si>
  <si>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</si>
  <si>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</si>
  <si>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</si>
  <si>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</si>
  <si>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</si>
  <si>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graf004</t>
  </si>
  <si>
    <t>graf005</t>
  </si>
  <si>
    <t>form006</t>
  </si>
  <si>
    <t>Doelzoeken</t>
  </si>
  <si>
    <t>Freelancer</t>
  </si>
  <si>
    <t>Persnr</t>
  </si>
  <si>
    <t>Jong de</t>
  </si>
  <si>
    <t>Klaas</t>
  </si>
  <si>
    <t>Assist. accountant</t>
  </si>
  <si>
    <t>Accounting</t>
  </si>
  <si>
    <t>Peters</t>
  </si>
  <si>
    <t>Robin</t>
  </si>
  <si>
    <t>Printers</t>
  </si>
  <si>
    <t>Kerstholt</t>
  </si>
  <si>
    <t>Tonia</t>
  </si>
  <si>
    <t>Bosma</t>
  </si>
  <si>
    <t>Peter</t>
  </si>
  <si>
    <t>Nieborg</t>
  </si>
  <si>
    <t>Judith</t>
  </si>
  <si>
    <t>Marketing</t>
  </si>
  <si>
    <t>Dantuma</t>
  </si>
  <si>
    <t>Desiree</t>
  </si>
  <si>
    <t>Accountant</t>
  </si>
  <si>
    <t>Mulder</t>
  </si>
  <si>
    <t>Elsbeth</t>
  </si>
  <si>
    <t>Schutter</t>
  </si>
  <si>
    <t>Aletta</t>
  </si>
  <si>
    <t>Essen van</t>
  </si>
  <si>
    <t>Bert</t>
  </si>
  <si>
    <t>Geerling</t>
  </si>
  <si>
    <t>Rob</t>
  </si>
  <si>
    <t>Damhof</t>
  </si>
  <si>
    <t>Michael</t>
  </si>
  <si>
    <t>Al-Sabah</t>
  </si>
  <si>
    <t>Daoud</t>
  </si>
  <si>
    <t>Willekes</t>
  </si>
  <si>
    <t>Sara</t>
  </si>
  <si>
    <t>Molenaar</t>
  </si>
  <si>
    <t>Janet</t>
  </si>
  <si>
    <t>Algra</t>
  </si>
  <si>
    <t>Erik</t>
  </si>
  <si>
    <t>Zandstra</t>
  </si>
  <si>
    <t>Aaron</t>
  </si>
  <si>
    <t>Stroo</t>
  </si>
  <si>
    <t>Heleen</t>
  </si>
  <si>
    <t>Sauter</t>
  </si>
  <si>
    <t>Karel</t>
  </si>
  <si>
    <t>Vosman</t>
  </si>
  <si>
    <t>Overmars</t>
  </si>
  <si>
    <t>Willlem</t>
  </si>
  <si>
    <t>Smit</t>
  </si>
  <si>
    <t>Howard</t>
  </si>
  <si>
    <t>Eikelenboom</t>
  </si>
  <si>
    <t>Mirjam</t>
  </si>
  <si>
    <t>Kellerman</t>
  </si>
  <si>
    <t>Tommie</t>
  </si>
  <si>
    <t>Roelfsema</t>
  </si>
  <si>
    <t>Jan</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</si>
  <si>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</si>
  <si>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</si>
  <si>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</si>
  <si>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</si>
  <si>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</si>
  <si>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</si>
  <si>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</si>
  <si>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</si>
  <si>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</si>
  <si>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</si>
  <si>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</si>
  <si>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</si>
  <si>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</si>
  <si>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</si>
  <si>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</si>
  <si>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</si>
  <si>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</si>
  <si>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</si>
  <si>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</si>
  <si>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</si>
  <si>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</si>
  <si>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</si>
  <si>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</si>
  <si>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</si>
  <si>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</si>
  <si>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</si>
  <si>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</si>
  <si>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</si>
  <si>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</si>
  <si>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</si>
  <si>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</si>
  <si>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</si>
  <si>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</si>
  <si>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</si>
  <si>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</si>
  <si>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</si>
  <si>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</si>
  <si>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</si>
  <si>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</si>
  <si>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</si>
  <si>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</si>
  <si>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</si>
  <si>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</si>
  <si>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</si>
  <si>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</si>
  <si>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Vergeer</t>
  </si>
  <si>
    <t>Maria</t>
  </si>
  <si>
    <t>Ellen</t>
  </si>
  <si>
    <t>Schaafsma</t>
  </si>
  <si>
    <t>Toine</t>
  </si>
  <si>
    <t>Kanis</t>
  </si>
  <si>
    <t>Nico</t>
  </si>
  <si>
    <t>Wegenbree</t>
  </si>
  <si>
    <t>Roos</t>
  </si>
  <si>
    <t>Bel</t>
  </si>
  <si>
    <t>Tom</t>
  </si>
  <si>
    <t>Ruiter</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</si>
  <si>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</si>
  <si>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</si>
  <si>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</si>
  <si>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</si>
  <si>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</si>
  <si>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</si>
  <si>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</si>
  <si>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</si>
  <si>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</si>
  <si>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</si>
  <si>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</si>
  <si>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</si>
  <si>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</si>
  <si>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</si>
  <si>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</si>
  <si>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</si>
  <si>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</si>
  <si>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</si>
  <si>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</si>
  <si>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Burger</t>
  </si>
  <si>
    <t>Dave</t>
  </si>
  <si>
    <t>Thiecke</t>
  </si>
  <si>
    <t>Herman</t>
  </si>
  <si>
    <t>Riksten</t>
  </si>
  <si>
    <t>Janette</t>
  </si>
  <si>
    <t>Barbara</t>
  </si>
  <si>
    <t>Piet</t>
  </si>
  <si>
    <t>Kleine</t>
  </si>
  <si>
    <t>Bob</t>
  </si>
  <si>
    <t>Nelson</t>
  </si>
  <si>
    <t>Maris</t>
  </si>
  <si>
    <t>Ellis</t>
  </si>
  <si>
    <t>Westra</t>
  </si>
  <si>
    <t>Sam</t>
  </si>
  <si>
    <t>Renkema</t>
  </si>
  <si>
    <t>Wouter</t>
  </si>
  <si>
    <t>Ridderbos</t>
  </si>
  <si>
    <t>Lise-Anne</t>
  </si>
  <si>
    <t>Bankler</t>
  </si>
  <si>
    <t>Rowena</t>
  </si>
  <si>
    <t>Huisman</t>
  </si>
  <si>
    <t>Hester</t>
  </si>
  <si>
    <t>Mortel</t>
  </si>
  <si>
    <t>Steen</t>
  </si>
  <si>
    <t>Cindy</t>
  </si>
  <si>
    <t>Marinez</t>
  </si>
  <si>
    <t>Gustavo</t>
  </si>
  <si>
    <t>Fijn</t>
  </si>
  <si>
    <t>Caroline</t>
  </si>
  <si>
    <t>Bartels</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</si>
  <si>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</si>
  <si>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</si>
  <si>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</si>
  <si>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</si>
  <si>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</si>
  <si>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</si>
  <si>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</si>
  <si>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</si>
  <si>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</si>
  <si>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</si>
  <si>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</si>
  <si>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</si>
  <si>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</si>
  <si>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</si>
  <si>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</si>
  <si>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</si>
  <si>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</si>
  <si>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</si>
  <si>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</si>
  <si>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</si>
  <si>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</si>
  <si>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</si>
  <si>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</si>
  <si>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</si>
  <si>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</si>
  <si>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</si>
  <si>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</si>
  <si>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</si>
  <si>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</si>
  <si>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</si>
  <si>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</si>
  <si>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</si>
  <si>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</si>
  <si>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</si>
  <si>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Smidt</t>
  </si>
  <si>
    <t>Rik</t>
  </si>
  <si>
    <t>Wolthuis</t>
  </si>
  <si>
    <t>Carla</t>
  </si>
  <si>
    <t>Kortlandt</t>
  </si>
  <si>
    <t>West</t>
  </si>
  <si>
    <t>Mien</t>
  </si>
  <si>
    <t>Helpman</t>
  </si>
  <si>
    <t>Grootte</t>
  </si>
  <si>
    <t>Kanon</t>
  </si>
  <si>
    <t>Susan</t>
  </si>
  <si>
    <t>Wolf</t>
  </si>
  <si>
    <t>Hilda</t>
  </si>
  <si>
    <t>Hulzenbos</t>
  </si>
  <si>
    <t>Johan</t>
  </si>
  <si>
    <t>Marja</t>
  </si>
  <si>
    <t>Ottevanger</t>
  </si>
  <si>
    <t>Lourens</t>
  </si>
  <si>
    <t>pivo001</t>
  </si>
  <si>
    <t>goal001</t>
  </si>
  <si>
    <t>pivo002</t>
  </si>
  <si>
    <t>Oplosser</t>
  </si>
  <si>
    <t>scen001</t>
  </si>
  <si>
    <t>Per doos</t>
  </si>
  <si>
    <t>bonbon</t>
  </si>
  <si>
    <t>constraints</t>
  </si>
  <si>
    <t>&gt;=</t>
  </si>
  <si>
    <t>&lt;=</t>
  </si>
  <si>
    <t>solv001</t>
  </si>
  <si>
    <t>1950</t>
  </si>
  <si>
    <t>1960</t>
  </si>
  <si>
    <t>1970</t>
  </si>
  <si>
    <t>1980</t>
  </si>
  <si>
    <t>1990</t>
  </si>
  <si>
    <t>2000</t>
  </si>
  <si>
    <t>2010</t>
  </si>
  <si>
    <t>District</t>
  </si>
  <si>
    <t>Gas</t>
  </si>
  <si>
    <t>Water</t>
  </si>
  <si>
    <t>Artnr</t>
  </si>
  <si>
    <t>Canon Pixma IP4850</t>
  </si>
  <si>
    <t>Epson Stylus Photo 1400</t>
  </si>
  <si>
    <t>Canon Pixma IX4000</t>
  </si>
  <si>
    <t>HP OfficeJet H470wbt</t>
  </si>
  <si>
    <t>HP DeskJet 3000</t>
  </si>
  <si>
    <t>Canon Pixma IP2700</t>
  </si>
  <si>
    <t>HP LaserJet P1102</t>
  </si>
  <si>
    <t>Artnr:</t>
  </si>
  <si>
    <t>goal002</t>
  </si>
  <si>
    <t>goal003</t>
  </si>
  <si>
    <t>Q</t>
  </si>
  <si>
    <t>pivo003</t>
  </si>
  <si>
    <t>pivo004</t>
  </si>
  <si>
    <t>pivo005</t>
  </si>
  <si>
    <t>1X</t>
  </si>
  <si>
    <t>femke</t>
  </si>
  <si>
    <t>ingrid</t>
  </si>
  <si>
    <t>marc</t>
  </si>
  <si>
    <t>m</t>
  </si>
  <si>
    <t>yvonne</t>
  </si>
  <si>
    <t>ilse</t>
  </si>
  <si>
    <t>1Y</t>
  </si>
  <si>
    <t>angela</t>
  </si>
  <si>
    <t>bob</t>
  </si>
  <si>
    <t>elisa</t>
  </si>
  <si>
    <t>harald</t>
  </si>
  <si>
    <t>robert</t>
  </si>
  <si>
    <t>klazen</t>
  </si>
  <si>
    <t>hengen</t>
  </si>
  <si>
    <t>pivo006</t>
  </si>
  <si>
    <t>pivo007</t>
  </si>
  <si>
    <t>pivo008</t>
  </si>
  <si>
    <t>arjen</t>
  </si>
  <si>
    <t>mischa</t>
  </si>
  <si>
    <t>diederik</t>
  </si>
  <si>
    <t>johan</t>
  </si>
  <si>
    <t>michiel</t>
  </si>
  <si>
    <t xml:space="preserve">job </t>
  </si>
  <si>
    <t>rob</t>
  </si>
  <si>
    <t>ineke</t>
  </si>
  <si>
    <t>gert jan</t>
  </si>
  <si>
    <t>friso</t>
  </si>
  <si>
    <t>sindy</t>
  </si>
  <si>
    <t>tim</t>
  </si>
  <si>
    <t>mark</t>
  </si>
  <si>
    <t>patrick</t>
  </si>
  <si>
    <t>April</t>
  </si>
  <si>
    <t>pivo009</t>
  </si>
  <si>
    <t>pivo010</t>
  </si>
  <si>
    <t>pivo011</t>
  </si>
  <si>
    <t>pivo012</t>
  </si>
  <si>
    <t>hobby</t>
  </si>
  <si>
    <t>M</t>
  </si>
  <si>
    <t>Moddergat</t>
  </si>
  <si>
    <t>Oeteldonk</t>
  </si>
  <si>
    <t>Els</t>
  </si>
  <si>
    <t>Fred</t>
  </si>
  <si>
    <t>Knollenlaand</t>
  </si>
  <si>
    <t>Luc</t>
  </si>
  <si>
    <t>Mariska</t>
  </si>
  <si>
    <t>Pieter</t>
  </si>
  <si>
    <t>Boeskoolstad</t>
  </si>
  <si>
    <t>tennis</t>
  </si>
  <si>
    <t>Greet</t>
  </si>
  <si>
    <t>Vera</t>
  </si>
  <si>
    <t>Mathijs</t>
  </si>
  <si>
    <t>Ronnie</t>
  </si>
  <si>
    <t>Elke</t>
  </si>
  <si>
    <t>Sofie</t>
  </si>
  <si>
    <t>Jan-Peter</t>
  </si>
  <si>
    <t>Killegat</t>
  </si>
  <si>
    <t>A</t>
  </si>
  <si>
    <t>B</t>
  </si>
  <si>
    <t>C</t>
  </si>
  <si>
    <t>model</t>
  </si>
  <si>
    <t>Runner</t>
  </si>
  <si>
    <t>Lady T</t>
  </si>
  <si>
    <t>Super A</t>
  </si>
  <si>
    <t>per week</t>
  </si>
  <si>
    <t>Per week</t>
  </si>
  <si>
    <t>solv002</t>
  </si>
  <si>
    <t>solv003</t>
  </si>
  <si>
    <t>type 1</t>
  </si>
  <si>
    <t>type 2</t>
  </si>
  <si>
    <t>type 3</t>
  </si>
  <si>
    <t>solv004</t>
  </si>
  <si>
    <t>per periode</t>
  </si>
  <si>
    <t>Per kg</t>
  </si>
  <si>
    <t>Vit. A
(mg)</t>
  </si>
  <si>
    <t>Vit. B
(mg)</t>
  </si>
  <si>
    <t>Vit. C
(mg)</t>
  </si>
  <si>
    <t>Per tablet</t>
  </si>
  <si>
    <t>solv005</t>
  </si>
  <si>
    <t>solv006</t>
  </si>
  <si>
    <t>solv007</t>
  </si>
  <si>
    <t>Coevorden</t>
  </si>
  <si>
    <t>Venlo</t>
  </si>
  <si>
    <t>Woerden</t>
  </si>
  <si>
    <t>Amersfoort</t>
  </si>
  <si>
    <t>Eindhoven</t>
  </si>
  <si>
    <t>Enschede</t>
  </si>
  <si>
    <t>Lelystad</t>
  </si>
  <si>
    <t>Tiel</t>
  </si>
  <si>
    <t>Zwolle</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</si>
  <si>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</si>
  <si>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</si>
  <si>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</si>
  <si>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</si>
  <si>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</si>
  <si>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solv008</t>
  </si>
  <si>
    <t>solv009</t>
  </si>
  <si>
    <t>solv010</t>
  </si>
  <si>
    <t>XXX</t>
  </si>
  <si>
    <t>YYY</t>
  </si>
  <si>
    <t>ZZZ</t>
  </si>
  <si>
    <t>scen002</t>
  </si>
  <si>
    <t>scenario</t>
  </si>
  <si>
    <t>Hardware</t>
  </si>
  <si>
    <t>Consultancy</t>
  </si>
  <si>
    <t>scen003</t>
  </si>
  <si>
    <t>scen004</t>
  </si>
  <si>
    <t>niveau</t>
  </si>
  <si>
    <t>Formule</t>
  </si>
  <si>
    <t>Draaitabel</t>
  </si>
  <si>
    <t>Grafiek</t>
  </si>
  <si>
    <t>Lijst</t>
  </si>
  <si>
    <t>Scenario</t>
  </si>
  <si>
    <t>Macro</t>
  </si>
  <si>
    <t>macr001</t>
  </si>
  <si>
    <t>macr002</t>
  </si>
  <si>
    <t>macr003</t>
  </si>
  <si>
    <t>macr004</t>
  </si>
  <si>
    <t>goal004</t>
  </si>
  <si>
    <t>matr001</t>
  </si>
  <si>
    <t>matr002</t>
  </si>
  <si>
    <r>
      <t>Temp (</t>
    </r>
    <r>
      <rPr>
        <vertAlign val="superscript"/>
        <sz val="10"/>
        <color theme="1"/>
        <rFont val="Tahoma"/>
        <family val="2"/>
      </rPr>
      <t>o</t>
    </r>
    <r>
      <rPr>
        <sz val="10"/>
        <color theme="1"/>
        <rFont val="Tahoma"/>
        <family val="2"/>
      </rPr>
      <t>C)</t>
    </r>
  </si>
  <si>
    <t>Voorspelling</t>
  </si>
  <si>
    <t>meas001</t>
  </si>
  <si>
    <t>meas002</t>
  </si>
  <si>
    <t>meas003</t>
  </si>
  <si>
    <t>meas004</t>
  </si>
  <si>
    <t>form002</t>
  </si>
  <si>
    <t>1985</t>
  </si>
  <si>
    <t>1986</t>
  </si>
  <si>
    <t>1987</t>
  </si>
  <si>
    <t>1988</t>
  </si>
  <si>
    <t>1989</t>
  </si>
  <si>
    <t>1991</t>
  </si>
  <si>
    <t>1992</t>
  </si>
  <si>
    <t>1993</t>
  </si>
  <si>
    <t>1994</t>
  </si>
  <si>
    <t>1995</t>
  </si>
  <si>
    <t>graf006</t>
  </si>
  <si>
    <t>form007</t>
  </si>
  <si>
    <t>form008</t>
  </si>
  <si>
    <t>form009</t>
  </si>
  <si>
    <t>sec</t>
  </si>
  <si>
    <t>cal</t>
  </si>
  <si>
    <t>form010</t>
  </si>
  <si>
    <t>Result</t>
  </si>
  <si>
    <t>Input</t>
  </si>
  <si>
    <t>Annual interest rate</t>
  </si>
  <si>
    <t>Number of monthly payments</t>
  </si>
  <si>
    <t>Borrowed amount</t>
  </si>
  <si>
    <t>Payment at the beginning of the period</t>
  </si>
  <si>
    <t>break-even determination</t>
  </si>
  <si>
    <t>point 1</t>
  </si>
  <si>
    <t>point 2</t>
  </si>
  <si>
    <t>Year</t>
  </si>
  <si>
    <t>Value</t>
  </si>
  <si>
    <t>Interest/Year</t>
  </si>
  <si>
    <t>Interest</t>
  </si>
  <si>
    <t>Deposit</t>
  </si>
  <si>
    <t>TC</t>
  </si>
  <si>
    <t>TR</t>
  </si>
  <si>
    <t>TR-TC</t>
  </si>
  <si>
    <t>First name</t>
  </si>
  <si>
    <t>Last name</t>
  </si>
  <si>
    <t>Function</t>
  </si>
  <si>
    <t>Department</t>
  </si>
  <si>
    <t>Division</t>
  </si>
  <si>
    <t>Salary</t>
  </si>
  <si>
    <t>Start date</t>
  </si>
  <si>
    <t>Grand Total</t>
  </si>
  <si>
    <t>Average of Salary</t>
  </si>
  <si>
    <t>(All)</t>
  </si>
  <si>
    <t>Sum of Salary</t>
  </si>
  <si>
    <t>Month</t>
  </si>
  <si>
    <t>Region</t>
  </si>
  <si>
    <t>Salesman</t>
  </si>
  <si>
    <t>Sales</t>
  </si>
  <si>
    <t>Expenses</t>
  </si>
  <si>
    <t>Commission</t>
  </si>
  <si>
    <t>Sum of Sales</t>
  </si>
  <si>
    <t>Sum of Expenses</t>
  </si>
  <si>
    <t>Total Sum of Sales</t>
  </si>
  <si>
    <t>Total Sum of Expenses</t>
  </si>
  <si>
    <t>Sum of Commission</t>
  </si>
  <si>
    <t>Total Sum of Commission</t>
  </si>
  <si>
    <t>Januar</t>
  </si>
  <si>
    <t>North</t>
  </si>
  <si>
    <t>Februar</t>
  </si>
  <si>
    <t>East</t>
  </si>
  <si>
    <t>March</t>
  </si>
  <si>
    <t>South</t>
  </si>
  <si>
    <t>f</t>
  </si>
  <si>
    <t>class</t>
  </si>
  <si>
    <t>name</t>
  </si>
  <si>
    <t>it</t>
  </si>
  <si>
    <t>Average of it</t>
  </si>
  <si>
    <t>First Name</t>
  </si>
  <si>
    <t>Last Name</t>
  </si>
  <si>
    <t>menswear</t>
  </si>
  <si>
    <t>ladieswear</t>
  </si>
  <si>
    <t>age</t>
  </si>
  <si>
    <t>yes/no</t>
  </si>
  <si>
    <t>no</t>
  </si>
  <si>
    <t>yes</t>
  </si>
  <si>
    <t>ref.nr.</t>
  </si>
  <si>
    <t>middle</t>
  </si>
  <si>
    <t>young</t>
  </si>
  <si>
    <t>old</t>
  </si>
  <si>
    <t>Count of yes/no</t>
  </si>
  <si>
    <t>years study</t>
  </si>
  <si>
    <t>value</t>
  </si>
  <si>
    <t>Average of value</t>
  </si>
  <si>
    <t>resident</t>
  </si>
  <si>
    <t>car</t>
  </si>
  <si>
    <t>distance</t>
  </si>
  <si>
    <t>time car</t>
  </si>
  <si>
    <t>time bus</t>
  </si>
  <si>
    <t>distance
&gt; 15</t>
  </si>
  <si>
    <t>Average of time car</t>
  </si>
  <si>
    <t>Product</t>
  </si>
  <si>
    <t>Yield</t>
  </si>
  <si>
    <t>Brazilian coffee</t>
  </si>
  <si>
    <t>January</t>
  </si>
  <si>
    <t>February</t>
  </si>
  <si>
    <t>May</t>
  </si>
  <si>
    <t>June</t>
  </si>
  <si>
    <t>Turkish coffee</t>
  </si>
  <si>
    <t>French coffee</t>
  </si>
  <si>
    <t>Sum of Yield</t>
  </si>
  <si>
    <t>Frequency</t>
  </si>
  <si>
    <t>Brand</t>
  </si>
  <si>
    <t>Top Speed</t>
  </si>
  <si>
    <t>Fuel</t>
  </si>
  <si>
    <t>Consumption</t>
  </si>
  <si>
    <t>Price</t>
  </si>
  <si>
    <t>Ordinary</t>
  </si>
  <si>
    <t>Super</t>
  </si>
  <si>
    <t>Diesel</t>
  </si>
  <si>
    <t>Max of Consumption</t>
  </si>
  <si>
    <t>Min of Consumption</t>
  </si>
  <si>
    <t>registration date</t>
  </si>
  <si>
    <t>domicile</t>
  </si>
  <si>
    <t>music</t>
  </si>
  <si>
    <t>movie</t>
  </si>
  <si>
    <t>F</t>
  </si>
  <si>
    <t>cycling</t>
  </si>
  <si>
    <t>gender</t>
  </si>
  <si>
    <t>Number of members</t>
  </si>
  <si>
    <t>Number of members by domicile and by gender:</t>
  </si>
  <si>
    <t>Percentage of members by hobby and by gender</t>
  </si>
  <si>
    <t>reading</t>
  </si>
  <si>
    <t>Presence in 2010 by gender</t>
  </si>
  <si>
    <t>20-29</t>
  </si>
  <si>
    <t>30-39</t>
  </si>
  <si>
    <t>40-49</t>
  </si>
  <si>
    <t>Percentage members</t>
  </si>
  <si>
    <t>Number of meetings</t>
  </si>
  <si>
    <t>target</t>
  </si>
  <si>
    <t>Consulting</t>
  </si>
  <si>
    <t>Repair</t>
  </si>
  <si>
    <t>product group</t>
  </si>
  <si>
    <t>costs</t>
  </si>
  <si>
    <t>revenues</t>
  </si>
  <si>
    <t>gross profit</t>
  </si>
  <si>
    <t>margin realized</t>
  </si>
  <si>
    <t>result</t>
  </si>
  <si>
    <t>Entry</t>
  </si>
  <si>
    <t>Search result</t>
  </si>
  <si>
    <t>Name:</t>
  </si>
  <si>
    <t>Price:</t>
  </si>
  <si>
    <t>Name</t>
  </si>
  <si>
    <t>Input:</t>
  </si>
  <si>
    <t>Output:</t>
  </si>
  <si>
    <t>date of birth</t>
  </si>
  <si>
    <t>pension age</t>
  </si>
  <si>
    <t>pension date</t>
  </si>
  <si>
    <t>current date</t>
  </si>
  <si>
    <t>number of days until pension</t>
  </si>
  <si>
    <t>sales target</t>
  </si>
  <si>
    <t>commission low</t>
  </si>
  <si>
    <t>commission high</t>
  </si>
  <si>
    <t>salesman</t>
  </si>
  <si>
    <t>sales</t>
  </si>
  <si>
    <t>commission</t>
  </si>
  <si>
    <t>Mother - Child Center East</t>
  </si>
  <si>
    <t>Overview Births</t>
  </si>
  <si>
    <t>Report date:</t>
  </si>
  <si>
    <t>Expected</t>
  </si>
  <si>
    <t>On time</t>
  </si>
  <si>
    <t>Birthday</t>
  </si>
  <si>
    <t>Overdue</t>
  </si>
  <si>
    <t>Days
too early</t>
  </si>
  <si>
    <t>Days
too late</t>
  </si>
  <si>
    <t>Input amounts</t>
  </si>
  <si>
    <t>Sales (excl. VAT)</t>
  </si>
  <si>
    <t>VAT paid by purchasing</t>
  </si>
  <si>
    <t>Constants</t>
  </si>
  <si>
    <t>lower threshold</t>
  </si>
  <si>
    <t>upper threshold</t>
  </si>
  <si>
    <t>VAT percentage</t>
  </si>
  <si>
    <t>Calculation</t>
  </si>
  <si>
    <t>VAT to be paid</t>
  </si>
  <si>
    <t>Prepaid VAT</t>
  </si>
  <si>
    <t>VAT initially to be paid</t>
  </si>
  <si>
    <t>Reduction RSE</t>
  </si>
  <si>
    <t>Amount</t>
  </si>
  <si>
    <t>Category</t>
  </si>
  <si>
    <t>Age</t>
  </si>
  <si>
    <t>Ticket price</t>
  </si>
  <si>
    <t>Adults</t>
  </si>
  <si>
    <t>Children (to 12 years)</t>
  </si>
  <si>
    <t>Property Tax</t>
  </si>
  <si>
    <t>rate owner</t>
  </si>
  <si>
    <t>rate user</t>
  </si>
  <si>
    <t>WOZ value property</t>
  </si>
  <si>
    <t>owner?</t>
  </si>
  <si>
    <t>user?</t>
  </si>
  <si>
    <t>Total due:</t>
  </si>
  <si>
    <t>of the WOZ value</t>
  </si>
  <si>
    <t>After 1 year:</t>
  </si>
  <si>
    <t>Interest rate</t>
  </si>
  <si>
    <t>current (i)</t>
  </si>
  <si>
    <t>resistance (r)</t>
  </si>
  <si>
    <t>time (t)</t>
  </si>
  <si>
    <t>heat (Q)</t>
  </si>
  <si>
    <t>ampere</t>
  </si>
  <si>
    <t>ohm</t>
  </si>
  <si>
    <t>Resume</t>
  </si>
  <si>
    <t>Total</t>
  </si>
  <si>
    <t>Electricity</t>
  </si>
  <si>
    <t>Date</t>
  </si>
  <si>
    <t>Egypt</t>
  </si>
  <si>
    <t>total</t>
  </si>
  <si>
    <t>Antarctic</t>
  </si>
  <si>
    <t>Q 1</t>
  </si>
  <si>
    <t>Q 2</t>
  </si>
  <si>
    <t>Q 3</t>
  </si>
  <si>
    <t>Q 4</t>
  </si>
  <si>
    <t>estimated</t>
  </si>
  <si>
    <t>actual</t>
  </si>
  <si>
    <t>difference</t>
  </si>
  <si>
    <t>average</t>
  </si>
  <si>
    <t>Sales figures</t>
  </si>
  <si>
    <t>0 to 10 years</t>
  </si>
  <si>
    <t>10 to 20 years</t>
  </si>
  <si>
    <t>20 to 30 years</t>
  </si>
  <si>
    <t>30 to 40 years</t>
  </si>
  <si>
    <t>40 to 50 years</t>
  </si>
  <si>
    <t>50 to 60 years</t>
  </si>
  <si>
    <t>60 to 70 years</t>
  </si>
  <si>
    <t>70 to 80 years</t>
  </si>
  <si>
    <t>80 years or older</t>
  </si>
  <si>
    <t>prod.
time (min)</t>
  </si>
  <si>
    <t>Number
(per ha)</t>
  </si>
  <si>
    <t>first name</t>
  </si>
  <si>
    <t>last name</t>
  </si>
  <si>
    <t>examination</t>
  </si>
  <si>
    <t>re-examination</t>
  </si>
  <si>
    <t>final result</t>
  </si>
  <si>
    <t>Branch North</t>
  </si>
  <si>
    <t>Branch South</t>
  </si>
  <si>
    <t>brown</t>
  </si>
  <si>
    <t>white</t>
  </si>
  <si>
    <t>raisins</t>
  </si>
  <si>
    <t>january</t>
  </si>
  <si>
    <t>march</t>
  </si>
  <si>
    <t>june</t>
  </si>
  <si>
    <t>february</t>
  </si>
  <si>
    <t>Profit margin</t>
  </si>
  <si>
    <t>VAT</t>
  </si>
  <si>
    <t>Purchasing price
(excl. BTW)</t>
  </si>
  <si>
    <t>Selling price
(incl. VAT)</t>
  </si>
  <si>
    <t>Selling price
(excl. VAT)</t>
  </si>
  <si>
    <t>Margin</t>
  </si>
  <si>
    <t>Receipts</t>
  </si>
  <si>
    <t>Subscriptions</t>
  </si>
  <si>
    <t>Canteen</t>
  </si>
  <si>
    <t>Expenditure</t>
  </si>
  <si>
    <t>Materials</t>
  </si>
  <si>
    <t>Rent</t>
  </si>
  <si>
    <t>Miscellaneous</t>
  </si>
  <si>
    <t>Profit</t>
  </si>
  <si>
    <t>Budget year</t>
  </si>
  <si>
    <t>Wages</t>
  </si>
  <si>
    <t>per hour</t>
  </si>
  <si>
    <t>per unit</t>
  </si>
  <si>
    <t>Rates cost types</t>
  </si>
  <si>
    <t>Material costs</t>
  </si>
  <si>
    <t>Product specifications</t>
  </si>
  <si>
    <t>Product A</t>
  </si>
  <si>
    <t>Product B</t>
  </si>
  <si>
    <t>Product C</t>
  </si>
  <si>
    <t>Hours per unit</t>
  </si>
  <si>
    <t>Materials per unit</t>
  </si>
  <si>
    <t>Price calculation</t>
  </si>
  <si>
    <t>Costs product</t>
  </si>
  <si>
    <t>Selling price</t>
  </si>
  <si>
    <t>Profit per unit</t>
  </si>
  <si>
    <t>Production and profit</t>
  </si>
  <si>
    <t>Number of units</t>
  </si>
  <si>
    <t>Operating profit</t>
  </si>
  <si>
    <t>Total profit per product</t>
  </si>
  <si>
    <t>favorable</t>
  </si>
  <si>
    <t>bad</t>
  </si>
  <si>
    <t>current</t>
  </si>
  <si>
    <t>wages</t>
  </si>
  <si>
    <t>material costs</t>
  </si>
  <si>
    <t>Revenues</t>
  </si>
  <si>
    <t>Expenditures</t>
  </si>
  <si>
    <t>Courses</t>
  </si>
  <si>
    <t>Total Revenues</t>
  </si>
  <si>
    <t>Inflation:</t>
  </si>
  <si>
    <t>Interest:</t>
  </si>
  <si>
    <t>Tax:</t>
  </si>
  <si>
    <t>Inflation</t>
  </si>
  <si>
    <t>Tax</t>
  </si>
  <si>
    <t>Current</t>
  </si>
  <si>
    <t>unfavorable</t>
  </si>
  <si>
    <t>Insurances</t>
  </si>
  <si>
    <t>Depreciations</t>
  </si>
  <si>
    <t>Goods</t>
  </si>
  <si>
    <t>Salaries</t>
  </si>
  <si>
    <t>Profit before tax</t>
  </si>
  <si>
    <t>Profit after tax</t>
  </si>
  <si>
    <t>Growth:</t>
  </si>
  <si>
    <t>Growth</t>
  </si>
  <si>
    <t>Total expenditures</t>
  </si>
  <si>
    <t>area</t>
  </si>
  <si>
    <t>weight</t>
  </si>
  <si>
    <t>profit</t>
  </si>
  <si>
    <t>Per unit</t>
  </si>
  <si>
    <t>Per box</t>
  </si>
  <si>
    <t>number</t>
  </si>
  <si>
    <t>cherry</t>
  </si>
  <si>
    <t>hazelnut</t>
  </si>
  <si>
    <t>tot_costs</t>
  </si>
  <si>
    <t>tot_sales</t>
  </si>
  <si>
    <t>max. investment</t>
  </si>
  <si>
    <t>number
branches</t>
  </si>
  <si>
    <t>Per pair</t>
  </si>
  <si>
    <t>prod. time
(hour)</t>
  </si>
  <si>
    <t>Per ladder</t>
  </si>
  <si>
    <t>Totals</t>
  </si>
  <si>
    <t>finishing</t>
  </si>
  <si>
    <t>assembling</t>
  </si>
  <si>
    <t>sewing</t>
  </si>
  <si>
    <t>maximum capacity:</t>
  </si>
  <si>
    <t>Per bag</t>
  </si>
  <si>
    <t>ordinary</t>
  </si>
  <si>
    <t>special</t>
  </si>
  <si>
    <t>mineral</t>
  </si>
  <si>
    <t>fat</t>
  </si>
  <si>
    <t>protein</t>
  </si>
  <si>
    <t>minimum per periode:</t>
  </si>
  <si>
    <t>Costs</t>
  </si>
  <si>
    <t>number
kg</t>
  </si>
  <si>
    <t>Constraints</t>
  </si>
  <si>
    <t>branch Y</t>
  </si>
  <si>
    <t>branch Z</t>
  </si>
  <si>
    <t>Vit. B
(unit)</t>
  </si>
  <si>
    <t>Vit. C
(unit)</t>
  </si>
  <si>
    <t>Total per day</t>
  </si>
  <si>
    <t>City</t>
  </si>
  <si>
    <t>Number</t>
  </si>
  <si>
    <t>Transport costs:</t>
  </si>
  <si>
    <t>Needed</t>
  </si>
  <si>
    <t>Initial stock:</t>
  </si>
  <si>
    <t>Final stock:</t>
  </si>
  <si>
    <t>Number transported from</t>
  </si>
  <si>
    <t>Total to</t>
  </si>
  <si>
    <t>transport</t>
  </si>
  <si>
    <t>equation 1</t>
  </si>
  <si>
    <t>equation 2</t>
  </si>
  <si>
    <t>equation 3</t>
  </si>
  <si>
    <t>equation 4</t>
  </si>
  <si>
    <t>equation 5</t>
  </si>
  <si>
    <t>coëfficients of x</t>
  </si>
  <si>
    <t>solution</t>
  </si>
  <si>
    <t>value
RHS</t>
  </si>
  <si>
    <t>value
LHS</t>
  </si>
  <si>
    <t>squared
difference</t>
  </si>
  <si>
    <t>sum:</t>
  </si>
  <si>
    <t>Height (cm)</t>
  </si>
  <si>
    <t>Weight (kg)</t>
  </si>
  <si>
    <t>Slope</t>
  </si>
  <si>
    <t>Intercept</t>
  </si>
  <si>
    <t>Study time (hr)</t>
  </si>
  <si>
    <t>Shrink perc.</t>
  </si>
  <si>
    <t>Interception</t>
  </si>
  <si>
    <t>Prediction</t>
  </si>
  <si>
    <t>Resistance (Ohm)</t>
  </si>
  <si>
    <t>own house</t>
  </si>
  <si>
    <t>Count of own house</t>
  </si>
  <si>
    <t>Values</t>
  </si>
  <si>
    <t>Results computer company</t>
  </si>
  <si>
    <t>Lookup article details</t>
  </si>
  <si>
    <t>Calculating with dates</t>
  </si>
  <si>
    <t>Determining commission</t>
  </si>
  <si>
    <t>Birth dates</t>
  </si>
  <si>
    <t>VAT return</t>
  </si>
  <si>
    <t>Property tax</t>
  </si>
  <si>
    <t>Savings deposit</t>
  </si>
  <si>
    <t>Joule's law</t>
  </si>
  <si>
    <t>Loan payment</t>
  </si>
  <si>
    <t>Break-even point</t>
  </si>
  <si>
    <t>Savings amount</t>
  </si>
  <si>
    <t>Third-degree chart</t>
  </si>
  <si>
    <t>Travel bookings</t>
  </si>
  <si>
    <t>Age structure</t>
  </si>
  <si>
    <t>Relationship production - cost</t>
  </si>
  <si>
    <t>Counting agarics</t>
  </si>
  <si>
    <t>Selecting</t>
  </si>
  <si>
    <t>Consolidating examination results</t>
  </si>
  <si>
    <t>Consolidating sales data</t>
  </si>
  <si>
    <t>Filtering overview cars</t>
  </si>
  <si>
    <t>Background color</t>
  </si>
  <si>
    <t>Formatting cell A1</t>
  </si>
  <si>
    <t>Printing gridlines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</si>
  <si>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</si>
  <si>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</si>
  <si>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</si>
  <si>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</si>
  <si>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</si>
  <si>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</si>
  <si>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</si>
  <si>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</si>
  <si>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</si>
  <si>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</si>
  <si>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</si>
  <si>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</si>
  <si>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</si>
  <si>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</si>
  <si>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</si>
  <si>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</si>
  <si>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</si>
  <si>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</si>
  <si>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</si>
  <si>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</si>
  <si>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</si>
  <si>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</si>
  <si>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</si>
  <si>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</si>
  <si>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</si>
  <si>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</si>
  <si>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</si>
  <si>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</si>
  <si>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</si>
  <si>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</si>
  <si>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</si>
  <si>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Code:</t>
  </si>
  <si>
    <t>Code</t>
  </si>
  <si>
    <t>Titel-NL</t>
  </si>
  <si>
    <t>Titel-EN</t>
  </si>
  <si>
    <t>Niveau</t>
  </si>
  <si>
    <t>Cat-NL</t>
  </si>
  <si>
    <t>Cat-EN</t>
  </si>
  <si>
    <t>Resultaten computerbedrijf</t>
  </si>
  <si>
    <t>Formula</t>
  </si>
  <si>
    <t>Artikelgegevens opzoeken</t>
  </si>
  <si>
    <t>Datum rekenen</t>
  </si>
  <si>
    <t>Commissie bepalen</t>
  </si>
  <si>
    <t>BTW aangifte</t>
  </si>
  <si>
    <t>Prijs kaartje</t>
  </si>
  <si>
    <t>OZB belasting</t>
  </si>
  <si>
    <t>Spaardeposito</t>
  </si>
  <si>
    <t>Wet van Joule</t>
  </si>
  <si>
    <t>Goal Seek</t>
  </si>
  <si>
    <t>Betaling lening</t>
  </si>
  <si>
    <t>Break-even bepalen</t>
  </si>
  <si>
    <t>Spaarbedrag</t>
  </si>
  <si>
    <t>Derdegraads grafiek</t>
  </si>
  <si>
    <t>Chart</t>
  </si>
  <si>
    <t>Reizen</t>
  </si>
  <si>
    <t>Verkoopcijfers</t>
  </si>
  <si>
    <t>Leeftijdsopbouw</t>
  </si>
  <si>
    <t>Relatie productietijd-kostprijs</t>
  </si>
  <si>
    <t>Telling vliegenzwammen</t>
  </si>
  <si>
    <t>Selecteren</t>
  </si>
  <si>
    <t>List</t>
  </si>
  <si>
    <t>Tentamencijfers samenvoegen</t>
  </si>
  <si>
    <t>Verkoopgegevens samenvoegen</t>
  </si>
  <si>
    <t>Overzicht auto's filteren</t>
  </si>
  <si>
    <t>Achtergrondkleur</t>
  </si>
  <si>
    <t>Procentuele opmaak</t>
  </si>
  <si>
    <t>Percentage formatting</t>
  </si>
  <si>
    <t>Opmaak cel A1</t>
  </si>
  <si>
    <t>Rasterlijnen afdrukken</t>
  </si>
  <si>
    <t>Matrixoptelling</t>
  </si>
  <si>
    <t>Matrix formule</t>
  </si>
  <si>
    <t>Array formula</t>
  </si>
  <si>
    <t>Aantal storingen per district</t>
  </si>
  <si>
    <t>Lengte en gewicht</t>
  </si>
  <si>
    <t>Data analyse</t>
  </si>
  <si>
    <t>Data analysis</t>
  </si>
  <si>
    <t>Studietijd en tentamencijfer</t>
  </si>
  <si>
    <t>Krimp en temperatuur</t>
  </si>
  <si>
    <t>Weerstand en temperatuur</t>
  </si>
  <si>
    <t>Salaris gemiddeldes</t>
  </si>
  <si>
    <t>Pivot table</t>
  </si>
  <si>
    <t>Salaris totalen</t>
  </si>
  <si>
    <t>Omzet, reiskosten en provisie</t>
  </si>
  <si>
    <t>Gemiddeld cijfer</t>
  </si>
  <si>
    <t>Average rating</t>
  </si>
  <si>
    <t>Frequentieverdeling</t>
  </si>
  <si>
    <t>Kledingverkoop per regio</t>
  </si>
  <si>
    <t>Winkelsluiting</t>
  </si>
  <si>
    <t>Eigen huis en gemiddelde waarde</t>
  </si>
  <si>
    <t>Vervoersonderzoek</t>
  </si>
  <si>
    <t>Opbrengst koffie per regio</t>
  </si>
  <si>
    <t>Kenmerken auto's</t>
  </si>
  <si>
    <t>Hobbyclub</t>
  </si>
  <si>
    <t>Winstmarge en Verkoopprijs</t>
  </si>
  <si>
    <t>Begroting club</t>
  </si>
  <si>
    <t>Scenario's bedrijfswinst</t>
  </si>
  <si>
    <t>Winst computerbedrijf</t>
  </si>
  <si>
    <t>Bonbondoos</t>
  </si>
  <si>
    <t>Solver</t>
  </si>
  <si>
    <t>Aantal supermarkten</t>
  </si>
  <si>
    <t>Hardloopschoenen</t>
  </si>
  <si>
    <t>Productie aluminium ladders</t>
  </si>
  <si>
    <t>Productie hondenvoer</t>
  </si>
  <si>
    <t>Vitamines in veevoer</t>
  </si>
  <si>
    <t>Vitaminetabletten</t>
  </si>
  <si>
    <t>Transportkosten minimaliseren</t>
  </si>
  <si>
    <t>Stelsel vergelijkingen oplossen</t>
  </si>
  <si>
    <t>Spaarbank</t>
  </si>
  <si>
    <t>Title:</t>
  </si>
  <si>
    <t>Category:</t>
  </si>
  <si>
    <t>Level</t>
  </si>
  <si>
    <t>with IF &amp; AND</t>
  </si>
  <si>
    <t>with 2x IF</t>
  </si>
  <si>
    <t>total sales</t>
  </si>
  <si>
    <t>commission percentage</t>
  </si>
  <si>
    <t>commission amount</t>
  </si>
  <si>
    <t>Go to TOC</t>
  </si>
  <si>
    <t>box_area_min</t>
  </si>
  <si>
    <t>box_weight_min</t>
  </si>
  <si>
    <t>box_weight_max</t>
  </si>
  <si>
    <t>number_cherry_min</t>
  </si>
  <si>
    <t>number_hazelnut_min</t>
  </si>
  <si>
    <t>box_number_min</t>
  </si>
  <si>
    <t>prod_time_min</t>
  </si>
  <si>
    <t>investment_min</t>
  </si>
  <si>
    <t>number_Lady_T_min</t>
  </si>
  <si>
    <t>number_Super_A_min</t>
  </si>
  <si>
    <t>number_Runner_min</t>
  </si>
  <si>
    <t>MDR_Vit_B</t>
  </si>
  <si>
    <t>MDR_Vit_A</t>
  </si>
  <si>
    <t>MDR_Vit_C</t>
  </si>
  <si>
    <t>max_type_1</t>
  </si>
  <si>
    <t>max_type_2</t>
  </si>
  <si>
    <t>max_type_3</t>
  </si>
  <si>
    <t>min. requirement (unit/day)</t>
  </si>
  <si>
    <t>Loan type</t>
  </si>
  <si>
    <t>Personal loan</t>
  </si>
  <si>
    <t>First mortgage</t>
  </si>
  <si>
    <t>Second mortgage</t>
  </si>
  <si>
    <t>Car leasing</t>
  </si>
  <si>
    <t>Percentage first mortgage</t>
  </si>
  <si>
    <t>First + second mortgage</t>
  </si>
  <si>
    <t>Personal loan + Car leasing</t>
  </si>
  <si>
    <t>Total investment (x 1000)</t>
  </si>
  <si>
    <t>calculated</t>
  </si>
  <si>
    <t>constraint</t>
  </si>
  <si>
    <t>Investment
(x 1000)</t>
  </si>
  <si>
    <t>Revenues
(x 1000)</t>
  </si>
  <si>
    <t>cost
price
($)</t>
  </si>
  <si>
    <t>Copiers</t>
  </si>
  <si>
    <t>Administrative assistant</t>
  </si>
  <si>
    <t>Design</t>
  </si>
  <si>
    <t>Scanners</t>
  </si>
  <si>
    <t>Software developer</t>
  </si>
  <si>
    <t>Representative</t>
  </si>
  <si>
    <t>Administration</t>
  </si>
  <si>
    <t>Assist. Layout</t>
  </si>
  <si>
    <t>Layout</t>
  </si>
  <si>
    <t>Assist. Technician</t>
  </si>
  <si>
    <t>Product marketeer</t>
  </si>
  <si>
    <t>Researcher</t>
  </si>
  <si>
    <t>R&amp;D</t>
  </si>
  <si>
    <t>Specialist Layout</t>
  </si>
  <si>
    <t>Foreman</t>
  </si>
  <si>
    <t>Technician</t>
  </si>
  <si>
    <t>Machine technician</t>
  </si>
  <si>
    <t>Team manager</t>
  </si>
  <si>
    <t>Senior employee</t>
  </si>
  <si>
    <t>Investigator</t>
  </si>
  <si>
    <t>Office manager</t>
  </si>
  <si>
    <t>costs/branch
(million $)</t>
  </si>
  <si>
    <t>sales/branch
(million $)</t>
  </si>
  <si>
    <t>investment
($)</t>
  </si>
  <si>
    <t>profit
($)</t>
  </si>
  <si>
    <t>form011</t>
  </si>
  <si>
    <t>Investment bond</t>
  </si>
  <si>
    <t>Investering obligatie</t>
  </si>
  <si>
    <t>Huidige Waarde</t>
  </si>
  <si>
    <t>TW</t>
  </si>
  <si>
    <t>Rente</t>
  </si>
  <si>
    <t>Looptijd</t>
  </si>
  <si>
    <t>Revenu from ads</t>
  </si>
  <si>
    <t>week</t>
  </si>
  <si>
    <t>revenue
(x1000 $)</t>
  </si>
  <si>
    <t>degree</t>
  </si>
  <si>
    <t>R-square</t>
  </si>
  <si>
    <t>Sales (x €1000)</t>
  </si>
  <si>
    <t>R2</t>
  </si>
  <si>
    <t>Linear</t>
  </si>
  <si>
    <t>Logarithmic</t>
  </si>
  <si>
    <t>Exponential</t>
  </si>
  <si>
    <t>data001</t>
  </si>
  <si>
    <t>Eenvoudig csv bestand importeren</t>
  </si>
  <si>
    <t>Data</t>
  </si>
  <si>
    <t>Import simple csv file</t>
  </si>
  <si>
    <t>fcast001</t>
  </si>
  <si>
    <t>Inkomsten uit advertenties</t>
  </si>
  <si>
    <t>Prognose</t>
  </si>
  <si>
    <t>Forecasting</t>
  </si>
  <si>
    <t>fcast002</t>
  </si>
  <si>
    <t>Omzet voorspelling</t>
  </si>
  <si>
    <t>Sales forecast</t>
  </si>
  <si>
    <t>Geboortedata</t>
  </si>
  <si>
    <t>form012</t>
  </si>
  <si>
    <t>Vermenigvuldigingstabel</t>
  </si>
  <si>
    <t>Multiplying table</t>
  </si>
  <si>
    <t>form013</t>
  </si>
  <si>
    <t>Prijs olijfolie</t>
  </si>
  <si>
    <t>Price olive oil</t>
  </si>
  <si>
    <t>math001</t>
  </si>
  <si>
    <t>Benadering functie</t>
  </si>
  <si>
    <t>Wiskunde</t>
  </si>
  <si>
    <t>Function approximation</t>
  </si>
  <si>
    <t>Math</t>
  </si>
  <si>
    <t>math002</t>
  </si>
  <si>
    <t>Kortste afstand bepalen</t>
  </si>
  <si>
    <t>Determining shortest distance</t>
  </si>
  <si>
    <t>math003</t>
  </si>
  <si>
    <t>Maximum functie bepalen</t>
  </si>
  <si>
    <t>Maximum of a function</t>
  </si>
  <si>
    <t>math004</t>
  </si>
  <si>
    <t>Verkoopprognoses</t>
  </si>
  <si>
    <t>Sales forecasts</t>
  </si>
  <si>
    <t>stat001</t>
  </si>
  <si>
    <t>Schoenmatenverdeling</t>
  </si>
  <si>
    <t>Statistiek</t>
  </si>
  <si>
    <t>Distribution shoe sizes</t>
  </si>
  <si>
    <t>Statistics</t>
  </si>
  <si>
    <t>stat002</t>
  </si>
  <si>
    <t>Relatie studietijd-cijfer</t>
  </si>
  <si>
    <t>Relationship study time - mark</t>
  </si>
  <si>
    <t>stat003</t>
  </si>
  <si>
    <t>Afzet voorspellen</t>
  </si>
  <si>
    <t>Sales prognoses</t>
  </si>
  <si>
    <t>stat004</t>
  </si>
  <si>
    <t>Servicegraad</t>
  </si>
  <si>
    <t>Service level</t>
  </si>
  <si>
    <t>tabl001</t>
  </si>
  <si>
    <t>Aflossing lening</t>
  </si>
  <si>
    <t>Gegevenstabel</t>
  </si>
  <si>
    <t>Payment loan</t>
  </si>
  <si>
    <t>Data table</t>
  </si>
  <si>
    <t>tabl002</t>
  </si>
  <si>
    <t>Projected sales</t>
  </si>
  <si>
    <t>quantity_limit</t>
  </si>
  <si>
    <t>price_high</t>
  </si>
  <si>
    <t>price_low</t>
  </si>
  <si>
    <t>cans_total</t>
  </si>
  <si>
    <t>price_total</t>
  </si>
  <si>
    <t>Titel:</t>
  </si>
  <si>
    <t>Categorie:</t>
  </si>
  <si>
    <t>Niveau:</t>
  </si>
  <si>
    <t>size</t>
  </si>
  <si>
    <t>probability</t>
  </si>
  <si>
    <t>trekking</t>
  </si>
  <si>
    <t>Verzamelbereik</t>
  </si>
  <si>
    <t>Frequentie</t>
  </si>
  <si>
    <t>Meer</t>
  </si>
  <si>
    <t>gemiddelde</t>
  </si>
  <si>
    <t>mediaan</t>
  </si>
  <si>
    <t>modus</t>
  </si>
  <si>
    <t>variantie</t>
  </si>
  <si>
    <t>standaarddeviatie</t>
  </si>
  <si>
    <t>time (hr)</t>
  </si>
  <si>
    <t>Anton</t>
  </si>
  <si>
    <t>Bep</t>
  </si>
  <si>
    <t>Cees</t>
  </si>
  <si>
    <t>Diana</t>
  </si>
  <si>
    <t>Eddy</t>
  </si>
  <si>
    <t>Femmy</t>
  </si>
  <si>
    <t>Gerard</t>
  </si>
  <si>
    <t>Ineke</t>
  </si>
  <si>
    <t>Janneke</t>
  </si>
  <si>
    <t>Katalin</t>
  </si>
  <si>
    <t>Lennie</t>
  </si>
  <si>
    <t>Martin</t>
  </si>
  <si>
    <t>Penny</t>
  </si>
  <si>
    <t>Statististics</t>
  </si>
  <si>
    <t>Number insufficients</t>
  </si>
  <si>
    <t>average time</t>
  </si>
  <si>
    <t>stand.dev. time</t>
  </si>
  <si>
    <t>average mark</t>
  </si>
  <si>
    <t>stand.dev. mark</t>
  </si>
  <si>
    <t>correlation coefficient</t>
  </si>
  <si>
    <t>Prognoses</t>
  </si>
  <si>
    <t>standdev.</t>
  </si>
  <si>
    <t>Demand</t>
  </si>
  <si>
    <t>Critical stock calculation:</t>
  </si>
  <si>
    <t>z-score</t>
  </si>
  <si>
    <t>stock level</t>
  </si>
  <si>
    <t>amount loan</t>
  </si>
  <si>
    <t>annual interest rate</t>
  </si>
  <si>
    <t>number of months</t>
  </si>
  <si>
    <t>monthly repayment</t>
  </si>
  <si>
    <t>months</t>
  </si>
  <si>
    <t>Sales 2013</t>
  </si>
  <si>
    <t>Growth rate</t>
  </si>
  <si>
    <t>Forecast sales 2014</t>
  </si>
  <si>
    <t>Revenue</t>
  </si>
  <si>
    <t>number of rows</t>
  </si>
  <si>
    <t>number of columns</t>
  </si>
  <si>
    <t>minimu value</t>
  </si>
  <si>
    <t>maximum value</t>
  </si>
  <si>
    <t>start date</t>
  </si>
  <si>
    <t>start time</t>
  </si>
  <si>
    <t>end date</t>
  </si>
  <si>
    <t>end time</t>
  </si>
  <si>
    <t>number of dates</t>
  </si>
  <si>
    <t>number of times</t>
  </si>
  <si>
    <t>Country</t>
  </si>
  <si>
    <t>Gender</t>
  </si>
  <si>
    <t>Belgium</t>
  </si>
  <si>
    <t>Woman</t>
  </si>
  <si>
    <t>Man</t>
  </si>
  <si>
    <t>Luxembourg</t>
  </si>
  <si>
    <t>The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</si>
</sst>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5" formatCode="&quot;$&quot;#,##0_);\(&quot;$&quot;#,##0\)"/>
    <numFmt numFmtId="42" formatCode="_(&quot;$&quot;* #,##0_);_(&quot;$&quot;* \(#,##0\);_(&quot;$&quot;* &quot;-&quot;_);_(@_)"/>
    <numFmt numFmtId="44" formatCode="_(&quot;$&quot;* #,##0.00_);_(&quot;$&quot;* \(#,##0.00\);_(&quot;$&quot;* &quot;-&quot;??_);_(@_)"/>
    <numFmt numFmtId="164" formatCode="&quot;€&quot;\ #,##0.00;[Red]&quot;€&quot;\ \-#,##0.00"/>
    <numFmt numFmtId="165" formatCode="_ &quot;€&quot;\ * #,##0_ ;_ &quot;€&quot;\ * \-#,##0_ ;_ &quot;€&quot;\ * &quot;-&quot;_ ;_ @_ "/>
    <numFmt numFmtId="166" formatCode="_ * #,##0_ ;_ * \-#,##0_ ;_ * &quot;-&quot;_ ;_ @_ "/>
    <numFmt numFmtId="167" formatCode="_ &quot;€&quot;\ * #,##0.00_ ;_ &quot;€&quot;\ * \-#,##0.00_ ;_ &quot;€&quot;\ * &quot;-&quot;??_ ;_ @_ "/>
    <numFmt numFmtId="168" formatCode="_ * #,##0.00_ ;_ * \-#,##0.00_ ;_ * &quot;-&quot;??_ ;_ @_ "/>
    <numFmt numFmtId="169" formatCode="_ &quot;€&quot;\ * #,##0_ ;_ &quot;€&quot;\ * \-#,##0_ ;_ &quot;€&quot;\ * &quot;-&quot;??_ ;_ @_ "/>
    <numFmt numFmtId="170" formatCode="ddd\ dd/m/yyyy"/>
    <numFmt numFmtId="171" formatCode="_ * #,##0_ ;_ * \-#,##0_ ;_ * &quot;-&quot;??_ ;_ @_ "/>
    <numFmt numFmtId="172" formatCode="0.0"/>
    <numFmt numFmtId="173" formatCode="0.000"/>
    <numFmt numFmtId="174" formatCode="0.0000"/>
    <numFmt numFmtId="175" formatCode="0.0%"/>
    <numFmt numFmtId="176" formatCode="dd/mm/yyyy"/>
    <numFmt numFmtId="177" formatCode="_-* #,##0_-;_-* #,##0\-;_-* &quot;-&quot;_-;_-@_-"/>
    <numFmt numFmtId="178" formatCode="_-&quot;fl&quot;\ * #,##0_-;_-&quot;fl&quot;\ * #,##0\-;_-&quot;fl&quot;\ * &quot;-&quot;_-;_-@_-"/>
    <numFmt numFmtId="179" formatCode="0.000000"/>
    <numFmt numFmtId="180" formatCode="_ * #,##0.00000000_ ;_ * \-#,##0.00000000_ ;_ * &quot;-&quot;??_ ;_ @_ "/>
    <numFmt numFmtId="181" formatCode="0.0000%"/>
    <numFmt numFmtId="182" formatCode="[$€-2]\ #,##0_);\([$€-2]\ #,##0\)"/>
    <numFmt numFmtId="183" formatCode="#\ &quot;days&quot;"/>
    <numFmt numFmtId="184" formatCode="_ [$€-413]\ * #,##0_ ;_ [$€-413]\ * \-#,##0_ ;_ [$€-413]\ * &quot;-&quot;??_ ;_ @_ "/>
    <numFmt numFmtId="185" formatCode="mm/dd/yyyy"/>
    <numFmt numFmtId="186" formatCode="_(&quot;$&quot;* #,##0_);_(&quot;$&quot;* \(#,##0\);_(&quot;$&quot;* &quot;-&quot;??_);_(@_)"/>
    <numFmt numFmtId="187" formatCode="&quot;$&quot;#,##0.00"/>
    <numFmt numFmtId="188" formatCode="_([$$-409]* #,##0.00_);_([$$-409]* \(#,##0.00\);_([$$-409]* &quot;-&quot;??_);_(@_)"/>
    <numFmt numFmtId="189" formatCode="_([$$-409]* #,##0_);_([$$-409]* \(#,##0\);_([$$-409]* &quot;-&quot;??_);_(@_)"/>
    <numFmt numFmtId="190" formatCode="&quot;$&quot;#,##0"/>
    <numFmt numFmtId="191" formatCode="&quot;$&quot;#,##0.0"/>
    <numFmt numFmtId="192" formatCode="_-[$$-409]* #,##0.00_ ;_-[$$-409]* \-#,##0.00\ ;_-[$$-409]* &quot;-&quot;??_ ;_-@_ "/>
    <numFmt numFmtId="193" formatCode="[$$-409]#,##0.00_);\([$$-409]#,##0.00\)"/>
    <numFmt numFmtId="195" formatCode="yyyy\-mm\-dd"/>
    <numFmt numFmtId="196" formatCode="hh:mm"/>
  </numFmts>
  <fonts count="36" x14ac:knownFonts="1">
    <font>
      <sz val="10"/>
      <color theme="1"/>
      <name val="Tahoma"/>
      <family val="2"/>
    </font>
    <font>
      <sz val="11"/>
      <color theme="1"/>
      <name val="Calibri"/>
      <family val="2"/>
      <scheme val="minor"/>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sz val="14"/>
      <name val="Cambria"/>
      <family val="2"/>
      <scheme val="major"/>
    </font>
    <font>
      <b/>
      <u/>
      <sz val="8"/>
      <color rgb="FF993366"/>
      <name val="Tahoma"/>
      <family val="2"/>
    </font>
    <font>
      <b/>
      <sz val="8"/>
      <color theme="1"/>
      <name val="Tahoma"/>
      <family val="2"/>
    </font>
    <font>
      <sz val="10"/>
      <name val="Arial"/>
      <family val="2"/>
    </font>
    <font>
      <b/>
      <sz val="10"/>
      <name val="Arial"/>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u/>
      <sz val="10"/>
      <color theme="10"/>
      <name val="Tahoma"/>
      <family val="2"/>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i/>
      <sz val="10"/>
      <color theme="1"/>
      <name val="Tahoma"/>
      <family val="2"/>
    </font>
    <font>
      <sz val="11"/>
      <name val="Calibri"/>
      <family val="2"/>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
      <left/>
      <right/>
      <top style="medium">
        <color indexed="64"/>
      </top>
      <bottom style="thin">
        <color indexed="64"/>
      </bottom>
      <diagonal/>
    </border>
  </borders>
  <cellStyleXfs count="25">
    <xf numFmtId="0" fontId="0" fillId="0" borderId="0"/>
    <xf numFmtId="167" fontId="7" fillId="0" borderId="0" applyFont="0" applyFill="0" applyBorder="0" applyAlignment="0" applyProtection="0"/>
    <xf numFmtId="9" fontId="7" fillId="0" borderId="0" applyFont="0" applyFill="0" applyBorder="0" applyAlignment="0" applyProtection="0"/>
    <xf numFmtId="168" fontId="7" fillId="0" borderId="0" applyFont="0" applyFill="0" applyBorder="0" applyAlignment="0" applyProtection="0"/>
    <xf numFmtId="182" fontId="16" fillId="0" borderId="0" applyFill="0" applyBorder="0">
      <alignment vertical="center"/>
    </xf>
    <xf numFmtId="182" fontId="15" fillId="0" borderId="0" applyFill="0" applyBorder="0">
      <alignment vertical="center"/>
    </xf>
    <xf numFmtId="166" fontId="7" fillId="0" borderId="0" applyFont="0" applyFill="0" applyBorder="0" applyAlignment="0" applyProtection="0"/>
    <xf numFmtId="165" fontId="7" fillId="0" borderId="0" applyFont="0" applyFill="0" applyBorder="0" applyAlignment="0" applyProtection="0"/>
    <xf numFmtId="0" fontId="8" fillId="0" borderId="0">
      <alignment horizontal="left"/>
    </xf>
    <xf numFmtId="0" fontId="29" fillId="0" borderId="0" applyNumberFormat="0" applyFill="0" applyBorder="0" applyAlignment="0" applyProtection="0"/>
    <xf numFmtId="0" fontId="29" fillId="0" borderId="0" applyNumberFormat="0" applyFill="0" applyBorder="0" applyAlignment="0" applyProtection="0">
      <alignment vertical="top"/>
      <protection locked="0"/>
    </xf>
    <xf numFmtId="0" fontId="16" fillId="0" borderId="0" applyFill="0" applyBorder="0">
      <alignment vertical="center"/>
    </xf>
    <xf numFmtId="0" fontId="3" fillId="0" borderId="0"/>
    <xf numFmtId="0" fontId="18" fillId="0" borderId="0"/>
    <xf numFmtId="0" fontId="3" fillId="0" borderId="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0" fontId="2" fillId="0" borderId="0"/>
    <xf numFmtId="193" fontId="8" fillId="0" borderId="0">
      <alignment horizontal="left"/>
    </xf>
    <xf numFmtId="193" fontId="7" fillId="0" borderId="0"/>
    <xf numFmtId="193" fontId="16" fillId="0" borderId="0" applyFill="0" applyBorder="0">
      <alignment vertical="center"/>
    </xf>
    <xf numFmtId="167" fontId="7" fillId="0" borderId="0" applyFont="0" applyFill="0" applyBorder="0" applyAlignment="0" applyProtection="0"/>
    <xf numFmtId="0" fontId="1" fillId="0" borderId="0"/>
    <xf numFmtId="0" fontId="35" fillId="0" borderId="0"/>
  </cellStyleXfs>
  <cellXfs count="419">
    <xf numFmtId="0" fontId="0" fillId="0" borderId="0" xfId="0"/>
    <xf numFmtId="0" fontId="8" fillId="0" borderId="0" xfId="0" applyFont="1"/>
    <xf numFmtId="14" fontId="0" fillId="0" borderId="0" xfId="0" applyNumberFormat="1"/>
    <xf numFmtId="0" fontId="0" fillId="0" borderId="0" xfId="0" applyAlignment="1">
      <alignment horizontal="center"/>
    </xf>
    <xf numFmtId="0" fontId="0" fillId="0" borderId="0" xfId="0"/>
    <xf numFmtId="0" fontId="17" fillId="0" borderId="0" xfId="0" applyFont="1"/>
    <xf numFmtId="0" fontId="0" fillId="0" borderId="0" xfId="0" applyAlignment="1">
      <alignment horizontal="center"/>
    </xf>
    <xf numFmtId="172" fontId="0" fillId="0" borderId="0" xfId="0" applyNumberFormat="1"/>
    <xf numFmtId="169" fontId="0" fillId="0" borderId="0" xfId="0" applyNumberFormat="1" applyFont="1"/>
    <xf numFmtId="0" fontId="0" fillId="0" borderId="0" xfId="0"/>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70" fontId="0" fillId="0" borderId="0" xfId="0" applyNumberFormat="1" applyFill="1" applyAlignment="1">
      <alignment horizontal="right"/>
    </xf>
    <xf numFmtId="171" fontId="0" fillId="0" borderId="0" xfId="3" applyNumberFormat="1" applyFont="1" applyFill="1" applyAlignment="1">
      <alignment horizontal="right"/>
    </xf>
    <xf numFmtId="10" fontId="0" fillId="0" borderId="0" xfId="2" applyNumberFormat="1" applyFont="1" applyFill="1"/>
    <xf numFmtId="169" fontId="0" fillId="0" borderId="0" xfId="0" applyNumberFormat="1" applyFont="1" applyFill="1"/>
    <xf numFmtId="0" fontId="8" fillId="0" borderId="0" xfId="0" applyFont="1" applyFill="1"/>
    <xf numFmtId="0" fontId="0" fillId="0" borderId="0" xfId="0" applyFont="1" applyFill="1"/>
    <xf numFmtId="9" fontId="8" fillId="0" borderId="0" xfId="0" applyNumberFormat="1" applyFont="1" applyFill="1"/>
    <xf numFmtId="9" fontId="0" fillId="0" borderId="0" xfId="0" applyNumberFormat="1" applyFill="1"/>
    <xf numFmtId="0" fontId="8" fillId="0" borderId="0" xfId="0" applyFont="1" applyFill="1" applyAlignment="1">
      <alignment wrapText="1"/>
    </xf>
    <xf numFmtId="9" fontId="0" fillId="0" borderId="0" xfId="2" applyFont="1" applyFill="1"/>
    <xf numFmtId="14" fontId="9" fillId="0" borderId="0" xfId="0" applyNumberFormat="1" applyFont="1" applyFill="1"/>
    <xf numFmtId="14" fontId="10" fillId="0" borderId="0" xfId="0" applyNumberFormat="1" applyFont="1" applyFill="1"/>
    <xf numFmtId="0" fontId="13"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0" fontId="0" fillId="0" borderId="0" xfId="0" applyFont="1" applyFill="1"/>
    <xf numFmtId="0" fontId="0" fillId="0" borderId="0" xfId="0" applyFill="1" applyAlignment="1">
      <alignment horizontal="center"/>
    </xf>
    <xf numFmtId="172" fontId="0" fillId="0" borderId="0" xfId="0" applyNumberFormat="1" applyFill="1" applyAlignment="1">
      <alignment horizontal="center"/>
    </xf>
    <xf numFmtId="173" fontId="0" fillId="0" borderId="0" xfId="0" applyNumberFormat="1" applyFill="1" applyAlignment="1">
      <alignment horizontal="center"/>
    </xf>
    <xf numFmtId="0" fontId="8"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0" fillId="0" borderId="0" xfId="0" applyFont="1" applyFill="1"/>
    <xf numFmtId="0" fontId="21" fillId="0" borderId="0" xfId="0" applyFont="1" applyFill="1" applyAlignment="1">
      <alignment horizontal="right"/>
    </xf>
    <xf numFmtId="0" fontId="21" fillId="0" borderId="0" xfId="0" applyFont="1" applyFill="1"/>
    <xf numFmtId="175" fontId="20" fillId="0" borderId="0" xfId="2" applyNumberFormat="1" applyFont="1" applyFill="1"/>
    <xf numFmtId="0" fontId="8" fillId="0" borderId="0" xfId="0" applyFont="1" applyFill="1" applyAlignment="1">
      <alignment horizontal="center" wrapText="1"/>
    </xf>
    <xf numFmtId="0" fontId="0" fillId="0" borderId="0" xfId="0" applyFont="1" applyFill="1" applyAlignment="1">
      <alignment horizontal="center"/>
    </xf>
    <xf numFmtId="0" fontId="8" fillId="0" borderId="0" xfId="0" applyFont="1" applyFill="1" applyAlignment="1">
      <alignment horizontal="left"/>
    </xf>
    <xf numFmtId="0" fontId="0" fillId="0" borderId="0" xfId="0" applyFill="1" applyAlignment="1">
      <alignment horizontal="left"/>
    </xf>
    <xf numFmtId="0" fontId="0" fillId="0" borderId="0" xfId="0" applyFill="1"/>
    <xf numFmtId="0" fontId="0" fillId="0" borderId="0" xfId="0" applyFont="1" applyFill="1"/>
    <xf numFmtId="14" fontId="0" fillId="0" borderId="0" xfId="0" applyNumberFormat="1" applyFill="1"/>
    <xf numFmtId="0" fontId="0" fillId="0" borderId="8" xfId="0" applyFill="1" applyBorder="1"/>
    <xf numFmtId="0" fontId="0" fillId="0" borderId="11" xfId="0" applyFill="1" applyBorder="1" applyAlignment="1">
      <alignment horizontal="right"/>
    </xf>
    <xf numFmtId="0" fontId="0" fillId="0" borderId="3" xfId="0" applyFill="1" applyBorder="1" applyAlignment="1">
      <alignment horizontal="right"/>
    </xf>
    <xf numFmtId="0" fontId="0" fillId="0" borderId="7" xfId="0" applyFill="1" applyBorder="1" applyAlignment="1">
      <alignment horizontal="right"/>
    </xf>
    <xf numFmtId="0" fontId="0" fillId="0" borderId="10" xfId="0" applyFill="1" applyBorder="1" applyAlignment="1">
      <alignment horizontal="right"/>
    </xf>
    <xf numFmtId="0" fontId="0" fillId="0" borderId="2" xfId="0" applyFill="1" applyBorder="1" applyAlignment="1">
      <alignment horizontal="right"/>
    </xf>
    <xf numFmtId="0" fontId="0" fillId="0" borderId="13" xfId="0" applyFill="1" applyBorder="1" applyAlignment="1">
      <alignment horizontal="right"/>
    </xf>
    <xf numFmtId="0" fontId="0" fillId="0" borderId="9" xfId="0" applyFill="1" applyBorder="1" applyAlignment="1">
      <alignment horizontal="right"/>
    </xf>
    <xf numFmtId="0" fontId="8" fillId="0" borderId="0" xfId="0" applyFont="1" applyFill="1" applyAlignment="1">
      <alignment horizontal="right"/>
    </xf>
    <xf numFmtId="172" fontId="0" fillId="0" borderId="0" xfId="0" applyNumberFormat="1" applyFill="1"/>
    <xf numFmtId="2" fontId="0" fillId="0" borderId="0" xfId="0" applyNumberFormat="1" applyFill="1"/>
    <xf numFmtId="0" fontId="8" fillId="0" borderId="0" xfId="0" applyFont="1" applyAlignment="1">
      <alignment horizontal="center"/>
    </xf>
    <xf numFmtId="0" fontId="8" fillId="0" borderId="0" xfId="0" applyFont="1" applyAlignment="1">
      <alignment horizontal="right"/>
    </xf>
    <xf numFmtId="0" fontId="0" fillId="0" borderId="0" xfId="0" applyAlignment="1">
      <alignment horizontal="right"/>
    </xf>
    <xf numFmtId="175" fontId="0" fillId="0" borderId="0" xfId="0" applyNumberFormat="1"/>
    <xf numFmtId="174" fontId="0" fillId="0" borderId="0" xfId="0" applyNumberFormat="1"/>
    <xf numFmtId="2" fontId="0" fillId="0" borderId="0" xfId="0" applyNumberFormat="1"/>
    <xf numFmtId="9" fontId="0" fillId="0" borderId="0" xfId="0" applyNumberFormat="1"/>
    <xf numFmtId="0" fontId="7" fillId="0" borderId="0" xfId="0" applyFont="1"/>
    <xf numFmtId="169" fontId="7" fillId="0" borderId="0" xfId="0" applyNumberFormat="1" applyFont="1"/>
    <xf numFmtId="0" fontId="0" fillId="0" borderId="0" xfId="0" pivotButton="1"/>
    <xf numFmtId="172" fontId="0" fillId="0" borderId="0" xfId="0" applyNumberFormat="1"/>
    <xf numFmtId="0" fontId="0" fillId="0" borderId="0" xfId="0" applyAlignment="1">
      <alignment horizontal="left"/>
    </xf>
    <xf numFmtId="182" fontId="0" fillId="0" borderId="0" xfId="0" applyNumberFormat="1"/>
    <xf numFmtId="0" fontId="20" fillId="0" borderId="0" xfId="0" applyFont="1"/>
    <xf numFmtId="169" fontId="20" fillId="0" borderId="0" xfId="0" applyNumberFormat="1" applyFont="1"/>
    <xf numFmtId="0" fontId="8" fillId="0" borderId="0" xfId="0" applyFont="1" applyAlignment="1">
      <alignment wrapText="1"/>
    </xf>
    <xf numFmtId="0" fontId="6" fillId="0" borderId="0" xfId="0" applyFont="1"/>
    <xf numFmtId="0" fontId="22" fillId="0" borderId="0" xfId="0" applyFont="1"/>
    <xf numFmtId="0" fontId="5" fillId="0" borderId="0" xfId="0" applyFont="1" applyFill="1"/>
    <xf numFmtId="0" fontId="5" fillId="0" borderId="0" xfId="0" applyFont="1"/>
    <xf numFmtId="0" fontId="17" fillId="0" borderId="15" xfId="0" applyFont="1" applyBorder="1" applyAlignment="1">
      <alignment horizontal="center"/>
    </xf>
    <xf numFmtId="0" fontId="17" fillId="0" borderId="3" xfId="0" applyFont="1" applyFill="1" applyBorder="1"/>
    <xf numFmtId="0" fontId="17" fillId="0" borderId="11" xfId="0" applyFont="1" applyFill="1" applyBorder="1" applyAlignment="1">
      <alignment horizontal="center" wrapText="1"/>
    </xf>
    <xf numFmtId="0" fontId="17" fillId="0" borderId="12" xfId="0" applyFont="1" applyFill="1" applyBorder="1" applyAlignment="1">
      <alignment horizontal="center" wrapText="1"/>
    </xf>
    <xf numFmtId="0" fontId="17" fillId="0" borderId="9" xfId="0" applyFont="1" applyBorder="1" applyAlignment="1">
      <alignment horizontal="center" wrapText="1"/>
    </xf>
    <xf numFmtId="0" fontId="17" fillId="0" borderId="12" xfId="0" applyFont="1" applyBorder="1" applyAlignment="1">
      <alignment horizontal="center"/>
    </xf>
    <xf numFmtId="0" fontId="17" fillId="0" borderId="0" xfId="0" applyFont="1" applyFill="1"/>
    <xf numFmtId="0" fontId="17" fillId="0" borderId="0" xfId="0" applyFont="1" applyFill="1" applyAlignment="1">
      <alignment horizontal="right"/>
    </xf>
    <xf numFmtId="0" fontId="4" fillId="0" borderId="0" xfId="0" applyFont="1" applyFill="1"/>
    <xf numFmtId="0" fontId="17" fillId="0" borderId="2" xfId="0" applyFont="1" applyBorder="1" applyAlignment="1">
      <alignment horizontal="center"/>
    </xf>
    <xf numFmtId="0" fontId="4" fillId="0" borderId="4" xfId="0" applyFont="1" applyFill="1" applyBorder="1"/>
    <xf numFmtId="0" fontId="4" fillId="0" borderId="10" xfId="0" applyFont="1" applyFill="1" applyBorder="1"/>
    <xf numFmtId="0" fontId="4" fillId="0" borderId="2" xfId="0" applyFont="1" applyFill="1" applyBorder="1"/>
    <xf numFmtId="0" fontId="4" fillId="0" borderId="0" xfId="0" applyFont="1"/>
    <xf numFmtId="0" fontId="17" fillId="0" borderId="0" xfId="0" applyFont="1"/>
    <xf numFmtId="0" fontId="17" fillId="0" borderId="4" xfId="0" applyFont="1" applyBorder="1" applyAlignment="1">
      <alignment horizontal="center"/>
    </xf>
    <xf numFmtId="0" fontId="4" fillId="0" borderId="10" xfId="0" applyFont="1" applyBorder="1" applyAlignment="1">
      <alignment horizontal="center"/>
    </xf>
    <xf numFmtId="0" fontId="4" fillId="0" borderId="2" xfId="0" applyFont="1" applyBorder="1" applyAlignment="1">
      <alignment horizontal="center"/>
    </xf>
    <xf numFmtId="0" fontId="17" fillId="0" borderId="0" xfId="0" applyFont="1" applyAlignment="1">
      <alignment horizontal="center"/>
    </xf>
    <xf numFmtId="0" fontId="17" fillId="0" borderId="15" xfId="0" applyFont="1" applyFill="1" applyBorder="1" applyAlignment="1">
      <alignment horizontal="center"/>
    </xf>
    <xf numFmtId="0" fontId="4" fillId="0" borderId="0" xfId="0" applyFont="1" applyFill="1" applyBorder="1" applyAlignment="1">
      <alignment horizontal="center"/>
    </xf>
    <xf numFmtId="0" fontId="4" fillId="0" borderId="0" xfId="0" applyFont="1" applyBorder="1" applyAlignment="1">
      <alignment horizontal="center"/>
    </xf>
    <xf numFmtId="0" fontId="4" fillId="0" borderId="18" xfId="0" applyFont="1" applyFill="1" applyBorder="1" applyAlignment="1">
      <alignment horizontal="center"/>
    </xf>
    <xf numFmtId="0" fontId="4" fillId="0" borderId="18" xfId="0" applyFont="1" applyBorder="1" applyAlignment="1">
      <alignment horizontal="center"/>
    </xf>
    <xf numFmtId="0" fontId="17" fillId="0" borderId="14" xfId="0" applyFont="1" applyBorder="1" applyAlignment="1">
      <alignment horizontal="right"/>
    </xf>
    <xf numFmtId="0" fontId="17" fillId="0" borderId="15" xfId="0" applyFont="1" applyBorder="1" applyAlignment="1">
      <alignment horizontal="right"/>
    </xf>
    <xf numFmtId="0" fontId="17" fillId="0" borderId="13" xfId="0" applyFont="1" applyBorder="1" applyAlignment="1">
      <alignment horizontal="right"/>
    </xf>
    <xf numFmtId="0" fontId="4" fillId="0" borderId="7" xfId="0" applyFont="1" applyBorder="1" applyAlignment="1">
      <alignment horizontal="right"/>
    </xf>
    <xf numFmtId="0" fontId="4" fillId="0" borderId="0" xfId="0" applyFont="1" applyBorder="1" applyAlignment="1">
      <alignment horizontal="right"/>
    </xf>
    <xf numFmtId="0" fontId="4" fillId="0" borderId="17" xfId="0" applyFont="1" applyBorder="1" applyAlignment="1">
      <alignment horizontal="right"/>
    </xf>
    <xf numFmtId="0" fontId="4" fillId="0" borderId="18" xfId="0" applyFont="1" applyBorder="1" applyAlignment="1">
      <alignment horizontal="right"/>
    </xf>
    <xf numFmtId="0" fontId="4" fillId="0" borderId="11" xfId="0" applyFont="1" applyBorder="1" applyAlignment="1">
      <alignment horizontal="right"/>
    </xf>
    <xf numFmtId="0" fontId="4" fillId="0" borderId="12" xfId="0" applyFont="1" applyBorder="1" applyAlignment="1">
      <alignment horizontal="right"/>
    </xf>
    <xf numFmtId="0" fontId="17" fillId="0" borderId="3" xfId="0" applyFont="1" applyBorder="1" applyAlignment="1">
      <alignment horizontal="center" wrapText="1"/>
    </xf>
    <xf numFmtId="0" fontId="17" fillId="0" borderId="9" xfId="0" applyFont="1" applyBorder="1" applyAlignment="1">
      <alignment horizontal="center"/>
    </xf>
    <xf numFmtId="0" fontId="4" fillId="0" borderId="8" xfId="0" applyFont="1" applyFill="1" applyBorder="1"/>
    <xf numFmtId="173" fontId="4" fillId="0" borderId="10" xfId="0" applyNumberFormat="1" applyFont="1" applyBorder="1" applyAlignment="1">
      <alignment horizontal="center"/>
    </xf>
    <xf numFmtId="173" fontId="4" fillId="0" borderId="2" xfId="0" applyNumberFormat="1" applyFont="1" applyBorder="1" applyAlignment="1">
      <alignment horizontal="center"/>
    </xf>
    <xf numFmtId="0" fontId="3" fillId="0" borderId="10" xfId="0" applyFont="1" applyFill="1" applyBorder="1"/>
    <xf numFmtId="0" fontId="3" fillId="0" borderId="2" xfId="0" applyFont="1" applyFill="1" applyBorder="1"/>
    <xf numFmtId="1" fontId="4" fillId="0" borderId="10" xfId="0" applyNumberFormat="1" applyFont="1" applyBorder="1" applyAlignment="1">
      <alignment horizontal="center"/>
    </xf>
    <xf numFmtId="1" fontId="4" fillId="0" borderId="2" xfId="0" applyNumberFormat="1" applyFont="1" applyBorder="1" applyAlignment="1">
      <alignment horizontal="center"/>
    </xf>
    <xf numFmtId="0" fontId="8" fillId="0" borderId="0" xfId="0" applyFont="1" applyFill="1" applyAlignment="1">
      <alignment horizontal="center"/>
    </xf>
    <xf numFmtId="0" fontId="23" fillId="0" borderId="0" xfId="0" applyFont="1"/>
    <xf numFmtId="0" fontId="23" fillId="2" borderId="14" xfId="0" applyFont="1" applyFill="1" applyBorder="1"/>
    <xf numFmtId="0" fontId="24" fillId="2" borderId="15" xfId="0" applyFont="1" applyFill="1" applyBorder="1" applyAlignment="1">
      <alignment horizontal="right"/>
    </xf>
    <xf numFmtId="0" fontId="24" fillId="2" borderId="13" xfId="0" applyFont="1" applyFill="1" applyBorder="1" applyAlignment="1">
      <alignment horizontal="right"/>
    </xf>
    <xf numFmtId="0" fontId="25" fillId="2" borderId="7" xfId="0" applyFont="1" applyFill="1" applyBorder="1" applyAlignment="1">
      <alignment horizontal="center"/>
    </xf>
    <xf numFmtId="0" fontId="25" fillId="2" borderId="17" xfId="0" applyFont="1" applyFill="1" applyBorder="1" applyAlignment="1">
      <alignment horizontal="center"/>
    </xf>
    <xf numFmtId="0" fontId="23" fillId="0" borderId="14" xfId="0" applyFont="1" applyBorder="1"/>
    <xf numFmtId="0" fontId="24" fillId="0" borderId="13" xfId="0" applyFont="1" applyBorder="1" applyAlignment="1">
      <alignment horizontal="right"/>
    </xf>
    <xf numFmtId="0" fontId="24" fillId="0" borderId="4" xfId="0" applyFont="1" applyBorder="1" applyAlignment="1">
      <alignment horizontal="centerContinuous"/>
    </xf>
    <xf numFmtId="0" fontId="24" fillId="0" borderId="4" xfId="0" applyFont="1" applyBorder="1" applyAlignment="1">
      <alignment horizontal="centerContinuous" vertical="center"/>
    </xf>
    <xf numFmtId="0" fontId="23" fillId="0" borderId="4" xfId="0" applyFont="1" applyBorder="1" applyAlignment="1">
      <alignment horizontal="centerContinuous"/>
    </xf>
    <xf numFmtId="0" fontId="25" fillId="0" borderId="4" xfId="0" applyFont="1" applyBorder="1"/>
    <xf numFmtId="0" fontId="24" fillId="0" borderId="0" xfId="0" applyFont="1" applyBorder="1" applyAlignment="1">
      <alignment horizontal="right"/>
    </xf>
    <xf numFmtId="0" fontId="24" fillId="0" borderId="17" xfId="0" applyFont="1" applyBorder="1" applyAlignment="1">
      <alignment horizontal="right" vertical="center"/>
    </xf>
    <xf numFmtId="0" fontId="24" fillId="0" borderId="8" xfId="0" applyFont="1" applyBorder="1" applyAlignment="1">
      <alignment horizontal="right"/>
    </xf>
    <xf numFmtId="177" fontId="24" fillId="0" borderId="17" xfId="6" applyNumberFormat="1" applyFont="1" applyBorder="1" applyAlignment="1">
      <alignment horizontal="right"/>
    </xf>
    <xf numFmtId="177" fontId="24" fillId="0" borderId="18" xfId="6" applyNumberFormat="1" applyFont="1" applyBorder="1" applyAlignment="1">
      <alignment horizontal="right"/>
    </xf>
    <xf numFmtId="0" fontId="25" fillId="0" borderId="2" xfId="0" applyFont="1" applyBorder="1" applyAlignment="1">
      <alignment horizontal="centerContinuous" vertical="center"/>
    </xf>
    <xf numFmtId="0" fontId="23" fillId="0" borderId="7" xfId="0" applyFont="1" applyBorder="1" applyAlignment="1">
      <alignment horizontal="right"/>
    </xf>
    <xf numFmtId="0" fontId="23" fillId="0" borderId="16" xfId="0" applyFont="1" applyBorder="1" applyAlignment="1">
      <alignment horizontal="right"/>
    </xf>
    <xf numFmtId="0" fontId="23" fillId="0" borderId="17" xfId="0" applyFont="1" applyBorder="1" applyAlignment="1">
      <alignment horizontal="right"/>
    </xf>
    <xf numFmtId="0" fontId="23" fillId="0" borderId="8" xfId="0" applyFont="1" applyBorder="1" applyAlignment="1">
      <alignment horizontal="right"/>
    </xf>
    <xf numFmtId="0" fontId="23" fillId="0" borderId="0" xfId="0" applyFont="1" applyBorder="1"/>
    <xf numFmtId="0" fontId="23" fillId="0" borderId="14" xfId="0" applyFont="1" applyBorder="1" applyAlignment="1">
      <alignment horizontal="right"/>
    </xf>
    <xf numFmtId="0" fontId="23" fillId="0" borderId="15" xfId="0" applyFont="1" applyBorder="1"/>
    <xf numFmtId="0" fontId="23" fillId="0" borderId="18" xfId="0" applyFont="1" applyBorder="1" applyAlignment="1">
      <alignment horizontal="right"/>
    </xf>
    <xf numFmtId="178" fontId="23" fillId="0" borderId="0" xfId="0" applyNumberFormat="1" applyFont="1"/>
    <xf numFmtId="0" fontId="23" fillId="0" borderId="11" xfId="0" applyFont="1" applyBorder="1"/>
    <xf numFmtId="0" fontId="23" fillId="0" borderId="12" xfId="0" applyFont="1" applyBorder="1" applyAlignment="1">
      <alignment horizontal="right"/>
    </xf>
    <xf numFmtId="0" fontId="23" fillId="0" borderId="9" xfId="0" applyFont="1" applyBorder="1"/>
    <xf numFmtId="1" fontId="23" fillId="3" borderId="7" xfId="6" applyNumberFormat="1" applyFont="1" applyFill="1" applyBorder="1" applyAlignment="1">
      <alignment horizontal="center"/>
    </xf>
    <xf numFmtId="1" fontId="23" fillId="3" borderId="0" xfId="6" applyNumberFormat="1" applyFont="1" applyFill="1" applyBorder="1" applyAlignment="1">
      <alignment horizontal="center"/>
    </xf>
    <xf numFmtId="1" fontId="23" fillId="3" borderId="17" xfId="6" applyNumberFormat="1" applyFont="1" applyFill="1" applyBorder="1" applyAlignment="1">
      <alignment horizontal="center"/>
    </xf>
    <xf numFmtId="1" fontId="23" fillId="3" borderId="18" xfId="6" applyNumberFormat="1" applyFont="1" applyFill="1" applyBorder="1" applyAlignment="1">
      <alignment horizontal="center"/>
    </xf>
    <xf numFmtId="1" fontId="23" fillId="0" borderId="17" xfId="6" applyNumberFormat="1" applyFont="1" applyBorder="1" applyAlignment="1">
      <alignment horizontal="center"/>
    </xf>
    <xf numFmtId="1" fontId="23" fillId="0" borderId="18" xfId="6" applyNumberFormat="1" applyFont="1" applyBorder="1" applyAlignment="1">
      <alignment horizontal="center"/>
    </xf>
    <xf numFmtId="1" fontId="23" fillId="0" borderId="10" xfId="0" applyNumberFormat="1" applyFont="1" applyBorder="1" applyAlignment="1">
      <alignment horizontal="center"/>
    </xf>
    <xf numFmtId="1" fontId="23" fillId="0" borderId="2" xfId="0" applyNumberFormat="1" applyFont="1" applyBorder="1" applyAlignment="1">
      <alignment horizontal="center"/>
    </xf>
    <xf numFmtId="1" fontId="23" fillId="0" borderId="15" xfId="0" applyNumberFormat="1" applyFont="1" applyBorder="1" applyAlignment="1">
      <alignment horizontal="center"/>
    </xf>
    <xf numFmtId="1" fontId="23" fillId="0" borderId="13" xfId="0" applyNumberFormat="1" applyFont="1" applyBorder="1" applyAlignment="1">
      <alignment horizontal="center"/>
    </xf>
    <xf numFmtId="1" fontId="23" fillId="0" borderId="18" xfId="0" applyNumberFormat="1" applyFont="1" applyBorder="1" applyAlignment="1">
      <alignment horizontal="center"/>
    </xf>
    <xf numFmtId="1" fontId="23" fillId="0" borderId="8" xfId="0" applyNumberFormat="1" applyFont="1" applyBorder="1" applyAlignment="1">
      <alignment horizontal="center"/>
    </xf>
    <xf numFmtId="0" fontId="0" fillId="0" borderId="20" xfId="0" applyBorder="1" applyAlignment="1">
      <alignment horizontal="center"/>
    </xf>
    <xf numFmtId="0" fontId="0" fillId="0" borderId="19" xfId="0" applyFill="1" applyBorder="1" applyAlignment="1">
      <alignment horizontal="center"/>
    </xf>
    <xf numFmtId="0" fontId="8" fillId="0" borderId="5" xfId="0" applyFont="1" applyBorder="1" applyAlignment="1">
      <alignment wrapText="1"/>
    </xf>
    <xf numFmtId="179" fontId="0" fillId="0" borderId="26" xfId="0" applyNumberFormat="1" applyBorder="1"/>
    <xf numFmtId="180" fontId="0" fillId="0" borderId="19" xfId="3" applyNumberFormat="1" applyFont="1" applyBorder="1"/>
    <xf numFmtId="179" fontId="0" fillId="0" borderId="25" xfId="0" applyNumberFormat="1" applyBorder="1"/>
    <xf numFmtId="180" fontId="0" fillId="0" borderId="24" xfId="3" applyNumberFormat="1" applyFont="1" applyBorder="1"/>
    <xf numFmtId="180" fontId="0" fillId="0" borderId="22" xfId="0" applyNumberFormat="1" applyFont="1" applyBorder="1"/>
    <xf numFmtId="174" fontId="0" fillId="0" borderId="21" xfId="0" applyNumberFormat="1" applyBorder="1" applyAlignment="1">
      <alignment horizontal="center"/>
    </xf>
    <xf numFmtId="9" fontId="0" fillId="0" borderId="0" xfId="2" applyFont="1"/>
    <xf numFmtId="175" fontId="0" fillId="0" borderId="0" xfId="2" applyNumberFormat="1" applyFont="1"/>
    <xf numFmtId="169" fontId="0" fillId="0" borderId="5" xfId="0" applyNumberFormat="1" applyFont="1" applyFill="1" applyBorder="1"/>
    <xf numFmtId="0" fontId="8" fillId="0" borderId="5" xfId="0" applyFont="1" applyFill="1" applyBorder="1" applyAlignment="1">
      <alignment wrapText="1"/>
    </xf>
    <xf numFmtId="169" fontId="0" fillId="0" borderId="0" xfId="0" applyNumberFormat="1"/>
    <xf numFmtId="169" fontId="0" fillId="0" borderId="5" xfId="0" applyNumberFormat="1" applyBorder="1"/>
    <xf numFmtId="0" fontId="0" fillId="0" borderId="0" xfId="0" applyFont="1"/>
    <xf numFmtId="0" fontId="8" fillId="0" borderId="5" xfId="0" applyFont="1" applyBorder="1"/>
    <xf numFmtId="0" fontId="0" fillId="0" borderId="5" xfId="0" applyBorder="1"/>
    <xf numFmtId="0" fontId="0" fillId="0" borderId="30" xfId="0" applyBorder="1"/>
    <xf numFmtId="9" fontId="8" fillId="4" borderId="0" xfId="2" applyFont="1" applyFill="1"/>
    <xf numFmtId="0" fontId="8" fillId="0" borderId="6" xfId="0" applyFont="1" applyBorder="1"/>
    <xf numFmtId="0" fontId="8" fillId="0" borderId="25" xfId="0" applyFont="1" applyBorder="1"/>
    <xf numFmtId="0" fontId="8" fillId="0" borderId="26"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72" fontId="0" fillId="0" borderId="0" xfId="0" applyNumberFormat="1" applyFill="1" applyBorder="1"/>
    <xf numFmtId="171" fontId="0" fillId="0" borderId="0" xfId="3" applyNumberFormat="1" applyFont="1" applyFill="1" applyAlignment="1">
      <alignment horizontal="center"/>
    </xf>
    <xf numFmtId="171" fontId="0" fillId="0" borderId="0" xfId="3" applyNumberFormat="1" applyFont="1"/>
    <xf numFmtId="0" fontId="0" fillId="0" borderId="0" xfId="0" quotePrefix="1" applyFill="1" applyAlignment="1">
      <alignment horizontal="center"/>
    </xf>
    <xf numFmtId="0" fontId="28" fillId="0" borderId="0" xfId="0" applyFont="1" applyAlignment="1">
      <alignment horizontal="left"/>
    </xf>
    <xf numFmtId="181" fontId="18" fillId="0" borderId="0" xfId="3" applyNumberFormat="1" applyFont="1"/>
    <xf numFmtId="182" fontId="0" fillId="0" borderId="0" xfId="0" applyNumberFormat="1" applyAlignment="1">
      <alignment horizontal="left"/>
    </xf>
    <xf numFmtId="0" fontId="19" fillId="0" borderId="0" xfId="0" applyFont="1" applyAlignment="1">
      <alignment horizontal="right"/>
    </xf>
    <xf numFmtId="182" fontId="0" fillId="4" borderId="0" xfId="0" applyNumberFormat="1" applyFill="1" applyAlignment="1">
      <alignment horizontal="left"/>
    </xf>
    <xf numFmtId="10" fontId="0" fillId="0" borderId="0" xfId="0" applyNumberFormat="1"/>
    <xf numFmtId="0" fontId="0" fillId="0" borderId="0" xfId="0" applyAlignment="1">
      <alignment horizontal="left" indent="1"/>
    </xf>
    <xf numFmtId="182" fontId="14" fillId="0" borderId="0" xfId="0" applyNumberFormat="1" applyFont="1" applyFill="1" applyAlignment="1">
      <alignment horizontal="center"/>
    </xf>
    <xf numFmtId="0" fontId="0" fillId="6" borderId="10" xfId="0" applyFill="1" applyBorder="1" applyAlignment="1">
      <alignment horizontal="right"/>
    </xf>
    <xf numFmtId="0" fontId="0" fillId="6" borderId="2" xfId="0" applyFill="1" applyBorder="1" applyAlignment="1">
      <alignment horizontal="right"/>
    </xf>
    <xf numFmtId="0" fontId="0" fillId="4" borderId="0" xfId="0" applyFill="1"/>
    <xf numFmtId="0" fontId="3" fillId="0" borderId="0" xfId="0" applyFont="1" applyFill="1"/>
    <xf numFmtId="0" fontId="3" fillId="0" borderId="4" xfId="0" applyFont="1" applyFill="1" applyBorder="1"/>
    <xf numFmtId="2" fontId="3" fillId="0" borderId="14" xfId="0" applyNumberFormat="1" applyFont="1" applyFill="1" applyBorder="1" applyAlignment="1">
      <alignment horizontal="center"/>
    </xf>
    <xf numFmtId="0" fontId="3" fillId="4" borderId="0" xfId="0" applyFont="1" applyFill="1" applyAlignment="1">
      <alignment horizontal="center"/>
    </xf>
    <xf numFmtId="2" fontId="3" fillId="0" borderId="7" xfId="0" applyNumberFormat="1" applyFont="1" applyFill="1" applyBorder="1" applyAlignment="1">
      <alignment horizontal="center"/>
    </xf>
    <xf numFmtId="2" fontId="3" fillId="0" borderId="17" xfId="0" applyNumberFormat="1" applyFont="1" applyFill="1" applyBorder="1" applyAlignment="1">
      <alignment horizontal="center"/>
    </xf>
    <xf numFmtId="0" fontId="3" fillId="4" borderId="18" xfId="0" applyFont="1" applyFill="1" applyBorder="1" applyAlignment="1">
      <alignment horizontal="center"/>
    </xf>
    <xf numFmtId="0" fontId="3" fillId="0" borderId="11" xfId="0" applyFont="1" applyBorder="1"/>
    <xf numFmtId="0" fontId="3" fillId="0" borderId="3" xfId="0" applyFont="1" applyBorder="1" applyAlignment="1">
      <alignment horizontal="center"/>
    </xf>
    <xf numFmtId="182" fontId="0" fillId="0" borderId="0" xfId="0" applyNumberFormat="1"/>
    <xf numFmtId="49" fontId="0" fillId="0" borderId="0" xfId="0" applyNumberFormat="1" applyAlignment="1">
      <alignment horizontal="left"/>
    </xf>
    <xf numFmtId="49" fontId="0" fillId="0" borderId="0" xfId="0" applyNumberFormat="1"/>
    <xf numFmtId="182" fontId="0" fillId="0" borderId="0" xfId="0" applyNumberFormat="1" applyFill="1"/>
    <xf numFmtId="182" fontId="8" fillId="0" borderId="0" xfId="0" applyNumberFormat="1" applyFont="1" applyFill="1"/>
    <xf numFmtId="182" fontId="8" fillId="0" borderId="0" xfId="0" applyNumberFormat="1" applyFont="1"/>
    <xf numFmtId="182" fontId="8" fillId="0" borderId="0" xfId="0" applyNumberFormat="1" applyFont="1" applyAlignment="1">
      <alignment wrapText="1"/>
    </xf>
    <xf numFmtId="0" fontId="3" fillId="0" borderId="0" xfId="0" applyFont="1"/>
    <xf numFmtId="0" fontId="3" fillId="0" borderId="0" xfId="0" pivotButton="1" applyFont="1"/>
    <xf numFmtId="182" fontId="3" fillId="0" borderId="0" xfId="0" applyNumberFormat="1" applyFont="1"/>
    <xf numFmtId="182" fontId="17" fillId="0" borderId="0" xfId="0" applyNumberFormat="1" applyFont="1"/>
    <xf numFmtId="182" fontId="17" fillId="0" borderId="0" xfId="0" applyNumberFormat="1" applyFont="1" applyAlignment="1">
      <alignment horizontal="left"/>
    </xf>
    <xf numFmtId="183" fontId="10" fillId="0" borderId="0" xfId="0" applyNumberFormat="1" applyFont="1" applyFill="1"/>
    <xf numFmtId="0" fontId="0" fillId="0" borderId="0" xfId="0" applyAlignment="1">
      <alignment horizontal="center"/>
    </xf>
    <xf numFmtId="0" fontId="8" fillId="0" borderId="28" xfId="0" applyFont="1" applyBorder="1"/>
    <xf numFmtId="182" fontId="0" fillId="0" borderId="0" xfId="0" applyNumberFormat="1"/>
    <xf numFmtId="0" fontId="8" fillId="0" borderId="27" xfId="0" applyFont="1" applyBorder="1" applyAlignment="1">
      <alignment horizontal="center" vertical="center" wrapText="1"/>
    </xf>
    <xf numFmtId="0" fontId="8" fillId="0" borderId="24" xfId="0" applyFont="1" applyBorder="1" applyAlignment="1">
      <alignment horizontal="center" vertical="center"/>
    </xf>
    <xf numFmtId="0" fontId="8" fillId="0" borderId="6" xfId="0" applyFont="1" applyBorder="1" applyAlignment="1">
      <alignment horizontal="center" vertical="center"/>
    </xf>
    <xf numFmtId="0" fontId="8" fillId="0" borderId="25" xfId="0" applyFont="1" applyBorder="1" applyAlignment="1">
      <alignment horizontal="center" vertical="center"/>
    </xf>
    <xf numFmtId="0" fontId="8" fillId="0" borderId="23"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right"/>
    </xf>
    <xf numFmtId="0" fontId="8" fillId="0" borderId="23" xfId="0" applyFont="1" applyBorder="1" applyAlignment="1">
      <alignment horizontal="center" vertical="center"/>
    </xf>
    <xf numFmtId="0" fontId="0" fillId="0" borderId="0" xfId="0" applyNumberFormat="1"/>
    <xf numFmtId="0" fontId="0" fillId="0" borderId="0" xfId="0" applyNumberFormat="1" applyFill="1" applyAlignment="1">
      <alignment horizontal="center"/>
    </xf>
    <xf numFmtId="0" fontId="0" fillId="0" borderId="0" xfId="0" applyNumberFormat="1" applyAlignment="1">
      <alignment horizontal="center"/>
    </xf>
    <xf numFmtId="44" fontId="0" fillId="0" borderId="0" xfId="0" applyNumberFormat="1" applyFont="1"/>
    <xf numFmtId="0" fontId="0" fillId="0" borderId="0" xfId="0" applyNumberFormat="1" applyFill="1"/>
    <xf numFmtId="0" fontId="8" fillId="0" borderId="0" xfId="0" applyNumberFormat="1" applyFont="1" applyFill="1"/>
    <xf numFmtId="0" fontId="0" fillId="0" borderId="0" xfId="0" pivotButton="1" applyNumberFormat="1"/>
    <xf numFmtId="0" fontId="0" fillId="0" borderId="0" xfId="0" applyNumberFormat="1" applyAlignment="1">
      <alignment horizontal="left"/>
    </xf>
    <xf numFmtId="0" fontId="20" fillId="0" borderId="0" xfId="0" applyNumberFormat="1" applyFont="1" applyFill="1"/>
    <xf numFmtId="0" fontId="8" fillId="0" borderId="0" xfId="0" applyNumberFormat="1" applyFont="1"/>
    <xf numFmtId="0" fontId="20" fillId="0" borderId="0" xfId="0" applyNumberFormat="1" applyFont="1"/>
    <xf numFmtId="0" fontId="0" fillId="0" borderId="0" xfId="0" applyNumberFormat="1" applyFont="1"/>
    <xf numFmtId="0" fontId="17" fillId="0" borderId="0" xfId="0" applyNumberFormat="1" applyFont="1" applyAlignment="1">
      <alignment horizontal="left"/>
    </xf>
    <xf numFmtId="0" fontId="17" fillId="0" borderId="0" xfId="0" applyNumberFormat="1" applyFont="1"/>
    <xf numFmtId="184" fontId="0" fillId="0" borderId="0" xfId="0" applyNumberFormat="1" applyFont="1"/>
    <xf numFmtId="0" fontId="22" fillId="0" borderId="0" xfId="0" applyNumberFormat="1" applyFont="1"/>
    <xf numFmtId="0" fontId="0" fillId="0" borderId="0" xfId="0" applyNumberFormat="1" applyAlignment="1">
      <alignment horizontal="right"/>
    </xf>
    <xf numFmtId="185" fontId="0" fillId="0" borderId="0" xfId="0" applyNumberFormat="1" applyAlignment="1">
      <alignment horizontal="left"/>
    </xf>
    <xf numFmtId="0" fontId="8" fillId="0" borderId="0" xfId="8">
      <alignment horizontal="left"/>
    </xf>
    <xf numFmtId="0" fontId="0" fillId="0" borderId="0" xfId="0" applyAlignment="1">
      <alignment horizontal="left" vertical="center"/>
    </xf>
    <xf numFmtId="0" fontId="0" fillId="0" borderId="0" xfId="0" applyNumberFormat="1" applyAlignment="1">
      <alignment horizontal="left" indent="1"/>
    </xf>
    <xf numFmtId="0" fontId="21" fillId="0" borderId="0" xfId="0" applyNumberFormat="1" applyFont="1"/>
    <xf numFmtId="186" fontId="0" fillId="0" borderId="0" xfId="0" applyNumberFormat="1"/>
    <xf numFmtId="186" fontId="20" fillId="0" borderId="0" xfId="0" applyNumberFormat="1" applyFont="1"/>
    <xf numFmtId="186" fontId="21" fillId="0" borderId="0" xfId="0" applyNumberFormat="1" applyFont="1"/>
    <xf numFmtId="42" fontId="3" fillId="0" borderId="0" xfId="0" applyNumberFormat="1" applyFont="1"/>
    <xf numFmtId="186" fontId="8" fillId="0" borderId="0" xfId="0" applyNumberFormat="1" applyFont="1" applyFill="1"/>
    <xf numFmtId="186" fontId="0" fillId="0" borderId="0" xfId="0" applyNumberFormat="1" applyFont="1" applyFill="1"/>
    <xf numFmtId="187" fontId="0" fillId="0" borderId="0" xfId="0" applyNumberFormat="1" applyFont="1" applyFill="1"/>
    <xf numFmtId="44" fontId="18" fillId="4" borderId="0" xfId="0" applyNumberFormat="1" applyFont="1" applyFill="1"/>
    <xf numFmtId="44" fontId="18" fillId="0" borderId="0" xfId="0" applyNumberFormat="1" applyFont="1" applyFill="1"/>
    <xf numFmtId="44" fontId="8" fillId="0" borderId="27" xfId="0" applyNumberFormat="1" applyFont="1" applyFill="1" applyBorder="1"/>
    <xf numFmtId="44" fontId="0" fillId="0" borderId="0" xfId="0" applyNumberFormat="1"/>
    <xf numFmtId="186" fontId="0" fillId="0" borderId="0" xfId="0" applyNumberFormat="1" applyFont="1"/>
    <xf numFmtId="44" fontId="0" fillId="0" borderId="0" xfId="0" applyNumberFormat="1" applyFont="1" applyFill="1"/>
    <xf numFmtId="188" fontId="0" fillId="0" borderId="0" xfId="0" applyNumberFormat="1"/>
    <xf numFmtId="188" fontId="8" fillId="0" borderId="0" xfId="0" applyNumberFormat="1" applyFont="1"/>
    <xf numFmtId="186" fontId="0" fillId="0" borderId="30" xfId="0" applyNumberFormat="1" applyFont="1" applyBorder="1"/>
    <xf numFmtId="186" fontId="0" fillId="0" borderId="5" xfId="0" applyNumberFormat="1" applyBorder="1"/>
    <xf numFmtId="44" fontId="0" fillId="0" borderId="0" xfId="17" applyNumberFormat="1" applyFont="1"/>
    <xf numFmtId="182" fontId="0" fillId="0" borderId="0" xfId="0" applyNumberFormat="1" applyAlignment="1">
      <alignment horizontal="left" indent="1"/>
    </xf>
    <xf numFmtId="42" fontId="0" fillId="0" borderId="0" xfId="0" applyNumberFormat="1"/>
    <xf numFmtId="189" fontId="7" fillId="0" borderId="0" xfId="17" applyNumberFormat="1" applyFont="1"/>
    <xf numFmtId="189" fontId="0" fillId="0" borderId="0" xfId="0" applyNumberFormat="1"/>
    <xf numFmtId="5" fontId="0" fillId="0" borderId="0" xfId="0" applyNumberFormat="1"/>
    <xf numFmtId="190" fontId="0" fillId="0" borderId="0" xfId="0" applyNumberFormat="1" applyFont="1"/>
    <xf numFmtId="188" fontId="0" fillId="0" borderId="0" xfId="0" applyNumberFormat="1" applyFont="1" applyFill="1"/>
    <xf numFmtId="188" fontId="0" fillId="0" borderId="0" xfId="0" applyNumberFormat="1" applyFill="1"/>
    <xf numFmtId="188" fontId="0" fillId="0" borderId="0" xfId="17" applyNumberFormat="1" applyFont="1"/>
    <xf numFmtId="188" fontId="0" fillId="0" borderId="0" xfId="0" applyNumberFormat="1" applyFont="1"/>
    <xf numFmtId="188" fontId="0" fillId="0" borderId="10" xfId="0" applyNumberFormat="1" applyFill="1" applyBorder="1" applyAlignment="1">
      <alignment horizontal="right"/>
    </xf>
    <xf numFmtId="188" fontId="0" fillId="0" borderId="9" xfId="0" applyNumberFormat="1" applyFill="1" applyBorder="1" applyAlignment="1">
      <alignment horizontal="right"/>
    </xf>
    <xf numFmtId="1" fontId="3" fillId="0" borderId="0" xfId="0" applyNumberFormat="1" applyFont="1" applyFill="1" applyAlignment="1">
      <alignment horizontal="center"/>
    </xf>
    <xf numFmtId="1" fontId="3" fillId="0" borderId="16" xfId="0" applyNumberFormat="1" applyFont="1" applyBorder="1" applyAlignment="1">
      <alignment horizontal="center"/>
    </xf>
    <xf numFmtId="1" fontId="3" fillId="0" borderId="18" xfId="0" applyNumberFormat="1" applyFont="1" applyFill="1" applyBorder="1" applyAlignment="1">
      <alignment horizontal="center"/>
    </xf>
    <xf numFmtId="1" fontId="3" fillId="0" borderId="8" xfId="0" applyNumberFormat="1" applyFont="1" applyBorder="1" applyAlignment="1">
      <alignment horizontal="center"/>
    </xf>
    <xf numFmtId="4" fontId="3" fillId="0" borderId="14" xfId="0" applyNumberFormat="1" applyFont="1" applyBorder="1" applyAlignment="1">
      <alignment horizontal="center"/>
    </xf>
    <xf numFmtId="1" fontId="3" fillId="0" borderId="15" xfId="0" applyNumberFormat="1" applyFont="1" applyBorder="1" applyAlignment="1">
      <alignment horizontal="center"/>
    </xf>
    <xf numFmtId="1" fontId="3" fillId="0" borderId="13" xfId="0" applyNumberFormat="1" applyFont="1" applyBorder="1" applyAlignment="1">
      <alignment horizontal="center"/>
    </xf>
    <xf numFmtId="4" fontId="3" fillId="0" borderId="7" xfId="0" applyNumberFormat="1" applyFont="1" applyBorder="1" applyAlignment="1">
      <alignment horizontal="center"/>
    </xf>
    <xf numFmtId="1" fontId="3" fillId="0" borderId="0" xfId="0" applyNumberFormat="1" applyFont="1" applyBorder="1" applyAlignment="1">
      <alignment horizontal="center"/>
    </xf>
    <xf numFmtId="4" fontId="3" fillId="0" borderId="17" xfId="0" applyNumberFormat="1" applyFont="1" applyBorder="1" applyAlignment="1">
      <alignment horizontal="center"/>
    </xf>
    <xf numFmtId="1" fontId="3" fillId="0" borderId="18" xfId="0" applyNumberFormat="1" applyFont="1" applyBorder="1" applyAlignment="1">
      <alignment horizontal="center"/>
    </xf>
    <xf numFmtId="4" fontId="3" fillId="0" borderId="12" xfId="0" applyNumberFormat="1" applyFont="1" applyBorder="1" applyAlignment="1">
      <alignment horizontal="center"/>
    </xf>
    <xf numFmtId="1" fontId="3" fillId="0" borderId="12" xfId="0" applyNumberFormat="1" applyFont="1" applyBorder="1" applyAlignment="1">
      <alignment horizontal="center"/>
    </xf>
    <xf numFmtId="1" fontId="3" fillId="0" borderId="9" xfId="0" applyNumberFormat="1" applyFont="1" applyBorder="1" applyAlignment="1">
      <alignment horizontal="center"/>
    </xf>
    <xf numFmtId="0" fontId="8" fillId="0" borderId="0" xfId="8">
      <alignment horizontal="left"/>
    </xf>
    <xf numFmtId="188" fontId="4" fillId="0" borderId="0" xfId="0" applyNumberFormat="1" applyFont="1" applyBorder="1" applyAlignment="1">
      <alignment horizontal="center"/>
    </xf>
    <xf numFmtId="188" fontId="4" fillId="0" borderId="18" xfId="0" applyNumberFormat="1" applyFont="1" applyBorder="1" applyAlignment="1">
      <alignment horizontal="center"/>
    </xf>
    <xf numFmtId="190" fontId="4" fillId="0" borderId="0" xfId="0" applyNumberFormat="1" applyFont="1" applyBorder="1" applyAlignment="1">
      <alignment horizontal="center"/>
    </xf>
    <xf numFmtId="190" fontId="4" fillId="0" borderId="18" xfId="0" applyNumberFormat="1" applyFont="1" applyBorder="1" applyAlignment="1">
      <alignment horizontal="center"/>
    </xf>
    <xf numFmtId="191" fontId="4" fillId="0" borderId="16" xfId="0" applyNumberFormat="1" applyFont="1" applyBorder="1" applyAlignment="1">
      <alignment horizontal="right"/>
    </xf>
    <xf numFmtId="191" fontId="4" fillId="0" borderId="8" xfId="0" applyNumberFormat="1" applyFont="1" applyBorder="1" applyAlignment="1">
      <alignment horizontal="right"/>
    </xf>
    <xf numFmtId="191" fontId="4" fillId="0" borderId="9" xfId="0" applyNumberFormat="1" applyFont="1" applyBorder="1" applyAlignment="1">
      <alignment horizontal="right"/>
    </xf>
    <xf numFmtId="0" fontId="17" fillId="0" borderId="13" xfId="0" applyFont="1" applyBorder="1" applyAlignment="1">
      <alignment horizontal="center"/>
    </xf>
    <xf numFmtId="42" fontId="4" fillId="0" borderId="0" xfId="0" applyNumberFormat="1" applyFont="1" applyBorder="1" applyAlignment="1">
      <alignment horizontal="center"/>
    </xf>
    <xf numFmtId="42" fontId="4" fillId="0" borderId="18" xfId="0" applyNumberFormat="1" applyFont="1" applyBorder="1" applyAlignment="1">
      <alignment horizontal="center"/>
    </xf>
    <xf numFmtId="42" fontId="4" fillId="0" borderId="16" xfId="0" applyNumberFormat="1" applyFont="1" applyBorder="1" applyAlignment="1">
      <alignment horizontal="right"/>
    </xf>
    <xf numFmtId="42" fontId="4" fillId="0" borderId="8" xfId="0" applyNumberFormat="1" applyFont="1" applyBorder="1" applyAlignment="1">
      <alignment horizontal="right"/>
    </xf>
    <xf numFmtId="42" fontId="4" fillId="0" borderId="9" xfId="0" applyNumberFormat="1" applyFont="1" applyBorder="1" applyAlignment="1">
      <alignment horizontal="right"/>
    </xf>
    <xf numFmtId="188" fontId="4" fillId="0" borderId="16" xfId="0" applyNumberFormat="1" applyFont="1" applyBorder="1" applyAlignment="1">
      <alignment horizontal="right"/>
    </xf>
    <xf numFmtId="188" fontId="4" fillId="0" borderId="8" xfId="0" applyNumberFormat="1" applyFont="1" applyBorder="1" applyAlignment="1">
      <alignment horizontal="right"/>
    </xf>
    <xf numFmtId="188" fontId="4" fillId="0" borderId="9" xfId="0" applyNumberFormat="1" applyFont="1" applyBorder="1" applyAlignment="1">
      <alignment horizontal="right"/>
    </xf>
    <xf numFmtId="42" fontId="23" fillId="0" borderId="0" xfId="0" applyNumberFormat="1" applyFont="1"/>
    <xf numFmtId="42" fontId="23" fillId="0" borderId="16" xfId="0" applyNumberFormat="1" applyFont="1" applyBorder="1"/>
    <xf numFmtId="42" fontId="23" fillId="0" borderId="0" xfId="0" applyNumberFormat="1" applyFont="1" applyBorder="1"/>
    <xf numFmtId="42" fontId="23" fillId="0" borderId="18" xfId="0" applyNumberFormat="1" applyFont="1" applyBorder="1"/>
    <xf numFmtId="42" fontId="23" fillId="0" borderId="8" xfId="0" applyNumberFormat="1" applyFont="1" applyBorder="1"/>
    <xf numFmtId="42" fontId="23" fillId="0" borderId="12" xfId="0" applyNumberFormat="1" applyFont="1" applyBorder="1" applyAlignment="1">
      <alignment horizontal="center"/>
    </xf>
    <xf numFmtId="0" fontId="30" fillId="0" borderId="0" xfId="18" applyFont="1"/>
    <xf numFmtId="0" fontId="31" fillId="0" borderId="0" xfId="18" applyFont="1"/>
    <xf numFmtId="1" fontId="31" fillId="0" borderId="0" xfId="18" applyNumberFormat="1" applyFont="1"/>
    <xf numFmtId="0" fontId="8" fillId="0" borderId="0" xfId="8">
      <alignment horizontal="left"/>
    </xf>
    <xf numFmtId="0" fontId="32" fillId="0" borderId="0" xfId="18" applyFont="1"/>
    <xf numFmtId="0" fontId="33" fillId="0" borderId="0" xfId="18" applyFont="1"/>
    <xf numFmtId="0" fontId="32" fillId="0" borderId="0" xfId="18" applyFont="1" applyAlignment="1">
      <alignment wrapText="1"/>
    </xf>
    <xf numFmtId="173" fontId="33" fillId="0" borderId="0" xfId="18" applyNumberFormat="1" applyFont="1"/>
    <xf numFmtId="0" fontId="8" fillId="0" borderId="0" xfId="8">
      <alignment horizontal="left"/>
    </xf>
    <xf numFmtId="0" fontId="29" fillId="0" borderId="0" xfId="10" applyAlignment="1" applyProtection="1">
      <alignment horizontal="left" vertical="center"/>
    </xf>
    <xf numFmtId="0" fontId="8" fillId="0" borderId="0" xfId="0" applyFont="1" applyAlignment="1">
      <alignment horizontal="center" vertical="center"/>
    </xf>
    <xf numFmtId="0" fontId="0" fillId="0" borderId="22"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6" xfId="0" applyBorder="1" applyAlignment="1">
      <alignment horizontal="center" vertical="center"/>
    </xf>
    <xf numFmtId="0" fontId="0" fillId="0" borderId="25" xfId="0" applyBorder="1" applyAlignment="1">
      <alignment horizontal="center" vertical="center"/>
    </xf>
    <xf numFmtId="192" fontId="0" fillId="0" borderId="0" xfId="0" applyNumberFormat="1"/>
    <xf numFmtId="193" fontId="8" fillId="0" borderId="0" xfId="19">
      <alignment horizontal="left"/>
    </xf>
    <xf numFmtId="193" fontId="7" fillId="0" borderId="0" xfId="20"/>
    <xf numFmtId="193" fontId="7" fillId="0" borderId="0" xfId="20" applyFill="1"/>
    <xf numFmtId="193" fontId="7" fillId="0" borderId="0" xfId="20" applyFill="1" applyAlignment="1">
      <alignment horizontal="left"/>
    </xf>
    <xf numFmtId="193" fontId="34" fillId="0" borderId="31" xfId="20" applyFont="1" applyFill="1" applyBorder="1" applyAlignment="1">
      <alignment horizontal="center"/>
    </xf>
    <xf numFmtId="193" fontId="7" fillId="0" borderId="0" xfId="20" applyNumberFormat="1" applyFill="1" applyBorder="1" applyAlignment="1"/>
    <xf numFmtId="193" fontId="7" fillId="0" borderId="0" xfId="20" applyFill="1" applyBorder="1" applyAlignment="1"/>
    <xf numFmtId="193" fontId="7" fillId="0" borderId="6" xfId="20" applyFill="1" applyBorder="1" applyAlignment="1"/>
    <xf numFmtId="193" fontId="8" fillId="0" borderId="0" xfId="20" applyFont="1" applyFill="1"/>
    <xf numFmtId="193" fontId="8" fillId="0" borderId="0" xfId="20" applyFont="1" applyFill="1" applyAlignment="1">
      <alignment horizontal="right"/>
    </xf>
    <xf numFmtId="193" fontId="7" fillId="0" borderId="0" xfId="20" applyFill="1" applyAlignment="1">
      <alignment horizontal="right"/>
    </xf>
    <xf numFmtId="172" fontId="7" fillId="0" borderId="0" xfId="20" applyNumberFormat="1" applyFill="1" applyAlignment="1">
      <alignment horizontal="right"/>
    </xf>
    <xf numFmtId="172" fontId="7" fillId="0" borderId="0" xfId="20" applyNumberFormat="1" applyFill="1"/>
    <xf numFmtId="2" fontId="7" fillId="0" borderId="0" xfId="20" applyNumberFormat="1" applyFill="1"/>
    <xf numFmtId="175" fontId="0" fillId="0" borderId="0" xfId="2" applyNumberFormat="1" applyFont="1" applyFill="1"/>
    <xf numFmtId="193" fontId="8" fillId="0" borderId="0" xfId="20" applyFont="1"/>
    <xf numFmtId="9" fontId="7" fillId="0" borderId="0" xfId="20" applyNumberFormat="1"/>
    <xf numFmtId="174" fontId="7" fillId="0" borderId="0" xfId="20" applyNumberFormat="1"/>
    <xf numFmtId="1" fontId="7" fillId="0" borderId="0" xfId="20" applyNumberFormat="1"/>
    <xf numFmtId="193" fontId="8" fillId="0" borderId="0" xfId="19" applyFont="1">
      <alignment horizontal="left"/>
    </xf>
    <xf numFmtId="193" fontId="7" fillId="0" borderId="0" xfId="20" applyFont="1"/>
    <xf numFmtId="193" fontId="7" fillId="0" borderId="0" xfId="20" applyFont="1" applyFill="1"/>
    <xf numFmtId="193" fontId="7" fillId="0" borderId="0" xfId="22" applyNumberFormat="1" applyFont="1"/>
    <xf numFmtId="175" fontId="7" fillId="0" borderId="0" xfId="20" applyNumberFormat="1" applyFont="1"/>
    <xf numFmtId="37" fontId="7" fillId="0" borderId="0" xfId="20" applyNumberFormat="1" applyFont="1"/>
    <xf numFmtId="164" fontId="7" fillId="0" borderId="0" xfId="20" applyNumberFormat="1" applyFont="1"/>
    <xf numFmtId="193" fontId="7" fillId="0" borderId="0" xfId="20" applyFont="1" applyAlignment="1">
      <alignment horizontal="right"/>
    </xf>
    <xf numFmtId="193" fontId="0" fillId="0" borderId="0" xfId="20" applyFont="1"/>
    <xf numFmtId="169" fontId="7" fillId="0" borderId="0" xfId="22" applyNumberFormat="1" applyFont="1"/>
    <xf numFmtId="9" fontId="7" fillId="0" borderId="0" xfId="20" applyNumberFormat="1" applyFont="1"/>
    <xf numFmtId="169" fontId="7" fillId="0" borderId="0" xfId="20" applyNumberFormat="1" applyFont="1"/>
    <xf numFmtId="0" fontId="8" fillId="0" borderId="0" xfId="8">
      <alignment horizontal="left"/>
    </xf>
    <xf numFmtId="182" fontId="29" fillId="0" borderId="0" xfId="9" applyNumberFormat="1" applyFill="1" applyAlignment="1">
      <alignment vertical="center"/>
    </xf>
    <xf numFmtId="0" fontId="29" fillId="0" borderId="0" xfId="9" applyFill="1" applyAlignment="1"/>
    <xf numFmtId="0" fontId="11" fillId="0" borderId="0" xfId="0" applyFont="1" applyFill="1" applyAlignment="1">
      <alignment horizontal="center" vertical="center"/>
    </xf>
    <xf numFmtId="0" fontId="0" fillId="0" borderId="0" xfId="0" applyAlignment="1"/>
    <xf numFmtId="0" fontId="12" fillId="0" borderId="0" xfId="0" applyFont="1" applyFill="1" applyAlignment="1">
      <alignment horizontal="center" vertical="center"/>
    </xf>
    <xf numFmtId="0" fontId="29" fillId="0" borderId="0" xfId="9" applyAlignment="1"/>
    <xf numFmtId="0" fontId="8" fillId="0" borderId="0" xfId="0" applyFont="1" applyAlignment="1"/>
    <xf numFmtId="0" fontId="8" fillId="0" borderId="0" xfId="0" applyFont="1" applyFill="1" applyAlignment="1">
      <alignment horizontal="center"/>
    </xf>
    <xf numFmtId="182" fontId="29" fillId="0" borderId="0" xfId="9" applyNumberFormat="1" applyAlignment="1">
      <alignment vertical="center"/>
    </xf>
    <xf numFmtId="0" fontId="29" fillId="0" borderId="0" xfId="9" applyNumberFormat="1" applyFill="1" applyAlignment="1">
      <alignment vertical="center"/>
    </xf>
    <xf numFmtId="0" fontId="0" fillId="0" borderId="11" xfId="0" applyFill="1"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17" fillId="0" borderId="11" xfId="0" applyFont="1" applyBorder="1" applyAlignment="1">
      <alignment horizontal="center"/>
    </xf>
    <xf numFmtId="0" fontId="17" fillId="0" borderId="11" xfId="0" applyFont="1" applyFill="1" applyBorder="1" applyAlignment="1">
      <alignment horizontal="center"/>
    </xf>
    <xf numFmtId="0" fontId="17" fillId="0" borderId="3" xfId="0" applyFont="1" applyFill="1" applyBorder="1" applyAlignment="1">
      <alignment horizontal="center"/>
    </xf>
    <xf numFmtId="0" fontId="17" fillId="0" borderId="3" xfId="0" applyFont="1" applyBorder="1" applyAlignment="1">
      <alignment horizontal="center"/>
    </xf>
    <xf numFmtId="0" fontId="17" fillId="0" borderId="9" xfId="0" applyFont="1" applyBorder="1" applyAlignment="1">
      <alignment horizontal="center"/>
    </xf>
    <xf numFmtId="0" fontId="8" fillId="0" borderId="19" xfId="0" applyFont="1" applyFill="1" applyBorder="1" applyAlignment="1">
      <alignment horizontal="center"/>
    </xf>
    <xf numFmtId="0" fontId="0" fillId="0" borderId="0" xfId="0" applyAlignment="1">
      <alignment horizontal="center"/>
    </xf>
    <xf numFmtId="0" fontId="0" fillId="0" borderId="26" xfId="0" applyBorder="1" applyAlignment="1">
      <alignment horizontal="center"/>
    </xf>
    <xf numFmtId="193" fontId="8" fillId="0" borderId="0" xfId="19">
      <alignment horizontal="left"/>
    </xf>
    <xf numFmtId="193" fontId="7" fillId="0" borderId="0" xfId="20" applyFill="1" applyAlignment="1"/>
    <xf numFmtId="193" fontId="8" fillId="0" borderId="0" xfId="19" applyFont="1">
      <alignment horizontal="left"/>
    </xf>
    <xf numFmtId="0" fontId="1" fillId="0" borderId="0" xfId="23"/>
    <xf numFmtId="195" fontId="1" fillId="0" borderId="0" xfId="23" applyNumberFormat="1"/>
    <xf numFmtId="196" fontId="1" fillId="0" borderId="0" xfId="23" applyNumberFormat="1"/>
    <xf numFmtId="0" fontId="35" fillId="0" borderId="0" xfId="24" applyAlignment="1">
      <alignment horizontal="left" wrapText="1"/>
    </xf>
    <xf numFmtId="0" fontId="35" fillId="0" borderId="0" xfId="24" applyAlignment="1">
      <alignment horizontal="center" wrapText="1"/>
    </xf>
    <xf numFmtId="0" fontId="35" fillId="0" borderId="0" xfId="24" applyAlignment="1">
      <alignment horizontal="right" wrapText="1"/>
    </xf>
    <xf numFmtId="0" fontId="35" fillId="0" borderId="0" xfId="24"/>
    <xf numFmtId="1" fontId="35" fillId="0" borderId="0" xfId="24" applyNumberFormat="1" applyAlignment="1">
      <alignment horizontal="right" wrapText="1"/>
    </xf>
  </cellXfs>
  <cellStyles count="25">
    <cellStyle name="Comma" xfId="3" builtinId="3"/>
    <cellStyle name="Comma [0]" xfId="6" builtinId="6"/>
    <cellStyle name="Currency" xfId="1" builtinId="4" hidden="1"/>
    <cellStyle name="Currency" xfId="17" builtinId="4"/>
    <cellStyle name="Currency [0]" xfId="7" builtinId="7" hidden="1"/>
    <cellStyle name="Currency 2" xfId="22" xr:uid="{89857D6B-DA0A-409D-BDE9-28A6CE98EDC6}"/>
    <cellStyle name="Hyperlink" xfId="9" builtinId="8"/>
    <cellStyle name="Hyperlink 2" xfId="10" xr:uid="{00000000-0005-0000-0000-000001000000}"/>
    <cellStyle name="Hyperlink Text." xfId="4" xr:uid="{00000000-0005-0000-0000-000002000000}"/>
    <cellStyle name="Hyperlink Text. 2" xfId="11" xr:uid="{00000000-0005-0000-0000-000003000000}"/>
    <cellStyle name="Hyperlink Text. 2 2" xfId="21" xr:uid="{0C1A87B6-9B68-4508-AD0C-7B5C7A77B6C5}"/>
    <cellStyle name="Normal" xfId="0" builtinId="0" customBuiltin="1"/>
    <cellStyle name="Normal 2" xfId="20" xr:uid="{FEAC8132-C5C3-42E2-9C2B-2641C6AA5994}"/>
    <cellStyle name="Normal 3" xfId="23" xr:uid="{189E93C6-0F8A-4E30-BB92-3B4AEF73006A}"/>
    <cellStyle name="Normal 4" xfId="24" xr:uid="{3DA7BFEA-1284-4C3C-AA57-0257782B52F7}"/>
    <cellStyle name="opgave" xfId="8" xr:uid="{00000000-0005-0000-0000-000006000000}"/>
    <cellStyle name="opgave 2" xfId="19" xr:uid="{00684079-8C86-4EC3-A92A-2A2AF5ACBB31}"/>
    <cellStyle name="Percent" xfId="2" builtinId="5"/>
    <cellStyle name="Sheet Title." xfId="5" xr:uid="{00000000-0005-0000-0000-000008000000}"/>
    <cellStyle name="Standaard 2" xfId="12" xr:uid="{00000000-0005-0000-0000-00000A000000}"/>
    <cellStyle name="Standaard 3" xfId="13" xr:uid="{00000000-0005-0000-0000-00000B000000}"/>
    <cellStyle name="Standaard 4" xfId="14" xr:uid="{00000000-0005-0000-0000-00000C000000}"/>
    <cellStyle name="Standaard 5" xfId="18" xr:uid="{44239984-F661-48FA-AECD-C46D6D8855E5}"/>
    <cellStyle name="Valuta 2" xfId="15" xr:uid="{00000000-0005-0000-0000-000010000000}"/>
    <cellStyle name="Valuta 3" xfId="16" xr:uid="{00000000-0005-0000-0000-000011000000}"/>
  </cellStyles>
  <dxfs count="27">
    <dxf>
      <numFmt numFmtId="0" formatCode="General"/>
    </dxf>
    <dxf>
      <alignment horizontal="right" readingOrder="0"/>
    </dxf>
    <dxf>
      <numFmt numFmtId="0" formatCode="General"/>
    </dxf>
    <dxf>
      <alignment horizontal="right" readingOrder="0"/>
    </dxf>
    <dxf>
      <numFmt numFmtId="13" formatCode="0%"/>
    </dxf>
    <dxf>
      <numFmt numFmtId="0" formatCode="General"/>
    </dxf>
    <dxf>
      <alignment horizontal="right" readingOrder="0"/>
    </dxf>
    <dxf>
      <numFmt numFmtId="0" formatCode="General"/>
    </dxf>
    <dxf>
      <numFmt numFmtId="32" formatCode="_(&quot;$&quot;* #,##0_);_(&quot;$&quot;* \(#,##0\);_(&quot;$&quot;* &quot;-&quot;_);_(@_)"/>
    </dxf>
    <dxf>
      <font>
        <sz val="8"/>
      </font>
    </dxf>
    <dxf>
      <numFmt numFmtId="0" formatCode="General"/>
    </dxf>
    <dxf>
      <numFmt numFmtId="9" formatCode="&quot;$&quot;#,##0_);\(&quot;$&quot;#,##0\)"/>
    </dxf>
    <dxf>
      <numFmt numFmtId="0" formatCode="General"/>
    </dxf>
    <dxf>
      <numFmt numFmtId="0" formatCode="General"/>
    </dxf>
    <dxf>
      <numFmt numFmtId="32" formatCode="_(&quot;$&quot;* #,##0_);_(&quot;$&quot;* \(#,##0\);_(&quot;$&quot;* &quot;-&quot;_);_(@_)"/>
    </dxf>
    <dxf>
      <numFmt numFmtId="30" formatCode="@"/>
    </dxf>
    <dxf>
      <numFmt numFmtId="30" formatCode="@"/>
    </dxf>
    <dxf>
      <numFmt numFmtId="0" formatCode="General"/>
    </dxf>
    <dxf>
      <numFmt numFmtId="194" formatCode="d/m/yyyy"/>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4.xml"/><Relationship Id="rId89" Type="http://schemas.openxmlformats.org/officeDocument/2006/relationships/pivotCacheDefinition" Target="pivotCache/pivotCacheDefinition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externalLink" Target="externalLinks/externalLink2.xml"/><Relationship Id="rId5" Type="http://schemas.openxmlformats.org/officeDocument/2006/relationships/worksheet" Target="worksheets/sheet5.xml"/><Relationship Id="rId90" Type="http://schemas.openxmlformats.org/officeDocument/2006/relationships/pivotCacheDefinition" Target="pivotCache/pivotCacheDefinition1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externalLink" Target="externalLinks/externalLink3.xml"/><Relationship Id="rId85" Type="http://schemas.openxmlformats.org/officeDocument/2006/relationships/pivotCacheDefinition" Target="pivotCache/pivotCacheDefinition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3.xml"/><Relationship Id="rId88" Type="http://schemas.openxmlformats.org/officeDocument/2006/relationships/pivotCacheDefinition" Target="pivotCache/pivotCacheDefinition8.xml"/><Relationship Id="rId91" Type="http://schemas.openxmlformats.org/officeDocument/2006/relationships/pivotCacheDefinition" Target="pivotCache/pivotCacheDefinition11.xml"/><Relationship Id="rId9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externalLink" Target="externalLinks/externalLink1.xml"/><Relationship Id="rId81" Type="http://schemas.openxmlformats.org/officeDocument/2006/relationships/pivotCacheDefinition" Target="pivotCache/pivotCacheDefinition1.xml"/><Relationship Id="rId86" Type="http://schemas.openxmlformats.org/officeDocument/2006/relationships/pivotCacheDefinition" Target="pivotCache/pivotCacheDefinition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7.xml"/><Relationship Id="rId61" Type="http://schemas.openxmlformats.org/officeDocument/2006/relationships/worksheet" Target="worksheets/sheet61.xml"/><Relationship Id="rId82" Type="http://schemas.openxmlformats.org/officeDocument/2006/relationships/pivotCacheDefinition" Target="pivotCache/pivotCacheDefinition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connections" Target="connections.xml"/><Relationship Id="rId9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fcast001!$E$10</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A1D6-49DA-B180-6FEB274F51B0}"/>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itle>
    <c:autoTitleDeleted val="0"/>
    <c:plotArea>
      <c:layout/>
      <c:scatterChart>
        <c:scatterStyle val="lineMarker"/>
        <c:varyColors val="0"/>
        <c:ser>
          <c:idx val="1"/>
          <c:order val="0"/>
          <c:tx>
            <c:strRef>
              <c:f>fcast001!$E$10</c:f>
              <c:strCache>
                <c:ptCount val="1"/>
                <c:pt idx="0">
                  <c:v>revenue
(x1000 $)</c:v>
                </c:pt>
              </c:strCache>
            </c:strRef>
          </c:tx>
          <c:spPr>
            <a:ln>
              <a:noFill/>
            </a:ln>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0-3E51-43CF-BB27-9B6289CFC2FA}"/>
            </c:ext>
          </c:extLst>
        </c:ser>
        <c:ser>
          <c:idx val="2"/>
          <c:order val="1"/>
          <c:tx>
            <c:strRef>
              <c:f>fcast001!$E$10</c:f>
              <c:strCache>
                <c:ptCount val="1"/>
                <c:pt idx="0">
                  <c:v>revenue
(x1000 $)</c:v>
                </c:pt>
              </c:strCache>
            </c:strRef>
          </c:tx>
          <c:spPr>
            <a:ln w="19050" cap="rnd">
              <a:noFill/>
              <a:round/>
            </a:ln>
            <a:effectLst/>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3E51-43CF-BB27-9B6289CFC2FA}"/>
            </c:ext>
          </c:extLst>
        </c:ser>
        <c:ser>
          <c:idx val="0"/>
          <c:order val="2"/>
          <c:tx>
            <c:strRef>
              <c:f>fcast001!$E$10</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3-3E51-43CF-BB27-9B6289CFC2FA}"/>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8928"/>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itle>
    <c:autoTitleDeleted val="0"/>
    <c:plotArea>
      <c:layout/>
      <c:scatterChart>
        <c:scatterStyle val="lineMarker"/>
        <c:varyColors val="0"/>
        <c:ser>
          <c:idx val="1"/>
          <c:order val="0"/>
          <c:tx>
            <c:strRef>
              <c:f>fcast001!$E$10</c:f>
              <c:strCache>
                <c:ptCount val="1"/>
                <c:pt idx="0">
                  <c:v>revenue
(x1000 $)</c:v>
                </c:pt>
              </c:strCache>
            </c:strRef>
          </c:tx>
          <c:spPr>
            <a:ln>
              <a:noFill/>
            </a:ln>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0-FF65-41DF-903D-515F8D265EC3}"/>
            </c:ext>
          </c:extLst>
        </c:ser>
        <c:ser>
          <c:idx val="2"/>
          <c:order val="1"/>
          <c:tx>
            <c:strRef>
              <c:f>fcast001!$E$10</c:f>
              <c:strCache>
                <c:ptCount val="1"/>
                <c:pt idx="0">
                  <c:v>revenue
(x1000 $)</c:v>
                </c:pt>
              </c:strCache>
            </c:strRef>
          </c:tx>
          <c:spPr>
            <a:ln w="19050" cap="rnd">
              <a:noFill/>
              <a:round/>
            </a:ln>
            <a:effectLst/>
          </c:spPr>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F65-41DF-903D-515F8D265EC3}"/>
            </c:ext>
          </c:extLst>
        </c:ser>
        <c:ser>
          <c:idx val="0"/>
          <c:order val="2"/>
          <c:tx>
            <c:strRef>
              <c:f>fcast001!$E$10</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3-FF65-41DF-903D-515F8D265EC3}"/>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8928"/>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(x $1000)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fcast002!$E$8</c:f>
              <c:strCache>
                <c:ptCount val="1"/>
                <c:pt idx="0">
                  <c:v>Sales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CA23-4F87-BA4B-5062FB91D6E9}"/>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strRef>
              <c:f>fcast002!$D$8</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Sales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Costs and Revenues</a:t>
            </a:r>
          </a:p>
        </c:rich>
      </c:tx>
      <c:layout>
        <c:manualLayout>
          <c:xMode val="edge"/>
          <c:yMode val="edge"/>
          <c:x val="7.8694444444444442E-2"/>
          <c:y val="3.7037037037037035E-2"/>
        </c:manualLayout>
      </c:layout>
      <c:overlay val="0"/>
    </c:title>
    <c:autoTitleDeleted val="0"/>
    <c:plotArea>
      <c:layout>
        <c:manualLayout>
          <c:layoutTarget val="inner"/>
          <c:xMode val="edge"/>
          <c:yMode val="edge"/>
          <c:x val="9.8571741032371027E-2"/>
          <c:y val="0.1818307086614174"/>
          <c:w val="0.85679636920384961"/>
          <c:h val="0.66779491105279365"/>
        </c:manualLayout>
      </c:layout>
      <c:scatterChart>
        <c:scatterStyle val="smoothMarker"/>
        <c:varyColors val="0"/>
        <c:ser>
          <c:idx val="0"/>
          <c:order val="0"/>
          <c:tx>
            <c:strRef>
              <c:f>goal003!$D$8</c:f>
              <c:strCache>
                <c:ptCount val="1"/>
                <c:pt idx="0">
                  <c:v>TC</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86EE-42B7-B2E9-08E9066F08A8}"/>
            </c:ext>
          </c:extLst>
        </c:ser>
        <c:ser>
          <c:idx val="1"/>
          <c:order val="1"/>
          <c:tx>
            <c:strRef>
              <c:f>goal003!$E$8</c:f>
              <c:strCache>
                <c:ptCount val="1"/>
                <c:pt idx="0">
                  <c:v>TR</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86EE-42B7-B2E9-08E9066F08A8}"/>
            </c:ext>
          </c:extLst>
        </c:ser>
        <c:dLbls>
          <c:showLegendKey val="0"/>
          <c:showVal val="0"/>
          <c:showCatName val="0"/>
          <c:showSerName val="0"/>
          <c:showPercent val="0"/>
          <c:showBubbleSize val="0"/>
        </c:dLbls>
        <c:axId val="179837568"/>
        <c:axId val="179852032"/>
      </c:scatterChart>
      <c:valAx>
        <c:axId val="179837568"/>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79852032"/>
        <c:crosses val="autoZero"/>
        <c:crossBetween val="midCat"/>
        <c:majorUnit val="1"/>
        <c:minorUnit val="1"/>
      </c:valAx>
      <c:valAx>
        <c:axId val="179852032"/>
        <c:scaling>
          <c:orientation val="minMax"/>
          <c:max val="500"/>
          <c:min val="0"/>
        </c:scaling>
        <c:delete val="0"/>
        <c:axPos val="l"/>
        <c:numFmt formatCode="0" sourceLinked="0"/>
        <c:majorTickMark val="out"/>
        <c:minorTickMark val="none"/>
        <c:tickLblPos val="nextTo"/>
        <c:crossAx val="179837568"/>
        <c:crosses val="autoZero"/>
        <c:crossBetween val="midCat"/>
        <c:majorUnit val="100"/>
      </c:valAx>
    </c:plotArea>
    <c:legend>
      <c:legendPos val="t"/>
      <c:layout>
        <c:manualLayout>
          <c:xMode val="edge"/>
          <c:yMode val="edge"/>
          <c:x val="0.68128040244969901"/>
          <c:y val="6.0601851851851893E-2"/>
          <c:w val="0.29449194444444482"/>
          <c:h val="8.3717191601050026E-2"/>
        </c:manualLayout>
      </c:layout>
      <c:overlay val="0"/>
    </c:legend>
    <c:plotVisOnly val="1"/>
    <c:dispBlanksAs val="gap"/>
    <c:showDLblsOverMax val="0"/>
  </c:chart>
  <c:printSettings>
    <c:headerFooter/>
    <c:pageMargins b="0.75000000000000477" l="0.70000000000000062" r="0.70000000000000062" t="0.75000000000000477"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728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8EB8-4EB8-A6BE-DBB2FB8596D5}"/>
            </c:ext>
          </c:extLst>
        </c:ser>
        <c:dLbls>
          <c:showLegendKey val="0"/>
          <c:showVal val="0"/>
          <c:showCatName val="0"/>
          <c:showSerName val="0"/>
          <c:showPercent val="0"/>
          <c:showBubbleSize val="0"/>
        </c:dLbls>
        <c:axId val="178982912"/>
        <c:axId val="178984832"/>
      </c:scatterChart>
      <c:valAx>
        <c:axId val="178982912"/>
        <c:scaling>
          <c:orientation val="minMax"/>
        </c:scaling>
        <c:delete val="0"/>
        <c:axPos val="b"/>
        <c:title>
          <c:tx>
            <c:rich>
              <a:bodyPr/>
              <a:lstStyle/>
              <a:p>
                <a:pPr>
                  <a:defRPr/>
                </a:pPr>
                <a:r>
                  <a:rPr lang="nl-NL"/>
                  <a:t>Y</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en-US"/>
          </a:p>
        </c:txPr>
        <c:crossAx val="178984832"/>
        <c:crosses val="autoZero"/>
        <c:crossBetween val="midCat"/>
      </c:valAx>
      <c:valAx>
        <c:axId val="178984832"/>
        <c:scaling>
          <c:orientation val="minMax"/>
        </c:scaling>
        <c:delete val="0"/>
        <c:axPos val="l"/>
        <c:title>
          <c:tx>
            <c:rich>
              <a:bodyPr rot="0" vert="horz"/>
              <a:lstStyle/>
              <a:p>
                <a:pPr>
                  <a:defRPr/>
                </a:pPr>
                <a:r>
                  <a:rPr lang="nl-NL"/>
                  <a:t>X</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en-US"/>
          </a:p>
        </c:txPr>
        <c:crossAx val="178982912"/>
        <c:crosses val="autoZero"/>
        <c:crossBetween val="midCat"/>
      </c:valAx>
    </c:plotArea>
    <c:plotVisOnly val="1"/>
    <c:dispBlanksAs val="gap"/>
    <c:showDLblsOverMax val="0"/>
  </c:chart>
  <c:printSettings>
    <c:headerFooter/>
    <c:pageMargins b="0.75000000000000822" l="0.70000000000000062" r="0.70000000000000062" t="0.75000000000000822" header="0.30000000000000032" footer="0.30000000000000032"/>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Bookings 2008 -2010</a:t>
            </a:r>
          </a:p>
        </c:rich>
      </c:tx>
      <c:overlay val="0"/>
    </c:title>
    <c:autoTitleDeleted val="0"/>
    <c:plotArea>
      <c:layout/>
      <c:barChart>
        <c:barDir val="col"/>
        <c:grouping val="stacked"/>
        <c:varyColors val="0"/>
        <c:ser>
          <c:idx val="0"/>
          <c:order val="0"/>
          <c:tx>
            <c:strRef>
              <c:f>graf002!$D$8</c:f>
              <c:strCache>
                <c:ptCount val="1"/>
                <c:pt idx="0">
                  <c:v>Egypt</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1E63-401A-A91E-E7ECA3BAA425}"/>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1E63-401A-A91E-E7ECA3BAA425}"/>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1E63-401A-A91E-E7ECA3BAA425}"/>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1E63-401A-A91E-E7ECA3BAA425}"/>
            </c:ext>
          </c:extLst>
        </c:ser>
        <c:ser>
          <c:idx val="4"/>
          <c:order val="4"/>
          <c:tx>
            <c:strRef>
              <c:f>graf002!$H$8</c:f>
              <c:strCache>
                <c:ptCount val="1"/>
                <c:pt idx="0">
                  <c:v>Antarctic</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1E63-401A-A91E-E7ECA3BAA425}"/>
            </c:ext>
          </c:extLst>
        </c:ser>
        <c:dLbls>
          <c:showLegendKey val="0"/>
          <c:showVal val="0"/>
          <c:showCatName val="0"/>
          <c:showSerName val="0"/>
          <c:showPercent val="0"/>
          <c:showBubbleSize val="0"/>
        </c:dLbls>
        <c:gapWidth val="60"/>
        <c:overlap val="100"/>
        <c:axId val="179042560"/>
        <c:axId val="180563968"/>
      </c:barChart>
      <c:catAx>
        <c:axId val="179042560"/>
        <c:scaling>
          <c:orientation val="minMax"/>
        </c:scaling>
        <c:delete val="0"/>
        <c:axPos val="b"/>
        <c:numFmt formatCode="General" sourceLinked="1"/>
        <c:majorTickMark val="out"/>
        <c:minorTickMark val="none"/>
        <c:tickLblPos val="nextTo"/>
        <c:crossAx val="180563968"/>
        <c:crosses val="autoZero"/>
        <c:auto val="1"/>
        <c:lblAlgn val="ctr"/>
        <c:lblOffset val="100"/>
        <c:noMultiLvlLbl val="0"/>
      </c:catAx>
      <c:valAx>
        <c:axId val="180563968"/>
        <c:scaling>
          <c:orientation val="minMax"/>
        </c:scaling>
        <c:delete val="0"/>
        <c:axPos val="l"/>
        <c:majorGridlines/>
        <c:numFmt formatCode="General" sourceLinked="1"/>
        <c:majorTickMark val="out"/>
        <c:minorTickMark val="none"/>
        <c:tickLblPos val="nextTo"/>
        <c:crossAx val="179042560"/>
        <c:crosses val="autoZero"/>
        <c:crossBetween val="between"/>
      </c:valAx>
    </c:plotArea>
    <c:legend>
      <c:legendPos val="r"/>
      <c:overlay val="0"/>
    </c:legend>
    <c:plotVisOnly val="1"/>
    <c:dispBlanksAs val="gap"/>
    <c:showDLblsOverMax val="0"/>
  </c:chart>
  <c:printSettings>
    <c:headerFooter/>
    <c:pageMargins b="0.75000000000000777" l="0.70000000000000062" r="0.70000000000000062" t="0.75000000000000777"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Sales </a:t>
            </a:r>
            <a:r>
              <a:rPr lang="nl-NL" sz="1600" baseline="0"/>
              <a:t>2010</a:t>
            </a:r>
            <a:endParaRPr lang="nl-NL" sz="1600"/>
          </a:p>
        </c:rich>
      </c:tx>
      <c:layout>
        <c:manualLayout>
          <c:xMode val="edge"/>
          <c:yMode val="edge"/>
          <c:x val="0.17786811023622309"/>
          <c:y val="2.7777777777778598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estimated</c:v>
                </c:pt>
              </c:strCache>
            </c:strRef>
          </c:tx>
          <c:invertIfNegative val="0"/>
          <c:cat>
            <c:strRef>
              <c:f>graf003!$C$11:$C$14</c:f>
              <c:strCache>
                <c:ptCount val="4"/>
                <c:pt idx="0">
                  <c:v>Q 1</c:v>
                </c:pt>
                <c:pt idx="1">
                  <c:v>Q 2</c:v>
                </c:pt>
                <c:pt idx="2">
                  <c:v>Q 3</c:v>
                </c:pt>
                <c:pt idx="3">
                  <c:v>Q 4</c:v>
                </c:pt>
              </c:strCache>
            </c:strRef>
          </c:cat>
          <c:val>
            <c:numRef>
              <c:f>graf003!$D$11:$D$14</c:f>
              <c:numCache>
                <c:formatCode>_("$"* #,##0_);_("$"* \(#,##0\);_("$"* "-"??_);_(@_)</c:formatCode>
                <c:ptCount val="4"/>
                <c:pt idx="0">
                  <c:v>85000</c:v>
                </c:pt>
                <c:pt idx="1">
                  <c:v>100000</c:v>
                </c:pt>
                <c:pt idx="2">
                  <c:v>115000</c:v>
                </c:pt>
                <c:pt idx="3">
                  <c:v>120000</c:v>
                </c:pt>
              </c:numCache>
            </c:numRef>
          </c:val>
          <c:extLst>
            <c:ext xmlns:c16="http://schemas.microsoft.com/office/drawing/2014/chart" uri="{C3380CC4-5D6E-409C-BE32-E72D297353CC}">
              <c16:uniqueId val="{00000000-43A5-45EB-92BD-5C6CE7952EE6}"/>
            </c:ext>
          </c:extLst>
        </c:ser>
        <c:dLbls>
          <c:showLegendKey val="0"/>
          <c:showVal val="0"/>
          <c:showCatName val="0"/>
          <c:showSerName val="0"/>
          <c:showPercent val="0"/>
          <c:showBubbleSize val="0"/>
        </c:dLbls>
        <c:gapWidth val="100"/>
        <c:axId val="180650368"/>
        <c:axId val="180651904"/>
      </c:barChart>
      <c:lineChart>
        <c:grouping val="standard"/>
        <c:varyColors val="0"/>
        <c:ser>
          <c:idx val="1"/>
          <c:order val="1"/>
          <c:tx>
            <c:strRef>
              <c:f>graf003!$E$10</c:f>
              <c:strCache>
                <c:ptCount val="1"/>
                <c:pt idx="0">
                  <c:v>actual</c:v>
                </c:pt>
              </c:strCache>
            </c:strRef>
          </c:tx>
          <c:cat>
            <c:strRef>
              <c:f>graf003!$C$11:$C$14</c:f>
              <c:strCache>
                <c:ptCount val="4"/>
                <c:pt idx="0">
                  <c:v>Q 1</c:v>
                </c:pt>
                <c:pt idx="1">
                  <c:v>Q 2</c:v>
                </c:pt>
                <c:pt idx="2">
                  <c:v>Q 3</c:v>
                </c:pt>
                <c:pt idx="3">
                  <c:v>Q 4</c:v>
                </c:pt>
              </c:strCache>
            </c:strRef>
          </c:cat>
          <c:val>
            <c:numRef>
              <c:f>graf003!$E$11:$E$14</c:f>
              <c:numCache>
                <c:formatCode>_("$"* #,##0_);_("$"* \(#,##0\);_("$"* "-"??_);_(@_)</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43A5-45EB-92BD-5C6CE7952EE6}"/>
            </c:ext>
          </c:extLst>
        </c:ser>
        <c:dLbls>
          <c:showLegendKey val="0"/>
          <c:showVal val="0"/>
          <c:showCatName val="0"/>
          <c:showSerName val="0"/>
          <c:showPercent val="0"/>
          <c:showBubbleSize val="0"/>
        </c:dLbls>
        <c:marker val="1"/>
        <c:smooth val="0"/>
        <c:axId val="180650368"/>
        <c:axId val="180651904"/>
      </c:lineChart>
      <c:catAx>
        <c:axId val="180650368"/>
        <c:scaling>
          <c:orientation val="minMax"/>
        </c:scaling>
        <c:delete val="0"/>
        <c:axPos val="b"/>
        <c:numFmt formatCode="General" sourceLinked="1"/>
        <c:majorTickMark val="out"/>
        <c:minorTickMark val="none"/>
        <c:tickLblPos val="nextTo"/>
        <c:crossAx val="180651904"/>
        <c:crosses val="autoZero"/>
        <c:auto val="1"/>
        <c:lblAlgn val="ctr"/>
        <c:lblOffset val="100"/>
        <c:noMultiLvlLbl val="0"/>
      </c:catAx>
      <c:valAx>
        <c:axId val="180651904"/>
        <c:scaling>
          <c:orientation val="minMax"/>
        </c:scaling>
        <c:delete val="0"/>
        <c:axPos val="l"/>
        <c:majorGridlines>
          <c:spPr>
            <a:ln>
              <a:prstDash val="sysDash"/>
            </a:ln>
          </c:spPr>
        </c:majorGridlines>
        <c:numFmt formatCode="_(&quot;$&quot;* #,##0_);_(&quot;$&quot;* \(#,##0\);_(&quot;$&quot;* &quot;-&quot;??_);_(@_)" sourceLinked="1"/>
        <c:majorTickMark val="out"/>
        <c:minorTickMark val="none"/>
        <c:tickLblPos val="nextTo"/>
        <c:crossAx val="180650368"/>
        <c:crosses val="autoZero"/>
        <c:crossBetween val="between"/>
      </c:valAx>
    </c:plotArea>
    <c:legend>
      <c:legendPos val="r"/>
      <c:layout>
        <c:manualLayout>
          <c:xMode val="edge"/>
          <c:yMode val="edge"/>
          <c:x val="0.57872222222222214"/>
          <c:y val="2.9650772820064713E-2"/>
          <c:w val="0.29093579648697765"/>
          <c:h val="0.14891586468358123"/>
        </c:manualLayout>
      </c:layout>
      <c:overlay val="0"/>
    </c:legend>
    <c:plotVisOnly val="1"/>
    <c:dispBlanksAs val="gap"/>
    <c:showDLblsOverMax val="0"/>
  </c:chart>
  <c:printSettings>
    <c:headerFooter/>
    <c:pageMargins b="0.75000000000000766" l="0.70000000000000062" r="0.70000000000000062" t="0.75000000000000766"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Age structure</a:t>
            </a:r>
          </a:p>
        </c:rich>
      </c:tx>
      <c:overlay val="0"/>
    </c:title>
    <c:autoTitleDeleted val="0"/>
    <c:plotArea>
      <c:layout/>
      <c:lineChart>
        <c:grouping val="standard"/>
        <c:varyColors val="0"/>
        <c:ser>
          <c:idx val="0"/>
          <c:order val="0"/>
          <c:tx>
            <c:strRef>
              <c:f>graf004!$D$9</c:f>
              <c:strCache>
                <c:ptCount val="1"/>
                <c:pt idx="0">
                  <c:v>0 to 10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21CC-4446-A119-79DE08EB86FC}"/>
            </c:ext>
          </c:extLst>
        </c:ser>
        <c:ser>
          <c:idx val="1"/>
          <c:order val="1"/>
          <c:tx>
            <c:strRef>
              <c:f>graf004!$D$10</c:f>
              <c:strCache>
                <c:ptCount val="1"/>
                <c:pt idx="0">
                  <c:v>10 to 20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21CC-4446-A119-79DE08EB86FC}"/>
            </c:ext>
          </c:extLst>
        </c:ser>
        <c:ser>
          <c:idx val="2"/>
          <c:order val="2"/>
          <c:tx>
            <c:strRef>
              <c:f>graf004!$D$11</c:f>
              <c:strCache>
                <c:ptCount val="1"/>
                <c:pt idx="0">
                  <c:v>20 to 30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21CC-4446-A119-79DE08EB86FC}"/>
            </c:ext>
          </c:extLst>
        </c:ser>
        <c:ser>
          <c:idx val="3"/>
          <c:order val="3"/>
          <c:tx>
            <c:strRef>
              <c:f>graf004!$D$12</c:f>
              <c:strCache>
                <c:ptCount val="1"/>
                <c:pt idx="0">
                  <c:v>30 to 40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21CC-4446-A119-79DE08EB86FC}"/>
            </c:ext>
          </c:extLst>
        </c:ser>
        <c:ser>
          <c:idx val="4"/>
          <c:order val="4"/>
          <c:tx>
            <c:strRef>
              <c:f>graf004!$D$13</c:f>
              <c:strCache>
                <c:ptCount val="1"/>
                <c:pt idx="0">
                  <c:v>40 to 50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21CC-4446-A119-79DE08EB86FC}"/>
            </c:ext>
          </c:extLst>
        </c:ser>
        <c:ser>
          <c:idx val="5"/>
          <c:order val="5"/>
          <c:tx>
            <c:strRef>
              <c:f>graf004!$D$14</c:f>
              <c:strCache>
                <c:ptCount val="1"/>
                <c:pt idx="0">
                  <c:v>50 to 60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21CC-4446-A119-79DE08EB86FC}"/>
            </c:ext>
          </c:extLst>
        </c:ser>
        <c:ser>
          <c:idx val="6"/>
          <c:order val="6"/>
          <c:tx>
            <c:strRef>
              <c:f>graf004!$D$15</c:f>
              <c:strCache>
                <c:ptCount val="1"/>
                <c:pt idx="0">
                  <c:v>60 to 70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21CC-4446-A119-79DE08EB86FC}"/>
            </c:ext>
          </c:extLst>
        </c:ser>
        <c:ser>
          <c:idx val="7"/>
          <c:order val="7"/>
          <c:tx>
            <c:strRef>
              <c:f>graf004!$D$16</c:f>
              <c:strCache>
                <c:ptCount val="1"/>
                <c:pt idx="0">
                  <c:v>70 to 80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21CC-4446-A119-79DE08EB86FC}"/>
            </c:ext>
          </c:extLst>
        </c:ser>
        <c:ser>
          <c:idx val="8"/>
          <c:order val="8"/>
          <c:tx>
            <c:strRef>
              <c:f>graf004!$D$17</c:f>
              <c:strCache>
                <c:ptCount val="1"/>
                <c:pt idx="0">
                  <c:v>80 years or older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21CC-4446-A119-79DE08EB86FC}"/>
            </c:ext>
          </c:extLst>
        </c:ser>
        <c:dLbls>
          <c:showLegendKey val="0"/>
          <c:showVal val="0"/>
          <c:showCatName val="0"/>
          <c:showSerName val="0"/>
          <c:showPercent val="0"/>
          <c:showBubbleSize val="0"/>
        </c:dLbls>
        <c:marker val="1"/>
        <c:smooth val="0"/>
        <c:axId val="180725632"/>
        <c:axId val="180727168"/>
      </c:lineChart>
      <c:catAx>
        <c:axId val="180725632"/>
        <c:scaling>
          <c:orientation val="minMax"/>
        </c:scaling>
        <c:delete val="0"/>
        <c:axPos val="b"/>
        <c:numFmt formatCode="General" sourceLinked="0"/>
        <c:majorTickMark val="out"/>
        <c:minorTickMark val="none"/>
        <c:tickLblPos val="nextTo"/>
        <c:crossAx val="180727168"/>
        <c:crosses val="autoZero"/>
        <c:auto val="1"/>
        <c:lblAlgn val="ctr"/>
        <c:lblOffset val="100"/>
        <c:noMultiLvlLbl val="0"/>
      </c:catAx>
      <c:valAx>
        <c:axId val="180727168"/>
        <c:scaling>
          <c:orientation val="minMax"/>
        </c:scaling>
        <c:delete val="0"/>
        <c:axPos val="l"/>
        <c:majorGridlines/>
        <c:numFmt formatCode="0%" sourceLinked="0"/>
        <c:majorTickMark val="out"/>
        <c:minorTickMark val="none"/>
        <c:tickLblPos val="nextTo"/>
        <c:crossAx val="180725632"/>
        <c:crosses val="autoZero"/>
        <c:crossBetween val="between"/>
      </c:valAx>
    </c:plotArea>
    <c:legend>
      <c:legendPos val="r"/>
      <c:overlay val="0"/>
    </c:legend>
    <c:plotVisOnly val="1"/>
    <c:dispBlanksAs val="gap"/>
    <c:showDLblsOverMax val="0"/>
  </c:chart>
  <c:printSettings>
    <c:headerFooter/>
    <c:pageMargins b="0.75000000000000566" l="0.70000000000000062" r="0.70000000000000062" t="0.75000000000000566" header="0.30000000000000032" footer="0.30000000000000032"/>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Cost price -  Production time</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measured values</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General</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3-8D48-4125-B96C-E891F9268FB0}"/>
            </c:ext>
          </c:extLst>
        </c:ser>
        <c:dLbls>
          <c:showLegendKey val="0"/>
          <c:showVal val="0"/>
          <c:showCatName val="0"/>
          <c:showSerName val="0"/>
          <c:showPercent val="0"/>
          <c:showBubbleSize val="0"/>
        </c:dLbls>
        <c:axId val="180758784"/>
        <c:axId val="180777344"/>
      </c:scatterChart>
      <c:valAx>
        <c:axId val="180758784"/>
        <c:scaling>
          <c:orientation val="minMax"/>
          <c:max val="82"/>
          <c:min val="62"/>
        </c:scaling>
        <c:delete val="0"/>
        <c:axPos val="b"/>
        <c:title>
          <c:tx>
            <c:rich>
              <a:bodyPr/>
              <a:lstStyle/>
              <a:p>
                <a:pPr>
                  <a:defRPr/>
                </a:pPr>
                <a:r>
                  <a:rPr lang="nl-NL"/>
                  <a:t>Production time </a:t>
                </a:r>
                <a:r>
                  <a:rPr lang="nl-NL" baseline="0"/>
                  <a:t>(min)</a:t>
                </a:r>
                <a:endParaRPr lang="nl-NL"/>
              </a:p>
            </c:rich>
          </c:tx>
          <c:overlay val="0"/>
        </c:title>
        <c:numFmt formatCode="#,##0" sourceLinked="0"/>
        <c:majorTickMark val="out"/>
        <c:minorTickMark val="none"/>
        <c:tickLblPos val="nextTo"/>
        <c:crossAx val="180777344"/>
        <c:crosses val="autoZero"/>
        <c:crossBetween val="midCat"/>
        <c:majorUnit val="5"/>
        <c:minorUnit val="1"/>
      </c:valAx>
      <c:valAx>
        <c:axId val="180777344"/>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Cost price</a:t>
                </a:r>
              </a:p>
            </c:rich>
          </c:tx>
          <c:overlay val="0"/>
        </c:title>
        <c:numFmt formatCode="General" sourceLinked="1"/>
        <c:majorTickMark val="out"/>
        <c:minorTickMark val="none"/>
        <c:tickLblPos val="nextTo"/>
        <c:crossAx val="180758784"/>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555" l="0.70000000000000062" r="0.70000000000000062" t="0.7500000000000055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Number agarics per ha</a:t>
            </a:r>
            <a:endParaRPr lang="en-US"/>
          </a:p>
        </c:rich>
      </c:tx>
      <c:overlay val="0"/>
    </c:title>
    <c:autoTitleDeleted val="0"/>
    <c:plotArea>
      <c:layout>
        <c:manualLayout>
          <c:layoutTarget val="inner"/>
          <c:xMode val="edge"/>
          <c:yMode val="edge"/>
          <c:x val="0.25524431321084901"/>
          <c:y val="0.23580052493438317"/>
          <c:w val="0.43951159230096287"/>
          <c:h val="0.71990777194517364"/>
        </c:manualLayout>
      </c:layout>
      <c:radarChart>
        <c:radarStyle val="marker"/>
        <c:varyColors val="0"/>
        <c:ser>
          <c:idx val="0"/>
          <c:order val="0"/>
          <c:tx>
            <c:strRef>
              <c:f>graf006!$E$8</c:f>
              <c:strCache>
                <c:ptCount val="1"/>
                <c:pt idx="0">
                  <c:v>Number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5795-40F6-927F-E1D729574F63}"/>
            </c:ext>
          </c:extLst>
        </c:ser>
        <c:dLbls>
          <c:showLegendKey val="0"/>
          <c:showVal val="0"/>
          <c:showCatName val="0"/>
          <c:showSerName val="0"/>
          <c:showPercent val="0"/>
          <c:showBubbleSize val="0"/>
        </c:dLbls>
        <c:axId val="180033408"/>
        <c:axId val="180034944"/>
      </c:radarChart>
      <c:catAx>
        <c:axId val="180033408"/>
        <c:scaling>
          <c:orientation val="minMax"/>
        </c:scaling>
        <c:delete val="0"/>
        <c:axPos val="b"/>
        <c:majorGridlines/>
        <c:numFmt formatCode="General" sourceLinked="0"/>
        <c:majorTickMark val="out"/>
        <c:minorTickMark val="none"/>
        <c:tickLblPos val="nextTo"/>
        <c:crossAx val="180034944"/>
        <c:crosses val="autoZero"/>
        <c:auto val="1"/>
        <c:lblAlgn val="ctr"/>
        <c:lblOffset val="100"/>
        <c:noMultiLvlLbl val="0"/>
      </c:catAx>
      <c:valAx>
        <c:axId val="180034944"/>
        <c:scaling>
          <c:orientation val="minMax"/>
        </c:scaling>
        <c:delete val="0"/>
        <c:axPos val="l"/>
        <c:majorGridlines/>
        <c:numFmt formatCode="_ * #,##0_ ;_ * \-#,##0_ ;_ * &quot;-&quot;??_ ;_ @_ " sourceLinked="1"/>
        <c:majorTickMark val="cross"/>
        <c:minorTickMark val="none"/>
        <c:tickLblPos val="nextTo"/>
        <c:crossAx val="180033408"/>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Relation </a:t>
            </a:r>
            <a:r>
              <a:rPr lang="en-US" sz="1400" baseline="0"/>
              <a:t> study hours - mark</a:t>
            </a:r>
            <a:endParaRPr lang="en-US" sz="1400"/>
          </a:p>
        </c:rich>
      </c:tx>
      <c:overlay val="0"/>
    </c:title>
    <c:autoTitleDeleted val="0"/>
    <c:plotArea>
      <c:layout/>
      <c:scatterChart>
        <c:scatterStyle val="lineMarker"/>
        <c:varyColors val="0"/>
        <c:ser>
          <c:idx val="0"/>
          <c:order val="0"/>
          <c:tx>
            <c:strRef>
              <c:f>stat002!$E$8</c:f>
              <c:strCache>
                <c:ptCount val="1"/>
                <c:pt idx="0">
                  <c:v>mark</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[$$-409]#,##0.00_);\([$$-409]#,##0.00\)</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AD5B-4EEB-BE4C-6C99D0441099}"/>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study hours</a:t>
                </a:r>
              </a:p>
            </c:rich>
          </c:tx>
          <c:overlay val="0"/>
        </c:title>
        <c:numFmt formatCode="[$$-409]#,##0.00_);\([$$-409]#,##0.00\)"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mark</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level</a:t>
            </a:r>
          </a:p>
        </c:rich>
      </c:tx>
      <c:overlay val="0"/>
    </c:title>
    <c:autoTitleDeleted val="0"/>
    <c:plotArea>
      <c:layout/>
      <c:scatterChart>
        <c:scatterStyle val="smoothMarker"/>
        <c:varyColors val="0"/>
        <c:ser>
          <c:idx val="0"/>
          <c:order val="0"/>
          <c:tx>
            <c:strRef>
              <c:f>stat004!$D$11</c:f>
              <c:strCache>
                <c:ptCount val="1"/>
                <c:pt idx="0">
                  <c:v>Service level</c:v>
                </c:pt>
              </c:strCache>
            </c:strRef>
          </c:tx>
          <c:spPr>
            <a:ln>
              <a:solidFill>
                <a:schemeClr val="tx1"/>
              </a:solidFill>
            </a:ln>
          </c:spPr>
          <c:marker>
            <c:symbol val="none"/>
          </c:marker>
          <c:xVal>
            <c:numRef>
              <c:f>stat004!$C$12:$C$22</c:f>
              <c:numCache>
                <c:formatCode>[$$-409]#,##0.00_);\([$$-409]#,##0.00\)</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B715-479F-BE83-A17692BAB0C2}"/>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product demand</a:t>
                </a:r>
              </a:p>
            </c:rich>
          </c:tx>
          <c:overlay val="0"/>
        </c:title>
        <c:numFmt formatCode="[$$-409]#,##0.00_);\([$$-409]#,##0.00\)"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 level</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2.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E0CCDF04-693B-4C0D-8B39-F3DCDAC7D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F39CA0EC-CC1F-4E39-9487-FBCEF65BE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01472096-C55B-49C2-937C-03CDAC489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A8B50E7A-2537-4199-920B-A70209654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gross profit= revenues - costs</a:t>
          </a:r>
        </a:p>
        <a:p>
          <a:r>
            <a:rPr lang="nl-NL" sz="900">
              <a:latin typeface="Consolas" pitchFamily="49" charset="0"/>
              <a:cs typeface="Consolas" pitchFamily="49" charset="0"/>
            </a:rPr>
            <a:t>margin realized= gross profit/ costs,</a:t>
          </a:r>
          <a:r>
            <a:rPr lang="nl-NL" sz="900" baseline="0">
              <a:latin typeface="Consolas" pitchFamily="49" charset="0"/>
              <a:cs typeface="Consolas" pitchFamily="49" charset="0"/>
            </a:rPr>
            <a:t> format as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You should check 2 conditions to display the correct result. Two possibilities:</a:t>
          </a:r>
        </a:p>
        <a:p>
          <a:r>
            <a:rPr lang="nl-NL" sz="900" baseline="0">
              <a:latin typeface="Consolas" pitchFamily="49" charset="0"/>
              <a:cs typeface="Consolas" pitchFamily="49" charset="0"/>
            </a:rPr>
            <a:t>1) a nested IF function: =ALS(G10&gt;$G$7;ALS(H10&gt;$H$7;"goed";"slecht");"slecht")</a:t>
          </a:r>
        </a:p>
        <a:p>
          <a:r>
            <a:rPr lang="nl-NL" sz="900" baseline="0">
              <a:latin typeface="Consolas" pitchFamily="49" charset="0"/>
              <a:cs typeface="Consolas" pitchFamily="49" charset="0"/>
            </a:rPr>
            <a:t>2) a combination of IF with AND: =ALS(EN(G10&gt;$G$7;H10&gt;$H$7);"goed";"slecht")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Use VLOOKUP for the search</a:t>
          </a:r>
          <a:r>
            <a:rPr lang="nl-NL" sz="900" baseline="0">
              <a:latin typeface="Consolas" pitchFamily="49" charset="0"/>
              <a:cs typeface="Consolas" pitchFamily="49" charset="0"/>
            </a:rPr>
            <a:t> results.</a:t>
          </a:r>
          <a:endParaRPr lang="nl-NL" sz="900">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247649</xdr:colOff>
      <xdr:row>17</xdr:row>
      <xdr:rowOff>9526</xdr:rowOff>
    </xdr:from>
    <xdr:to>
      <xdr:col>9</xdr:col>
      <xdr:colOff>371475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299" y="2762251"/>
          <a:ext cx="6000751"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date of birth:</a:t>
          </a:r>
          <a:r>
            <a:rPr lang="nl-NL" sz="900" baseline="0">
              <a:latin typeface="Consolas" pitchFamily="49" charset="0"/>
              <a:cs typeface="Consolas" pitchFamily="49" charset="0"/>
            </a:rPr>
            <a:t> format is important&gt; Format cells-&gt; custom-&gt; type is ddd dd/m/yyyyjj</a:t>
          </a:r>
        </a:p>
        <a:p>
          <a:r>
            <a:rPr lang="nl-NL" sz="900" baseline="0">
              <a:latin typeface="Consolas" pitchFamily="49" charset="0"/>
              <a:cs typeface="Consolas" pitchFamily="49" charset="0"/>
            </a:rPr>
            <a:t>pension date: =DATE(YEAR(date of birth)+pension age,MONTH(date of birth),DAY(date of birth))</a:t>
          </a:r>
        </a:p>
        <a:p>
          <a:r>
            <a:rPr lang="nl-NL" sz="900" baseline="0">
              <a:latin typeface="Consolas" pitchFamily="49" charset="0"/>
              <a:cs typeface="Consolas" pitchFamily="49" charset="0"/>
            </a:rPr>
            <a:t>current date: =TODAY()</a:t>
          </a:r>
        </a:p>
        <a:p>
          <a:r>
            <a:rPr lang="nl-NL" sz="900" baseline="0">
              <a:latin typeface="Consolas" pitchFamily="49" charset="0"/>
              <a:cs typeface="Consolas" pitchFamily="49" charset="0"/>
            </a:rPr>
            <a:t>number of days until pension: =pension date - current date</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Commission</a:t>
          </a:r>
          <a:r>
            <a:rPr lang="nl-NL" sz="900" baseline="0">
              <a:latin typeface="Consolas" pitchFamily="49" charset="0"/>
              <a:cs typeface="Consolas" pitchFamily="49" charset="0"/>
            </a:rPr>
            <a:t> = IF(Sales &lt; Sales_Target;Commission_Low*Sales;Commission_High*Sales)</a:t>
          </a:r>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123825</xdr:colOff>
      <xdr:row>22</xdr:row>
      <xdr:rowOff>66675</xdr:rowOff>
    </xdr:from>
    <xdr:to>
      <xdr:col>11</xdr:col>
      <xdr:colOff>419100</xdr:colOff>
      <xdr:row>39</xdr:row>
      <xdr:rowOff>66675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371475" y="3867150"/>
          <a:ext cx="6477000" cy="27527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Formula Days too early. Two conditions should be checked. First check if the baby has been borned by testing if there is a birthday value. And if so, test if the birthday is before the expected day. Two possible solutions:</a:t>
          </a:r>
        </a:p>
        <a:p>
          <a:r>
            <a:rPr lang="nl-NL" sz="900">
              <a:latin typeface="Consolas" pitchFamily="49" charset="0"/>
              <a:cs typeface="Consolas" pitchFamily="49" charset="0"/>
            </a:rPr>
            <a:t>1) =IF(Birthday&gt;&lt;&gt;"",IF(Birthday&lt;Expected,Expected-Birthday,""),"")</a:t>
          </a:r>
        </a:p>
        <a:p>
          <a:r>
            <a:rPr lang="nl-NL" sz="900">
              <a:latin typeface="Consolas" pitchFamily="49" charset="0"/>
              <a:cs typeface="Consolas" pitchFamily="49" charset="0"/>
            </a:rPr>
            <a:t>2) =IF(AND(Birthday&lt;&gt;"",Birthday&lt;Expected),Expected-Birthday,"")</a:t>
          </a:r>
        </a:p>
        <a:p>
          <a:r>
            <a:rPr lang="nl-NL" sz="900" baseline="0">
              <a:latin typeface="Consolas" pitchFamily="49" charset="0"/>
              <a:cs typeface="Consolas" pitchFamily="49" charset="0"/>
            </a:rPr>
            <a:t>The latest version has a slight preference because it is easier to read and understand.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Days too late similar like before. A possible solution:</a:t>
          </a:r>
        </a:p>
        <a:p>
          <a:r>
            <a:rPr lang="nl-NL" sz="900" baseline="0">
              <a:latin typeface="Consolas" pitchFamily="49" charset="0"/>
              <a:cs typeface="Consolas" pitchFamily="49" charset="0"/>
            </a:rPr>
            <a:t>=IF(AND(Birthday&lt;&gt;"";Birthday&gt;Expected);Birthday-Expected;"")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on time similar like before. A possible solution:</a:t>
          </a:r>
        </a:p>
        <a:p>
          <a:r>
            <a:rPr lang="nl-NL" sz="900" baseline="0">
              <a:latin typeface="Consolas" pitchFamily="49" charset="0"/>
              <a:cs typeface="Consolas" pitchFamily="49" charset="0"/>
            </a:rPr>
            <a:t>=IF(AND(Birthday&lt;&gt;"";Birthday=Expected);"yes";"")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overdue similar like before. A possible solution:</a:t>
          </a:r>
        </a:p>
        <a:p>
          <a:r>
            <a:rPr lang="nl-NL" sz="900" baseline="0">
              <a:latin typeface="Consolas" pitchFamily="49" charset="0"/>
              <a:cs typeface="Consolas" pitchFamily="49" charset="0"/>
            </a:rPr>
            <a:t>=IF(AND(Birthday="";Expected&lt;Report_date);"yes";"")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The cells in the columns days too early and days too late have a custom number format: # "days"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28573</xdr:colOff>
      <xdr:row>25</xdr:row>
      <xdr:rowOff>9524</xdr:rowOff>
    </xdr:from>
    <xdr:to>
      <xdr:col>6</xdr:col>
      <xdr:colOff>504825</xdr:colOff>
      <xdr:row>40</xdr:row>
      <xdr:rowOff>76200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3" y="4057649"/>
          <a:ext cx="4143377" cy="24955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VAT to be paid: =VAT_percentage * Sales</a:t>
          </a:r>
        </a:p>
        <a:p>
          <a:endParaRPr lang="nl-NL" sz="900">
            <a:latin typeface="Consolas" pitchFamily="49" charset="0"/>
            <a:cs typeface="Consolas" pitchFamily="49" charset="0"/>
          </a:endParaRPr>
        </a:p>
        <a:p>
          <a:r>
            <a:rPr lang="nl-NL" sz="900">
              <a:latin typeface="Consolas" pitchFamily="49" charset="0"/>
              <a:cs typeface="Consolas" pitchFamily="49" charset="0"/>
            </a:rPr>
            <a:t>Prepaid VAT: =VAT_paid_by_purchasing</a:t>
          </a:r>
        </a:p>
        <a:p>
          <a:endParaRPr lang="nl-NL" sz="900">
            <a:latin typeface="Consolas" pitchFamily="49" charset="0"/>
            <a:cs typeface="Consolas" pitchFamily="49" charset="0"/>
          </a:endParaRPr>
        </a:p>
        <a:p>
          <a:r>
            <a:rPr lang="nl-NL" sz="900">
              <a:latin typeface="Consolas" pitchFamily="49" charset="0"/>
              <a:cs typeface="Consolas" pitchFamily="49" charset="0"/>
            </a:rPr>
            <a:t>VAT initially to be paid: =VAT_to_be_paid - Prepaid_VAT</a:t>
          </a:r>
        </a:p>
        <a:p>
          <a:endParaRPr lang="nl-NL" sz="900">
            <a:latin typeface="Consolas" pitchFamily="49" charset="0"/>
            <a:cs typeface="Consolas" pitchFamily="49" charset="0"/>
          </a:endParaRPr>
        </a:p>
        <a:p>
          <a:r>
            <a:rPr lang="nl-NL" sz="900">
              <a:latin typeface="Consolas" pitchFamily="49" charset="0"/>
              <a:cs typeface="Consolas" pitchFamily="49" charset="0"/>
            </a:rPr>
            <a:t>Reduction RSE: =IF(VAT_initially_to_be_paid&lt;0,0,IF(VAT_initially_to_be_paid&gt;upper_threshold,0,IF(VAT_initially_to_be_paid&lt;=lower_threshold,VAT_initially_to_be_paid,2.5*(upper_threshold-VAT_initially_to_be_paid))))</a:t>
          </a:r>
        </a:p>
        <a:p>
          <a:endParaRPr lang="nl-NL" sz="900">
            <a:latin typeface="Consolas" pitchFamily="49" charset="0"/>
            <a:cs typeface="Consolas" pitchFamily="49" charset="0"/>
          </a:endParaRPr>
        </a:p>
        <a:p>
          <a:r>
            <a:rPr lang="nl-NL" sz="900">
              <a:latin typeface="Consolas" pitchFamily="49" charset="0"/>
              <a:cs typeface="Consolas" pitchFamily="49" charset="0"/>
            </a:rPr>
            <a:t>Payable: =ABS(VAT_initially_to_be_paid - Reduction_RSE)</a:t>
          </a:r>
        </a:p>
        <a:p>
          <a:endParaRPr lang="nl-NL" sz="900">
            <a:latin typeface="Consolas" pitchFamily="49" charset="0"/>
            <a:cs typeface="Consolas" pitchFamily="49" charset="0"/>
          </a:endParaRPr>
        </a:p>
        <a:p>
          <a:r>
            <a:rPr lang="nl-NL" sz="900">
              <a:latin typeface="Consolas" pitchFamily="49" charset="0"/>
              <a:cs typeface="Consolas" pitchFamily="49" charset="0"/>
            </a:rPr>
            <a:t>Final text: =IF(Payable&lt;0,"To receive","To pay")</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247649</xdr:colOff>
      <xdr:row>14</xdr:row>
      <xdr:rowOff>19050</xdr:rowOff>
    </xdr:from>
    <xdr:to>
      <xdr:col>7</xdr:col>
      <xdr:colOff>523874</xdr:colOff>
      <xdr:row>17</xdr:row>
      <xdr:rowOff>66675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95299" y="2286000"/>
          <a:ext cx="4143375" cy="533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Ticket price =IF(Age &gt; 12,Price_Adults,Price_Children)</a:t>
          </a:r>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9525</xdr:colOff>
      <xdr:row>18</xdr:row>
      <xdr:rowOff>47626</xdr:rowOff>
    </xdr:from>
    <xdr:to>
      <xdr:col>5</xdr:col>
      <xdr:colOff>1066800</xdr:colOff>
      <xdr:row>23</xdr:row>
      <xdr:rowOff>95251</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504825" y="3019426"/>
          <a:ext cx="4143375"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Amount owner =IF(owner="yes",rate_owner * value_property,0)</a:t>
          </a:r>
        </a:p>
        <a:p>
          <a:r>
            <a:rPr lang="nl-NL" sz="900" baseline="0">
              <a:latin typeface="Consolas" pitchFamily="49" charset="0"/>
              <a:cs typeface="Consolas" pitchFamily="49" charset="0"/>
            </a:rPr>
            <a:t>Amount user =IFuser="yes",rate_user * value_property,0)</a:t>
          </a:r>
        </a:p>
        <a:p>
          <a:r>
            <a:rPr lang="nl-NL" sz="900">
              <a:latin typeface="Consolas" pitchFamily="49" charset="0"/>
              <a:cs typeface="Consolas" pitchFamily="49" charset="0"/>
            </a:rPr>
            <a:t>Total due=Amount_Owner + Amount_User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504825</xdr:colOff>
      <xdr:row>15</xdr:row>
      <xdr:rowOff>0</xdr:rowOff>
    </xdr:from>
    <xdr:to>
      <xdr:col>5</xdr:col>
      <xdr:colOff>19050</xdr:colOff>
      <xdr:row>19</xdr:row>
      <xdr:rowOff>66675</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428875"/>
          <a:ext cx="2200275" cy="7143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Calculation after 1 year</a:t>
          </a:r>
        </a:p>
        <a:p>
          <a:r>
            <a:rPr lang="nl-NL" sz="900" baseline="0">
              <a:latin typeface="Consolas" pitchFamily="49" charset="0"/>
              <a:cs typeface="Consolas" pitchFamily="49" charset="0"/>
            </a:rPr>
            <a:t>Interest =Amount*Interest_rate</a:t>
          </a:r>
        </a:p>
        <a:p>
          <a:r>
            <a:rPr lang="nl-NL" sz="900" baseline="0">
              <a:latin typeface="Consolas" pitchFamily="49" charset="0"/>
              <a:cs typeface="Consolas" pitchFamily="49" charset="0"/>
            </a:rPr>
            <a:t>Amount =Amount+Interest</a:t>
          </a: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114301</xdr:colOff>
      <xdr:row>13</xdr:row>
      <xdr:rowOff>28576</xdr:rowOff>
    </xdr:from>
    <xdr:to>
      <xdr:col>6</xdr:col>
      <xdr:colOff>581026</xdr:colOff>
      <xdr:row>16</xdr:row>
      <xdr:rowOff>95251</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1" y="2133601"/>
          <a:ext cx="3067050" cy="552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heat: =0.24*current^2*resistance*time</a:t>
          </a: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Go to tab Data &gt; group Data Tools &gt; What-If Analysis</a:t>
          </a:r>
          <a:r>
            <a:rPr lang="nl-NL" sz="900" baseline="0">
              <a:latin typeface="Consolas" pitchFamily="49" charset="0"/>
              <a:cs typeface="Consolas" pitchFamily="49" charset="0"/>
            </a:rPr>
            <a:t> </a:t>
          </a:r>
          <a:r>
            <a:rPr lang="nl-NL" sz="900">
              <a:latin typeface="Consolas" pitchFamily="49" charset="0"/>
              <a:cs typeface="Consolas" pitchFamily="49" charset="0"/>
            </a:rPr>
            <a:t>&gt; Goal Seek</a:t>
          </a:r>
        </a:p>
        <a:p>
          <a:r>
            <a:rPr lang="nl-NL" sz="900">
              <a:latin typeface="Consolas" pitchFamily="49" charset="0"/>
              <a:cs typeface="Consolas" pitchFamily="49" charset="0"/>
            </a:rPr>
            <a:t>Set cell: E10</a:t>
          </a:r>
        </a:p>
        <a:p>
          <a:r>
            <a:rPr lang="nl-NL" sz="900">
              <a:latin typeface="Consolas" pitchFamily="49" charset="0"/>
              <a:cs typeface="Consolas" pitchFamily="49" charset="0"/>
            </a:rPr>
            <a:t>To value: 5000</a:t>
          </a:r>
        </a:p>
        <a:p>
          <a:r>
            <a:rPr lang="nl-NL" sz="900">
              <a:latin typeface="Consolas" pitchFamily="49" charset="0"/>
              <a:cs typeface="Consolas" pitchFamily="49" charset="0"/>
            </a:rPr>
            <a:t>By changing</a:t>
          </a:r>
          <a:r>
            <a:rPr lang="nl-NL" sz="900" baseline="0">
              <a:latin typeface="Consolas" pitchFamily="49" charset="0"/>
              <a:cs typeface="Consolas" pitchFamily="49" charset="0"/>
            </a:rPr>
            <a:t> cell</a:t>
          </a:r>
          <a:r>
            <a:rPr lang="nl-NL" sz="900">
              <a:latin typeface="Consolas" pitchFamily="49" charset="0"/>
              <a:cs typeface="Consolas" pitchFamily="49" charset="0"/>
            </a:rPr>
            <a:t>: E9</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9525</xdr:colOff>
      <xdr:row>17</xdr:row>
      <xdr:rowOff>28576</xdr:rowOff>
    </xdr:from>
    <xdr:to>
      <xdr:col>11</xdr:col>
      <xdr:colOff>600075</xdr:colOff>
      <xdr:row>27</xdr:row>
      <xdr:rowOff>28576</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5" y="2781301"/>
          <a:ext cx="58197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Because the payments are monthly you must specify the interest rate also per month. Hence the annual interest rate has to be divided by 12. The third argument is 0 after the final payment the loan has to be repaid. The fourth argument is 1 because the payment are made ​​at the beginning of each month.</a:t>
          </a:r>
        </a:p>
        <a:p>
          <a:endParaRPr lang="nl-NL" sz="900">
            <a:latin typeface="Consolas" pitchFamily="49" charset="0"/>
            <a:cs typeface="Consolas" pitchFamily="49" charset="0"/>
          </a:endParaRPr>
        </a:p>
        <a:p>
          <a:r>
            <a:rPr lang="nl-NL" sz="900">
              <a:latin typeface="Consolas" pitchFamily="49" charset="0"/>
              <a:cs typeface="Consolas" pitchFamily="49" charset="0"/>
            </a:rPr>
            <a:t>Go to tab Data &gt; group Data Tools &gt; What-If Analysis &gt; Goal Seek</a:t>
          </a:r>
        </a:p>
        <a:p>
          <a:endParaRPr lang="nl-NL" sz="900">
            <a:latin typeface="Consolas" pitchFamily="49" charset="0"/>
            <a:cs typeface="Consolas" pitchFamily="49" charset="0"/>
          </a:endParaRPr>
        </a:p>
        <a:p>
          <a:r>
            <a:rPr lang="nl-NL" sz="900">
              <a:latin typeface="Consolas" pitchFamily="49" charset="0"/>
              <a:cs typeface="Consolas" pitchFamily="49" charset="0"/>
            </a:rPr>
            <a:t>The cell to set is the result cell, to value -750, by changing the cell with the borrowed amount.</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17</xdr:col>
      <xdr:colOff>9525</xdr:colOff>
      <xdr:row>47</xdr:row>
      <xdr:rowOff>28576</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847975" y="5181599"/>
          <a:ext cx="6705600" cy="2457452"/>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1000" b="0">
              <a:latin typeface="Cambria" pitchFamily="18" charset="0"/>
              <a:cs typeface="Consolas" pitchFamily="49" charset="0"/>
            </a:rPr>
            <a:t>Create a table with different values for Q in the first column. Start with the value 0 with increments for example of 0.2 and finish with the value 16. So 0 0.2 0.4 0.6 ... Put formulas in the second column for calculating the values of TC and in the third column for calculating the values of TR.</a:t>
          </a:r>
        </a:p>
        <a:p>
          <a:r>
            <a:rPr lang="nl-NL" sz="1000" b="0">
              <a:latin typeface="Cambria" pitchFamily="18" charset="0"/>
              <a:cs typeface="Consolas" pitchFamily="49" charset="0"/>
            </a:rPr>
            <a:t>In order to make an estimate for the break-even points an estimate you need a chart. Create a scatter chart and format the chart as shown.</a:t>
          </a:r>
        </a:p>
        <a:p>
          <a:r>
            <a:rPr lang="nl-NL" sz="1000" b="0">
              <a:latin typeface="Cambria" pitchFamily="18" charset="0"/>
              <a:cs typeface="Consolas" pitchFamily="49" charset="0"/>
            </a:rPr>
            <a:t>A break-even point is the intersection of the two lines in the chart. As you can see in the chart there are two intersections, one for a Q-value between 0 and 1 and another one between 11 and 12.</a:t>
          </a:r>
        </a:p>
        <a:p>
          <a:r>
            <a:rPr lang="nl-NL" sz="1000" b="0">
              <a:latin typeface="Cambria" pitchFamily="18" charset="0"/>
              <a:cs typeface="Consolas" pitchFamily="49" charset="0"/>
            </a:rPr>
            <a:t>Create a second table for the determination of the two break-even points. To find the intersection you need to calculate the difference of TC and TR because this difference is 0 for the intersection. Use as starting value 0 for the first point and 11 for the second point.</a:t>
          </a:r>
        </a:p>
        <a:p>
          <a:endParaRPr lang="nl-NL" sz="1000" b="0">
            <a:latin typeface="Cambria" pitchFamily="18" charset="0"/>
            <a:cs typeface="Consolas" pitchFamily="49" charset="0"/>
          </a:endParaRPr>
        </a:p>
        <a:p>
          <a:r>
            <a:rPr lang="nl-NL" sz="1000" b="0">
              <a:latin typeface="Cambria" pitchFamily="18" charset="0"/>
              <a:cs typeface="Consolas" pitchFamily="49" charset="0"/>
            </a:rPr>
            <a:t>Choose tab Data &gt; What-If Analysis (group Data Tools) &gt; Goal Seek.</a:t>
          </a:r>
        </a:p>
        <a:p>
          <a:r>
            <a:rPr lang="nl-NL" sz="1000" b="0">
              <a:latin typeface="Cambria" pitchFamily="18" charset="0"/>
              <a:cs typeface="Consolas" pitchFamily="49" charset="0"/>
            </a:rPr>
            <a:t>The cell to set is the cell with the result of TR-TC, to value 0, by changing the cell with the value for Q.</a:t>
          </a:r>
        </a:p>
        <a:p>
          <a:r>
            <a:rPr lang="nl-NL" sz="1000" b="0">
              <a:latin typeface="Cambria" pitchFamily="18" charset="0"/>
              <a:cs typeface="Consolas" pitchFamily="49" charset="0"/>
            </a:rPr>
            <a:t>You nee to perform Goal Seek twice, first for the calculation of point 1 and a second time for the calculation of point 2.</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39</xdr:row>
      <xdr:rowOff>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924300"/>
          <a:ext cx="4343400" cy="2390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Create a table as shown. Enter the years ​​in the fist column. For the year 2010 the cell for interest remains empty and for the value you enter the formula: = Deposit.</a:t>
          </a:r>
        </a:p>
        <a:p>
          <a:endParaRPr lang="nl-NL" sz="900">
            <a:latin typeface="Consolas" pitchFamily="49" charset="0"/>
            <a:cs typeface="Consolas" pitchFamily="49" charset="0"/>
          </a:endParaRPr>
        </a:p>
        <a:p>
          <a:r>
            <a:rPr lang="nl-NL" sz="900">
              <a:latin typeface="Consolas" pitchFamily="49" charset="0"/>
              <a:cs typeface="Consolas" pitchFamily="49" charset="0"/>
            </a:rPr>
            <a:t>Calculate for the year 2011 the interest with the formula = Interest_per_year (abs. address) * Value_2010 (relative address) and the value with the formule = Value_2010 (rel. address) + Interest_2011 (rel. address).</a:t>
          </a:r>
        </a:p>
        <a:p>
          <a:endParaRPr lang="nl-NL" sz="900">
            <a:latin typeface="Consolas" pitchFamily="49" charset="0"/>
            <a:cs typeface="Consolas" pitchFamily="49" charset="0"/>
          </a:endParaRPr>
        </a:p>
        <a:p>
          <a:r>
            <a:rPr lang="nl-NL" sz="900">
              <a:latin typeface="Consolas" pitchFamily="49" charset="0"/>
              <a:cs typeface="Consolas" pitchFamily="49" charset="0"/>
            </a:rPr>
            <a:t>For the other years you copy the two formulas for the year 2011 down.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Data &gt; What-If Analysis (group Data Tools) &gt; Goal Seek.</a:t>
          </a:r>
        </a:p>
        <a:p>
          <a:r>
            <a:rPr lang="nl-NL" sz="900">
              <a:latin typeface="Consolas" pitchFamily="49" charset="0"/>
              <a:cs typeface="Consolas" pitchFamily="49" charset="0"/>
            </a:rPr>
            <a:t>The cell to set is the cell with the value for 2020, to 2500, by changing the cell with the Deposit.</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35</xdr:row>
      <xdr:rowOff>95250</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190750" y="4972050"/>
          <a:ext cx="608647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1000" b="0">
              <a:latin typeface="Cambria" pitchFamily="18" charset="0"/>
              <a:cs typeface="Consolas" pitchFamily="49" charset="0"/>
            </a:rPr>
            <a:t>Create first a table with two columns for the X and Y values. The range for the X - values ​​is from -1 to +2 with an increment of 0.1. The Y values ​​must be calculated using the formula  = (X -0,5)^3.</a:t>
          </a:r>
        </a:p>
        <a:p>
          <a:r>
            <a:rPr lang="nl-NL" sz="1000" b="0">
              <a:latin typeface="Cambria" pitchFamily="18" charset="0"/>
              <a:cs typeface="Consolas" pitchFamily="49" charset="0"/>
            </a:rPr>
            <a:t>Create a scatter chart and format it.</a:t>
          </a:r>
        </a:p>
      </xdr:txBody>
    </xdr:sp>
    <xdr:clientData/>
  </xdr:twoCellAnchor>
</xdr:wsDr>
</file>

<file path=xl/drawings/drawing18.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19.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19051</xdr:colOff>
      <xdr:row>14</xdr:row>
      <xdr:rowOff>28575</xdr:rowOff>
    </xdr:from>
    <xdr:to>
      <xdr:col>17</xdr:col>
      <xdr:colOff>304801</xdr:colOff>
      <xdr:row>30</xdr:row>
      <xdr:rowOff>9525</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91126" y="2333625"/>
          <a:ext cx="4552950" cy="2571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The totals must be calculated using the SUM function.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travel data including the name but without the year numbers. This is because Excel interprets these dates as numbers. Create the chart as follows.</a:t>
          </a:r>
        </a:p>
        <a:p>
          <a:endParaRPr lang="nl-NL" sz="900">
            <a:latin typeface="Consolas" pitchFamily="49" charset="0"/>
            <a:cs typeface="Consolas" pitchFamily="49" charset="0"/>
          </a:endParaRPr>
        </a:p>
        <a:p>
          <a:r>
            <a:rPr lang="nl-NL" sz="900">
              <a:latin typeface="Consolas" pitchFamily="49" charset="0"/>
              <a:cs typeface="Consolas" pitchFamily="49" charset="0"/>
            </a:rPr>
            <a:t>Chart type: Stacked column</a:t>
          </a:r>
        </a:p>
        <a:p>
          <a:r>
            <a:rPr lang="nl-NL" sz="900">
              <a:latin typeface="Consolas" pitchFamily="49" charset="0"/>
              <a:cs typeface="Consolas" pitchFamily="49" charset="0"/>
            </a:rPr>
            <a:t>Choose tab Design (Chart Tools)Switch Row/Column (group Data)</a:t>
          </a:r>
        </a:p>
        <a:p>
          <a:r>
            <a:rPr lang="nl-NL" sz="900">
              <a:latin typeface="Consolas" pitchFamily="49" charset="0"/>
              <a:cs typeface="Consolas" pitchFamily="49" charset="0"/>
            </a:rPr>
            <a:t>Choose tab Design (Chart Tools)Select Data (group Data). In the dialog box click Edit under Horizontal (Category) Axis Labels. Select the area with the year numbers as Axis label range and click OK (2x).</a:t>
          </a:r>
        </a:p>
        <a:p>
          <a:r>
            <a:rPr lang="nl-NL" sz="900">
              <a:latin typeface="Consolas" pitchFamily="49" charset="0"/>
              <a:cs typeface="Consolas" pitchFamily="49" charset="0"/>
            </a:rPr>
            <a:t>If desired, you can make some columns wider by reducing the gap as follows: select a columnRight mouse clickFormat Data Series and reduce the Gap Width.</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15</xdr:col>
      <xdr:colOff>400050</xdr:colOff>
      <xdr:row>30</xdr:row>
      <xdr:rowOff>66675</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391025" y="2809875"/>
          <a:ext cx="4648200" cy="21526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baseline="0">
              <a:latin typeface="Consolas" pitchFamily="49" charset="0"/>
              <a:cs typeface="Consolas" pitchFamily="49" charset="0"/>
            </a:rPr>
            <a:t>Calculate in a new column the difference with the formula = (actual - estimated) / estimated. Format the values as percentages with 0 decimals.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Create the chart as follows:</a:t>
          </a:r>
        </a:p>
        <a:p>
          <a:r>
            <a:rPr lang="nl-NL" sz="900" baseline="0">
              <a:latin typeface="Consolas" pitchFamily="49" charset="0"/>
              <a:cs typeface="Consolas" pitchFamily="49" charset="0"/>
            </a:rPr>
            <a:t>Start with chart type Çlustered Column. You get for each quarter two columns side by side, the left one for estimated and the right one for actual.</a:t>
          </a:r>
        </a:p>
        <a:p>
          <a:r>
            <a:rPr lang="nl-NL" sz="900" baseline="0">
              <a:latin typeface="Consolas" pitchFamily="49" charset="0"/>
              <a:cs typeface="Consolas" pitchFamily="49" charset="0"/>
            </a:rPr>
            <a:t>Then select column actual &gt; right click &gt; Change Series Chart Type &gt; Line with markers &gt; OK.</a:t>
          </a:r>
        </a:p>
        <a:p>
          <a:r>
            <a:rPr lang="nl-NL" sz="900" baseline="0">
              <a:latin typeface="Consolas" pitchFamily="49" charset="0"/>
              <a:cs typeface="Consolas" pitchFamily="49" charset="0"/>
            </a:rPr>
            <a:t>Make adjustments for: chart title, location legend, gap width, scale vertical axis.</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49</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229350"/>
          <a:ext cx="46958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chart as follows:</a:t>
          </a:r>
        </a:p>
        <a:p>
          <a:r>
            <a:rPr lang="nl-NL" sz="900">
              <a:latin typeface="Consolas" pitchFamily="49" charset="0"/>
              <a:cs typeface="Consolas" pitchFamily="49" charset="0"/>
            </a:rPr>
            <a:t>Select the whole table and start with creating chart type Line with markers.</a:t>
          </a:r>
        </a:p>
        <a:p>
          <a:r>
            <a:rPr lang="nl-NL" sz="900">
              <a:latin typeface="Consolas" pitchFamily="49" charset="0"/>
              <a:cs typeface="Consolas" pitchFamily="49" charset="0"/>
            </a:rPr>
            <a:t>To get the year numbers on the category axis choose tab Design &gt; Switch Row/Column (group Data).</a:t>
          </a:r>
        </a:p>
        <a:p>
          <a:r>
            <a:rPr lang="nl-NL" sz="900">
              <a:latin typeface="Consolas" pitchFamily="49" charset="0"/>
              <a:cs typeface="Consolas" pitchFamily="49" charset="0"/>
            </a:rPr>
            <a:t>For the indication of the data source choose tab Layout &gt; Text Box (group Insert), draw the box and enter the text.</a:t>
          </a:r>
        </a:p>
        <a:p>
          <a:r>
            <a:rPr lang="nl-NL" sz="900">
              <a:latin typeface="Consolas" pitchFamily="49" charset="0"/>
              <a:cs typeface="Consolas" pitchFamily="49" charset="0"/>
            </a:rPr>
            <a:t>Format the values on the vertical axis as percentages without decimals.</a:t>
          </a: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source: CBS</a:t>
          </a:r>
        </a:p>
      </cdr:txBody>
    </cdr:sp>
  </cdr:relSizeAnchor>
</c:userShapes>
</file>

<file path=xl/drawings/drawing23.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9</xdr:col>
      <xdr:colOff>85725</xdr:colOff>
      <xdr:row>32</xdr:row>
      <xdr:rowOff>142875</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391024"/>
          <a:ext cx="4381500" cy="125730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chart as follows:</a:t>
          </a:r>
        </a:p>
        <a:p>
          <a:r>
            <a:rPr lang="nl-NL" sz="900">
              <a:latin typeface="Consolas" pitchFamily="49" charset="0"/>
              <a:cs typeface="Consolas" pitchFamily="49" charset="0"/>
            </a:rPr>
            <a:t>Start creating a scatter chart.</a:t>
          </a:r>
        </a:p>
        <a:p>
          <a:r>
            <a:rPr lang="nl-NL" sz="900">
              <a:latin typeface="Consolas" pitchFamily="49" charset="0"/>
              <a:cs typeface="Consolas" pitchFamily="49" charset="0"/>
            </a:rPr>
            <a:t>Layout adjustments: scaling axis, legend, horizontal gridlines.</a:t>
          </a:r>
        </a:p>
        <a:p>
          <a:r>
            <a:rPr lang="nl-NL" sz="900">
              <a:latin typeface="Consolas" pitchFamily="49" charset="0"/>
              <a:cs typeface="Consolas" pitchFamily="49" charset="0"/>
            </a:rPr>
            <a:t>Add linear trendline in the chart and display the equation.</a:t>
          </a: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504825</xdr:colOff>
      <xdr:row>28</xdr:row>
      <xdr:rowOff>0</xdr:rowOff>
    </xdr:from>
    <xdr:to>
      <xdr:col>7</xdr:col>
      <xdr:colOff>600075</xdr:colOff>
      <xdr:row>35</xdr:row>
      <xdr:rowOff>76200</xdr:rowOff>
    </xdr:to>
    <xdr:sp macro="" textlink="">
      <xdr:nvSpPr>
        <xdr:cNvPr id="3" name="TextBox 2">
          <a:extLst>
            <a:ext uri="{FF2B5EF4-FFF2-40B4-BE49-F238E27FC236}">
              <a16:creationId xmlns:a16="http://schemas.microsoft.com/office/drawing/2014/main" id="{00000000-0008-0000-1600-000003000000}"/>
            </a:ext>
          </a:extLst>
        </xdr:cNvPr>
        <xdr:cNvSpPr txBox="1"/>
      </xdr:nvSpPr>
      <xdr:spPr>
        <a:xfrm>
          <a:off x="1000125" y="4695825"/>
          <a:ext cx="3038475" cy="1209675"/>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a:t>Solution</a:t>
          </a:r>
        </a:p>
        <a:p>
          <a:endParaRPr lang="nl-NL" sz="1100"/>
        </a:p>
        <a:p>
          <a:r>
            <a:rPr lang="nl-NL" sz="1100"/>
            <a:t>Create the chart as follows:</a:t>
          </a:r>
        </a:p>
        <a:p>
          <a:r>
            <a:rPr lang="nl-NL" sz="1100"/>
            <a:t>Start creating a radar chart.</a:t>
          </a:r>
        </a:p>
        <a:p>
          <a:r>
            <a:rPr lang="nl-NL" sz="1100"/>
            <a:t>Layout adjustments: title, remove legend, size.</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19051</xdr:colOff>
      <xdr:row>19</xdr:row>
      <xdr:rowOff>0</xdr:rowOff>
    </xdr:from>
    <xdr:to>
      <xdr:col>13</xdr:col>
      <xdr:colOff>1</xdr:colOff>
      <xdr:row>25</xdr:row>
      <xdr:rowOff>76200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90800"/>
          <a:ext cx="7200900" cy="1047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cell mark and then tab Data &gt; Filter (group Sort &amp; Filter).</a:t>
          </a:r>
        </a:p>
        <a:p>
          <a:r>
            <a:rPr lang="nl-NL" sz="900">
              <a:latin typeface="Consolas" pitchFamily="49" charset="0"/>
              <a:cs typeface="Consolas" pitchFamily="49" charset="0"/>
            </a:rPr>
            <a:t>Click on the arrow and choose Number Filters &gt; Custom Filter &gt; is less than or equal to and enter the number 3. </a:t>
          </a:r>
        </a:p>
        <a:p>
          <a:r>
            <a:rPr lang="nl-NL" sz="900">
              <a:latin typeface="Consolas" pitchFamily="49" charset="0"/>
              <a:cs typeface="Consolas" pitchFamily="49" charset="0"/>
            </a:rPr>
            <a:t>Check the option Or, choose equals and left the number box blank.</a:t>
          </a:r>
        </a:p>
        <a:p>
          <a:r>
            <a:rPr lang="nl-NL" sz="900">
              <a:latin typeface="Consolas" pitchFamily="49" charset="0"/>
              <a:cs typeface="Consolas" pitchFamily="49" charset="0"/>
            </a:rPr>
            <a:t>Click OK.</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12</xdr:col>
      <xdr:colOff>352425</xdr:colOff>
      <xdr:row>33</xdr:row>
      <xdr:rowOff>0</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86225"/>
          <a:ext cx="5600699" cy="1257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baseline="0">
              <a:latin typeface="Consolas" pitchFamily="49" charset="0"/>
              <a:cs typeface="Consolas" pitchFamily="49" charset="0"/>
            </a:rPr>
            <a:t>Select the upper left cell of the output area and choose tab Data &gt; Consolidate (group Data Tools). In the dialog box specify:</a:t>
          </a:r>
        </a:p>
        <a:p>
          <a:r>
            <a:rPr lang="nl-NL" sz="900" baseline="0">
              <a:latin typeface="Consolas" pitchFamily="49" charset="0"/>
              <a:cs typeface="Consolas" pitchFamily="49" charset="0"/>
            </a:rPr>
            <a:t>Function Max.</a:t>
          </a:r>
        </a:p>
        <a:p>
          <a:r>
            <a:rPr lang="nl-NL" sz="900" baseline="0">
              <a:latin typeface="Consolas" pitchFamily="49" charset="0"/>
              <a:cs typeface="Consolas" pitchFamily="49" charset="0"/>
            </a:rPr>
            <a:t>Add the tables with the data for the examination and the re-examination as references.</a:t>
          </a:r>
        </a:p>
        <a:p>
          <a:r>
            <a:rPr lang="nl-NL" sz="900" baseline="0">
              <a:latin typeface="Consolas" pitchFamily="49" charset="0"/>
              <a:cs typeface="Consolas" pitchFamily="49" charset="0"/>
            </a:rPr>
            <a:t>Check Use labels in left column.</a:t>
          </a:r>
        </a:p>
        <a:p>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8</xdr:col>
      <xdr:colOff>9525</xdr:colOff>
      <xdr:row>8</xdr:row>
      <xdr:rowOff>19049</xdr:rowOff>
    </xdr:from>
    <xdr:to>
      <xdr:col>18</xdr:col>
      <xdr:colOff>323850</xdr:colOff>
      <xdr:row>16</xdr:row>
      <xdr:rowOff>0</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781425" y="1314449"/>
          <a:ext cx="6410325" cy="12763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upper left cell of the output area and choose tab Data &gt; Consolidate (group Data Tools). Specify in the dialog box: </a:t>
          </a:r>
        </a:p>
        <a:p>
          <a:r>
            <a:rPr lang="nl-NL" sz="900">
              <a:latin typeface="Consolas" pitchFamily="49" charset="0"/>
              <a:cs typeface="Consolas" pitchFamily="49" charset="0"/>
            </a:rPr>
            <a:t>Function Sum.</a:t>
          </a:r>
        </a:p>
        <a:p>
          <a:r>
            <a:rPr lang="nl-NL" sz="900">
              <a:latin typeface="Consolas" pitchFamily="49" charset="0"/>
              <a:cs typeface="Consolas" pitchFamily="49" charset="0"/>
            </a:rPr>
            <a:t>Add the tables with the data of the branches North and South as references.</a:t>
          </a:r>
        </a:p>
        <a:p>
          <a:r>
            <a:rPr lang="nl-NL" sz="900">
              <a:latin typeface="Consolas" pitchFamily="49" charset="0"/>
              <a:cs typeface="Consolas" pitchFamily="49" charset="0"/>
            </a:rPr>
            <a:t>Check Use labels in top row and Use labels in left column.</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6</xdr:col>
      <xdr:colOff>28575</xdr:colOff>
      <xdr:row>0</xdr:row>
      <xdr:rowOff>57151</xdr:rowOff>
    </xdr:from>
    <xdr:to>
      <xdr:col>14</xdr:col>
      <xdr:colOff>180975</xdr:colOff>
      <xdr:row>5</xdr:row>
      <xdr:rowOff>76199</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3295650" y="57151"/>
          <a:ext cx="5381625" cy="828673"/>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endParaRPr lang="nl-NL" sz="900">
            <a:latin typeface="Consolas" pitchFamily="49" charset="0"/>
            <a:cs typeface="Consolas" pitchFamily="49" charset="0"/>
          </a:endParaRPr>
        </a:p>
        <a:p>
          <a:r>
            <a:rPr lang="nl-NL" sz="900">
              <a:latin typeface="Consolas" pitchFamily="49" charset="0"/>
              <a:cs typeface="Consolas" pitchFamily="49" charset="0"/>
            </a:rPr>
            <a:t>Select a cell in the table and then tab Data &gt; Filter (group Sort &amp; Filter).</a:t>
          </a:r>
        </a:p>
        <a:p>
          <a:r>
            <a:rPr lang="nl-NL" sz="900">
              <a:latin typeface="Consolas" pitchFamily="49" charset="0"/>
              <a:cs typeface="Consolas" pitchFamily="49" charset="0"/>
            </a:rPr>
            <a:t>Select at Cylinders the value 6.</a:t>
          </a:r>
        </a:p>
        <a:p>
          <a:r>
            <a:rPr lang="nl-NL" sz="900">
              <a:latin typeface="Consolas" pitchFamily="49" charset="0"/>
              <a:cs typeface="Consolas" pitchFamily="49" charset="0"/>
            </a:rPr>
            <a:t>Select at Fuel the values Super and Ordinary.</a:t>
          </a:r>
        </a:p>
        <a:p>
          <a:r>
            <a:rPr lang="nl-NL" sz="900">
              <a:latin typeface="Consolas" pitchFamily="49" charset="0"/>
              <a:cs typeface="Consolas" pitchFamily="49" charset="0"/>
            </a:rPr>
            <a:t>Choose at Top Speed for Number FiltersGreater than or equal to and enter 180.</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2</xdr:col>
      <xdr:colOff>514349</xdr:colOff>
      <xdr:row>7</xdr:row>
      <xdr:rowOff>0</xdr:rowOff>
    </xdr:from>
    <xdr:to>
      <xdr:col>11</xdr:col>
      <xdr:colOff>180975</xdr:colOff>
      <xdr:row>27</xdr:row>
      <xdr:rowOff>47625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49" y="1133475"/>
          <a:ext cx="5743576" cy="3286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a cell and choose Format Cells &gt; tab Fill &gt; select a grey color &gt; OK.</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Background_Gray()</a:t>
          </a:r>
        </a:p>
        <a:p>
          <a:r>
            <a:rPr lang="nl-NL" sz="900">
              <a:latin typeface="Consolas" pitchFamily="49" charset="0"/>
              <a:cs typeface="Consolas" pitchFamily="49" charset="0"/>
            </a:rPr>
            <a:t>'</a:t>
          </a:r>
        </a:p>
        <a:p>
          <a:r>
            <a:rPr lang="nl-NL" sz="900">
              <a:latin typeface="Consolas" pitchFamily="49" charset="0"/>
              <a:cs typeface="Consolas" pitchFamily="49" charset="0"/>
            </a:rPr>
            <a:t>' Gives the active cell a gray background color.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19049</xdr:colOff>
      <xdr:row>7</xdr:row>
      <xdr:rowOff>28576</xdr:rowOff>
    </xdr:from>
    <xdr:to>
      <xdr:col>13</xdr:col>
      <xdr:colOff>133350</xdr:colOff>
      <xdr:row>24</xdr:row>
      <xdr:rowOff>114300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699" y="1162051"/>
          <a:ext cx="6896101" cy="28384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a cell and choose Format Cells &gt; tab Number &gt; Percentage with 1 decimal &gt; tab Alignment &gt; Horizontal: Center &gt; OK.</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PercentageFormat()</a:t>
          </a:r>
        </a:p>
        <a:p>
          <a:r>
            <a:rPr lang="nl-NL" sz="900">
              <a:latin typeface="Consolas" pitchFamily="49" charset="0"/>
              <a:cs typeface="Consolas" pitchFamily="49" charset="0"/>
            </a:rPr>
            <a:t>'</a:t>
          </a:r>
        </a:p>
        <a:p>
          <a:r>
            <a:rPr lang="nl-NL" sz="900">
              <a:latin typeface="Consolas" pitchFamily="49" charset="0"/>
              <a:cs typeface="Consolas" pitchFamily="49" charset="0"/>
            </a:rPr>
            <a:t>' Numeric value formatted as percentage with 1 dec. and horizontally centered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0</xdr:colOff>
      <xdr:row>8</xdr:row>
      <xdr:rowOff>1</xdr:rowOff>
    </xdr:from>
    <xdr:to>
      <xdr:col>13</xdr:col>
      <xdr:colOff>133350</xdr:colOff>
      <xdr:row>32</xdr:row>
      <xdr:rowOff>57151</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95401"/>
          <a:ext cx="6915150" cy="39433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row 1 and choose Row Height &gt; 18 &gt; OK.</a:t>
          </a:r>
        </a:p>
        <a:p>
          <a:r>
            <a:rPr lang="nl-NL" sz="900">
              <a:latin typeface="Consolas" pitchFamily="49" charset="0"/>
              <a:cs typeface="Consolas" pitchFamily="49" charset="0"/>
            </a:rPr>
            <a:t>Right click on column 1 and choose Column Width &gt; 3 &gt; OK.</a:t>
          </a:r>
        </a:p>
        <a:p>
          <a:r>
            <a:rPr lang="nl-NL" sz="900">
              <a:latin typeface="Consolas" pitchFamily="49" charset="0"/>
              <a:cs typeface="Consolas" pitchFamily="49" charset="0"/>
            </a:rPr>
            <a:t>Select cell A1 Font &gt; Tahoma &gt; Font Size &gt; 14 &gt;Bold &gt; Font Color &gt; Blue.</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FormatA1()</a:t>
          </a:r>
        </a:p>
        <a:p>
          <a:r>
            <a:rPr lang="nl-NL" sz="900">
              <a:latin typeface="Consolas" pitchFamily="49" charset="0"/>
              <a:cs typeface="Consolas" pitchFamily="49" charset="0"/>
            </a:rPr>
            <a:t>'</a:t>
          </a:r>
        </a:p>
        <a:p>
          <a:r>
            <a:rPr lang="nl-NL" sz="900">
              <a:latin typeface="Consolas" pitchFamily="49" charset="0"/>
              <a:cs typeface="Consolas" pitchFamily="49" charset="0"/>
            </a:rPr>
            <a:t>' exercise macr003</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9524</xdr:colOff>
      <xdr:row>7</xdr:row>
      <xdr:rowOff>9525</xdr:rowOff>
    </xdr:from>
    <xdr:to>
      <xdr:col>12</xdr:col>
      <xdr:colOff>581025</xdr:colOff>
      <xdr:row>22</xdr:row>
      <xdr:rowOff>85725</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43000"/>
          <a:ext cx="6743701" cy="25050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Give the macro a name and a description and click OK.</a:t>
          </a:r>
        </a:p>
        <a:p>
          <a:r>
            <a:rPr lang="nl-NL" sz="900">
              <a:latin typeface="Consolas" pitchFamily="49" charset="0"/>
              <a:cs typeface="Consolas" pitchFamily="49" charset="0"/>
            </a:rPr>
            <a:t>Choose tab Page Layout &gt; Page Setup &gt; tab Sheet &gt; check Print Gridlines &gt; OK.</a:t>
          </a:r>
        </a:p>
        <a:p>
          <a:r>
            <a:rPr lang="nl-NL" sz="900">
              <a:latin typeface="Consolas" pitchFamily="49" charset="0"/>
              <a:cs typeface="Consolas" pitchFamily="49" charset="0"/>
            </a:rPr>
            <a:t>Choose  tab Developer &gt; Stop Recording (group Code) .</a:t>
          </a: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Print_Gridlines()</a:t>
          </a:r>
        </a:p>
        <a:p>
          <a:r>
            <a:rPr lang="nl-NL" sz="900">
              <a:latin typeface="Consolas" pitchFamily="49" charset="0"/>
              <a:cs typeface="Consolas" pitchFamily="49" charset="0"/>
            </a:rPr>
            <a:t>'</a:t>
          </a:r>
        </a:p>
        <a:p>
          <a:r>
            <a:rPr lang="nl-NL" sz="900">
              <a:latin typeface="Consolas" pitchFamily="49" charset="0"/>
              <a:cs typeface="Consolas" pitchFamily="49" charset="0"/>
            </a:rPr>
            <a:t>' exercise macr004</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2</xdr:col>
      <xdr:colOff>19049</xdr:colOff>
      <xdr:row>16</xdr:row>
      <xdr:rowOff>19050</xdr:rowOff>
    </xdr:from>
    <xdr:to>
      <xdr:col>9</xdr:col>
      <xdr:colOff>200024</xdr:colOff>
      <xdr:row>25</xdr:row>
      <xdr:rowOff>114300</xdr:rowOff>
    </xdr:to>
    <xdr:sp macro="" textlink="">
      <xdr:nvSpPr>
        <xdr:cNvPr id="4" name="Tekstvak 3">
          <a:extLst>
            <a:ext uri="{FF2B5EF4-FFF2-40B4-BE49-F238E27FC236}">
              <a16:creationId xmlns:a16="http://schemas.microsoft.com/office/drawing/2014/main" id="{00000000-0008-0000-3100-000004000000}"/>
            </a:ext>
          </a:extLst>
        </xdr:cNvPr>
        <xdr:cNvSpPr txBox="1"/>
      </xdr:nvSpPr>
      <xdr:spPr>
        <a:xfrm>
          <a:off x="514349" y="2771775"/>
          <a:ext cx="5467350" cy="1552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&gt;Scenario Manager. </a:t>
          </a:r>
        </a:p>
        <a:p>
          <a:r>
            <a:rPr lang="nl-NL" sz="900">
              <a:latin typeface="Consolas" pitchFamily="49" charset="0"/>
              <a:cs typeface="Consolas" pitchFamily="49" charset="0"/>
            </a:rPr>
            <a:t>Changing cells: Profit margin</a:t>
          </a:r>
        </a:p>
        <a:p>
          <a:r>
            <a:rPr lang="nl-NL" sz="900">
              <a:latin typeface="Consolas" pitchFamily="49" charset="0"/>
              <a:cs typeface="Consolas" pitchFamily="49" charset="0"/>
            </a:rPr>
            <a:t>Scenario summary result cells: Selling prices (incl. VAT).</a:t>
          </a:r>
        </a:p>
        <a:p>
          <a:endParaRPr lang="nl-NL" sz="900">
            <a:latin typeface="Consolas" pitchFamily="49" charset="0"/>
            <a:cs typeface="Consolas" pitchFamily="49" charset="0"/>
          </a:endParaRPr>
        </a:p>
        <a:p>
          <a:r>
            <a:rPr lang="nl-NL" sz="900">
              <a:latin typeface="Consolas" pitchFamily="49" charset="0"/>
              <a:cs typeface="Consolas" pitchFamily="49" charset="0"/>
            </a:rPr>
            <a:t>To get names instead of cell addresses in the summary report you should give names to the cells before using the scenario manager.</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2</xdr:col>
      <xdr:colOff>0</xdr:colOff>
      <xdr:row>22</xdr:row>
      <xdr:rowOff>28575</xdr:rowOff>
    </xdr:from>
    <xdr:to>
      <xdr:col>9</xdr:col>
      <xdr:colOff>304800</xdr:colOff>
      <xdr:row>31</xdr:row>
      <xdr:rowOff>47625</xdr:rowOff>
    </xdr:to>
    <xdr:sp macro="" textlink="">
      <xdr:nvSpPr>
        <xdr:cNvPr id="4" name="Tekstvak 3">
          <a:extLst>
            <a:ext uri="{FF2B5EF4-FFF2-40B4-BE49-F238E27FC236}">
              <a16:creationId xmlns:a16="http://schemas.microsoft.com/office/drawing/2014/main" id="{00000000-0008-0000-3200-000004000000}"/>
            </a:ext>
          </a:extLst>
        </xdr:cNvPr>
        <xdr:cNvSpPr txBox="1"/>
      </xdr:nvSpPr>
      <xdr:spPr>
        <a:xfrm>
          <a:off x="495300" y="3590925"/>
          <a:ext cx="4819650" cy="14763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a:t>
          </a:r>
        </a:p>
        <a:p>
          <a:r>
            <a:rPr lang="nl-NL" sz="900">
              <a:latin typeface="Consolas" pitchFamily="49" charset="0"/>
              <a:cs typeface="Consolas" pitchFamily="49" charset="0"/>
            </a:rPr>
            <a:t>Changing cells: Subscriptions, Canteen, Materials and Miscellaneous</a:t>
          </a:r>
        </a:p>
        <a:p>
          <a:r>
            <a:rPr lang="nl-NL" sz="900">
              <a:latin typeface="Consolas" pitchFamily="49" charset="0"/>
              <a:cs typeface="Consolas" pitchFamily="49" charset="0"/>
            </a:rPr>
            <a:t>Scenario summary result cells: Profit</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 </a:t>
          </a:r>
        </a:p>
        <a:p>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2</xdr:col>
      <xdr:colOff>19049</xdr:colOff>
      <xdr:row>27</xdr:row>
      <xdr:rowOff>9525</xdr:rowOff>
    </xdr:from>
    <xdr:to>
      <xdr:col>9</xdr:col>
      <xdr:colOff>495300</xdr:colOff>
      <xdr:row>35</xdr:row>
      <xdr:rowOff>114300</xdr:rowOff>
    </xdr:to>
    <xdr:sp macro="" textlink="">
      <xdr:nvSpPr>
        <xdr:cNvPr id="3" name="Tekstvak 2">
          <a:extLst>
            <a:ext uri="{FF2B5EF4-FFF2-40B4-BE49-F238E27FC236}">
              <a16:creationId xmlns:a16="http://schemas.microsoft.com/office/drawing/2014/main" id="{00000000-0008-0000-3300-000003000000}"/>
            </a:ext>
          </a:extLst>
        </xdr:cNvPr>
        <xdr:cNvSpPr txBox="1"/>
      </xdr:nvSpPr>
      <xdr:spPr>
        <a:xfrm>
          <a:off x="514349" y="4400550"/>
          <a:ext cx="6076951" cy="14001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 </a:t>
          </a:r>
        </a:p>
        <a:p>
          <a:r>
            <a:rPr lang="nl-NL" sz="900">
              <a:latin typeface="Consolas" pitchFamily="49" charset="0"/>
              <a:cs typeface="Consolas" pitchFamily="49" charset="0"/>
            </a:rPr>
            <a:t>Changing cells: Wages, Material costs</a:t>
          </a:r>
        </a:p>
        <a:p>
          <a:r>
            <a:rPr lang="nl-NL" sz="900">
              <a:latin typeface="Consolas" pitchFamily="49" charset="0"/>
              <a:cs typeface="Consolas" pitchFamily="49" charset="0"/>
            </a:rPr>
            <a:t>Scenario summary result cells: Operating profit</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 </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3</xdr:col>
      <xdr:colOff>19050</xdr:colOff>
      <xdr:row>34</xdr:row>
      <xdr:rowOff>19051</xdr:rowOff>
    </xdr:from>
    <xdr:to>
      <xdr:col>10</xdr:col>
      <xdr:colOff>428625</xdr:colOff>
      <xdr:row>46</xdr:row>
      <xdr:rowOff>95251</xdr:rowOff>
    </xdr:to>
    <xdr:sp macro="" textlink="">
      <xdr:nvSpPr>
        <xdr:cNvPr id="4" name="Tekstvak 3">
          <a:extLst>
            <a:ext uri="{FF2B5EF4-FFF2-40B4-BE49-F238E27FC236}">
              <a16:creationId xmlns:a16="http://schemas.microsoft.com/office/drawing/2014/main" id="{00000000-0008-0000-3400-000004000000}"/>
            </a:ext>
          </a:extLst>
        </xdr:cNvPr>
        <xdr:cNvSpPr txBox="1"/>
      </xdr:nvSpPr>
      <xdr:spPr>
        <a:xfrm>
          <a:off x="1028700" y="5591176"/>
          <a:ext cx="5981700" cy="2019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The values for 2011 and 2011 should be calculated with formulas referencing to the cells with the percentages.</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 </a:t>
          </a:r>
        </a:p>
        <a:p>
          <a:r>
            <a:rPr lang="nl-NL" sz="900">
              <a:latin typeface="Consolas" pitchFamily="49" charset="0"/>
              <a:cs typeface="Consolas" pitchFamily="49" charset="0"/>
            </a:rPr>
            <a:t>Changing cells: Growth, Inflation, Interest and Tax</a:t>
          </a:r>
        </a:p>
        <a:p>
          <a:r>
            <a:rPr lang="nl-NL" sz="900">
              <a:latin typeface="Consolas" pitchFamily="49" charset="0"/>
              <a:cs typeface="Consolas" pitchFamily="49" charset="0"/>
            </a:rPr>
            <a:t>Scenario summary result cells: Profit 2011 and Profit 2012 (after Tax).</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2</xdr:col>
      <xdr:colOff>9524</xdr:colOff>
      <xdr:row>20</xdr:row>
      <xdr:rowOff>9524</xdr:rowOff>
    </xdr:from>
    <xdr:to>
      <xdr:col>12</xdr:col>
      <xdr:colOff>200024</xdr:colOff>
      <xdr:row>33</xdr:row>
      <xdr:rowOff>9525</xdr:rowOff>
    </xdr:to>
    <xdr:sp macro="" textlink="">
      <xdr:nvSpPr>
        <xdr:cNvPr id="4" name="Tekstvak 3">
          <a:extLst>
            <a:ext uri="{FF2B5EF4-FFF2-40B4-BE49-F238E27FC236}">
              <a16:creationId xmlns:a16="http://schemas.microsoft.com/office/drawing/2014/main" id="{00000000-0008-0000-3D00-000004000000}"/>
            </a:ext>
          </a:extLst>
        </xdr:cNvPr>
        <xdr:cNvSpPr txBox="1"/>
      </xdr:nvSpPr>
      <xdr:spPr>
        <a:xfrm>
          <a:off x="504824" y="3467099"/>
          <a:ext cx="6143625" cy="21050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LHS = Left-Hand Side equation, RHS = Right-Hand Side equation</a:t>
          </a:r>
        </a:p>
        <a:p>
          <a:r>
            <a:rPr lang="nl-NL" sz="900">
              <a:latin typeface="Consolas" pitchFamily="49" charset="0"/>
              <a:cs typeface="Consolas" pitchFamily="49" charset="0"/>
            </a:rPr>
            <a:t>In E17:I17</a:t>
          </a:r>
          <a:r>
            <a:rPr lang="nl-NL" sz="900" baseline="0">
              <a:latin typeface="Consolas" pitchFamily="49" charset="0"/>
              <a:cs typeface="Consolas" pitchFamily="49" charset="0"/>
            </a:rPr>
            <a:t> are the values for x1 to x5. All starting values are 1.</a:t>
          </a:r>
        </a:p>
        <a:p>
          <a:endParaRPr lang="nl-NL" sz="900">
            <a:latin typeface="Consolas" pitchFamily="49" charset="0"/>
            <a:cs typeface="Consolas" pitchFamily="49" charset="0"/>
          </a:endParaRPr>
        </a:p>
        <a:p>
          <a:r>
            <a:rPr lang="nl-NL" sz="900">
              <a:latin typeface="Consolas" pitchFamily="49" charset="0"/>
              <a:cs typeface="Consolas" pitchFamily="49" charset="0"/>
            </a:rPr>
            <a:t>The value of the LHS is calculated for all equation.</a:t>
          </a:r>
          <a:r>
            <a:rPr lang="nl-NL" sz="900" baseline="0">
              <a:latin typeface="Consolas" pitchFamily="49" charset="0"/>
              <a:cs typeface="Consolas" pitchFamily="49" charset="0"/>
            </a:rPr>
            <a:t> These values are in L10:L14.</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The differences of the values for the LHS with the values of the RHS should be as small as possible.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A good measure for the deviation is the squared difference. In the ideal situation the sum of the squared differences is zero. This sum, calculated in M15, will be used as the objective function for the Solver.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2</xdr:col>
      <xdr:colOff>9525</xdr:colOff>
      <xdr:row>22</xdr:row>
      <xdr:rowOff>0</xdr:rowOff>
    </xdr:from>
    <xdr:to>
      <xdr:col>7</xdr:col>
      <xdr:colOff>742951</xdr:colOff>
      <xdr:row>31</xdr:row>
      <xdr:rowOff>0</xdr:rowOff>
    </xdr:to>
    <xdr:sp macro="" textlink="">
      <xdr:nvSpPr>
        <xdr:cNvPr id="4" name="Tekstvak 3">
          <a:extLst>
            <a:ext uri="{FF2B5EF4-FFF2-40B4-BE49-F238E27FC236}">
              <a16:creationId xmlns:a16="http://schemas.microsoft.com/office/drawing/2014/main" id="{00000000-0008-0000-3E00-000004000000}"/>
            </a:ext>
          </a:extLst>
        </xdr:cNvPr>
        <xdr:cNvSpPr txBox="1"/>
      </xdr:nvSpPr>
      <xdr:spPr>
        <a:xfrm>
          <a:off x="504825" y="3762375"/>
          <a:ext cx="4733926" cy="14573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In de model the investment amounts are multitudes of 1000</a:t>
          </a:r>
          <a:r>
            <a:rPr lang="nl-NL" sz="900" baseline="0">
              <a:latin typeface="Consolas" pitchFamily="49" charset="0"/>
              <a:cs typeface="Consolas" pitchFamily="49" charset="0"/>
            </a:rPr>
            <a:t>. The starting values, from top to bottom, are: 100, 600, 400, 100.</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Because the limits are are used in multiple constraints, and yuo can use only 1</a:t>
          </a:r>
          <a:r>
            <a:rPr lang="nl-NL" sz="900" baseline="0">
              <a:latin typeface="Consolas" pitchFamily="49" charset="0"/>
              <a:cs typeface="Consolas" pitchFamily="49" charset="0"/>
            </a:rPr>
            <a:t> limit in the constraint, </a:t>
          </a:r>
          <a:r>
            <a:rPr lang="nl-NL" sz="900">
              <a:latin typeface="Consolas" pitchFamily="49" charset="0"/>
              <a:cs typeface="Consolas" pitchFamily="49" charset="0"/>
            </a:rPr>
            <a:t>these limits shoul be calculated in separate cells</a:t>
          </a:r>
          <a:r>
            <a:rPr lang="nl-NL" sz="900" baseline="0">
              <a:latin typeface="Consolas" pitchFamily="49" charset="0"/>
              <a:cs typeface="Consolas" pitchFamily="49" charset="0"/>
            </a:rPr>
            <a:t> (</a:t>
          </a:r>
          <a:r>
            <a:rPr lang="nl-NL" sz="900">
              <a:latin typeface="Consolas" pitchFamily="49" charset="0"/>
              <a:cs typeface="Consolas" pitchFamily="49" charset="0"/>
            </a:rPr>
            <a:t>E16:E19).</a:t>
          </a:r>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6</xdr:col>
      <xdr:colOff>0</xdr:colOff>
      <xdr:row>24</xdr:row>
      <xdr:rowOff>28576</xdr:rowOff>
    </xdr:from>
    <xdr:to>
      <xdr:col>13</xdr:col>
      <xdr:colOff>47625</xdr:colOff>
      <xdr:row>29</xdr:row>
      <xdr:rowOff>95251</xdr:rowOff>
    </xdr:to>
    <xdr:sp macro="" textlink="">
      <xdr:nvSpPr>
        <xdr:cNvPr id="2" name="Tekstvak 1">
          <a:extLst>
            <a:ext uri="{FF2B5EF4-FFF2-40B4-BE49-F238E27FC236}">
              <a16:creationId xmlns:a16="http://schemas.microsoft.com/office/drawing/2014/main" id="{B05BFE1D-0F72-4204-9A9A-DC9036F7A529}"/>
            </a:ext>
          </a:extLst>
        </xdr:cNvPr>
        <xdr:cNvSpPr txBox="1"/>
      </xdr:nvSpPr>
      <xdr:spPr>
        <a:xfrm>
          <a:off x="2724150" y="3933826"/>
          <a:ext cx="4562475" cy="876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First create a table with two columns. In de first column the shoe sizes 37, 38, …, 43. In the second column the probability. Each shoe size has the same probability, so 1/7.</a:t>
          </a:r>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6</xdr:col>
      <xdr:colOff>1</xdr:colOff>
      <xdr:row>7</xdr:row>
      <xdr:rowOff>1</xdr:rowOff>
    </xdr:from>
    <xdr:to>
      <xdr:col>12</xdr:col>
      <xdr:colOff>476251</xdr:colOff>
      <xdr:row>22</xdr:row>
      <xdr:rowOff>66676</xdr:rowOff>
    </xdr:to>
    <xdr:graphicFrame macro="">
      <xdr:nvGraphicFramePr>
        <xdr:cNvPr id="2" name="Grafiek 2">
          <a:extLst>
            <a:ext uri="{FF2B5EF4-FFF2-40B4-BE49-F238E27FC236}">
              <a16:creationId xmlns:a16="http://schemas.microsoft.com/office/drawing/2014/main" id="{4AF89F4C-742D-4C10-889A-5B844F4EB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34</xdr:row>
      <xdr:rowOff>66675</xdr:rowOff>
    </xdr:from>
    <xdr:to>
      <xdr:col>11</xdr:col>
      <xdr:colOff>238125</xdr:colOff>
      <xdr:row>40</xdr:row>
      <xdr:rowOff>19050</xdr:rowOff>
    </xdr:to>
    <xdr:sp macro="" textlink="">
      <xdr:nvSpPr>
        <xdr:cNvPr id="3" name="Tekstvak 3">
          <a:extLst>
            <a:ext uri="{FF2B5EF4-FFF2-40B4-BE49-F238E27FC236}">
              <a16:creationId xmlns:a16="http://schemas.microsoft.com/office/drawing/2014/main" id="{B0A00913-4AEE-44A7-9BEF-7DDBB2F90F60}"/>
            </a:ext>
          </a:extLst>
        </xdr:cNvPr>
        <xdr:cNvSpPr txBox="1"/>
      </xdr:nvSpPr>
      <xdr:spPr>
        <a:xfrm>
          <a:off x="485775" y="5572125"/>
          <a:ext cx="5229225"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1B9F52CF-7DB0-43D4-AE38-579A4A4C9181}"/>
            </a:ext>
          </a:extLst>
        </xdr:cNvPr>
        <xdr:cNvSpPr txBox="1"/>
      </xdr:nvSpPr>
      <xdr:spPr>
        <a:xfrm>
          <a:off x="257175" y="5534025"/>
          <a:ext cx="450532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10</xdr:col>
      <xdr:colOff>552450</xdr:colOff>
      <xdr:row>22</xdr:row>
      <xdr:rowOff>142875</xdr:rowOff>
    </xdr:to>
    <xdr:graphicFrame macro="">
      <xdr:nvGraphicFramePr>
        <xdr:cNvPr id="2" name="Grafiek 4">
          <a:extLst>
            <a:ext uri="{FF2B5EF4-FFF2-40B4-BE49-F238E27FC236}">
              <a16:creationId xmlns:a16="http://schemas.microsoft.com/office/drawing/2014/main" id="{782EA63E-533B-46CA-ABD9-38677A9E8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ffice/excel_exercises/resources/Exercises_Solutions_N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ffice/excel2016nl/resources/Excel_Solutions_N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ffice/excel_exercises/resources/Excel_Exercises_Solutions_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orblad"/>
      <sheetName val="Inhoud"/>
      <sheetName val="form001"/>
      <sheetName val="form002"/>
      <sheetName val="form003"/>
      <sheetName val="form004"/>
      <sheetName val="form005"/>
      <sheetName val="form006"/>
      <sheetName val="form007"/>
      <sheetName val="form008"/>
      <sheetName val="form009"/>
      <sheetName val="form010"/>
      <sheetName val="form011"/>
      <sheetName val="goal001"/>
      <sheetName val="goal002"/>
      <sheetName val="goal003"/>
      <sheetName val="goal004"/>
      <sheetName val="graf001"/>
      <sheetName val="graf002"/>
      <sheetName val="graf003"/>
      <sheetName val="graf004"/>
      <sheetName val="graf005"/>
      <sheetName val="graf006"/>
      <sheetName val="list001"/>
      <sheetName val="list002"/>
      <sheetName val="list003"/>
      <sheetName val="list004"/>
      <sheetName val="macr001"/>
      <sheetName val="macr002"/>
      <sheetName val="macr003"/>
      <sheetName val="macr004"/>
      <sheetName val="math001"/>
      <sheetName val="math002"/>
      <sheetName val="math003"/>
      <sheetName val="math004"/>
      <sheetName val="matr001"/>
      <sheetName val="matr002"/>
      <sheetName val="meas001"/>
      <sheetName val="meas002"/>
      <sheetName val="meas003"/>
      <sheetName val="meas004"/>
      <sheetName val="pivo001"/>
      <sheetName val="pivo002"/>
      <sheetName val="pivo003"/>
      <sheetName val="pivo004"/>
      <sheetName val="pivo005"/>
      <sheetName val="pivo006"/>
      <sheetName val="pivo007"/>
      <sheetName val="pivo008"/>
      <sheetName val="pivo009"/>
      <sheetName val="pivo010"/>
      <sheetName val="pivo011"/>
      <sheetName val="pivo012"/>
      <sheetName val="scen001"/>
      <sheetName val="scen002"/>
      <sheetName val="scen003"/>
      <sheetName val="scen004"/>
      <sheetName val="solv001"/>
      <sheetName val="solv002"/>
      <sheetName val="solv003"/>
      <sheetName val="solv004"/>
      <sheetName val="solv005"/>
      <sheetName val="solv006"/>
      <sheetName val="solv007"/>
      <sheetName val="solv008"/>
      <sheetName val="solv009"/>
      <sheetName val="solv010"/>
      <sheetName val="stat001"/>
      <sheetName val="stat002"/>
      <sheetName val="stat003"/>
      <sheetName val="stat004"/>
      <sheetName val="tabl001"/>
      <sheetName val="tabl002"/>
    </sheetNames>
    <sheetDataSet>
      <sheetData sheetId="0" refreshError="1"/>
      <sheetData sheetId="1">
        <row r="2">
          <cell r="A2" t="str">
            <v>form001</v>
          </cell>
          <cell r="B2" t="str">
            <v>Resultaten computerbedrijf</v>
          </cell>
          <cell r="C2" t="str">
            <v>Results computer company</v>
          </cell>
          <cell r="D2">
            <v>1</v>
          </cell>
          <cell r="E2" t="str">
            <v>Formule</v>
          </cell>
          <cell r="F2" t="str">
            <v>Formula</v>
          </cell>
        </row>
        <row r="3">
          <cell r="A3" t="str">
            <v>form002</v>
          </cell>
          <cell r="B3" t="str">
            <v>Artikelgegevens opzoeken</v>
          </cell>
          <cell r="C3" t="str">
            <v>Lookup article details</v>
          </cell>
          <cell r="D3">
            <v>2</v>
          </cell>
          <cell r="E3" t="str">
            <v>Formule</v>
          </cell>
          <cell r="F3" t="str">
            <v>Formula</v>
          </cell>
        </row>
        <row r="4">
          <cell r="A4" t="str">
            <v>form003</v>
          </cell>
          <cell r="B4" t="str">
            <v>Datum rekenen</v>
          </cell>
          <cell r="C4" t="str">
            <v>Calculating with dates</v>
          </cell>
          <cell r="D4">
            <v>2</v>
          </cell>
          <cell r="E4" t="str">
            <v>Formule</v>
          </cell>
          <cell r="F4" t="str">
            <v>Formula</v>
          </cell>
        </row>
        <row r="5">
          <cell r="A5" t="str">
            <v>form004</v>
          </cell>
          <cell r="B5" t="str">
            <v>Commissie bepalen</v>
          </cell>
          <cell r="C5" t="str">
            <v>Determining commission</v>
          </cell>
          <cell r="D5">
            <v>2</v>
          </cell>
          <cell r="E5" t="str">
            <v>Formule</v>
          </cell>
          <cell r="F5" t="str">
            <v>Formula</v>
          </cell>
        </row>
        <row r="6">
          <cell r="A6" t="str">
            <v>form005</v>
          </cell>
          <cell r="B6" t="str">
            <v>Geboortedata</v>
          </cell>
          <cell r="C6" t="str">
            <v>Birth dates</v>
          </cell>
          <cell r="D6">
            <v>3</v>
          </cell>
          <cell r="E6" t="str">
            <v>Formule</v>
          </cell>
          <cell r="F6" t="str">
            <v>Formula</v>
          </cell>
        </row>
        <row r="7">
          <cell r="A7" t="str">
            <v>form006</v>
          </cell>
          <cell r="B7" t="str">
            <v>BTW aangifte</v>
          </cell>
          <cell r="C7" t="str">
            <v>VAT return</v>
          </cell>
          <cell r="D7">
            <v>3</v>
          </cell>
          <cell r="E7" t="str">
            <v>Formule</v>
          </cell>
          <cell r="F7" t="str">
            <v>Formula</v>
          </cell>
        </row>
        <row r="8">
          <cell r="A8" t="str">
            <v>form007</v>
          </cell>
          <cell r="B8" t="str">
            <v>Prijs kaartje</v>
          </cell>
          <cell r="C8" t="str">
            <v>Ticket price</v>
          </cell>
          <cell r="D8">
            <v>1</v>
          </cell>
          <cell r="E8" t="str">
            <v>Formule</v>
          </cell>
          <cell r="F8" t="str">
            <v>Formula</v>
          </cell>
        </row>
        <row r="9">
          <cell r="A9" t="str">
            <v>form008</v>
          </cell>
          <cell r="B9" t="str">
            <v>OZB belasting</v>
          </cell>
          <cell r="C9" t="str">
            <v>Property tax</v>
          </cell>
          <cell r="D9">
            <v>2</v>
          </cell>
          <cell r="E9" t="str">
            <v>Formule</v>
          </cell>
          <cell r="F9" t="str">
            <v>Formula</v>
          </cell>
        </row>
        <row r="10">
          <cell r="A10" t="str">
            <v>form009</v>
          </cell>
          <cell r="B10" t="str">
            <v>Spaardeposito</v>
          </cell>
          <cell r="C10" t="str">
            <v>Savings deposit</v>
          </cell>
          <cell r="D10">
            <v>1</v>
          </cell>
          <cell r="E10" t="str">
            <v>Formule</v>
          </cell>
          <cell r="F10" t="str">
            <v>Formula</v>
          </cell>
        </row>
        <row r="11">
          <cell r="A11" t="str">
            <v>form010</v>
          </cell>
          <cell r="B11" t="str">
            <v>Wet van Joule</v>
          </cell>
          <cell r="C11" t="str">
            <v>Joule's law</v>
          </cell>
          <cell r="D11">
            <v>1</v>
          </cell>
          <cell r="E11" t="str">
            <v>Formule</v>
          </cell>
          <cell r="F11" t="str">
            <v>Formula</v>
          </cell>
        </row>
        <row r="12">
          <cell r="A12" t="str">
            <v>form011</v>
          </cell>
          <cell r="B12" t="str">
            <v>Investering obligatie</v>
          </cell>
          <cell r="C12" t="str">
            <v>Investment bond</v>
          </cell>
          <cell r="D12">
            <v>1</v>
          </cell>
          <cell r="E12" t="str">
            <v>Formule</v>
          </cell>
          <cell r="F12" t="str">
            <v>Formula</v>
          </cell>
        </row>
        <row r="13">
          <cell r="A13" t="str">
            <v>goal001</v>
          </cell>
          <cell r="B13" t="str">
            <v>Freelancer</v>
          </cell>
          <cell r="C13" t="str">
            <v>Freelancer</v>
          </cell>
          <cell r="D13">
            <v>2</v>
          </cell>
          <cell r="E13" t="str">
            <v>Doelzoeken</v>
          </cell>
          <cell r="F13" t="str">
            <v>Goal Seek</v>
          </cell>
        </row>
        <row r="14">
          <cell r="A14" t="str">
            <v>goal002</v>
          </cell>
          <cell r="B14" t="str">
            <v>Betaling lening</v>
          </cell>
          <cell r="C14" t="str">
            <v>Loan payment</v>
          </cell>
          <cell r="D14">
            <v>2</v>
          </cell>
          <cell r="E14" t="str">
            <v>Doelzoeken</v>
          </cell>
          <cell r="F14" t="str">
            <v>Goal Seek</v>
          </cell>
        </row>
        <row r="15">
          <cell r="A15" t="str">
            <v>goal003</v>
          </cell>
          <cell r="B15" t="str">
            <v>Break-even bepalen</v>
          </cell>
          <cell r="C15" t="str">
            <v>Break-even point</v>
          </cell>
          <cell r="D15">
            <v>3</v>
          </cell>
          <cell r="E15" t="str">
            <v>Doelzoeken</v>
          </cell>
          <cell r="F15" t="str">
            <v>Goal Seek</v>
          </cell>
        </row>
        <row r="16">
          <cell r="A16" t="str">
            <v>goal004</v>
          </cell>
          <cell r="B16" t="str">
            <v>Spaarbedrag</v>
          </cell>
          <cell r="C16" t="str">
            <v>Savings amount</v>
          </cell>
          <cell r="D16">
            <v>2</v>
          </cell>
          <cell r="E16" t="str">
            <v>Doelzoeken</v>
          </cell>
          <cell r="F16" t="str">
            <v>Goal Seek</v>
          </cell>
        </row>
        <row r="17">
          <cell r="A17" t="str">
            <v>graf001</v>
          </cell>
          <cell r="B17" t="str">
            <v>Derdegraads grafiek</v>
          </cell>
          <cell r="C17" t="str">
            <v>Third-degree chart</v>
          </cell>
          <cell r="D17">
            <v>2</v>
          </cell>
          <cell r="E17" t="str">
            <v>Grafiek</v>
          </cell>
          <cell r="F17" t="str">
            <v>Chart</v>
          </cell>
        </row>
        <row r="18">
          <cell r="A18" t="str">
            <v>graf002</v>
          </cell>
          <cell r="B18" t="str">
            <v>Reizen</v>
          </cell>
          <cell r="C18" t="str">
            <v>Travel bookings</v>
          </cell>
          <cell r="D18">
            <v>1</v>
          </cell>
          <cell r="E18" t="str">
            <v>Grafiek</v>
          </cell>
          <cell r="F18" t="str">
            <v>Chart</v>
          </cell>
        </row>
        <row r="19">
          <cell r="A19" t="str">
            <v>graf003</v>
          </cell>
          <cell r="B19" t="str">
            <v>Verkoopcijfers</v>
          </cell>
          <cell r="C19" t="str">
            <v>Sales figures</v>
          </cell>
          <cell r="D19">
            <v>2</v>
          </cell>
          <cell r="E19" t="str">
            <v>Grafiek</v>
          </cell>
          <cell r="F19" t="str">
            <v>Chart</v>
          </cell>
        </row>
        <row r="20">
          <cell r="A20" t="str">
            <v>graf004</v>
          </cell>
          <cell r="B20" t="str">
            <v>Leeftijdsopbouw</v>
          </cell>
          <cell r="C20" t="str">
            <v>Age structure</v>
          </cell>
          <cell r="D20">
            <v>2</v>
          </cell>
          <cell r="E20" t="str">
            <v>Grafiek</v>
          </cell>
          <cell r="F20" t="str">
            <v>Chart</v>
          </cell>
        </row>
        <row r="21">
          <cell r="A21" t="str">
            <v>graf005</v>
          </cell>
          <cell r="B21" t="str">
            <v>Relatie productietijd-kostprijs</v>
          </cell>
          <cell r="C21" t="str">
            <v>Relationship production - cost</v>
          </cell>
          <cell r="D21">
            <v>2</v>
          </cell>
          <cell r="E21" t="str">
            <v>Grafiek</v>
          </cell>
          <cell r="F21" t="str">
            <v>Chart</v>
          </cell>
        </row>
        <row r="22">
          <cell r="A22" t="str">
            <v>graf006</v>
          </cell>
          <cell r="B22" t="str">
            <v>Telling vliegenzwammen</v>
          </cell>
          <cell r="C22" t="str">
            <v>Counting agarics</v>
          </cell>
          <cell r="D22">
            <v>1</v>
          </cell>
          <cell r="E22" t="str">
            <v>Grafiek</v>
          </cell>
          <cell r="F22" t="str">
            <v>Chart</v>
          </cell>
        </row>
        <row r="23">
          <cell r="A23" t="str">
            <v>list001</v>
          </cell>
          <cell r="B23" t="str">
            <v>Selecteren</v>
          </cell>
          <cell r="C23" t="str">
            <v>Selecting</v>
          </cell>
          <cell r="D23">
            <v>2</v>
          </cell>
          <cell r="E23" t="str">
            <v>Lijst</v>
          </cell>
          <cell r="F23" t="str">
            <v>List</v>
          </cell>
        </row>
        <row r="24">
          <cell r="A24" t="str">
            <v>list002</v>
          </cell>
          <cell r="B24" t="str">
            <v>Tentamencijfers samenvoegen</v>
          </cell>
          <cell r="C24" t="str">
            <v>Consolidating examination results</v>
          </cell>
          <cell r="D24">
            <v>2</v>
          </cell>
          <cell r="E24" t="str">
            <v>Lijst</v>
          </cell>
          <cell r="F24" t="str">
            <v>List</v>
          </cell>
        </row>
        <row r="25">
          <cell r="A25" t="str">
            <v>list003</v>
          </cell>
          <cell r="B25" t="str">
            <v>Verkoopgegevens samenvoegen</v>
          </cell>
          <cell r="C25" t="str">
            <v>Consolidating sales data</v>
          </cell>
          <cell r="D25">
            <v>2</v>
          </cell>
          <cell r="E25" t="str">
            <v>Lijst</v>
          </cell>
          <cell r="F25" t="str">
            <v>List</v>
          </cell>
        </row>
        <row r="26">
          <cell r="A26" t="str">
            <v>list004</v>
          </cell>
          <cell r="B26" t="str">
            <v>Overzicht auto's filteren</v>
          </cell>
          <cell r="C26" t="str">
            <v>Filtering overview cars</v>
          </cell>
          <cell r="D26">
            <v>2</v>
          </cell>
          <cell r="E26" t="str">
            <v>Lijst</v>
          </cell>
          <cell r="F26" t="str">
            <v>List</v>
          </cell>
        </row>
        <row r="27">
          <cell r="A27" t="str">
            <v>macr001</v>
          </cell>
          <cell r="B27" t="str">
            <v>Achtergrondkleur</v>
          </cell>
          <cell r="C27" t="str">
            <v>Background color</v>
          </cell>
          <cell r="D27">
            <v>2</v>
          </cell>
          <cell r="E27" t="str">
            <v>Macro</v>
          </cell>
          <cell r="F27" t="str">
            <v>Macro</v>
          </cell>
        </row>
        <row r="28">
          <cell r="A28" t="str">
            <v>macr002</v>
          </cell>
          <cell r="B28" t="str">
            <v>Procentuele opmaak</v>
          </cell>
          <cell r="C28" t="str">
            <v>Percentage formatting</v>
          </cell>
          <cell r="D28">
            <v>2</v>
          </cell>
          <cell r="E28" t="str">
            <v>Macro</v>
          </cell>
          <cell r="F28" t="str">
            <v>Macro</v>
          </cell>
        </row>
        <row r="29">
          <cell r="A29" t="str">
            <v>macr003</v>
          </cell>
          <cell r="B29" t="str">
            <v>Opmaak cel A1</v>
          </cell>
          <cell r="C29" t="str">
            <v>Formatting cell A1</v>
          </cell>
          <cell r="D29">
            <v>2</v>
          </cell>
          <cell r="E29" t="str">
            <v>Macro</v>
          </cell>
          <cell r="F29" t="str">
            <v>Macro</v>
          </cell>
        </row>
        <row r="30">
          <cell r="A30" t="str">
            <v>macr004</v>
          </cell>
          <cell r="B30" t="str">
            <v>Rasterlijnen afdrukken</v>
          </cell>
          <cell r="C30" t="str">
            <v>Printing gridlines</v>
          </cell>
          <cell r="D30">
            <v>2</v>
          </cell>
          <cell r="E30" t="str">
            <v>Macro</v>
          </cell>
          <cell r="F30" t="str">
            <v>Macro</v>
          </cell>
        </row>
        <row r="31">
          <cell r="A31" t="str">
            <v>math001</v>
          </cell>
          <cell r="B31" t="str">
            <v>Benadering functie</v>
          </cell>
          <cell r="C31" t="str">
            <v>Function approximation</v>
          </cell>
          <cell r="D31">
            <v>3</v>
          </cell>
          <cell r="E31" t="str">
            <v>Wiskunde</v>
          </cell>
          <cell r="F31" t="str">
            <v>Math</v>
          </cell>
        </row>
        <row r="32">
          <cell r="A32" t="str">
            <v>math002</v>
          </cell>
          <cell r="B32" t="str">
            <v>Kortste afstand bepalen</v>
          </cell>
          <cell r="C32" t="str">
            <v>Determining shortest distance</v>
          </cell>
          <cell r="D32">
            <v>3</v>
          </cell>
          <cell r="E32" t="str">
            <v>Wiskunde</v>
          </cell>
          <cell r="F32" t="str">
            <v>Math</v>
          </cell>
        </row>
        <row r="33">
          <cell r="A33" t="str">
            <v>math003</v>
          </cell>
          <cell r="B33" t="str">
            <v>Maximum functie bepalen</v>
          </cell>
          <cell r="C33" t="str">
            <v>Maximum of a function</v>
          </cell>
          <cell r="D33">
            <v>3</v>
          </cell>
          <cell r="E33" t="str">
            <v>Wiskunde</v>
          </cell>
          <cell r="F33" t="str">
            <v>Math</v>
          </cell>
        </row>
        <row r="34">
          <cell r="A34" t="str">
            <v>math004</v>
          </cell>
          <cell r="B34" t="str">
            <v>Verkoopprognoses</v>
          </cell>
          <cell r="C34" t="str">
            <v>Sales forecasts</v>
          </cell>
          <cell r="D34">
            <v>2</v>
          </cell>
          <cell r="E34" t="str">
            <v>Wiskunde</v>
          </cell>
          <cell r="F34" t="str">
            <v>Math</v>
          </cell>
        </row>
        <row r="35">
          <cell r="A35" t="str">
            <v>matr001</v>
          </cell>
          <cell r="B35" t="str">
            <v>Matrixoptelling</v>
          </cell>
          <cell r="C35" t="str">
            <v>Array addition</v>
          </cell>
          <cell r="D35">
            <v>2</v>
          </cell>
          <cell r="E35" t="str">
            <v>Matrix formule</v>
          </cell>
          <cell r="F35" t="str">
            <v>Array formula</v>
          </cell>
        </row>
        <row r="36">
          <cell r="A36" t="str">
            <v>matr002</v>
          </cell>
          <cell r="B36" t="str">
            <v>Aantal storingen per district</v>
          </cell>
          <cell r="C36" t="str">
            <v>Failures per district</v>
          </cell>
          <cell r="D36">
            <v>3</v>
          </cell>
          <cell r="E36" t="str">
            <v>Matrix formule</v>
          </cell>
          <cell r="F36" t="str">
            <v>Array formula</v>
          </cell>
        </row>
        <row r="37">
          <cell r="A37" t="str">
            <v>meas001</v>
          </cell>
          <cell r="B37" t="str">
            <v>Lengte en gewicht</v>
          </cell>
          <cell r="C37" t="str">
            <v>Height and weight</v>
          </cell>
          <cell r="D37">
            <v>2</v>
          </cell>
          <cell r="E37" t="str">
            <v>Data analyse</v>
          </cell>
          <cell r="F37" t="str">
            <v>Data analysis</v>
          </cell>
        </row>
        <row r="38">
          <cell r="A38" t="str">
            <v>meas002</v>
          </cell>
          <cell r="B38" t="str">
            <v>Studietijd en tentamencijfer</v>
          </cell>
          <cell r="C38" t="str">
            <v>Study time and exam grade</v>
          </cell>
          <cell r="D38">
            <v>2</v>
          </cell>
          <cell r="E38" t="str">
            <v>Data analyse</v>
          </cell>
          <cell r="F38" t="str">
            <v>Data analysis</v>
          </cell>
        </row>
        <row r="39">
          <cell r="A39" t="str">
            <v>meas003</v>
          </cell>
          <cell r="B39" t="str">
            <v>Krimp en temperatuur</v>
          </cell>
          <cell r="C39" t="str">
            <v>Shrinkage and temperature</v>
          </cell>
          <cell r="D39">
            <v>2</v>
          </cell>
          <cell r="E39" t="str">
            <v>Data analyse</v>
          </cell>
          <cell r="F39" t="str">
            <v>Data analysis</v>
          </cell>
        </row>
        <row r="40">
          <cell r="A40" t="str">
            <v>meas004</v>
          </cell>
          <cell r="B40" t="str">
            <v>Weerstand en temperatuur</v>
          </cell>
          <cell r="C40" t="str">
            <v>Resistance and temperature</v>
          </cell>
          <cell r="D40">
            <v>2</v>
          </cell>
          <cell r="E40" t="str">
            <v>Data analyse</v>
          </cell>
          <cell r="F40" t="str">
            <v>Data analysis</v>
          </cell>
        </row>
        <row r="41">
          <cell r="A41" t="str">
            <v>pivo001</v>
          </cell>
          <cell r="B41" t="str">
            <v>Salaris gemiddeldes</v>
          </cell>
          <cell r="C41" t="str">
            <v>Salary averages</v>
          </cell>
          <cell r="D41">
            <v>2</v>
          </cell>
          <cell r="E41" t="str">
            <v>Draaitabel</v>
          </cell>
          <cell r="F41" t="str">
            <v>Pivot table</v>
          </cell>
        </row>
        <row r="42">
          <cell r="A42" t="str">
            <v>pivo002</v>
          </cell>
          <cell r="B42" t="str">
            <v>Salaris totalen</v>
          </cell>
          <cell r="C42" t="str">
            <v>Salary totals</v>
          </cell>
          <cell r="D42">
            <v>2</v>
          </cell>
          <cell r="E42" t="str">
            <v>Draaitabel</v>
          </cell>
          <cell r="F42" t="str">
            <v>Pivot table</v>
          </cell>
        </row>
        <row r="43">
          <cell r="A43" t="str">
            <v>pivo003</v>
          </cell>
          <cell r="B43" t="str">
            <v>Omzet, reiskosten en provisie</v>
          </cell>
          <cell r="C43" t="str">
            <v>Turnover, travel expenses and commission</v>
          </cell>
          <cell r="D43">
            <v>3</v>
          </cell>
          <cell r="E43" t="str">
            <v>Draaitabel</v>
          </cell>
          <cell r="F43" t="str">
            <v>Pivot table</v>
          </cell>
        </row>
        <row r="44">
          <cell r="A44" t="str">
            <v>pivo004</v>
          </cell>
          <cell r="B44" t="str">
            <v>Gemiddeld cijfer</v>
          </cell>
          <cell r="C44" t="str">
            <v>Average rating</v>
          </cell>
          <cell r="D44">
            <v>2</v>
          </cell>
          <cell r="E44" t="str">
            <v>Draaitabel</v>
          </cell>
          <cell r="F44" t="str">
            <v>Pivot table</v>
          </cell>
        </row>
        <row r="45">
          <cell r="A45" t="str">
            <v>pivo005</v>
          </cell>
          <cell r="B45" t="str">
            <v>Frequentieverdeling</v>
          </cell>
          <cell r="C45" t="str">
            <v>Frequency distribution figures</v>
          </cell>
          <cell r="D45">
            <v>2</v>
          </cell>
          <cell r="E45" t="str">
            <v>Draaitabel</v>
          </cell>
          <cell r="F45" t="str">
            <v>Pivot table</v>
          </cell>
        </row>
        <row r="46">
          <cell r="A46" t="str">
            <v>pivo006</v>
          </cell>
          <cell r="B46" t="str">
            <v>Kledingverkoop per regio</v>
          </cell>
          <cell r="C46" t="str">
            <v>Clothing sales by region</v>
          </cell>
          <cell r="D46">
            <v>2</v>
          </cell>
          <cell r="E46" t="str">
            <v>Draaitabel</v>
          </cell>
          <cell r="F46" t="str">
            <v>Pivot table</v>
          </cell>
        </row>
        <row r="47">
          <cell r="A47" t="str">
            <v>pivo007</v>
          </cell>
          <cell r="B47" t="str">
            <v>Winkelsluiting</v>
          </cell>
          <cell r="C47" t="str">
            <v>Shop opening hours</v>
          </cell>
          <cell r="D47">
            <v>2</v>
          </cell>
          <cell r="E47" t="str">
            <v>Draaitabel</v>
          </cell>
          <cell r="F47" t="str">
            <v>Pivot table</v>
          </cell>
        </row>
        <row r="48">
          <cell r="A48" t="str">
            <v>pivo008</v>
          </cell>
          <cell r="B48" t="str">
            <v>Eigen huis en gemiddelde waarde</v>
          </cell>
          <cell r="C48" t="str">
            <v>Own home and average value</v>
          </cell>
          <cell r="D48">
            <v>3</v>
          </cell>
          <cell r="E48" t="str">
            <v>Draaitabel</v>
          </cell>
          <cell r="F48" t="str">
            <v>Pivot table</v>
          </cell>
        </row>
        <row r="49">
          <cell r="A49" t="str">
            <v>pivo009</v>
          </cell>
          <cell r="B49" t="str">
            <v>Vervoersonderzoek</v>
          </cell>
          <cell r="C49" t="str">
            <v>Transport research</v>
          </cell>
          <cell r="D49">
            <v>3</v>
          </cell>
          <cell r="E49" t="str">
            <v>Draaitabel</v>
          </cell>
          <cell r="F49" t="str">
            <v>Pivot table</v>
          </cell>
        </row>
        <row r="50">
          <cell r="A50" t="str">
            <v>pivo010</v>
          </cell>
          <cell r="B50" t="str">
            <v>Opbrengst koffie per regio</v>
          </cell>
          <cell r="C50" t="str">
            <v>Coffee yield per region</v>
          </cell>
          <cell r="D50">
            <v>2</v>
          </cell>
          <cell r="E50" t="str">
            <v>Draaitabel</v>
          </cell>
          <cell r="F50" t="str">
            <v>Pivot table</v>
          </cell>
        </row>
        <row r="51">
          <cell r="A51" t="str">
            <v>pivo011</v>
          </cell>
          <cell r="B51" t="str">
            <v>Kenmerken auto's</v>
          </cell>
          <cell r="C51" t="str">
            <v>Fuel consumption cars</v>
          </cell>
          <cell r="D51">
            <v>2</v>
          </cell>
          <cell r="E51" t="str">
            <v>Draaitabel</v>
          </cell>
          <cell r="F51" t="str">
            <v>Pivot table</v>
          </cell>
        </row>
        <row r="52">
          <cell r="A52" t="str">
            <v>pivo012</v>
          </cell>
          <cell r="B52" t="str">
            <v>Hobbyclub</v>
          </cell>
          <cell r="C52" t="str">
            <v>Hobby club</v>
          </cell>
          <cell r="D52">
            <v>3</v>
          </cell>
          <cell r="E52" t="str">
            <v>Draaitabel</v>
          </cell>
          <cell r="F52" t="str">
            <v>Pivot table</v>
          </cell>
        </row>
        <row r="53">
          <cell r="A53" t="str">
            <v>scen001</v>
          </cell>
          <cell r="B53" t="str">
            <v>Winstmarge en Verkoopprijs</v>
          </cell>
          <cell r="C53" t="str">
            <v>Profit margin - Sales price</v>
          </cell>
          <cell r="D53">
            <v>2</v>
          </cell>
          <cell r="E53" t="str">
            <v>Scenario</v>
          </cell>
          <cell r="F53" t="str">
            <v>Scenario</v>
          </cell>
        </row>
        <row r="54">
          <cell r="A54" t="str">
            <v>scen002</v>
          </cell>
          <cell r="B54" t="str">
            <v>Begroting club</v>
          </cell>
          <cell r="C54" t="str">
            <v>Budget sports club</v>
          </cell>
          <cell r="D54">
            <v>2</v>
          </cell>
          <cell r="E54" t="str">
            <v>Scenario</v>
          </cell>
          <cell r="F54" t="str">
            <v>Scenario</v>
          </cell>
        </row>
        <row r="55">
          <cell r="A55" t="str">
            <v>scen003</v>
          </cell>
          <cell r="B55" t="str">
            <v>Scenario's bedrijfswinst</v>
          </cell>
          <cell r="C55" t="str">
            <v>Scenarios business profit</v>
          </cell>
          <cell r="D55">
            <v>2</v>
          </cell>
          <cell r="E55" t="str">
            <v>Scenario</v>
          </cell>
          <cell r="F55" t="str">
            <v>Scenario</v>
          </cell>
        </row>
        <row r="56">
          <cell r="A56" t="str">
            <v>scen004</v>
          </cell>
          <cell r="B56" t="str">
            <v>Winst computerbedrijf</v>
          </cell>
          <cell r="C56" t="str">
            <v>Gainings automation company</v>
          </cell>
          <cell r="D56">
            <v>3</v>
          </cell>
          <cell r="E56" t="str">
            <v>Scenario</v>
          </cell>
          <cell r="F56" t="str">
            <v>Scenario</v>
          </cell>
        </row>
        <row r="57">
          <cell r="A57" t="str">
            <v>solv001</v>
          </cell>
          <cell r="B57" t="str">
            <v>Bonbondoos</v>
          </cell>
          <cell r="C57" t="str">
            <v>Bonbon box</v>
          </cell>
          <cell r="D57">
            <v>2</v>
          </cell>
          <cell r="E57" t="str">
            <v>Oplosser</v>
          </cell>
          <cell r="F57" t="str">
            <v>Solver</v>
          </cell>
        </row>
        <row r="58">
          <cell r="A58" t="str">
            <v>solv002</v>
          </cell>
          <cell r="B58" t="str">
            <v>Aantal supermarkten</v>
          </cell>
          <cell r="C58" t="str">
            <v>Number of supermarkets</v>
          </cell>
          <cell r="D58">
            <v>2</v>
          </cell>
          <cell r="E58" t="str">
            <v>Oplosser</v>
          </cell>
          <cell r="F58" t="str">
            <v>Solver</v>
          </cell>
        </row>
        <row r="59">
          <cell r="A59" t="str">
            <v>solv003</v>
          </cell>
          <cell r="B59" t="str">
            <v>Hardloopschoenen</v>
          </cell>
          <cell r="C59" t="str">
            <v>Running shoes</v>
          </cell>
          <cell r="D59">
            <v>2</v>
          </cell>
          <cell r="E59" t="str">
            <v>Oplosser</v>
          </cell>
          <cell r="F59" t="str">
            <v>Solver</v>
          </cell>
        </row>
        <row r="60">
          <cell r="A60" t="str">
            <v>solv004</v>
          </cell>
          <cell r="B60" t="str">
            <v>Productie aluminium ladders</v>
          </cell>
          <cell r="C60" t="str">
            <v>Production of aluminium ladders</v>
          </cell>
          <cell r="D60">
            <v>2</v>
          </cell>
          <cell r="E60" t="str">
            <v>Oplosser</v>
          </cell>
          <cell r="F60" t="str">
            <v>Solver</v>
          </cell>
        </row>
        <row r="61">
          <cell r="A61" t="str">
            <v>solv005</v>
          </cell>
          <cell r="B61" t="str">
            <v>Productie hondenvoer</v>
          </cell>
          <cell r="C61" t="str">
            <v>Production of dog food</v>
          </cell>
          <cell r="D61">
            <v>2</v>
          </cell>
          <cell r="E61" t="str">
            <v>Oplosser</v>
          </cell>
          <cell r="F61" t="str">
            <v>Solver</v>
          </cell>
        </row>
        <row r="62">
          <cell r="A62" t="str">
            <v>solv006</v>
          </cell>
          <cell r="B62" t="str">
            <v>Vitamines in veevoer</v>
          </cell>
          <cell r="C62" t="str">
            <v>Vitamins for cattle feeding</v>
          </cell>
          <cell r="D62">
            <v>3</v>
          </cell>
          <cell r="E62" t="str">
            <v>Oplosser</v>
          </cell>
          <cell r="F62" t="str">
            <v>Solver</v>
          </cell>
        </row>
        <row r="63">
          <cell r="A63" t="str">
            <v>solv007</v>
          </cell>
          <cell r="B63" t="str">
            <v>Vitaminetabletten</v>
          </cell>
          <cell r="C63" t="str">
            <v>Vitamin pills</v>
          </cell>
          <cell r="D63">
            <v>2</v>
          </cell>
          <cell r="E63" t="str">
            <v>Oplosser</v>
          </cell>
          <cell r="F63" t="str">
            <v>Solver</v>
          </cell>
        </row>
        <row r="64">
          <cell r="A64" t="str">
            <v>solv008</v>
          </cell>
          <cell r="B64" t="str">
            <v>Transportkosten minimaliseren</v>
          </cell>
          <cell r="C64" t="str">
            <v>Minimizing transport costs</v>
          </cell>
          <cell r="D64">
            <v>3</v>
          </cell>
          <cell r="E64" t="str">
            <v>Oplosser</v>
          </cell>
          <cell r="F64" t="str">
            <v>Solver</v>
          </cell>
        </row>
        <row r="65">
          <cell r="A65" t="str">
            <v>solv009</v>
          </cell>
          <cell r="B65" t="str">
            <v>Stelsel vergelijkingen oplossen</v>
          </cell>
          <cell r="C65" t="str">
            <v>Solving system of linear equations</v>
          </cell>
          <cell r="D65">
            <v>3</v>
          </cell>
          <cell r="E65" t="str">
            <v>Oplosser</v>
          </cell>
          <cell r="F65" t="str">
            <v>Solver</v>
          </cell>
        </row>
        <row r="66">
          <cell r="A66" t="str">
            <v>solv010</v>
          </cell>
          <cell r="B66" t="str">
            <v>Spaarbank</v>
          </cell>
          <cell r="C66" t="str">
            <v>Savings bank</v>
          </cell>
          <cell r="D66">
            <v>3</v>
          </cell>
          <cell r="E66" t="str">
            <v>Oplosser</v>
          </cell>
          <cell r="F66" t="str">
            <v>Solver</v>
          </cell>
        </row>
        <row r="67">
          <cell r="A67" t="str">
            <v>stat001</v>
          </cell>
          <cell r="B67" t="str">
            <v>Schoenmatenverdeling</v>
          </cell>
          <cell r="C67" t="str">
            <v>Distribution shoe sizes</v>
          </cell>
          <cell r="D67">
            <v>2</v>
          </cell>
          <cell r="E67" t="str">
            <v>Statistiek</v>
          </cell>
          <cell r="F67" t="str">
            <v>Statistics</v>
          </cell>
        </row>
        <row r="68">
          <cell r="A68" t="str">
            <v>stat002</v>
          </cell>
          <cell r="B68" t="str">
            <v>Relatie studietijd-cijfer</v>
          </cell>
          <cell r="C68" t="str">
            <v>Relationship study time - mark</v>
          </cell>
          <cell r="D68">
            <v>3</v>
          </cell>
          <cell r="E68" t="str">
            <v>Statistiek</v>
          </cell>
          <cell r="F68" t="str">
            <v>Statistics</v>
          </cell>
        </row>
        <row r="69">
          <cell r="A69" t="str">
            <v>stat003</v>
          </cell>
          <cell r="B69" t="str">
            <v>Afzet voorspellen</v>
          </cell>
          <cell r="C69" t="str">
            <v>Sales prognoses</v>
          </cell>
          <cell r="D69">
            <v>2</v>
          </cell>
          <cell r="E69" t="str">
            <v>Statistiek</v>
          </cell>
          <cell r="F69" t="str">
            <v>Statistics</v>
          </cell>
        </row>
        <row r="70">
          <cell r="A70" t="str">
            <v>stat004</v>
          </cell>
          <cell r="B70" t="str">
            <v>Servicegraad</v>
          </cell>
          <cell r="C70" t="str">
            <v>Service level</v>
          </cell>
          <cell r="D70">
            <v>3</v>
          </cell>
          <cell r="E70" t="str">
            <v>Statistiek</v>
          </cell>
          <cell r="F70" t="str">
            <v>Statistics</v>
          </cell>
        </row>
      </sheetData>
      <sheetData sheetId="2" refreshError="1"/>
      <sheetData sheetId="3" refreshError="1"/>
      <sheetData sheetId="4">
        <row r="9">
          <cell r="E9">
            <v>24532</v>
          </cell>
        </row>
        <row r="10">
          <cell r="E10">
            <v>67</v>
          </cell>
        </row>
        <row r="13">
          <cell r="E13">
            <v>49004</v>
          </cell>
        </row>
      </sheetData>
      <sheetData sheetId="5">
        <row r="8">
          <cell r="E8">
            <v>150000</v>
          </cell>
        </row>
        <row r="9">
          <cell r="E9">
            <v>5.5E-2</v>
          </cell>
        </row>
        <row r="10">
          <cell r="E10">
            <v>6.25E-2</v>
          </cell>
        </row>
      </sheetData>
      <sheetData sheetId="6">
        <row r="11">
          <cell r="E11">
            <v>40277</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ow r="11">
          <cell r="H11">
            <v>10</v>
          </cell>
        </row>
        <row r="12">
          <cell r="H12">
            <v>10</v>
          </cell>
        </row>
      </sheetData>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houd"/>
      <sheetName val="data001"/>
      <sheetName val="fcast001"/>
      <sheetName val="fcast002"/>
      <sheetName val="form001"/>
      <sheetName val="form002"/>
      <sheetName val="form003"/>
      <sheetName val="form004"/>
      <sheetName val="form005"/>
      <sheetName val="form006"/>
      <sheetName val="form007"/>
      <sheetName val="form008"/>
      <sheetName val="form009"/>
      <sheetName val="form010"/>
      <sheetName val="form011"/>
      <sheetName val="form012"/>
      <sheetName val="form013"/>
      <sheetName val="goal001"/>
      <sheetName val="goal002"/>
      <sheetName val="goal003"/>
      <sheetName val="goal004"/>
      <sheetName val="graf001"/>
      <sheetName val="graf002"/>
      <sheetName val="graf003"/>
      <sheetName val="graf004"/>
      <sheetName val="graf005"/>
      <sheetName val="graf006"/>
      <sheetName val="list001"/>
      <sheetName val="list002"/>
      <sheetName val="list003"/>
      <sheetName val="list004"/>
      <sheetName val="macr001"/>
      <sheetName val="macr002"/>
      <sheetName val="macr003"/>
      <sheetName val="macr004"/>
      <sheetName val="math001"/>
      <sheetName val="math002"/>
      <sheetName val="math003"/>
      <sheetName val="math004"/>
      <sheetName val="matr001"/>
      <sheetName val="matr002"/>
      <sheetName val="meas001"/>
      <sheetName val="meas002"/>
      <sheetName val="meas003"/>
      <sheetName val="meas004"/>
      <sheetName val="pivo001"/>
      <sheetName val="pivo002"/>
      <sheetName val="pivo003"/>
      <sheetName val="pivo004"/>
      <sheetName val="pivo005"/>
      <sheetName val="pivo006"/>
      <sheetName val="pivo007"/>
      <sheetName val="pivo008"/>
      <sheetName val="pivo009"/>
      <sheetName val="pivo010"/>
      <sheetName val="pivo011"/>
      <sheetName val="pivo012"/>
      <sheetName val="scen001"/>
      <sheetName val="scen002"/>
      <sheetName val="scen003"/>
      <sheetName val="scen004"/>
      <sheetName val="solv001"/>
      <sheetName val="solv002"/>
      <sheetName val="solv003"/>
      <sheetName val="solv004"/>
      <sheetName val="solv005"/>
      <sheetName val="solv006"/>
      <sheetName val="solv007"/>
      <sheetName val="solv008"/>
      <sheetName val="solv009"/>
      <sheetName val="solv010"/>
      <sheetName val="stat001"/>
      <sheetName val="stat002"/>
      <sheetName val="stat003"/>
      <sheetName val="stat004"/>
      <sheetName val="tabl001"/>
      <sheetName val="tabl002"/>
    </sheetNames>
    <sheetDataSet>
      <sheetData sheetId="0" refreshError="1"/>
      <sheetData sheetId="1" refreshError="1"/>
      <sheetData sheetId="2" refreshError="1"/>
      <sheetData sheetId="3" refreshError="1"/>
      <sheetData sheetId="4" refreshError="1"/>
      <sheetData sheetId="5" refreshError="1"/>
      <sheetData sheetId="6">
        <row r="9">
          <cell r="E9">
            <v>24532</v>
          </cell>
        </row>
        <row r="10">
          <cell r="E10">
            <v>67</v>
          </cell>
        </row>
        <row r="13">
          <cell r="E13">
            <v>49004</v>
          </cell>
        </row>
      </sheetData>
      <sheetData sheetId="7">
        <row r="8">
          <cell r="E8">
            <v>150000</v>
          </cell>
        </row>
        <row r="9">
          <cell r="E9">
            <v>5.5E-2</v>
          </cell>
        </row>
        <row r="10">
          <cell r="E10">
            <v>6.25E-2</v>
          </cell>
        </row>
      </sheetData>
      <sheetData sheetId="8">
        <row r="11">
          <cell r="E11">
            <v>40277</v>
          </cell>
        </row>
      </sheetData>
      <sheetData sheetId="9" refreshError="1"/>
      <sheetData sheetId="10" refreshError="1"/>
      <sheetData sheetId="11" refreshError="1"/>
      <sheetData sheetId="12" refreshError="1"/>
      <sheetData sheetId="13" refreshError="1"/>
      <sheetData sheetId="14" refreshError="1"/>
      <sheetData sheetId="15" refreshError="1"/>
      <sheetData sheetId="16">
        <row r="8">
          <cell r="F8">
            <v>20</v>
          </cell>
          <cell r="H8">
            <v>21</v>
          </cell>
        </row>
        <row r="9">
          <cell r="F9">
            <v>45</v>
          </cell>
        </row>
        <row r="10">
          <cell r="F10">
            <v>40</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ow r="11">
          <cell r="H11">
            <v>10</v>
          </cell>
        </row>
        <row r="12">
          <cell r="H12">
            <v>10</v>
          </cell>
        </row>
      </sheetData>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
      <sheetName val="form001"/>
      <sheetName val="form002"/>
      <sheetName val="form003"/>
      <sheetName val="form004"/>
      <sheetName val="form005"/>
      <sheetName val="form006"/>
      <sheetName val="form007"/>
      <sheetName val="form008"/>
      <sheetName val="form009"/>
      <sheetName val="form010"/>
      <sheetName val="form011"/>
      <sheetName val="form012"/>
      <sheetName val="form013"/>
      <sheetName val="goal001"/>
      <sheetName val="goal002"/>
      <sheetName val="goal003"/>
      <sheetName val="goal004"/>
      <sheetName val="graf001"/>
      <sheetName val="graf002"/>
      <sheetName val="graf003"/>
      <sheetName val="graf004"/>
      <sheetName val="graf005"/>
      <sheetName val="graf006"/>
      <sheetName val="list001"/>
      <sheetName val="list002"/>
      <sheetName val="list003"/>
      <sheetName val="list004"/>
      <sheetName val="macr001"/>
      <sheetName val="macr002"/>
      <sheetName val="macr003"/>
      <sheetName val="macr004"/>
      <sheetName val="math001"/>
      <sheetName val="math002"/>
      <sheetName val="math003"/>
      <sheetName val="math004"/>
      <sheetName val="matr001"/>
      <sheetName val="matr002"/>
      <sheetName val="meas001"/>
      <sheetName val="meas002"/>
      <sheetName val="meas003"/>
      <sheetName val="meas004"/>
      <sheetName val="pivo001"/>
      <sheetName val="pivo002"/>
      <sheetName val="pivo003"/>
      <sheetName val="pivo004"/>
      <sheetName val="pivo005"/>
      <sheetName val="pivo006"/>
      <sheetName val="pivo007"/>
      <sheetName val="pivo008"/>
      <sheetName val="pivo009"/>
      <sheetName val="pivo010"/>
      <sheetName val="pivo011"/>
      <sheetName val="pivo012"/>
      <sheetName val="scen001"/>
      <sheetName val="scen002"/>
      <sheetName val="scen003"/>
      <sheetName val="scen004"/>
      <sheetName val="solv001"/>
      <sheetName val="solv002"/>
      <sheetName val="solv003"/>
      <sheetName val="solv004"/>
      <sheetName val="solv005"/>
      <sheetName val="solv006"/>
      <sheetName val="solv007"/>
      <sheetName val="solv008"/>
      <sheetName val="solv009"/>
      <sheetName val="solv010"/>
      <sheetName val="stat001"/>
      <sheetName val="stat002"/>
      <sheetName val="stat003"/>
      <sheetName val="stat004"/>
      <sheetName val="tabl001"/>
      <sheetName val="tabl002"/>
    </sheetNames>
    <sheetDataSet>
      <sheetData sheetId="0" refreshError="1"/>
      <sheetData sheetId="1">
        <row r="2">
          <cell r="A2" t="str">
            <v>form001</v>
          </cell>
          <cell r="B2" t="str">
            <v>Resultaten computerbedrijf</v>
          </cell>
          <cell r="C2" t="str">
            <v>Results computer company</v>
          </cell>
          <cell r="D2">
            <v>1</v>
          </cell>
          <cell r="E2" t="str">
            <v>Formule</v>
          </cell>
          <cell r="F2" t="str">
            <v>Formula</v>
          </cell>
        </row>
        <row r="3">
          <cell r="A3" t="str">
            <v>form002</v>
          </cell>
          <cell r="B3" t="str">
            <v>Artikelgegevens opzoeken</v>
          </cell>
          <cell r="C3" t="str">
            <v>Lookup article details</v>
          </cell>
          <cell r="D3">
            <v>2</v>
          </cell>
          <cell r="E3" t="str">
            <v>Formule</v>
          </cell>
          <cell r="F3" t="str">
            <v>Formula</v>
          </cell>
        </row>
        <row r="4">
          <cell r="A4" t="str">
            <v>form003</v>
          </cell>
          <cell r="B4" t="str">
            <v>Datum rekenen</v>
          </cell>
          <cell r="C4" t="str">
            <v>Calculating with dates</v>
          </cell>
          <cell r="D4">
            <v>2</v>
          </cell>
          <cell r="E4" t="str">
            <v>Formule</v>
          </cell>
          <cell r="F4" t="str">
            <v>Formula</v>
          </cell>
        </row>
        <row r="5">
          <cell r="A5" t="str">
            <v>form004</v>
          </cell>
          <cell r="B5" t="str">
            <v>Commissie bepalen</v>
          </cell>
          <cell r="C5" t="str">
            <v>Determining commission</v>
          </cell>
          <cell r="D5">
            <v>2</v>
          </cell>
          <cell r="E5" t="str">
            <v>Formule</v>
          </cell>
          <cell r="F5" t="str">
            <v>Formula</v>
          </cell>
        </row>
        <row r="6">
          <cell r="A6" t="str">
            <v>form005</v>
          </cell>
          <cell r="B6" t="str">
            <v>Geboortedata</v>
          </cell>
          <cell r="C6" t="str">
            <v>Birth dates</v>
          </cell>
          <cell r="D6">
            <v>3</v>
          </cell>
          <cell r="E6" t="str">
            <v>Formule</v>
          </cell>
          <cell r="F6" t="str">
            <v>Formula</v>
          </cell>
        </row>
        <row r="7">
          <cell r="A7" t="str">
            <v>form006</v>
          </cell>
          <cell r="B7" t="str">
            <v>BTW aangifte</v>
          </cell>
          <cell r="C7" t="str">
            <v>VAT return</v>
          </cell>
          <cell r="D7">
            <v>3</v>
          </cell>
          <cell r="E7" t="str">
            <v>Formule</v>
          </cell>
          <cell r="F7" t="str">
            <v>Formula</v>
          </cell>
        </row>
        <row r="8">
          <cell r="A8" t="str">
            <v>form007</v>
          </cell>
          <cell r="B8" t="str">
            <v>Prijs kaartje</v>
          </cell>
          <cell r="C8" t="str">
            <v>Ticket price</v>
          </cell>
          <cell r="D8">
            <v>1</v>
          </cell>
          <cell r="E8" t="str">
            <v>Formule</v>
          </cell>
          <cell r="F8" t="str">
            <v>Formula</v>
          </cell>
        </row>
        <row r="9">
          <cell r="A9" t="str">
            <v>form008</v>
          </cell>
          <cell r="B9" t="str">
            <v>OZB belasting</v>
          </cell>
          <cell r="C9" t="str">
            <v>Property tax</v>
          </cell>
          <cell r="D9">
            <v>2</v>
          </cell>
          <cell r="E9" t="str">
            <v>Formule</v>
          </cell>
          <cell r="F9" t="str">
            <v>Formula</v>
          </cell>
        </row>
        <row r="10">
          <cell r="A10" t="str">
            <v>form009</v>
          </cell>
          <cell r="B10" t="str">
            <v>Spaardeposito</v>
          </cell>
          <cell r="C10" t="str">
            <v>Savings deposit</v>
          </cell>
          <cell r="D10">
            <v>1</v>
          </cell>
          <cell r="E10" t="str">
            <v>Formule</v>
          </cell>
          <cell r="F10" t="str">
            <v>Formula</v>
          </cell>
        </row>
        <row r="11">
          <cell r="A11" t="str">
            <v>form010</v>
          </cell>
          <cell r="B11" t="str">
            <v>Wet van Joule</v>
          </cell>
          <cell r="C11" t="str">
            <v>Joule's law</v>
          </cell>
          <cell r="D11">
            <v>1</v>
          </cell>
          <cell r="E11" t="str">
            <v>Formule</v>
          </cell>
          <cell r="F11" t="str">
            <v>Formula</v>
          </cell>
        </row>
        <row r="12">
          <cell r="A12" t="str">
            <v>form011</v>
          </cell>
          <cell r="B12" t="str">
            <v>Investering obligatie</v>
          </cell>
          <cell r="C12" t="str">
            <v>Investment bond</v>
          </cell>
          <cell r="D12">
            <v>1</v>
          </cell>
          <cell r="E12" t="str">
            <v>Formule</v>
          </cell>
          <cell r="F12" t="str">
            <v>Formula</v>
          </cell>
        </row>
        <row r="13">
          <cell r="A13" t="str">
            <v>form012</v>
          </cell>
          <cell r="B13" t="str">
            <v>Vermenigvuldingstabel</v>
          </cell>
          <cell r="C13" t="str">
            <v>Multiplication table</v>
          </cell>
          <cell r="D13">
            <v>1</v>
          </cell>
          <cell r="E13" t="str">
            <v>Formule</v>
          </cell>
          <cell r="F13" t="str">
            <v>Formula</v>
          </cell>
        </row>
        <row r="14">
          <cell r="A14" t="str">
            <v>form013</v>
          </cell>
          <cell r="B14" t="str">
            <v>Prijs olijolie</v>
          </cell>
          <cell r="C14" t="str">
            <v>Price olive oil</v>
          </cell>
          <cell r="D14">
            <v>2</v>
          </cell>
          <cell r="E14" t="str">
            <v>Formule</v>
          </cell>
          <cell r="F14" t="str">
            <v>Formula</v>
          </cell>
        </row>
        <row r="15">
          <cell r="A15" t="str">
            <v>goal001</v>
          </cell>
          <cell r="B15" t="str">
            <v>Freelancer</v>
          </cell>
          <cell r="C15" t="str">
            <v>Freelancer</v>
          </cell>
          <cell r="D15">
            <v>2</v>
          </cell>
          <cell r="E15" t="str">
            <v>Doelzoeken</v>
          </cell>
          <cell r="F15" t="str">
            <v>Goal Seek</v>
          </cell>
        </row>
        <row r="16">
          <cell r="A16" t="str">
            <v>goal002</v>
          </cell>
          <cell r="B16" t="str">
            <v>Betaling lening</v>
          </cell>
          <cell r="C16" t="str">
            <v>Loan payment</v>
          </cell>
          <cell r="D16">
            <v>2</v>
          </cell>
          <cell r="E16" t="str">
            <v>Doelzoeken</v>
          </cell>
          <cell r="F16" t="str">
            <v>Goal Seek</v>
          </cell>
        </row>
        <row r="17">
          <cell r="A17" t="str">
            <v>goal003</v>
          </cell>
          <cell r="B17" t="str">
            <v>Break-even bepalen</v>
          </cell>
          <cell r="C17" t="str">
            <v>Break-even point</v>
          </cell>
          <cell r="D17">
            <v>3</v>
          </cell>
          <cell r="E17" t="str">
            <v>Doelzoeken</v>
          </cell>
          <cell r="F17" t="str">
            <v>Goal Seek</v>
          </cell>
        </row>
        <row r="18">
          <cell r="A18" t="str">
            <v>goal004</v>
          </cell>
          <cell r="B18" t="str">
            <v>Spaarbedrag</v>
          </cell>
          <cell r="C18" t="str">
            <v>Savings amount</v>
          </cell>
          <cell r="D18">
            <v>2</v>
          </cell>
          <cell r="E18" t="str">
            <v>Doelzoeken</v>
          </cell>
          <cell r="F18" t="str">
            <v>Goal Seek</v>
          </cell>
        </row>
        <row r="19">
          <cell r="A19" t="str">
            <v>graf001</v>
          </cell>
          <cell r="B19" t="str">
            <v>Derdegraads grafiek</v>
          </cell>
          <cell r="C19" t="str">
            <v>Third-degree chart</v>
          </cell>
          <cell r="D19">
            <v>2</v>
          </cell>
          <cell r="E19" t="str">
            <v>Grafiek</v>
          </cell>
          <cell r="F19" t="str">
            <v>Chart</v>
          </cell>
        </row>
        <row r="20">
          <cell r="A20" t="str">
            <v>graf002</v>
          </cell>
          <cell r="B20" t="str">
            <v>Reizen</v>
          </cell>
          <cell r="C20" t="str">
            <v>Travel bookings</v>
          </cell>
          <cell r="D20">
            <v>1</v>
          </cell>
          <cell r="E20" t="str">
            <v>Grafiek</v>
          </cell>
          <cell r="F20" t="str">
            <v>Chart</v>
          </cell>
        </row>
        <row r="21">
          <cell r="A21" t="str">
            <v>graf003</v>
          </cell>
          <cell r="B21" t="str">
            <v>Verkoopcijfers</v>
          </cell>
          <cell r="C21" t="str">
            <v>Sales figures</v>
          </cell>
          <cell r="D21">
            <v>2</v>
          </cell>
          <cell r="E21" t="str">
            <v>Grafiek</v>
          </cell>
          <cell r="F21" t="str">
            <v>Chart</v>
          </cell>
        </row>
        <row r="22">
          <cell r="A22" t="str">
            <v>graf004</v>
          </cell>
          <cell r="B22" t="str">
            <v>Leeftijdsopbouw</v>
          </cell>
          <cell r="C22" t="str">
            <v>Age structure</v>
          </cell>
          <cell r="D22">
            <v>2</v>
          </cell>
          <cell r="E22" t="str">
            <v>Grafiek</v>
          </cell>
          <cell r="F22" t="str">
            <v>Chart</v>
          </cell>
        </row>
        <row r="23">
          <cell r="A23" t="str">
            <v>graf005</v>
          </cell>
          <cell r="B23" t="str">
            <v>Relatie productietijd-kostprijs</v>
          </cell>
          <cell r="C23" t="str">
            <v>Relationship production - cost</v>
          </cell>
          <cell r="D23">
            <v>2</v>
          </cell>
          <cell r="E23" t="str">
            <v>Grafiek</v>
          </cell>
          <cell r="F23" t="str">
            <v>Chart</v>
          </cell>
        </row>
        <row r="24">
          <cell r="A24" t="str">
            <v>graf006</v>
          </cell>
          <cell r="B24" t="str">
            <v>Telling vliegenzwammen</v>
          </cell>
          <cell r="C24" t="str">
            <v>Counting agarics</v>
          </cell>
          <cell r="D24">
            <v>1</v>
          </cell>
          <cell r="E24" t="str">
            <v>Grafiek</v>
          </cell>
          <cell r="F24" t="str">
            <v>Chart</v>
          </cell>
        </row>
        <row r="25">
          <cell r="A25" t="str">
            <v>list001</v>
          </cell>
          <cell r="B25" t="str">
            <v>Selecteren</v>
          </cell>
          <cell r="C25" t="str">
            <v>Selecting</v>
          </cell>
          <cell r="D25">
            <v>2</v>
          </cell>
          <cell r="E25" t="str">
            <v>Lijst</v>
          </cell>
          <cell r="F25" t="str">
            <v>List</v>
          </cell>
        </row>
        <row r="26">
          <cell r="A26" t="str">
            <v>list002</v>
          </cell>
          <cell r="B26" t="str">
            <v>Tentamencijfers samenvoegen</v>
          </cell>
          <cell r="C26" t="str">
            <v>Consolidating examination results</v>
          </cell>
          <cell r="D26">
            <v>2</v>
          </cell>
          <cell r="E26" t="str">
            <v>Lijst</v>
          </cell>
          <cell r="F26" t="str">
            <v>List</v>
          </cell>
        </row>
        <row r="27">
          <cell r="A27" t="str">
            <v>list003</v>
          </cell>
          <cell r="B27" t="str">
            <v>Verkoopgegevens samenvoegen</v>
          </cell>
          <cell r="C27" t="str">
            <v>Consolidating sales data</v>
          </cell>
          <cell r="D27">
            <v>2</v>
          </cell>
          <cell r="E27" t="str">
            <v>Lijst</v>
          </cell>
          <cell r="F27" t="str">
            <v>List</v>
          </cell>
        </row>
        <row r="28">
          <cell r="A28" t="str">
            <v>list004</v>
          </cell>
          <cell r="B28" t="str">
            <v>Overzicht auto's filteren</v>
          </cell>
          <cell r="C28" t="str">
            <v>Filtering overview cars</v>
          </cell>
          <cell r="D28">
            <v>2</v>
          </cell>
          <cell r="E28" t="str">
            <v>Lijst</v>
          </cell>
          <cell r="F28" t="str">
            <v>List</v>
          </cell>
        </row>
        <row r="29">
          <cell r="A29" t="str">
            <v>macr001</v>
          </cell>
          <cell r="B29" t="str">
            <v>Achtergrondkleur</v>
          </cell>
          <cell r="C29" t="str">
            <v>Background color</v>
          </cell>
          <cell r="D29">
            <v>2</v>
          </cell>
          <cell r="E29" t="str">
            <v>Macro</v>
          </cell>
          <cell r="F29" t="str">
            <v>Macro</v>
          </cell>
        </row>
        <row r="30">
          <cell r="A30" t="str">
            <v>macr002</v>
          </cell>
          <cell r="B30" t="str">
            <v>Procentuele opmaak</v>
          </cell>
          <cell r="C30" t="str">
            <v>Percentage formatting</v>
          </cell>
          <cell r="D30">
            <v>2</v>
          </cell>
          <cell r="E30" t="str">
            <v>Macro</v>
          </cell>
          <cell r="F30" t="str">
            <v>Macro</v>
          </cell>
        </row>
        <row r="31">
          <cell r="A31" t="str">
            <v>macr003</v>
          </cell>
          <cell r="B31" t="str">
            <v>Opmaak cel A1</v>
          </cell>
          <cell r="C31" t="str">
            <v>Formatting cell A1</v>
          </cell>
          <cell r="D31">
            <v>2</v>
          </cell>
          <cell r="E31" t="str">
            <v>Macro</v>
          </cell>
          <cell r="F31" t="str">
            <v>Macro</v>
          </cell>
        </row>
        <row r="32">
          <cell r="A32" t="str">
            <v>macr004</v>
          </cell>
          <cell r="B32" t="str">
            <v>Rasterlijnen afdrukken</v>
          </cell>
          <cell r="C32" t="str">
            <v>Printing gridlines</v>
          </cell>
          <cell r="D32">
            <v>2</v>
          </cell>
          <cell r="E32" t="str">
            <v>Macro</v>
          </cell>
          <cell r="F32" t="str">
            <v>Macro</v>
          </cell>
        </row>
        <row r="33">
          <cell r="A33" t="str">
            <v>matr001</v>
          </cell>
          <cell r="B33" t="str">
            <v>Matrixoptelling</v>
          </cell>
          <cell r="C33" t="str">
            <v>Array addition</v>
          </cell>
          <cell r="D33">
            <v>2</v>
          </cell>
          <cell r="E33" t="str">
            <v>Matrix formule</v>
          </cell>
          <cell r="F33" t="str">
            <v>Array formula</v>
          </cell>
        </row>
        <row r="34">
          <cell r="A34" t="str">
            <v>matr002</v>
          </cell>
          <cell r="B34" t="str">
            <v>Aantal storingen per district</v>
          </cell>
          <cell r="C34" t="str">
            <v>Failures per district</v>
          </cell>
          <cell r="D34">
            <v>3</v>
          </cell>
          <cell r="E34" t="str">
            <v>Matrix formule</v>
          </cell>
          <cell r="F34" t="str">
            <v>Array formula</v>
          </cell>
        </row>
        <row r="35">
          <cell r="A35" t="str">
            <v>meas001</v>
          </cell>
          <cell r="B35" t="str">
            <v>Lengte en gewicht</v>
          </cell>
          <cell r="C35" t="str">
            <v>Height and weight</v>
          </cell>
          <cell r="D35">
            <v>2</v>
          </cell>
          <cell r="E35" t="str">
            <v>Data analyse</v>
          </cell>
          <cell r="F35" t="str">
            <v>Data analysis</v>
          </cell>
        </row>
        <row r="36">
          <cell r="A36" t="str">
            <v>meas002</v>
          </cell>
          <cell r="B36" t="str">
            <v>Studietijd en tentamencijfer</v>
          </cell>
          <cell r="C36" t="str">
            <v>Study time and exam grade</v>
          </cell>
          <cell r="D36">
            <v>2</v>
          </cell>
          <cell r="E36" t="str">
            <v>Data analyse</v>
          </cell>
          <cell r="F36" t="str">
            <v>Data analysis</v>
          </cell>
        </row>
        <row r="37">
          <cell r="A37" t="str">
            <v>meas003</v>
          </cell>
          <cell r="B37" t="str">
            <v>Krimp en temperatuur</v>
          </cell>
          <cell r="C37" t="str">
            <v>Shrinkage and temperature</v>
          </cell>
          <cell r="D37">
            <v>2</v>
          </cell>
          <cell r="E37" t="str">
            <v>Data analyse</v>
          </cell>
          <cell r="F37" t="str">
            <v>Data analysis</v>
          </cell>
        </row>
        <row r="38">
          <cell r="A38" t="str">
            <v>meas004</v>
          </cell>
          <cell r="B38" t="str">
            <v>Weerstand en temperatuur</v>
          </cell>
          <cell r="C38" t="str">
            <v>Resistance and temperature</v>
          </cell>
          <cell r="D38">
            <v>2</v>
          </cell>
          <cell r="E38" t="str">
            <v>Data analyse</v>
          </cell>
          <cell r="F38" t="str">
            <v>Data analysis</v>
          </cell>
        </row>
        <row r="39">
          <cell r="A39" t="str">
            <v>pivo001</v>
          </cell>
          <cell r="B39" t="str">
            <v>Salaris gemiddeldes</v>
          </cell>
          <cell r="C39" t="str">
            <v>Salary averages</v>
          </cell>
          <cell r="D39">
            <v>2</v>
          </cell>
          <cell r="E39" t="str">
            <v>Draaitabel</v>
          </cell>
          <cell r="F39" t="str">
            <v>Pivot table</v>
          </cell>
        </row>
        <row r="40">
          <cell r="A40" t="str">
            <v>pivo002</v>
          </cell>
          <cell r="B40" t="str">
            <v>Salaris totalen</v>
          </cell>
          <cell r="C40" t="str">
            <v>Salary totals</v>
          </cell>
          <cell r="D40">
            <v>2</v>
          </cell>
          <cell r="E40" t="str">
            <v>Draaitabel</v>
          </cell>
          <cell r="F40" t="str">
            <v>Pivot table</v>
          </cell>
        </row>
        <row r="41">
          <cell r="A41" t="str">
            <v>pivo003</v>
          </cell>
          <cell r="B41" t="str">
            <v>Omzet, reiskosten en provisie</v>
          </cell>
          <cell r="C41" t="str">
            <v>Turnover, travel expenses and commission</v>
          </cell>
          <cell r="D41">
            <v>3</v>
          </cell>
          <cell r="E41" t="str">
            <v>Draaitabel</v>
          </cell>
          <cell r="F41" t="str">
            <v>Pivot table</v>
          </cell>
        </row>
        <row r="42">
          <cell r="A42" t="str">
            <v>pivo004</v>
          </cell>
          <cell r="B42" t="str">
            <v>Gemiddeld cijfer</v>
          </cell>
          <cell r="C42" t="str">
            <v>Average rating</v>
          </cell>
          <cell r="D42">
            <v>2</v>
          </cell>
          <cell r="E42" t="str">
            <v>Draaitabel</v>
          </cell>
          <cell r="F42" t="str">
            <v>Pivot table</v>
          </cell>
        </row>
        <row r="43">
          <cell r="A43" t="str">
            <v>pivo005</v>
          </cell>
          <cell r="B43" t="str">
            <v>Frequentieverdeling</v>
          </cell>
          <cell r="C43" t="str">
            <v>Frequency distribution figures</v>
          </cell>
          <cell r="D43">
            <v>2</v>
          </cell>
          <cell r="E43" t="str">
            <v>Draaitabel</v>
          </cell>
          <cell r="F43" t="str">
            <v>Pivot table</v>
          </cell>
        </row>
        <row r="44">
          <cell r="A44" t="str">
            <v>pivo006</v>
          </cell>
          <cell r="B44" t="str">
            <v>Kledingverkoop per regio</v>
          </cell>
          <cell r="C44" t="str">
            <v>Clothing sales by region</v>
          </cell>
          <cell r="D44">
            <v>2</v>
          </cell>
          <cell r="E44" t="str">
            <v>Draaitabel</v>
          </cell>
          <cell r="F44" t="str">
            <v>Pivot table</v>
          </cell>
        </row>
        <row r="45">
          <cell r="A45" t="str">
            <v>pivo007</v>
          </cell>
          <cell r="B45" t="str">
            <v>Winkelsluiting</v>
          </cell>
          <cell r="C45" t="str">
            <v>Shop opening hours</v>
          </cell>
          <cell r="D45">
            <v>2</v>
          </cell>
          <cell r="E45" t="str">
            <v>Draaitabel</v>
          </cell>
          <cell r="F45" t="str">
            <v>Pivot table</v>
          </cell>
        </row>
        <row r="46">
          <cell r="A46" t="str">
            <v>pivo008</v>
          </cell>
          <cell r="B46" t="str">
            <v>Eigen huis en gemiddelde waarde</v>
          </cell>
          <cell r="C46" t="str">
            <v>Own home and average value</v>
          </cell>
          <cell r="D46">
            <v>3</v>
          </cell>
          <cell r="E46" t="str">
            <v>Draaitabel</v>
          </cell>
          <cell r="F46" t="str">
            <v>Pivot table</v>
          </cell>
        </row>
        <row r="47">
          <cell r="A47" t="str">
            <v>pivo009</v>
          </cell>
          <cell r="B47" t="str">
            <v>Vervoersonderzoek</v>
          </cell>
          <cell r="C47" t="str">
            <v>Transport research</v>
          </cell>
          <cell r="D47">
            <v>3</v>
          </cell>
          <cell r="E47" t="str">
            <v>Draaitabel</v>
          </cell>
          <cell r="F47" t="str">
            <v>Pivot table</v>
          </cell>
        </row>
        <row r="48">
          <cell r="A48" t="str">
            <v>pivo010</v>
          </cell>
          <cell r="B48" t="str">
            <v>Opbrengst koffie per regio</v>
          </cell>
          <cell r="C48" t="str">
            <v>Coffee yield per region</v>
          </cell>
          <cell r="D48">
            <v>2</v>
          </cell>
          <cell r="E48" t="str">
            <v>Draaitabel</v>
          </cell>
          <cell r="F48" t="str">
            <v>Pivot table</v>
          </cell>
        </row>
        <row r="49">
          <cell r="A49" t="str">
            <v>pivo011</v>
          </cell>
          <cell r="B49" t="str">
            <v>Kenmerken auto's</v>
          </cell>
          <cell r="C49" t="str">
            <v>Fuel consumption cars</v>
          </cell>
          <cell r="D49">
            <v>2</v>
          </cell>
          <cell r="E49" t="str">
            <v>Draaitabel</v>
          </cell>
          <cell r="F49" t="str">
            <v>Pivot table</v>
          </cell>
        </row>
        <row r="50">
          <cell r="A50" t="str">
            <v>pivo012</v>
          </cell>
          <cell r="B50" t="str">
            <v>Hobbyclub</v>
          </cell>
          <cell r="C50" t="str">
            <v>Hobby club</v>
          </cell>
          <cell r="D50">
            <v>3</v>
          </cell>
          <cell r="E50" t="str">
            <v>Draaitabel</v>
          </cell>
          <cell r="F50" t="str">
            <v>Pivot table</v>
          </cell>
        </row>
        <row r="51">
          <cell r="A51" t="str">
            <v>scen001</v>
          </cell>
          <cell r="B51" t="str">
            <v>Winstmarge en Verkoopprijs</v>
          </cell>
          <cell r="C51" t="str">
            <v>Profit margin - Sales price</v>
          </cell>
          <cell r="D51">
            <v>2</v>
          </cell>
          <cell r="E51" t="str">
            <v>Scenario</v>
          </cell>
          <cell r="F51" t="str">
            <v>Scenario</v>
          </cell>
        </row>
        <row r="52">
          <cell r="A52" t="str">
            <v>scen002</v>
          </cell>
          <cell r="B52" t="str">
            <v>Begroting club</v>
          </cell>
          <cell r="C52" t="str">
            <v>Budget sports club</v>
          </cell>
          <cell r="D52">
            <v>2</v>
          </cell>
          <cell r="E52" t="str">
            <v>Scenario</v>
          </cell>
          <cell r="F52" t="str">
            <v>Scenario</v>
          </cell>
        </row>
        <row r="53">
          <cell r="A53" t="str">
            <v>scen003</v>
          </cell>
          <cell r="B53" t="str">
            <v>Scenario's bedrijfswinst</v>
          </cell>
          <cell r="C53" t="str">
            <v>Scenarios business profit</v>
          </cell>
          <cell r="D53">
            <v>2</v>
          </cell>
          <cell r="E53" t="str">
            <v>Scenario</v>
          </cell>
          <cell r="F53" t="str">
            <v>Scenario</v>
          </cell>
        </row>
        <row r="54">
          <cell r="A54" t="str">
            <v>scen004</v>
          </cell>
          <cell r="B54" t="str">
            <v>Winst computerbedrijf</v>
          </cell>
          <cell r="C54" t="str">
            <v>Gainings automation company</v>
          </cell>
          <cell r="D54">
            <v>3</v>
          </cell>
          <cell r="E54" t="str">
            <v>Scenario</v>
          </cell>
          <cell r="F54" t="str">
            <v>Scenario</v>
          </cell>
        </row>
        <row r="55">
          <cell r="A55" t="str">
            <v>solv001</v>
          </cell>
          <cell r="B55" t="str">
            <v>Bonbondoos</v>
          </cell>
          <cell r="C55" t="str">
            <v>Bonbon box</v>
          </cell>
          <cell r="D55">
            <v>2</v>
          </cell>
          <cell r="E55" t="str">
            <v>Oplosser</v>
          </cell>
          <cell r="F55" t="str">
            <v>Solver</v>
          </cell>
        </row>
        <row r="56">
          <cell r="A56" t="str">
            <v>solv002</v>
          </cell>
          <cell r="B56" t="str">
            <v>Aantal supermarkten</v>
          </cell>
          <cell r="C56" t="str">
            <v>Number of supermarkets</v>
          </cell>
          <cell r="D56">
            <v>2</v>
          </cell>
          <cell r="E56" t="str">
            <v>Oplosser</v>
          </cell>
          <cell r="F56" t="str">
            <v>Solver</v>
          </cell>
        </row>
        <row r="57">
          <cell r="A57" t="str">
            <v>solv003</v>
          </cell>
          <cell r="B57" t="str">
            <v>Hardloopschoenen</v>
          </cell>
          <cell r="C57" t="str">
            <v>Running shoes</v>
          </cell>
          <cell r="D57">
            <v>2</v>
          </cell>
          <cell r="E57" t="str">
            <v>Oplosser</v>
          </cell>
          <cell r="F57" t="str">
            <v>Solver</v>
          </cell>
        </row>
        <row r="58">
          <cell r="A58" t="str">
            <v>solv004</v>
          </cell>
          <cell r="B58" t="str">
            <v>Productie aluminium ladders</v>
          </cell>
          <cell r="C58" t="str">
            <v>Production of aluminium ladders</v>
          </cell>
          <cell r="D58">
            <v>2</v>
          </cell>
          <cell r="E58" t="str">
            <v>Oplosser</v>
          </cell>
          <cell r="F58" t="str">
            <v>Solver</v>
          </cell>
        </row>
        <row r="59">
          <cell r="A59" t="str">
            <v>solv005</v>
          </cell>
          <cell r="B59" t="str">
            <v>Productie hondenvoer</v>
          </cell>
          <cell r="C59" t="str">
            <v>Production of dog food</v>
          </cell>
          <cell r="D59">
            <v>2</v>
          </cell>
          <cell r="E59" t="str">
            <v>Oplosser</v>
          </cell>
          <cell r="F59" t="str">
            <v>Solver</v>
          </cell>
        </row>
        <row r="60">
          <cell r="A60" t="str">
            <v>solv006</v>
          </cell>
          <cell r="B60" t="str">
            <v>Vitamines in veevoer</v>
          </cell>
          <cell r="C60" t="str">
            <v>Vitamins for cattle feeding</v>
          </cell>
          <cell r="D60">
            <v>3</v>
          </cell>
          <cell r="E60" t="str">
            <v>Oplosser</v>
          </cell>
          <cell r="F60" t="str">
            <v>Solver</v>
          </cell>
        </row>
        <row r="61">
          <cell r="A61" t="str">
            <v>solv007</v>
          </cell>
          <cell r="B61" t="str">
            <v>Vitaminetabletten</v>
          </cell>
          <cell r="C61" t="str">
            <v>Vitamin pills</v>
          </cell>
          <cell r="D61">
            <v>2</v>
          </cell>
          <cell r="E61" t="str">
            <v>Oplosser</v>
          </cell>
          <cell r="F61" t="str">
            <v>Solver</v>
          </cell>
        </row>
        <row r="62">
          <cell r="A62" t="str">
            <v>solv008</v>
          </cell>
          <cell r="B62" t="str">
            <v>Transportkosten minimaliseren</v>
          </cell>
          <cell r="C62" t="str">
            <v>Minimizing transport costs</v>
          </cell>
          <cell r="D62">
            <v>3</v>
          </cell>
          <cell r="E62" t="str">
            <v>Oplosser</v>
          </cell>
          <cell r="F62" t="str">
            <v>Solver</v>
          </cell>
        </row>
        <row r="63">
          <cell r="A63" t="str">
            <v>solv009</v>
          </cell>
          <cell r="B63" t="str">
            <v>Stelsel vergelijkingen oplossen</v>
          </cell>
          <cell r="C63" t="str">
            <v>Solving system of linear equations</v>
          </cell>
          <cell r="D63">
            <v>3</v>
          </cell>
          <cell r="E63" t="str">
            <v>Oplosser</v>
          </cell>
          <cell r="F63" t="str">
            <v>Solver</v>
          </cell>
        </row>
        <row r="64">
          <cell r="A64" t="str">
            <v>solv010</v>
          </cell>
          <cell r="B64" t="str">
            <v>Spaarbank</v>
          </cell>
          <cell r="C64" t="str">
            <v>Savings bank</v>
          </cell>
          <cell r="D64">
            <v>3</v>
          </cell>
          <cell r="E64" t="str">
            <v>Oplosser</v>
          </cell>
          <cell r="F64" t="str">
            <v>Solver</v>
          </cell>
        </row>
      </sheetData>
      <sheetData sheetId="2" refreshError="1"/>
      <sheetData sheetId="3" refreshError="1"/>
      <sheetData sheetId="4">
        <row r="9">
          <cell r="E9">
            <v>24532</v>
          </cell>
        </row>
        <row r="10">
          <cell r="E10">
            <v>67</v>
          </cell>
        </row>
        <row r="13">
          <cell r="E13">
            <v>49004</v>
          </cell>
        </row>
      </sheetData>
      <sheetData sheetId="5">
        <row r="8">
          <cell r="E8">
            <v>150000</v>
          </cell>
        </row>
        <row r="9">
          <cell r="E9">
            <v>5.5E-2</v>
          </cell>
        </row>
        <row r="10">
          <cell r="E10">
            <v>6.25E-2</v>
          </cell>
        </row>
      </sheetData>
      <sheetData sheetId="6">
        <row r="11">
          <cell r="E11">
            <v>40277</v>
          </cell>
        </row>
      </sheetData>
      <sheetData sheetId="7" refreshError="1"/>
      <sheetData sheetId="8" refreshError="1"/>
      <sheetData sheetId="9" refreshError="1"/>
      <sheetData sheetId="10" refreshError="1"/>
      <sheetData sheetId="11" refreshError="1"/>
      <sheetData sheetId="12" refreshError="1"/>
      <sheetData sheetId="13" refreshError="1"/>
      <sheetData sheetId="14">
        <row r="8">
          <cell r="F8">
            <v>20</v>
          </cell>
          <cell r="H8">
            <v>25</v>
          </cell>
        </row>
        <row r="9">
          <cell r="F9">
            <v>45</v>
          </cell>
        </row>
        <row r="10">
          <cell r="F10">
            <v>40</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ow r="11">
          <cell r="H11">
            <v>10</v>
          </cell>
        </row>
        <row r="12">
          <cell r="H12">
            <v>10</v>
          </cell>
        </row>
        <row r="16">
          <cell r="E16">
            <v>320</v>
          </cell>
        </row>
        <row r="17">
          <cell r="E17">
            <v>40</v>
          </cell>
        </row>
        <row r="18">
          <cell r="E18">
            <v>60</v>
          </cell>
        </row>
        <row r="19">
          <cell r="E19">
            <v>10</v>
          </cell>
        </row>
        <row r="21">
          <cell r="E21">
            <v>35</v>
          </cell>
        </row>
      </sheetData>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ow r="8">
          <cell r="E8" t="str">
            <v>mark</v>
          </cell>
        </row>
      </sheetData>
      <sheetData sheetId="71" refreshError="1"/>
      <sheetData sheetId="72">
        <row r="11">
          <cell r="D11" t="str">
            <v>Service level</v>
          </cell>
        </row>
      </sheetData>
      <sheetData sheetId="73" refreshError="1"/>
      <sheetData sheetId="7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055556" createdVersion="3" refreshedVersion="4" minRefreshableVersion="3" recordCount="72" xr:uid="{00000000-000A-0000-FFFF-FFFF00000000}">
  <cacheSource type="worksheet">
    <worksheetSource ref="D8:G80" sheet="pivo010"/>
  </cacheSource>
  <cacheFields count="4">
    <cacheField name="Product" numFmtId="0">
      <sharedItems count="3">
        <s v="Brazilian coffee"/>
        <s v="Turkish coffee"/>
        <s v="French coffee"/>
      </sharedItems>
    </cacheField>
    <cacheField name="Month" numFmtId="0">
      <sharedItems count="6">
        <s v="January"/>
        <s v="February"/>
        <s v="March"/>
        <s v="April"/>
        <s v="May"/>
        <s v="June"/>
      </sharedItems>
    </cacheField>
    <cacheField name="Region" numFmtId="0">
      <sharedItems count="4">
        <s v="North"/>
        <s v="East"/>
        <s v="South"/>
        <s v="West"/>
      </sharedItems>
    </cacheField>
    <cacheField name="Yield" numFmtId="186">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287034" createdVersion="4" refreshedVersion="4" minRefreshableVersion="3" recordCount="15" xr:uid="{00000000-000A-0000-FFFF-FFFF01000000}">
  <cacheSource type="worksheet">
    <worksheetSource ref="D8:I23" sheet="pivo009"/>
  </cacheSource>
  <cacheFields count="6">
    <cacheField name="resident" numFmtId="182">
      <sharedItems count="2">
        <s v="yes"/>
        <s v="no"/>
      </sharedItems>
    </cacheField>
    <cacheField name="car" numFmtId="182">
      <sharedItems count="2">
        <s v="no"/>
        <s v="yes"/>
      </sharedItems>
    </cacheField>
    <cacheField name="distance" numFmtId="0">
      <sharedItems containsSemiMixedTypes="0" containsString="0" containsNumber="1" containsInteger="1" minValue="4" maxValue="94"/>
    </cacheField>
    <cacheField name="time car" numFmtId="0">
      <sharedItems containsString="0" containsBlank="1" containsNumber="1" containsInteger="1" minValue="4" maxValue="66"/>
    </cacheField>
    <cacheField name="time bus" numFmtId="0">
      <sharedItems containsSemiMixedTypes="0" containsString="0" containsNumber="1" containsInteger="1" minValue="5" maxValue="95"/>
    </cacheField>
    <cacheField name="distance_x000a_&gt; 15" numFmtId="182">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402779" createdVersion="4" refreshedVersion="4" minRefreshableVersion="3" recordCount="16" xr:uid="{00000000-000A-0000-FFFF-FFFF02000000}">
  <cacheSource type="worksheet">
    <worksheetSource ref="D8:G24" sheet="pivo006"/>
  </cacheSource>
  <cacheFields count="4">
    <cacheField name="Type" numFmtId="0">
      <sharedItems count="2">
        <s v="menswear"/>
        <s v="ladieswear"/>
      </sharedItems>
    </cacheField>
    <cacheField name="Year" numFmtId="49">
      <sharedItems containsSemiMixedTypes="0" containsString="0" containsNumber="1" containsInteger="1" minValue="2009" maxValue="2010" count="2">
        <n v="2009"/>
        <n v="2010"/>
      </sharedItems>
    </cacheField>
    <cacheField name="Sales" numFmtId="184">
      <sharedItems containsSemiMixedTypes="0" containsString="0" containsNumber="1" containsInteger="1" minValue="460" maxValue="8770"/>
    </cacheField>
    <cacheField name="Region" numFmtId="0">
      <sharedItems count="4">
        <s v="North"/>
        <s v="East"/>
        <s v="South"/>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634257" createdVersion="4" refreshedVersion="4" minRefreshableVersion="3" recordCount="88" xr:uid="{00000000-000A-0000-FFFF-FFFF03000000}">
  <cacheSource type="worksheet">
    <worksheetSource ref="C8:H96" sheet="pivo003"/>
  </cacheSource>
  <cacheFields count="6">
    <cacheField name="Month" numFmtId="0">
      <sharedItems count="6">
        <s v="Januar"/>
        <s v="Februar"/>
        <s v="March"/>
        <s v="Maart" u="1"/>
        <s v="Februari" u="1"/>
        <s v="Januari" u="1"/>
      </sharedItems>
    </cacheField>
    <cacheField name="Region" numFmtId="0">
      <sharedItems count="7">
        <s v="North"/>
        <s v="East"/>
        <s v="West"/>
        <s v="South"/>
        <s v="Oost" u="1"/>
        <s v="Zuid" u="1"/>
        <s v="Noord" u="1"/>
      </sharedItems>
    </cacheField>
    <cacheField name="Salesman" numFmtId="0">
      <sharedItems count="2">
        <s v="Jansen"/>
        <s v="Pietersen"/>
      </sharedItems>
    </cacheField>
    <cacheField name="Sales" numFmtId="189">
      <sharedItems containsSemiMixedTypes="0" containsString="0" containsNumber="1" containsInteger="1" minValue="761" maxValue="5828"/>
    </cacheField>
    <cacheField name="Expenses" numFmtId="189">
      <sharedItems containsSemiMixedTypes="0" containsString="0" containsNumber="1" containsInteger="1" minValue="139" maxValue="513"/>
    </cacheField>
    <cacheField name="Commission" numFmtId="189">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02315" createdVersion="3" refreshedVersion="4" minRefreshableVersion="3" recordCount="114" xr:uid="{00000000-000A-0000-FFFF-FFFF04000000}">
  <cacheSource type="worksheet">
    <worksheetSource ref="C9:J123" sheet="pivo001"/>
  </cacheSource>
  <cacheFields count="8">
    <cacheField name="Persnr" numFmtId="0">
      <sharedItems containsSemiMixedTypes="0" containsString="0" containsNumber="1" containsInteger="1" minValue="1011" maxValue="1978"/>
    </cacheField>
    <cacheField name="Last name" numFmtId="0">
      <sharedItems/>
    </cacheField>
    <cacheField name="First name" numFmtId="0">
      <sharedItems/>
    </cacheField>
    <cacheField name="Function" numFmtId="0">
      <sharedItems count="35">
        <s v="Assist. accountant"/>
        <s v="Administrative assistant"/>
        <s v="Software developer"/>
        <s v="Representative"/>
        <s v="Accountant"/>
        <s v="Assist. Layout"/>
        <s v="Assist. Technician"/>
        <s v="Product marketeer"/>
        <s v="Researcher"/>
        <s v="Specialist Layout"/>
        <s v="Foreman"/>
        <s v="Technician"/>
        <s v="Machine technician"/>
        <s v="Team manager"/>
        <s v="Senior employee"/>
        <s v="Investigator"/>
        <s v="Unitmanager"/>
        <s v="Office manager"/>
        <s v="Onderzoeker" u="1"/>
        <s v="Specialist vormgeving" u="1"/>
        <s v="Bureaumanager" u="1"/>
        <s v="Leidinggev. ontwerpafd." u="1"/>
        <s v="Assist. technicus" u="1"/>
        <s v="Machinetechnicus" u="1"/>
        <s v="Produkt-marketer" u="1"/>
        <s v="Wetensch. onderzoeker" u="1"/>
        <s v="Admin. medew. groep" u="1"/>
        <s v="Software-ontwikkelaar" u="1"/>
        <s v="Assist. vormgeving" u="1"/>
        <s v="Admin. medew." u="1"/>
        <s v="Technicus" u="1"/>
        <s v="Groepmanager" u="1"/>
        <s v="Senior medew. ontwerpafd." u="1"/>
        <s v="Vertegenwoordiger" u="1"/>
        <s v="Manager ontwerpafd." u="1"/>
      </sharedItems>
    </cacheField>
    <cacheField name="Department" numFmtId="0">
      <sharedItems count="10">
        <s v="Accounting"/>
        <s v="Design"/>
        <s v="Marketing"/>
        <s v="Administration"/>
        <s v="Layout"/>
        <s v="R&amp;D"/>
        <s v="Administratie" u="1"/>
        <s v="Onderz. &amp; ontwik." u="1"/>
        <s v="Ontwerpafdeling" u="1"/>
        <s v="Vormgeving" u="1"/>
      </sharedItems>
    </cacheField>
    <cacheField name="Division" numFmtId="0">
      <sharedItems count="5">
        <s v="Copiers"/>
        <s v="Printers"/>
        <s v="Scanners"/>
        <s v="Faxapp." u="1"/>
        <s v="Kopieerapp." u="1"/>
      </sharedItems>
    </cacheField>
    <cacheField name="Salary" numFmtId="44">
      <sharedItems containsSemiMixedTypes="0" containsString="0" containsNumber="1" minValue="21303.599999999999" maxValue="116511.36"/>
    </cacheField>
    <cacheField name="Start date"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254627" createdVersion="4" refreshedVersion="4" minRefreshableVersion="3" recordCount="9" xr:uid="{00000000-000A-0000-FFFF-FFFF05000000}">
  <cacheSource type="worksheet">
    <worksheetSource ref="D8:F17" sheet="pivo005"/>
  </cacheSource>
  <cacheFields count="3">
    <cacheField name="First Name" numFmtId="0">
      <sharedItems/>
    </cacheField>
    <cacheField name="Last Name" numFmtId="0">
      <sharedItems/>
    </cacheField>
    <cacheField name="Mark"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486112" createdVersion="4" refreshedVersion="4" minRefreshableVersion="3" recordCount="160" xr:uid="{00000000-000A-0000-FFFF-FFFF06000000}">
  <cacheSource type="worksheet">
    <worksheetSource ref="C8:I168" sheet="pivo011"/>
  </cacheSource>
  <cacheFields count="7">
    <cacheField name="Brand"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 Speed" numFmtId="0">
      <sharedItems containsSemiMixedTypes="0" containsString="0" containsNumber="1" containsInteger="1" minValue="115" maxValue="230"/>
    </cacheField>
    <cacheField name="Fuel" numFmtId="0">
      <sharedItems count="3">
        <s v="Super"/>
        <s v="Diesel"/>
        <s v="Ordinary"/>
      </sharedItems>
    </cacheField>
    <cacheField name="Consumption" numFmtId="0">
      <sharedItems containsSemiMixedTypes="0" containsString="0" containsNumber="1" minValue="8.4" maxValue="18.600000000000001"/>
    </cacheField>
    <cacheField name="Price" numFmtId="18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833335" createdVersion="3" refreshedVersion="4" minRefreshableVersion="3" recordCount="20" xr:uid="{00000000-000A-0000-FFFF-FFFF07000000}">
  <cacheSource type="worksheet">
    <worksheetSource ref="D8:J28" sheet="pivo012"/>
  </cacheSource>
  <cacheFields count="7">
    <cacheField name="name" numFmtId="0">
      <sharedItems/>
    </cacheField>
    <cacheField name="gender" numFmtId="0">
      <sharedItems count="2">
        <s v="M"/>
        <s v="F"/>
      </sharedItems>
    </cacheField>
    <cacheField name="registration date" numFmtId="185">
      <sharedItems containsSemiMixedTypes="0" containsNonDate="0" containsDate="1" containsString="0" minDate="1995-01-14T00:00:00" maxDate="2005-09-21T00:00:00"/>
    </cacheField>
    <cacheField name="domicile" numFmtId="0">
      <sharedItems count="5">
        <s v="Moddergat"/>
        <s v="Oeteldonk"/>
        <s v="Knollenlaand"/>
        <s v="Boeskoolstad"/>
        <s v="Killegat"/>
      </sharedItems>
    </cacheField>
    <cacheField name="hobby" numFmtId="0">
      <sharedItems count="9">
        <s v="music"/>
        <s v="movie"/>
        <s v="reading"/>
        <s v="tennis"/>
        <s v="cycling"/>
        <s v="film" u="1"/>
        <s v="muziek" u="1"/>
        <s v="lezen" u="1"/>
        <s v="fietsen" u="1"/>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180558" createdVersion="3" refreshedVersion="4" minRefreshableVersion="3" recordCount="11" xr:uid="{00000000-000A-0000-FFFF-FFFF08000000}">
  <cacheSource type="worksheet">
    <worksheetSource ref="C8:F19" sheet="pivo004"/>
  </cacheSource>
  <cacheFields count="4">
    <cacheField name="class" numFmtId="0">
      <sharedItems count="2">
        <s v="1X"/>
        <s v="1Y"/>
      </sharedItems>
    </cacheField>
    <cacheField name="name" numFmtId="0">
      <sharedItems/>
    </cacheField>
    <cacheField name="gender" numFmtId="0">
      <sharedItems count="2">
        <s v="f"/>
        <s v="m"/>
      </sharedItems>
    </cacheField>
    <cacheField name="it"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296297" createdVersion="3" refreshedVersion="4" minRefreshableVersion="3" recordCount="17" xr:uid="{00000000-000A-0000-FFFF-FFFF09000000}">
  <cacheSource type="worksheet">
    <worksheetSource ref="C8:F25" sheet="pivo008"/>
  </cacheSource>
  <cacheFields count="4">
    <cacheField name="name" numFmtId="182">
      <sharedItems/>
    </cacheField>
    <cacheField name="years study" numFmtId="0">
      <sharedItems containsSemiMixedTypes="0" containsString="0" containsNumber="1" containsInteger="1" minValue="9" maxValue="15" count="7">
        <n v="10"/>
        <n v="12"/>
        <n v="11"/>
        <n v="9"/>
        <n v="14"/>
        <n v="13"/>
        <n v="15"/>
      </sharedItems>
    </cacheField>
    <cacheField name="own house" numFmtId="182">
      <sharedItems count="2">
        <s v="yes"/>
        <s v="no"/>
      </sharedItems>
    </cacheField>
    <cacheField name="value" numFmtId="182">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527774" createdVersion="4" refreshedVersion="4" minRefreshableVersion="3" recordCount="18" xr:uid="{00000000-000A-0000-FFFF-FFFF0A000000}">
  <cacheSource type="worksheet">
    <worksheetSource ref="C8:F26" sheet="pivo007"/>
  </cacheSource>
  <cacheFields count="4">
    <cacheField name="ref.nr." numFmtId="0">
      <sharedItems containsSemiMixedTypes="0" containsString="0" containsNumber="1" containsInteger="1" minValue="1" maxValue="18"/>
    </cacheField>
    <cacheField name="gender" numFmtId="0">
      <sharedItems count="2">
        <s v="m"/>
        <s v="f"/>
      </sharedItems>
    </cacheField>
    <cacheField name="age" numFmtId="0">
      <sharedItems count="6">
        <s v="middle"/>
        <s v="young"/>
        <s v="old"/>
        <s v="midden" u="1"/>
        <s v="oud" u="1"/>
        <s v="jong" u="1"/>
      </sharedItems>
    </cacheField>
    <cacheField name="yes/no"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2.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1"/>
    <x v="3"/>
    <x v="0"/>
    <n v="23212.32"/>
    <d v="1991-11-09T00:00:00"/>
  </r>
  <r>
    <n v="1676"/>
    <s v="Schutter"/>
    <s v="Aletta"/>
    <x v="1"/>
    <x v="3"/>
    <x v="0"/>
    <n v="23212.32"/>
    <d v="1981-10-18T00:00:00"/>
  </r>
  <r>
    <n v="1075"/>
    <s v="Essen van"/>
    <s v="Bert"/>
    <x v="5"/>
    <x v="4"/>
    <x v="1"/>
    <n v="23239.439999999999"/>
    <d v="1992-08-07T00:00:00"/>
  </r>
  <r>
    <n v="1966"/>
    <s v="Geerling"/>
    <s v="Rob"/>
    <x v="5"/>
    <x v="4"/>
    <x v="2"/>
    <n v="23239.439999999999"/>
    <d v="1991-11-17T00:00:00"/>
  </r>
  <r>
    <n v="1816"/>
    <s v="Damhof"/>
    <s v="Michael"/>
    <x v="2"/>
    <x v="1"/>
    <x v="2"/>
    <n v="35480.400000000001"/>
    <d v="1990-07-08T00:00:00"/>
  </r>
  <r>
    <n v="1814"/>
    <s v="Al-Sabah"/>
    <s v="Daoud"/>
    <x v="6"/>
    <x v="1"/>
    <x v="2"/>
    <n v="21303.599999999999"/>
    <d v="1989-03-04T00:00:00"/>
  </r>
  <r>
    <n v="1968"/>
    <s v="Willekes"/>
    <s v="Sara"/>
    <x v="7"/>
    <x v="2"/>
    <x v="0"/>
    <n v="35989.199999999997"/>
    <d v="1993-01-01T00:00:00"/>
  </r>
  <r>
    <n v="1675"/>
    <s v="Molenaar"/>
    <s v="Janet"/>
    <x v="3"/>
    <x v="2"/>
    <x v="0"/>
    <n v="33301.440000000002"/>
    <d v="1981-10-26T00:00:00"/>
  </r>
  <r>
    <n v="1677"/>
    <s v="Algra"/>
    <s v="Erik"/>
    <x v="8"/>
    <x v="5"/>
    <x v="2"/>
    <n v="37895.519999999997"/>
    <d v="1987-11-06T00:00:00"/>
  </r>
  <r>
    <n v="1793"/>
    <s v="Zandstra"/>
    <s v="Aaron"/>
    <x v="1"/>
    <x v="3"/>
    <x v="2"/>
    <n v="24179.5"/>
    <d v="1990-12-16T00:00:00"/>
  </r>
  <r>
    <n v="1792"/>
    <s v="Stroo"/>
    <s v="Heleen"/>
    <x v="9"/>
    <x v="4"/>
    <x v="0"/>
    <n v="28859.25"/>
    <d v="1990-12-24T00:00:00"/>
  </r>
  <r>
    <n v="1794"/>
    <s v="Sauter"/>
    <s v="Karel"/>
    <x v="7"/>
    <x v="2"/>
    <x v="2"/>
    <n v="37488.75"/>
    <d v="1984-12-18T00:00:00"/>
  </r>
  <r>
    <n v="1426"/>
    <s v="Vosman"/>
    <s v="Peter"/>
    <x v="3"/>
    <x v="2"/>
    <x v="2"/>
    <n v="34689"/>
    <d v="1977-09-08T00:00:00"/>
  </r>
  <r>
    <n v="1530"/>
    <s v="Overmars"/>
    <s v="Willlem"/>
    <x v="1"/>
    <x v="3"/>
    <x v="1"/>
    <n v="25146.68"/>
    <d v="1991-01-20T00:00:00"/>
  </r>
  <r>
    <n v="1054"/>
    <s v="Smit"/>
    <s v="Howard"/>
    <x v="5"/>
    <x v="4"/>
    <x v="0"/>
    <n v="25176.06"/>
    <d v="1991-04-16T00:00:00"/>
  </r>
  <r>
    <n v="1977"/>
    <s v="Eikelenboom"/>
    <s v="Mirjam"/>
    <x v="9"/>
    <x v="4"/>
    <x v="0"/>
    <n v="30013.62"/>
    <d v="1980-06-13T00:00:00"/>
  </r>
  <r>
    <n v="1529"/>
    <s v="Kellerman"/>
    <s v="Tommie"/>
    <x v="1"/>
    <x v="1"/>
    <x v="1"/>
    <n v="25146.68"/>
    <d v="1987-01-28T00:00:00"/>
  </r>
  <r>
    <n v="1978"/>
    <s v="Roelfsema"/>
    <s v="Jan"/>
    <x v="10"/>
    <x v="1"/>
    <x v="2"/>
    <n v="51878.84"/>
    <d v="1980-06-05T00:00:00"/>
  </r>
  <r>
    <n v="1055"/>
    <s v="Alberts"/>
    <s v="Esther"/>
    <x v="1"/>
    <x v="2"/>
    <x v="0"/>
    <n v="26040.560000000001"/>
    <d v="1991-04-08T00:00:00"/>
  </r>
  <r>
    <n v="1531"/>
    <s v="Lempert"/>
    <s v="Alexandra"/>
    <x v="8"/>
    <x v="5"/>
    <x v="0"/>
    <n v="41053.480000000003"/>
    <d v="1986-05-11T00:00:00"/>
  </r>
  <r>
    <n v="1290"/>
    <s v="Kuiper"/>
    <s v="Linda"/>
    <x v="1"/>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1"/>
    <x v="3"/>
    <x v="2"/>
    <n v="27081.040000000001"/>
    <d v="1986-11-05T00:00:00"/>
  </r>
  <r>
    <n v="1557"/>
    <s v="Kramer"/>
    <s v="Maaike"/>
    <x v="1"/>
    <x v="3"/>
    <x v="0"/>
    <n v="27081.040000000001"/>
    <d v="1981-11-18T00:00:00"/>
  </r>
  <r>
    <n v="1723"/>
    <s v="Einstein"/>
    <s v="Isolde"/>
    <x v="11"/>
    <x v="1"/>
    <x v="2"/>
    <n v="29362.2"/>
    <d v="1990-08-06T00:00:00"/>
  </r>
  <r>
    <n v="1556"/>
    <s v="Davids"/>
    <s v="Karin"/>
    <x v="11"/>
    <x v="1"/>
    <x v="1"/>
    <n v="29362.2"/>
    <d v="1981-11-26T00:00:00"/>
  </r>
  <r>
    <n v="1333"/>
    <s v="Faber"/>
    <s v="Otto"/>
    <x v="11"/>
    <x v="1"/>
    <x v="0"/>
    <n v="29362.2"/>
    <d v="1990-04-16T00:00:00"/>
  </r>
  <r>
    <n v="1299"/>
    <s v="Wijbenga"/>
    <s v="Sandra"/>
    <x v="6"/>
    <x v="1"/>
    <x v="0"/>
    <n v="24854.2"/>
    <d v="1989-12-21T00:00:00"/>
  </r>
  <r>
    <n v="1301"/>
    <s v="Wijnen"/>
    <s v="Floris"/>
    <x v="1"/>
    <x v="2"/>
    <x v="2"/>
    <n v="27081.040000000001"/>
    <d v="1984-08-06T00:00:00"/>
  </r>
  <r>
    <n v="1724"/>
    <s v="Mans"/>
    <s v="Steven"/>
    <x v="1"/>
    <x v="2"/>
    <x v="1"/>
    <n v="28043.68"/>
    <d v="1990-07-29T00:00:00"/>
  </r>
  <r>
    <n v="1558"/>
    <s v="Maathuis"/>
    <s v="Evelien"/>
    <x v="7"/>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2"/>
    <x v="1"/>
    <x v="1"/>
    <n v="43394.15"/>
    <d v="1986-01-26T00:00:00"/>
  </r>
  <r>
    <n v="1331"/>
    <s v="Vergeer"/>
    <s v="Maria"/>
    <x v="2"/>
    <x v="1"/>
    <x v="1"/>
    <n v="42872.15"/>
    <d v="1989-05-11T00:00:00"/>
  </r>
  <r>
    <n v="1310"/>
    <s v="Smit"/>
    <s v="Ellen"/>
    <x v="11"/>
    <x v="1"/>
    <x v="2"/>
    <n v="30410.85"/>
    <d v="1986-10-04T00:00:00"/>
  </r>
  <r>
    <n v="1329"/>
    <s v="Schaafsma"/>
    <s v="Toine"/>
    <x v="11"/>
    <x v="1"/>
    <x v="1"/>
    <n v="30410.85"/>
    <d v="1989-02-22T00:00:00"/>
  </r>
  <r>
    <n v="1311"/>
    <s v="Kanis"/>
    <s v="Nico"/>
    <x v="7"/>
    <x v="2"/>
    <x v="1"/>
    <n v="43486.95"/>
    <d v="1986-09-26T00:00:00"/>
  </r>
  <r>
    <n v="1657"/>
    <s v="Wegenbree"/>
    <s v="Roos"/>
    <x v="4"/>
    <x v="0"/>
    <x v="1"/>
    <n v="32626.799999999999"/>
    <d v="1987-12-06T00:00:00"/>
  </r>
  <r>
    <n v="1516"/>
    <s v="Bel"/>
    <s v="Tom"/>
    <x v="0"/>
    <x v="0"/>
    <x v="1"/>
    <n v="28549.5"/>
    <d v="1985-03-06T00:00:00"/>
  </r>
  <r>
    <n v="1517"/>
    <s v="Ruiter"/>
    <s v="Karin"/>
    <x v="13"/>
    <x v="1"/>
    <x v="1"/>
    <n v="62589.599999999999"/>
    <d v="1985-02-26T00:00:00"/>
  </r>
  <r>
    <n v="1658"/>
    <s v="Mosselman"/>
    <s v="Dennis"/>
    <x v="2"/>
    <x v="1"/>
    <x v="0"/>
    <n v="44350.5"/>
    <d v="1988-06-06T00:00:00"/>
  </r>
  <r>
    <n v="1518"/>
    <s v="Lange de"/>
    <s v="Leslie"/>
    <x v="2"/>
    <x v="1"/>
    <x v="1"/>
    <n v="44350.5"/>
    <d v="1990-06-18T00:00:00"/>
  </r>
  <r>
    <n v="1656"/>
    <s v="Kourios"/>
    <s v="Theo"/>
    <x v="1"/>
    <x v="2"/>
    <x v="0"/>
    <n v="29015.4"/>
    <d v="1987-12-14T00:00:00"/>
  </r>
  <r>
    <n v="1079"/>
    <s v="Holtrop"/>
    <s v="Ellen"/>
    <x v="1"/>
    <x v="3"/>
    <x v="1"/>
    <n v="29982.58"/>
    <d v="1986-03-24T00:00:00"/>
  </r>
  <r>
    <n v="1758"/>
    <s v="Bruinenberg"/>
    <s v="Melia"/>
    <x v="9"/>
    <x v="4"/>
    <x v="1"/>
    <n v="35785.47"/>
    <d v="1982-03-18T00:00:00"/>
  </r>
  <r>
    <n v="1673"/>
    <s v="Kromhout"/>
    <s v="Linda"/>
    <x v="1"/>
    <x v="1"/>
    <x v="0"/>
    <n v="29982.58"/>
    <d v="1990-04-16T00:00:00"/>
  </r>
  <r>
    <n v="1509"/>
    <s v="Kegler"/>
    <s v="Pamela"/>
    <x v="1"/>
    <x v="1"/>
    <x v="2"/>
    <n v="29982.58"/>
    <d v="1985-06-19T00:00:00"/>
  </r>
  <r>
    <n v="1759"/>
    <s v="Jager"/>
    <s v="Stephanie"/>
    <x v="10"/>
    <x v="1"/>
    <x v="1"/>
    <n v="61855.54"/>
    <d v="1982-03-10T00:00:00"/>
  </r>
  <r>
    <n v="1510"/>
    <s v="Wit"/>
    <s v="Jessica"/>
    <x v="12"/>
    <x v="1"/>
    <x v="0"/>
    <n v="46386.85"/>
    <d v="1985-06-11T00:00:00"/>
  </r>
  <r>
    <n v="1078"/>
    <s v="Handelman"/>
    <s v="Kees"/>
    <x v="1"/>
    <x v="2"/>
    <x v="1"/>
    <n v="29982.58"/>
    <d v="1986-04-01T00:00:00"/>
  </r>
  <r>
    <n v="1285"/>
    <s v="Verkade"/>
    <s v="Eduard"/>
    <x v="13"/>
    <x v="2"/>
    <x v="1"/>
    <n v="77179.149999999994"/>
    <d v="1984-12-27T00:00:00"/>
  </r>
  <r>
    <n v="1284"/>
    <s v="Burger"/>
    <s v="Frank"/>
    <x v="7"/>
    <x v="2"/>
    <x v="2"/>
    <n v="46486.05"/>
    <d v="1985-01-04T00:00:00"/>
  </r>
  <r>
    <n v="1674"/>
    <s v="Nieborg"/>
    <s v="Dave"/>
    <x v="1"/>
    <x v="5"/>
    <x v="0"/>
    <n v="31048.36"/>
    <d v="1990-04-08T00:00:00"/>
  </r>
  <r>
    <n v="1067"/>
    <s v="Thiecke"/>
    <s v="Herman"/>
    <x v="9"/>
    <x v="4"/>
    <x v="2"/>
    <n v="36939.839999999997"/>
    <d v="1987-09-20T00:00:00"/>
  </r>
  <r>
    <n v="1068"/>
    <s v="Riksten"/>
    <s v="Janette"/>
    <x v="12"/>
    <x v="1"/>
    <x v="1"/>
    <n v="47883.199999999997"/>
    <d v="1987-09-12T00:00:00"/>
  </r>
  <r>
    <n v="1922"/>
    <s v="Smit"/>
    <s v="Barbara"/>
    <x v="6"/>
    <x v="1"/>
    <x v="1"/>
    <n v="28404.799999999999"/>
    <d v="1986-12-05T00:00:00"/>
  </r>
  <r>
    <n v="1923"/>
    <s v="Jansen"/>
    <s v="Piet"/>
    <x v="7"/>
    <x v="2"/>
    <x v="2"/>
    <n v="47985.599999999999"/>
    <d v="1986-11-27T00:00:00"/>
  </r>
  <r>
    <n v="1573"/>
    <s v="Kleine"/>
    <s v="Bob"/>
    <x v="4"/>
    <x v="0"/>
    <x v="2"/>
    <n v="35889.480000000003"/>
    <d v="1988-07-07T00:00:00"/>
  </r>
  <r>
    <n v="1695"/>
    <s v="Nelson"/>
    <s v="Eduard"/>
    <x v="9"/>
    <x v="4"/>
    <x v="2"/>
    <n v="38094.21"/>
    <d v="1984-10-20T00:00:00"/>
  </r>
  <r>
    <n v="1360"/>
    <s v="Maris"/>
    <s v="Ellis"/>
    <x v="1"/>
    <x v="1"/>
    <x v="0"/>
    <n v="33051.480000000003"/>
    <d v="1988-08-01T00:00:00"/>
  </r>
  <r>
    <n v="1574"/>
    <s v="Westra"/>
    <s v="Sam"/>
    <x v="14"/>
    <x v="1"/>
    <x v="2"/>
    <n v="50651.37"/>
    <d v="1986-02-09T00:00:00"/>
  </r>
  <r>
    <n v="1977"/>
    <s v="Renkema"/>
    <s v="Wouter"/>
    <x v="2"/>
    <x v="1"/>
    <x v="2"/>
    <n v="48785.55"/>
    <d v="1991-09-09T00:00:00"/>
  </r>
  <r>
    <n v="1572"/>
    <s v="Ridderbos"/>
    <s v="Lise-Anne"/>
    <x v="11"/>
    <x v="1"/>
    <x v="1"/>
    <n v="34605.449999999997"/>
    <d v="1988-07-15T00:00:00"/>
  </r>
  <r>
    <n v="1906"/>
    <s v="Bankler"/>
    <s v="Rowena"/>
    <x v="1"/>
    <x v="2"/>
    <x v="1"/>
    <n v="31916.94"/>
    <d v="1989-09-28T00:00:00"/>
  </r>
  <r>
    <n v="1907"/>
    <s v="Huisman"/>
    <s v="Hester"/>
    <x v="1"/>
    <x v="2"/>
    <x v="1"/>
    <n v="33051.480000000003"/>
    <d v="1989-09-20T00:00:00"/>
  </r>
  <r>
    <n v="1359"/>
    <s v="Mortel"/>
    <s v="Sara"/>
    <x v="7"/>
    <x v="2"/>
    <x v="1"/>
    <n v="49485.15"/>
    <d v="1990-08-09T00:00:00"/>
  </r>
  <r>
    <n v="1361"/>
    <s v="Steen"/>
    <s v="Cindy"/>
    <x v="11"/>
    <x v="5"/>
    <x v="1"/>
    <n v="34605.449999999997"/>
    <d v="1988-07-22T00:00:00"/>
  </r>
  <r>
    <n v="1368"/>
    <s v="Marinez"/>
    <s v="Gustavo"/>
    <x v="1"/>
    <x v="3"/>
    <x v="2"/>
    <n v="32884.120000000003"/>
    <d v="1983-03-11T00:00:00"/>
  </r>
  <r>
    <n v="1815"/>
    <s v="Fijn"/>
    <s v="Caroline"/>
    <x v="13"/>
    <x v="1"/>
    <x v="0"/>
    <n v="70934.880000000005"/>
    <d v="1980-02-25T00:00:00"/>
  </r>
  <r>
    <n v="1369"/>
    <s v="Bartels"/>
    <s v="Sandra"/>
    <x v="15"/>
    <x v="5"/>
    <x v="2"/>
    <n v="57756.480000000003"/>
    <d v="1983-03-03T00:00:00"/>
  </r>
  <r>
    <n v="1370"/>
    <s v="Stadtman"/>
    <s v="Jan-Theo"/>
    <x v="8"/>
    <x v="5"/>
    <x v="1"/>
    <n v="53685.32"/>
    <d v="1987-11-27T00:00:00"/>
  </r>
  <r>
    <n v="1908"/>
    <s v="Ritsma"/>
    <s v="Melissa"/>
    <x v="16"/>
    <x v="3"/>
    <x v="2"/>
    <n v="72819.600000000006"/>
    <d v="1984-05-15T00:00:00"/>
  </r>
  <r>
    <n v="1428"/>
    <s v="Vreeman"/>
    <s v="Jules"/>
    <x v="14"/>
    <x v="1"/>
    <x v="1"/>
    <n v="53721.15"/>
    <d v="1986-11-12T00:00:00"/>
  </r>
  <r>
    <n v="1352"/>
    <s v="Zwaving"/>
    <s v="Lisa"/>
    <x v="6"/>
    <x v="1"/>
    <x v="1"/>
    <n v="31067.75"/>
    <d v="1982-09-18T00:00:00"/>
  </r>
  <r>
    <n v="1353"/>
    <s v="Helder"/>
    <s v="Willem"/>
    <x v="15"/>
    <x v="5"/>
    <x v="1"/>
    <n v="59455.199999999997"/>
    <d v="1982-09-10T00:00:00"/>
  </r>
  <r>
    <n v="1427"/>
    <s v="Bijkerk"/>
    <s v="David"/>
    <x v="15"/>
    <x v="5"/>
    <x v="0"/>
    <n v="59455.199999999997"/>
    <d v="1977-08-31T00:00:00"/>
  </r>
  <r>
    <n v="1291"/>
    <s v="Oosten"/>
    <s v="Bart"/>
    <x v="1"/>
    <x v="3"/>
    <x v="1"/>
    <n v="35785.660000000003"/>
    <d v="1984-12-26T00:00:00"/>
  </r>
  <r>
    <n v="1292"/>
    <s v="Mekel"/>
    <s v="Menno"/>
    <x v="3"/>
    <x v="2"/>
    <x v="1"/>
    <n v="51339.72"/>
    <d v="1987-11-20T00:00:00"/>
  </r>
  <r>
    <n v="1725"/>
    <s v="Kruit"/>
    <s v="Alex"/>
    <x v="16"/>
    <x v="3"/>
    <x v="1"/>
    <n v="79061.279999999999"/>
    <d v="1978-02-12T00:00:00"/>
  </r>
  <r>
    <n v="1302"/>
    <s v="Berg"/>
    <s v="Bob"/>
    <x v="13"/>
    <x v="1"/>
    <x v="2"/>
    <n v="79280.160000000003"/>
    <d v="1984-07-29T00:00:00"/>
  </r>
  <r>
    <n v="1301"/>
    <s v="Jonge de"/>
    <s v="Arend"/>
    <x v="14"/>
    <x v="1"/>
    <x v="1"/>
    <n v="58325.82"/>
    <d v="1986-01-09T00:00:00"/>
  </r>
  <r>
    <n v="1154"/>
    <s v="Geluk"/>
    <s v="Betsie"/>
    <x v="2"/>
    <x v="1"/>
    <x v="0"/>
    <n v="56177.3"/>
    <d v="1987-07-07T00:00:00"/>
  </r>
  <r>
    <n v="1303"/>
    <s v="Emmerink"/>
    <s v="Donald"/>
    <x v="2"/>
    <x v="1"/>
    <x v="1"/>
    <n v="56177.3"/>
    <d v="1988-03-03T00:00:00"/>
  </r>
  <r>
    <n v="1294"/>
    <s v="Noord"/>
    <s v="Robert"/>
    <x v="12"/>
    <x v="1"/>
    <x v="2"/>
    <n v="58357.65"/>
    <d v="1984-09-06T00:00:00"/>
  </r>
  <r>
    <n v="1293"/>
    <s v="Kroon"/>
    <s v="Brenda"/>
    <x v="11"/>
    <x v="1"/>
    <x v="1"/>
    <n v="40897.35"/>
    <d v="1984-09-14T00:00:00"/>
  </r>
  <r>
    <n v="1725"/>
    <s v="Bloemendaal"/>
    <s v="Theo"/>
    <x v="13"/>
    <x v="2"/>
    <x v="0"/>
    <n v="97096.35"/>
    <d v="1978-02-02T00:00:00"/>
  </r>
  <r>
    <n v="1724"/>
    <s v="Boerhof"/>
    <s v="Mark"/>
    <x v="7"/>
    <x v="2"/>
    <x v="1"/>
    <n v="58482.45"/>
    <d v="1978-02-10T00:00:00"/>
  </r>
  <r>
    <n v="1080"/>
    <s v="Vossen"/>
    <s v="Felix"/>
    <x v="8"/>
    <x v="5"/>
    <x v="1"/>
    <n v="64738.18"/>
    <d v="1988-10-29T00:00:00"/>
  </r>
  <r>
    <n v="1968"/>
    <s v="Larssen"/>
    <s v="Erika"/>
    <x v="17"/>
    <x v="3"/>
    <x v="1"/>
    <n v="65821.56"/>
    <d v="1982-04-05T00:00:00"/>
  </r>
  <r>
    <n v="1950"/>
    <s v="Smidt"/>
    <s v="Rik"/>
    <x v="13"/>
    <x v="2"/>
    <x v="2"/>
    <n v="104565.3"/>
    <d v="1981-10-04T00:00:00"/>
  </r>
  <r>
    <n v="1949"/>
    <s v="Wolthuis"/>
    <s v="Carla"/>
    <x v="7"/>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4"/>
    <x v="1"/>
    <x v="2"/>
    <n v="67535.16"/>
    <d v="1984-01-08T00:00:00"/>
  </r>
  <r>
    <n v="1354"/>
    <s v="Kanon"/>
    <s v="Susan"/>
    <x v="14"/>
    <x v="1"/>
    <x v="0"/>
    <n v="69070.05"/>
    <d v="1986-05-06T00:00:00"/>
  </r>
  <r>
    <n v="1962"/>
    <s v="Wolf"/>
    <s v="Hilda"/>
    <x v="3"/>
    <x v="2"/>
    <x v="1"/>
    <n v="66602.880000000005"/>
    <d v="1987-10-22T00:00:00"/>
  </r>
  <r>
    <n v="1076"/>
    <s v="Hulzenbos"/>
    <s v="Johan"/>
    <x v="10"/>
    <x v="1"/>
    <x v="0"/>
    <n v="105753.02"/>
    <d v="1979-07-30T00:00:00"/>
  </r>
  <r>
    <n v="1696"/>
    <s v="Bosma"/>
    <s v="Marja"/>
    <x v="12"/>
    <x v="1"/>
    <x v="0"/>
    <n v="79306.55"/>
    <d v="1984-10-12T00:00:00"/>
  </r>
  <r>
    <n v="1056"/>
    <s v="Ottevanger"/>
    <s v="Lourens"/>
    <x v="16"/>
    <x v="3"/>
    <x v="0"/>
    <n v="116511.36"/>
    <d v="1979-10-25T00:00:00"/>
  </r>
</pivotCacheRecords>
</file>

<file path=xl/pivotCache/pivotCacheRecords6.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7.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Cache/pivotCacheRecords8.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11.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500-000000000000}" name="PivotTable4" cacheId="10"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multipleFieldFilters="0">
  <location ref="L11:P19" firstHeaderRow="1" firstDataRow="2" firstDataCol="1"/>
  <pivotFields count="8">
    <pivotField compact="0" showAll="0"/>
    <pivotField compact="0" showAll="0"/>
    <pivotField compact="0" showAll="0"/>
    <pivotField compact="0" showAll="0"/>
    <pivotField axis="axisRow" compact="0" showAll="0">
      <items count="11">
        <item x="0"/>
        <item m="1" x="6"/>
        <item x="3"/>
        <item x="1"/>
        <item x="4"/>
        <item x="2"/>
        <item m="1" x="7"/>
        <item m="1" x="8"/>
        <item x="5"/>
        <item m="1" x="9"/>
        <item t="default"/>
      </items>
    </pivotField>
    <pivotField axis="axisCol" compact="0" showAll="0">
      <items count="6">
        <item x="0"/>
        <item m="1" x="3"/>
        <item m="1" x="4"/>
        <item x="1"/>
        <item x="2"/>
        <item t="default"/>
      </items>
    </pivotField>
    <pivotField dataField="1" compact="0" numFmtId="44" showAll="0"/>
    <pivotField compact="0" numFmtId="14" showAll="0"/>
  </pivotFields>
  <rowFields count="1">
    <field x="4"/>
  </rowFields>
  <rowItems count="7">
    <i>
      <x/>
    </i>
    <i>
      <x v="2"/>
    </i>
    <i>
      <x v="3"/>
    </i>
    <i>
      <x v="4"/>
    </i>
    <i>
      <x v="5"/>
    </i>
    <i>
      <x v="8"/>
    </i>
    <i t="grand">
      <x/>
    </i>
  </rowItems>
  <colFields count="1">
    <field x="5"/>
  </colFields>
  <colItems count="4">
    <i>
      <x/>
    </i>
    <i>
      <x v="3"/>
    </i>
    <i>
      <x v="4"/>
    </i>
    <i t="grand">
      <x/>
    </i>
  </colItems>
  <dataFields count="1">
    <dataField name="Average of Salary" fld="6" subtotal="average" baseField="4" baseItem="3"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600-000000000000}" name="PivotTable1" cacheId="10"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multipleFieldFilters="0">
  <location ref="D9:H15" firstHeaderRow="1" firstDataRow="2" firstDataCol="1" rowPageCount="1" colPageCount="1"/>
  <pivotFields count="8">
    <pivotField compact="0" showAll="0"/>
    <pivotField compact="0" showAll="0"/>
    <pivotField compact="0" showAll="0"/>
    <pivotField axis="axisRow" compact="0" showAll="0">
      <items count="36">
        <item x="4"/>
        <item m="1" x="29"/>
        <item m="1" x="26"/>
        <item x="1"/>
        <item x="0"/>
        <item x="5"/>
        <item x="6"/>
        <item m="1" x="22"/>
        <item m="1" x="28"/>
        <item m="1" x="20"/>
        <item x="10"/>
        <item m="1" x="31"/>
        <item x="15"/>
        <item m="1" x="21"/>
        <item x="12"/>
        <item m="1" x="23"/>
        <item m="1" x="34"/>
        <item x="17"/>
        <item m="1" x="18"/>
        <item x="7"/>
        <item m="1" x="24"/>
        <item x="3"/>
        <item x="8"/>
        <item x="14"/>
        <item m="1" x="32"/>
        <item x="2"/>
        <item m="1" x="27"/>
        <item x="9"/>
        <item m="1" x="19"/>
        <item x="13"/>
        <item x="11"/>
        <item m="1" x="30"/>
        <item x="16"/>
        <item m="1" x="33"/>
        <item m="1" x="25"/>
        <item t="default"/>
      </items>
    </pivotField>
    <pivotField axis="axisPage" compact="0" showAll="0">
      <items count="11">
        <item x="0"/>
        <item m="1" x="6"/>
        <item x="3"/>
        <item x="1"/>
        <item x="4"/>
        <item x="2"/>
        <item m="1" x="7"/>
        <item m="1" x="8"/>
        <item x="5"/>
        <item m="1" x="9"/>
        <item t="default"/>
      </items>
    </pivotField>
    <pivotField axis="axisCol" compact="0" showAll="0">
      <items count="6">
        <item x="0"/>
        <item m="1" x="3"/>
        <item m="1" x="4"/>
        <item x="1"/>
        <item x="2"/>
        <item t="default"/>
      </items>
    </pivotField>
    <pivotField dataField="1" compact="0" numFmtId="44" showAll="0"/>
    <pivotField compact="0" numFmtId="14" showAll="0"/>
  </pivotFields>
  <rowFields count="1">
    <field x="3"/>
  </rowFields>
  <rowItems count="5">
    <i>
      <x v="3"/>
    </i>
    <i>
      <x v="19"/>
    </i>
    <i>
      <x v="21"/>
    </i>
    <i>
      <x v="29"/>
    </i>
    <i t="grand">
      <x/>
    </i>
  </rowItems>
  <colFields count="1">
    <field x="5"/>
  </colFields>
  <colItems count="4">
    <i>
      <x/>
    </i>
    <i>
      <x v="3"/>
    </i>
    <i>
      <x v="4"/>
    </i>
    <i t="grand">
      <x/>
    </i>
  </colItems>
  <pageFields count="1">
    <pageField fld="4" item="5" hier="-1"/>
  </pageFields>
  <dataFields count="1">
    <dataField name="Sum of Salary" fld="6" baseField="3" baseItem="4"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700-000000000000}" name="Draaitabel1" cacheId="9" dataOnRows="1"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rowHeaderCaption="Salesman" colHeaderCaption="Month">
  <location ref="J11:N23" firstHeaderRow="1" firstDataRow="2" firstDataCol="1" rowPageCount="1" colPageCount="1"/>
  <pivotFields count="6">
    <pivotField axis="axisCol" numFmtId="182" showAll="0" defaultSubtotal="0">
      <items count="6">
        <item m="1" x="4"/>
        <item m="1" x="5"/>
        <item m="1" x="3"/>
        <item x="0"/>
        <item x="1"/>
        <item x="2"/>
      </items>
    </pivotField>
    <pivotField axis="axisPage" numFmtId="182" showAll="0" defaultSubtotal="0">
      <items count="7">
        <item m="1" x="6"/>
        <item m="1" x="4"/>
        <item x="2"/>
        <item m="1" x="5"/>
        <item x="0"/>
        <item x="1"/>
        <item x="3"/>
      </items>
    </pivotField>
    <pivotField axis="axisRow" numFmtId="182" showAll="0" defaultSubtotal="0">
      <items count="2">
        <item x="0"/>
        <item x="1"/>
      </items>
    </pivotField>
    <pivotField dataField="1" numFmtId="169" showAll="0" defaultSubtotal="0"/>
    <pivotField dataField="1" numFmtId="169" showAll="0" defaultSubtotal="0"/>
    <pivotField dataField="1" numFmtId="169" showAll="0" defaultSubtota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v="3"/>
    </i>
    <i>
      <x v="4"/>
    </i>
    <i>
      <x v="5"/>
    </i>
    <i t="grand">
      <x/>
    </i>
  </colItems>
  <pageFields count="1">
    <pageField fld="1" hier="-1"/>
  </pageFields>
  <dataFields count="3">
    <dataField name="Sum of Sales" fld="3" baseField="2" baseItem="0" numFmtId="42"/>
    <dataField name="Sum of Expenses" fld="4" baseField="2" baseItem="0" numFmtId="42"/>
    <dataField name="Sum of Commission" fld="5" baseField="2"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800-000000000000}" name="Draaitabel1" cacheId="14" applyNumberFormats="0" applyBorderFormats="0" applyFontFormats="0" applyPatternFormats="0" applyAlignmentFormats="0" applyWidthHeightFormats="1" dataCaption="Waarden" updatedVersion="4" minRefreshableVersion="3" showCalcMbrs="0" useAutoFormatting="1" itemPrintTitles="1" createdVersion="3" indent="0" compact="0" compactData="0" gridDropZones="1" multipleFieldFilters="0">
  <location ref="H11:K15" firstHeaderRow="1" firstDataRow="2" firstDataCol="1"/>
  <pivotFields count="4">
    <pivotField axis="axisRow" compact="0" numFmtId="182" outline="0" showAll="0" defaultSubtotal="0">
      <items count="2">
        <item x="0"/>
        <item x="1"/>
      </items>
    </pivotField>
    <pivotField compact="0" numFmtId="182" outline="0" showAll="0" defaultSubtotal="0"/>
    <pivotField axis="axisCol" compact="0" outline="0" showAll="0" defaultSubtotal="0">
      <items count="2">
        <item x="0"/>
        <item x="1"/>
      </items>
    </pivotField>
    <pivotField dataField="1" compact="0" numFmtId="182" outline="0" showAll="0" defaultSubtotal="0"/>
  </pivotFields>
  <rowFields count="1">
    <field x="0"/>
  </rowFields>
  <rowItems count="3">
    <i>
      <x/>
    </i>
    <i>
      <x v="1"/>
    </i>
    <i t="grand">
      <x/>
    </i>
  </rowItems>
  <colFields count="1">
    <field x="2"/>
  </colFields>
  <colItems count="3">
    <i>
      <x/>
    </i>
    <i>
      <x v="1"/>
    </i>
    <i t="grand">
      <x/>
    </i>
  </colItems>
  <dataFields count="1">
    <dataField name="Average of it" fld="3" subtotal="average" baseField="0" baseItem="1" numFmtId="17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PivotTable3" cacheId="1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Mark">
  <location ref="H9:I15" firstHeaderRow="1" firstDataRow="1" firstDataCol="1"/>
  <pivotFields count="3">
    <pivotField numFmtId="182" showAll="0"/>
    <pivotField numFmtId="182" showAll="0"/>
    <pivotField axis="axisRow" dataField="1" numFmtId="182"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Frequency" fld="2" subtotal="count" baseField="2" baseItem="0" numFmtId="182"/>
  </dataFields>
  <formats count="1">
    <format dxfId="1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2" cacheId="8" applyNumberFormats="0" applyBorderFormats="0" applyFontFormats="0" applyPatternFormats="0" applyAlignmentFormats="0" applyWidthHeightFormats="1" dataCaption="Waarden" updatedVersion="4" minRefreshableVersion="3" useAutoFormatting="1" itemPrintTitles="1" createdVersion="4" indent="0" showHeaders="0" outline="1" outlineData="1" multipleFieldFilters="0">
  <location ref="I10:N18" firstHeaderRow="1" firstDataRow="2" firstDataCol="1"/>
  <pivotFields count="4">
    <pivotField axis="axisRow" numFmtId="182" showAll="0" defaultSubtotal="0">
      <items count="2">
        <item x="1"/>
        <item x="0"/>
      </items>
    </pivotField>
    <pivotField axis="axisRow" numFmtId="182" showAll="0" defaultSubtotal="0">
      <items count="2">
        <item x="0"/>
        <item x="1"/>
      </items>
    </pivotField>
    <pivotField dataField="1" numFmtId="182" showAll="0" defaultSubtotal="0"/>
    <pivotField axis="axisCol" numFmtId="182" showAll="0" defaultSubtotal="0">
      <items count="4">
        <item x="1"/>
        <item x="0"/>
        <item x="2"/>
        <item x="3"/>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um of Sales" fld="2" baseField="0" baseItem="0" numFmtId="42"/>
  </dataFields>
  <formats count="3">
    <format dxfId="16">
      <pivotArea dataOnly="0" labelOnly="1" fieldPosition="0">
        <references count="1">
          <reference field="1" count="1">
            <x v="0"/>
          </reference>
        </references>
      </pivotArea>
    </format>
    <format dxfId="15">
      <pivotArea dataOnly="0" labelOnly="1" fieldPosition="0">
        <references count="1">
          <reference field="1" count="1">
            <x v="1"/>
          </reference>
        </references>
      </pivotArea>
    </format>
    <format dxfId="1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2" cacheId="16" applyNumberFormats="0" applyBorderFormats="0" applyFontFormats="0" applyPatternFormats="0" applyAlignmentFormats="0" applyWidthHeightFormats="1" dataCaption="Waarden" updatedVersion="4" minRefreshableVersion="3" useAutoFormatting="1" itemPrintTitles="1" createdVersion="4" indent="0" compact="0" compactData="0" multipleFieldFilters="0">
  <location ref="H11:L19" firstHeaderRow="1" firstDataRow="2" firstDataCol="2"/>
  <pivotFields count="4">
    <pivotField compact="0" numFmtId="182" outline="0" showAll="0" defaultSubtotal="0"/>
    <pivotField axis="axisRow" compact="0" outline="0" showAll="0" defaultSubtotal="0">
      <items count="2">
        <item x="1"/>
        <item x="0"/>
      </items>
    </pivotField>
    <pivotField axis="axisRow" compact="0" numFmtId="182" outline="0" showAll="0" defaultSubtotal="0">
      <items count="6">
        <item m="1" x="5"/>
        <item m="1" x="3"/>
        <item m="1" x="4"/>
        <item x="0"/>
        <item x="1"/>
        <item x="2"/>
      </items>
    </pivotField>
    <pivotField axis="axisCol" dataField="1" compact="0" numFmtId="182" outline="0" showAll="0" defaultSubtotal="0">
      <items count="2">
        <item x="0"/>
        <item x="1"/>
      </items>
    </pivotField>
  </pivotFields>
  <rowFields count="2">
    <field x="2"/>
    <field x="1"/>
  </rowFields>
  <rowItems count="7">
    <i>
      <x v="3"/>
      <x/>
    </i>
    <i r="1">
      <x v="1"/>
    </i>
    <i>
      <x v="4"/>
      <x/>
    </i>
    <i r="1">
      <x v="1"/>
    </i>
    <i>
      <x v="5"/>
      <x/>
    </i>
    <i r="1">
      <x v="1"/>
    </i>
    <i t="grand">
      <x/>
    </i>
  </rowItems>
  <colFields count="1">
    <field x="3"/>
  </colFields>
  <colItems count="3">
    <i>
      <x/>
    </i>
    <i>
      <x v="1"/>
    </i>
    <i t="grand">
      <x/>
    </i>
  </colItems>
  <dataFields count="1">
    <dataField name="Count of yes/no" fld="3" subtotal="count" baseField="0" baseItem="0" numFmtId="182"/>
  </dataFields>
  <formats count="1">
    <format dxfId="1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15"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numFmtId="182" showAll="0" defaultSubtotal="0"/>
    <pivotField axis="axisRow" compact="0" numFmtId="182" showAll="0" defaultSubtotal="0">
      <items count="7">
        <item x="3"/>
        <item x="0"/>
        <item x="2"/>
        <item x="1"/>
        <item x="5"/>
        <item x="4"/>
        <item x="6"/>
      </items>
    </pivotField>
    <pivotField axis="axisPage" dataField="1" compact="0" showAll="0" defaultSubtotal="0">
      <items count="2">
        <item x="1"/>
        <item x="0"/>
      </items>
    </pivotField>
    <pivotField dataField="1" compact="0" numFmtId="182" showAll="0" defaultSubtotal="0"/>
  </pivotFields>
  <rowFields count="1">
    <field x="1"/>
  </rowFields>
  <rowItems count="8">
    <i>
      <x/>
    </i>
    <i>
      <x v="1"/>
    </i>
    <i>
      <x v="2"/>
    </i>
    <i>
      <x v="3"/>
    </i>
    <i>
      <x v="4"/>
    </i>
    <i>
      <x v="5"/>
    </i>
    <i>
      <x v="6"/>
    </i>
    <i t="grand">
      <x/>
    </i>
  </rowItems>
  <colFields count="1">
    <field x="-2"/>
  </colFields>
  <colItems count="2">
    <i>
      <x/>
    </i>
    <i i="1">
      <x v="1"/>
    </i>
  </colItems>
  <pageFields count="1">
    <pageField fld="2" item="1" hier="-1"/>
  </pageFields>
  <dataFields count="2">
    <dataField name="Count of own house" fld="2" subtotal="count" baseField="0" baseItem="0"/>
    <dataField name="Average of value" fld="3" subtotal="average" baseField="1" baseItem="2" numFmtId="5"/>
  </dataFields>
  <formats count="2">
    <format dxfId="12">
      <pivotArea dataOnly="0" labelOnly="1" outline="0" fieldPosition="0">
        <references count="1">
          <reference field="1" count="0"/>
        </references>
      </pivotArea>
    </format>
    <format dxfId="11">
      <pivotArea outline="0" fieldPosition="0">
        <references count="1">
          <reference field="4294967294"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5" cacheId="7"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location ref="K13:K14" firstHeaderRow="1" firstDataRow="1" firstDataCol="0" rowPageCount="3" colPageCount="1"/>
  <pivotFields count="6">
    <pivotField axis="axisPage" numFmtId="182" showAll="0" defaultSubtotal="0">
      <items count="2">
        <item x="1"/>
        <item x="0"/>
      </items>
    </pivotField>
    <pivotField axis="axisPage" numFmtId="182" showAll="0" defaultSubtotal="0">
      <items count="2">
        <item x="0"/>
        <item x="1"/>
      </items>
    </pivotField>
    <pivotField numFmtId="182" showAll="0" defaultSubtotal="0"/>
    <pivotField dataField="1" numFmtId="182" showAll="0" defaultSubtotal="0"/>
    <pivotField numFmtId="182" showAll="0" defaultSubtotal="0"/>
    <pivotField axis="axisPage" numFmtId="182" showAll="0" defaultSubtotal="0">
      <items count="2">
        <item x="0"/>
        <item x="1"/>
      </items>
    </pivotField>
  </pivotFields>
  <rowItems count="1">
    <i/>
  </rowItems>
  <colItems count="1">
    <i/>
  </colItems>
  <pageFields count="3">
    <pageField fld="0" item="1" hier="-1"/>
    <pageField fld="1" item="1" hier="-1"/>
    <pageField fld="5" item="1" hier="-1"/>
  </pageFields>
  <dataFields count="1">
    <dataField name="Average of time car" fld="3" subtotal="average" baseField="0" baseItem="314146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3" cacheId="6" applyNumberFormats="0" applyBorderFormats="0" applyFontFormats="0" applyPatternFormats="0" applyAlignmentFormats="0" applyWidthHeightFormats="1" dataCaption="Waarden" updatedVersion="4"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numFmtId="182" outline="0" showAll="0" defaultSubtotal="0">
      <items count="3">
        <item x="0"/>
        <item x="2"/>
        <item x="1"/>
      </items>
    </pivotField>
    <pivotField axis="axisRow" compact="0" numFmtId="182" outline="0" showAll="0" sortType="ascending" defaultSubtotal="0">
      <items count="6">
        <item x="0"/>
        <item x="1"/>
        <item x="2"/>
        <item x="3"/>
        <item x="4"/>
        <item x="5"/>
      </items>
    </pivotField>
    <pivotField axis="axisPage" compact="0" numFmtId="182" outline="0" showAll="0" defaultSubtotal="0">
      <items count="4">
        <item x="1"/>
        <item x="0"/>
        <item x="2"/>
        <item x="3"/>
      </items>
    </pivotField>
    <pivotField dataField="1" compact="0" numFmtId="182" outline="0" showAll="0" defaultSubtotal="0"/>
  </pivotFields>
  <rowFields count="1">
    <field x="1"/>
  </rowFields>
  <rowItems count="7">
    <i>
      <x/>
    </i>
    <i>
      <x v="1"/>
    </i>
    <i>
      <x v="2"/>
    </i>
    <i>
      <x v="3"/>
    </i>
    <i>
      <x v="4"/>
    </i>
    <i>
      <x v="5"/>
    </i>
    <i t="grand">
      <x/>
    </i>
  </rowItems>
  <colFields count="1">
    <field x="0"/>
  </colFields>
  <colItems count="4">
    <i>
      <x/>
    </i>
    <i>
      <x v="1"/>
    </i>
    <i>
      <x v="2"/>
    </i>
    <i t="grand">
      <x/>
    </i>
  </colItems>
  <pageFields count="1">
    <pageField fld="2" item="1" hier="-1"/>
  </pageFields>
  <dataFields count="1">
    <dataField name="Sum of Yield" fld="3" baseField="1" baseItem="1" numFmtId="42"/>
  </dataFields>
  <formats count="2">
    <format dxfId="9">
      <pivotArea type="all" dataOnly="0" outline="0" fieldPosition="0"/>
    </format>
    <format dxfId="8">
      <pivotArea outline="0" fieldPosition="0">
        <references count="1">
          <reference field="4294967294" count="1">
            <x v="0"/>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6" cacheId="12" dataOnRows="1"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Brand" colHeaderCaption="Fuel">
  <location ref="K11:N105" firstHeaderRow="1" firstDataRow="2" firstDataCol="1"/>
  <pivotFields count="7">
    <pivotField axis="axisRow" numFmtId="182"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numFmtId="182" showAll="0"/>
    <pivotField numFmtId="182" showAll="0"/>
    <pivotField numFmtId="182" showAll="0" defaultSubtotal="0"/>
    <pivotField axis="axisCol" numFmtId="182" showAll="0" defaultSubtotal="0">
      <items count="3">
        <item x="1"/>
        <item x="2"/>
        <item x="0"/>
      </items>
    </pivotField>
    <pivotField dataField="1" numFmtId="172" showAll="0" defaultSubtotal="0"/>
    <pivotField numFmtId="169" showAll="0" defaultSubtota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i>
    <i>
      <x v="1"/>
    </i>
    <i>
      <x v="2"/>
    </i>
  </colItems>
  <dataFields count="2">
    <dataField name="Max of Consumption" fld="5" subtotal="max" baseField="0" baseItem="0" numFmtId="182"/>
    <dataField name="Min of Consumption" fld="5" subtotal="min" baseField="0" baseItem="0" numFmtId="182"/>
  </dataFields>
  <formats count="1">
    <format dxfId="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000-000001000000}" name="Draaitabel3" cacheId="13"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numFmtId="182" outline="0" showAll="0" defaultSubtotal="0"/>
    <pivotField axis="axisCol" compact="0" numFmtId="182" outline="0" showAll="0" defaultSubtotal="0">
      <items count="2">
        <item x="1"/>
        <item x="0"/>
      </items>
    </pivotField>
    <pivotField compact="0" numFmtId="176" outline="0" showAll="0" defaultSubtotal="0"/>
    <pivotField axis="axisRow" compact="0" numFmtId="182" outline="0" showAll="0" defaultSubtotal="0">
      <items count="5">
        <item x="3"/>
        <item x="4"/>
        <item x="2"/>
        <item x="0"/>
        <item x="1"/>
      </items>
    </pivotField>
    <pivotField compact="0" numFmtId="182" outline="0" showAll="0"/>
    <pivotField compact="0" numFmtId="182" outline="0" showAll="0" defaultSubtotal="0"/>
    <pivotField compact="0" numFmtId="182" outline="0" showAll="0" defaultSubtotal="0"/>
  </pivotFields>
  <rowFields count="1">
    <field x="3"/>
  </rowFields>
  <rowItems count="6">
    <i>
      <x/>
    </i>
    <i>
      <x v="1"/>
    </i>
    <i>
      <x v="2"/>
    </i>
    <i>
      <x v="3"/>
    </i>
    <i>
      <x v="4"/>
    </i>
    <i t="grand">
      <x/>
    </i>
  </rowItems>
  <colFields count="1">
    <field x="1"/>
  </colFields>
  <colItems count="3">
    <i>
      <x/>
    </i>
    <i>
      <x v="1"/>
    </i>
    <i t="grand">
      <x/>
    </i>
  </colItems>
  <dataFields count="1">
    <dataField name="Number of members" fld="0" subtotal="count" baseField="0" baseItem="0" numFmtId="182"/>
  </dataFields>
  <formats count="2">
    <format dxfId="1">
      <pivotArea dataOnly="0" labelOnly="1" outline="0" fieldPosition="0">
        <references count="1">
          <reference field="1" count="0"/>
        </references>
      </pivotArea>
    </format>
    <format dxfId="0">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13"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38:O43" firstHeaderRow="1" firstDataRow="2" firstDataCol="1"/>
  <pivotFields count="7">
    <pivotField dataField="1" compact="0" numFmtId="182" outline="0" showAll="0" defaultSubtotal="0"/>
    <pivotField axis="axisCol" compact="0" numFmtId="182" outline="0" showAll="0" defaultSubtotal="0">
      <items count="2">
        <item x="1"/>
        <item x="0"/>
      </items>
    </pivotField>
    <pivotField compact="0" numFmtId="176" outline="0" showAll="0" defaultSubtotal="0"/>
    <pivotField compact="0" numFmtId="182" outline="0" showAll="0" defaultSubtotal="0"/>
    <pivotField compact="0" numFmtId="182" outline="0" showAll="0"/>
    <pivotField compact="0" numFmtId="182" outline="0" showAll="0" defaultSubtotal="0"/>
    <pivotField axis="axisRow" compact="0" numFmtId="182" outline="0" showAll="0" defaultSubtotal="0">
      <items count="5">
        <item x="0"/>
        <item x="1"/>
        <item x="2"/>
        <item x="3"/>
        <item x="4"/>
      </items>
    </pivotField>
  </pivotFields>
  <rowFields count="1">
    <field x="6"/>
  </rowFields>
  <rowItems count="4">
    <i>
      <x v="1"/>
    </i>
    <i>
      <x v="2"/>
    </i>
    <i>
      <x v="3"/>
    </i>
    <i t="grand">
      <x/>
    </i>
  </rowItems>
  <colFields count="1">
    <field x="1"/>
  </colFields>
  <colItems count="3">
    <i>
      <x/>
    </i>
    <i>
      <x v="1"/>
    </i>
    <i t="grand">
      <x/>
    </i>
  </colItems>
  <dataFields count="1">
    <dataField name="Number of meetings" fld="0" subtotal="count" baseField="0" baseItem="0" numFmtId="182"/>
  </dataFields>
  <formats count="2">
    <format dxfId="3">
      <pivotArea dataOnly="0" labelOnly="1" outline="0" fieldPosition="0">
        <references count="1">
          <reference field="1" count="0"/>
        </references>
      </pivotArea>
    </format>
    <format dxfId="2">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000-000002000000}" name="Draaitabel4" cacheId="13"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numFmtId="182" outline="0" showAll="0" defaultSubtotal="0"/>
    <pivotField axis="axisCol" compact="0" numFmtId="182" outline="0" showAll="0" defaultSubtotal="0">
      <items count="2">
        <item x="1"/>
        <item x="0"/>
      </items>
    </pivotField>
    <pivotField compact="0" numFmtId="176" outline="0" showAll="0" defaultSubtotal="0"/>
    <pivotField compact="0" numFmtId="182" outline="0" showAll="0" defaultSubtotal="0"/>
    <pivotField axis="axisRow" compact="0" numFmtId="182" outline="0" showAll="0">
      <items count="10">
        <item m="1" x="8"/>
        <item m="1" x="5"/>
        <item m="1" x="7"/>
        <item m="1" x="6"/>
        <item x="3"/>
        <item x="0"/>
        <item x="1"/>
        <item x="4"/>
        <item x="2"/>
        <item t="default"/>
      </items>
    </pivotField>
    <pivotField compact="0" numFmtId="182" outline="0" showAll="0" defaultSubtotal="0"/>
    <pivotField compact="0" numFmtId="182" outline="0" showAll="0" defaultSubtotal="0"/>
  </pivotFields>
  <rowFields count="1">
    <field x="4"/>
  </rowFields>
  <rowItems count="6">
    <i>
      <x v="4"/>
    </i>
    <i>
      <x v="5"/>
    </i>
    <i>
      <x v="6"/>
    </i>
    <i>
      <x v="7"/>
    </i>
    <i>
      <x v="8"/>
    </i>
    <i t="grand">
      <x/>
    </i>
  </rowItems>
  <colFields count="1">
    <field x="1"/>
  </colFields>
  <colItems count="3">
    <i>
      <x/>
    </i>
    <i>
      <x v="1"/>
    </i>
    <i t="grand">
      <x/>
    </i>
  </colItems>
  <dataFields count="1">
    <dataField name="Percentage members" fld="0" subtotal="count" showDataAs="percentOfTotal" baseField="4" baseItem="5" numFmtId="9"/>
  </dataFields>
  <formats count="3">
    <format dxfId="6">
      <pivotArea dataOnly="0" labelOnly="1" outline="0" fieldPosition="0">
        <references count="1">
          <reference field="1" count="0"/>
        </references>
      </pivotArea>
    </format>
    <format dxfId="5">
      <pivotArea type="all" dataOnly="0" outline="0" fieldPosition="0"/>
    </format>
    <format dxfId="4">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C7AEC0-B864-4462-8447-6579DA38370E}" autoFormatId="16" applyNumberFormats="0" applyBorderFormats="0" applyFontFormats="0" applyPatternFormats="0" applyAlignmentFormats="0" applyWidthHeightFormats="0">
  <queryTableRefresh nextId="3">
    <queryTableFields count="2">
      <queryTableField id="1" name="Date" tableColumnId="1"/>
      <queryTableField id="2" name="Revenue"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CD520-93B9-4719-9630-507CCB7AF80F}" name="TabelContent" displayName="TabelContent" ref="A1:F77" totalsRowShown="0" headerRowDxfId="26" dataDxfId="25">
  <autoFilter ref="A1:F77" xr:uid="{7328319C-B89D-4204-9673-E216E75CFAFF}"/>
  <sortState xmlns:xlrd2="http://schemas.microsoft.com/office/spreadsheetml/2017/richdata2" ref="A2:F77">
    <sortCondition ref="A1:A77"/>
  </sortState>
  <tableColumns count="6">
    <tableColumn id="1" xr3:uid="{AC3FF4D8-E36D-4EC3-B659-0426BDA7E572}" name="Code" dataDxfId="24" dataCellStyle="Hyperlink"/>
    <tableColumn id="2" xr3:uid="{2CBFE478-5E5D-4BC8-9650-B6D7B5C8F99E}" name="Titel-NL" dataDxfId="23"/>
    <tableColumn id="3" xr3:uid="{CCE2E2BB-F884-4143-8177-5CD367673657}" name="Cat-NL" dataDxfId="22"/>
    <tableColumn id="4" xr3:uid="{0D35B3F7-9638-4381-BCE7-E8782F7EC9F0}" name="Niveau" dataDxfId="21"/>
    <tableColumn id="5" xr3:uid="{6D3219D0-7051-4922-A1E5-A7FC61BF6D08}" name="Titel-EN" dataDxfId="20"/>
    <tableColumn id="6" xr3:uid="{FDD3B775-4BEB-437F-9062-D502BD665EEF}" name="Cat-EN" dataDxfId="1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72C5A9-00F0-4164-A24A-0CA609EF8E76}" name="Revenues" displayName="Revenues" ref="E8:F41" tableType="queryTable" totalsRowShown="0">
  <autoFilter ref="E8:F41" xr:uid="{50C46352-54F9-4BE0-B2A6-99B3022B7EFA}"/>
  <tableColumns count="2">
    <tableColumn id="1" xr3:uid="{ECB69763-8097-4700-8666-2BCCF4A75C8A}" uniqueName="1" name="Date" queryTableFieldId="1" dataDxfId="18"/>
    <tableColumn id="2" xr3:uid="{07704363-6A1B-4A50-AA23-D2BF1063F52F}" uniqueName="2" name="Revenue" queryTableField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ivotTable" Target="../pivotTables/pivotTable2.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ivotTable" Target="../pivotTables/pivotTable3.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ivotTable" Target="../pivotTables/pivotTable4.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ivotTable" Target="../pivotTables/pivotTable5.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6.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7.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8.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9.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10.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11.xml"/></Relationships>
</file>

<file path=xl/worksheets/_rels/sheet57.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0.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51.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52.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53.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5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63.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64.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65.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66.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67.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8.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53D-F3F3-4F56-9015-18F6E43FCC3C}">
  <dimension ref="A1:F77"/>
  <sheetViews>
    <sheetView workbookViewId="0">
      <pane ySplit="1" topLeftCell="A14" activePane="bottomLeft" state="frozen"/>
      <selection pane="bottomLeft" activeCell="A41" sqref="A41"/>
    </sheetView>
  </sheetViews>
  <sheetFormatPr defaultRowHeight="12.75" x14ac:dyDescent="0.2"/>
  <cols>
    <col min="1" max="1" width="8.7109375" style="264" customWidth="1"/>
    <col min="2" max="2" width="40.7109375" style="264" customWidth="1"/>
    <col min="3" max="3" width="12.85546875" style="264" bestFit="1" customWidth="1"/>
    <col min="4" max="4" width="9.28515625" style="264" customWidth="1"/>
    <col min="5" max="5" width="40.7109375" style="264" customWidth="1"/>
    <col min="6" max="6" width="12.28515625" style="264" bestFit="1" customWidth="1"/>
    <col min="7" max="16384" width="9.140625" style="264"/>
  </cols>
  <sheetData>
    <row r="1" spans="1:6" ht="15.95" customHeight="1" x14ac:dyDescent="0.2">
      <c r="A1" s="264" t="s">
        <v>1048</v>
      </c>
      <c r="B1" s="264" t="s">
        <v>1049</v>
      </c>
      <c r="C1" s="264" t="s">
        <v>1052</v>
      </c>
      <c r="D1" s="264" t="s">
        <v>1051</v>
      </c>
      <c r="E1" s="264" t="s">
        <v>1050</v>
      </c>
      <c r="F1" s="264" t="s">
        <v>1053</v>
      </c>
    </row>
    <row r="2" spans="1:6" ht="15.95" customHeight="1" x14ac:dyDescent="0.2">
      <c r="A2" s="343" t="s">
        <v>1207</v>
      </c>
      <c r="B2" s="264" t="s">
        <v>1208</v>
      </c>
      <c r="C2" s="264" t="s">
        <v>1209</v>
      </c>
      <c r="D2" s="264">
        <v>2</v>
      </c>
      <c r="E2" s="264" t="s">
        <v>1210</v>
      </c>
      <c r="F2" s="264" t="s">
        <v>1209</v>
      </c>
    </row>
    <row r="3" spans="1:6" ht="15.95" customHeight="1" x14ac:dyDescent="0.2">
      <c r="A3" s="343" t="s">
        <v>1211</v>
      </c>
      <c r="B3" s="264" t="s">
        <v>1212</v>
      </c>
      <c r="C3" s="264" t="s">
        <v>1213</v>
      </c>
      <c r="D3" s="264">
        <v>3</v>
      </c>
      <c r="E3" s="264" t="s">
        <v>1197</v>
      </c>
      <c r="F3" s="264" t="s">
        <v>1214</v>
      </c>
    </row>
    <row r="4" spans="1:6" ht="15.95" customHeight="1" x14ac:dyDescent="0.2">
      <c r="A4" s="343" t="s">
        <v>1215</v>
      </c>
      <c r="B4" s="264" t="s">
        <v>1216</v>
      </c>
      <c r="C4" s="264" t="s">
        <v>1213</v>
      </c>
      <c r="D4" s="264">
        <v>3</v>
      </c>
      <c r="E4" s="264" t="s">
        <v>1217</v>
      </c>
      <c r="F4" s="264" t="s">
        <v>1214</v>
      </c>
    </row>
    <row r="5" spans="1:6" ht="15.95" customHeight="1" x14ac:dyDescent="0.2">
      <c r="A5" s="343" t="s">
        <v>18</v>
      </c>
      <c r="B5" s="264" t="s">
        <v>1054</v>
      </c>
      <c r="C5" s="264" t="s">
        <v>606</v>
      </c>
      <c r="D5" s="264">
        <v>1</v>
      </c>
      <c r="E5" s="264" t="s">
        <v>992</v>
      </c>
      <c r="F5" s="264" t="s">
        <v>1055</v>
      </c>
    </row>
    <row r="6" spans="1:6" ht="15.95" customHeight="1" x14ac:dyDescent="0.2">
      <c r="A6" s="343" t="s">
        <v>625</v>
      </c>
      <c r="B6" s="264" t="s">
        <v>1056</v>
      </c>
      <c r="C6" s="264" t="s">
        <v>606</v>
      </c>
      <c r="D6" s="264">
        <v>2</v>
      </c>
      <c r="E6" s="264" t="s">
        <v>993</v>
      </c>
      <c r="F6" s="264" t="s">
        <v>1055</v>
      </c>
    </row>
    <row r="7" spans="1:6" ht="15.95" customHeight="1" x14ac:dyDescent="0.2">
      <c r="A7" s="343" t="s">
        <v>19</v>
      </c>
      <c r="B7" s="264" t="s">
        <v>1057</v>
      </c>
      <c r="C7" s="264" t="s">
        <v>606</v>
      </c>
      <c r="D7" s="264">
        <v>2</v>
      </c>
      <c r="E7" s="264" t="s">
        <v>994</v>
      </c>
      <c r="F7" s="264" t="s">
        <v>1055</v>
      </c>
    </row>
    <row r="8" spans="1:6" ht="15.95" customHeight="1" x14ac:dyDescent="0.2">
      <c r="A8" s="343" t="s">
        <v>20</v>
      </c>
      <c r="B8" s="264" t="s">
        <v>1058</v>
      </c>
      <c r="C8" s="264" t="s">
        <v>606</v>
      </c>
      <c r="D8" s="264">
        <v>2</v>
      </c>
      <c r="E8" s="264" t="s">
        <v>995</v>
      </c>
      <c r="F8" s="264" t="s">
        <v>1055</v>
      </c>
    </row>
    <row r="9" spans="1:6" ht="15.95" customHeight="1" x14ac:dyDescent="0.2">
      <c r="A9" s="343" t="s">
        <v>26</v>
      </c>
      <c r="B9" s="264" t="s">
        <v>1218</v>
      </c>
      <c r="C9" s="264" t="s">
        <v>606</v>
      </c>
      <c r="D9" s="264">
        <v>3</v>
      </c>
      <c r="E9" s="264" t="s">
        <v>996</v>
      </c>
      <c r="F9" s="264" t="s">
        <v>1055</v>
      </c>
    </row>
    <row r="10" spans="1:6" ht="15.95" customHeight="1" x14ac:dyDescent="0.2">
      <c r="A10" s="343" t="s">
        <v>247</v>
      </c>
      <c r="B10" s="264" t="s">
        <v>1059</v>
      </c>
      <c r="C10" s="264" t="s">
        <v>606</v>
      </c>
      <c r="D10" s="264">
        <v>3</v>
      </c>
      <c r="E10" s="264" t="s">
        <v>997</v>
      </c>
      <c r="F10" s="264" t="s">
        <v>1055</v>
      </c>
    </row>
    <row r="11" spans="1:6" ht="15.95" customHeight="1" x14ac:dyDescent="0.2">
      <c r="A11" s="343" t="s">
        <v>637</v>
      </c>
      <c r="B11" s="264" t="s">
        <v>1060</v>
      </c>
      <c r="C11" s="264" t="s">
        <v>606</v>
      </c>
      <c r="D11" s="264">
        <v>1</v>
      </c>
      <c r="E11" s="264" t="s">
        <v>806</v>
      </c>
      <c r="F11" s="264" t="s">
        <v>1055</v>
      </c>
    </row>
    <row r="12" spans="1:6" ht="15.95" customHeight="1" x14ac:dyDescent="0.2">
      <c r="A12" s="343" t="s">
        <v>638</v>
      </c>
      <c r="B12" s="264" t="s">
        <v>1061</v>
      </c>
      <c r="C12" s="264" t="s">
        <v>606</v>
      </c>
      <c r="D12" s="264">
        <v>2</v>
      </c>
      <c r="E12" s="264" t="s">
        <v>998</v>
      </c>
      <c r="F12" s="264" t="s">
        <v>1055</v>
      </c>
    </row>
    <row r="13" spans="1:6" ht="15.95" customHeight="1" x14ac:dyDescent="0.2">
      <c r="A13" s="343" t="s">
        <v>639</v>
      </c>
      <c r="B13" s="264" t="s">
        <v>1062</v>
      </c>
      <c r="C13" s="264" t="s">
        <v>606</v>
      </c>
      <c r="D13" s="264">
        <v>1</v>
      </c>
      <c r="E13" s="264" t="s">
        <v>999</v>
      </c>
      <c r="F13" s="264" t="s">
        <v>1055</v>
      </c>
    </row>
    <row r="14" spans="1:6" ht="15.95" customHeight="1" x14ac:dyDescent="0.2">
      <c r="A14" s="343" t="s">
        <v>642</v>
      </c>
      <c r="B14" s="264" t="s">
        <v>1063</v>
      </c>
      <c r="C14" s="264" t="s">
        <v>606</v>
      </c>
      <c r="D14" s="264">
        <v>1</v>
      </c>
      <c r="E14" s="264" t="s">
        <v>1000</v>
      </c>
      <c r="F14" s="264" t="s">
        <v>1055</v>
      </c>
    </row>
    <row r="15" spans="1:6" ht="15.95" customHeight="1" x14ac:dyDescent="0.2">
      <c r="A15" s="343" t="s">
        <v>1190</v>
      </c>
      <c r="B15" s="264" t="s">
        <v>1192</v>
      </c>
      <c r="C15" s="264" t="s">
        <v>606</v>
      </c>
      <c r="D15" s="264">
        <v>1</v>
      </c>
      <c r="E15" s="264" t="s">
        <v>1191</v>
      </c>
      <c r="F15" s="264" t="s">
        <v>1055</v>
      </c>
    </row>
    <row r="16" spans="1:6" ht="15.95" customHeight="1" x14ac:dyDescent="0.2">
      <c r="A16" s="343" t="s">
        <v>1219</v>
      </c>
      <c r="B16" s="264" t="s">
        <v>1220</v>
      </c>
      <c r="C16" s="264" t="s">
        <v>606</v>
      </c>
      <c r="D16" s="264">
        <v>1</v>
      </c>
      <c r="E16" s="264" t="s">
        <v>1221</v>
      </c>
      <c r="F16" s="264" t="s">
        <v>1055</v>
      </c>
    </row>
    <row r="17" spans="1:6" ht="15.95" customHeight="1" x14ac:dyDescent="0.2">
      <c r="A17" s="343" t="s">
        <v>1222</v>
      </c>
      <c r="B17" s="264" t="s">
        <v>1223</v>
      </c>
      <c r="C17" s="264" t="s">
        <v>606</v>
      </c>
      <c r="D17" s="264">
        <v>2</v>
      </c>
      <c r="E17" s="264" t="s">
        <v>1224</v>
      </c>
      <c r="F17" s="264" t="s">
        <v>1055</v>
      </c>
    </row>
    <row r="18" spans="1:6" ht="15.95" customHeight="1" x14ac:dyDescent="0.2">
      <c r="A18" s="343" t="s">
        <v>463</v>
      </c>
      <c r="B18" s="264" t="s">
        <v>249</v>
      </c>
      <c r="C18" s="264" t="s">
        <v>248</v>
      </c>
      <c r="D18" s="264">
        <v>2</v>
      </c>
      <c r="E18" s="264" t="s">
        <v>249</v>
      </c>
      <c r="F18" s="264" t="s">
        <v>1064</v>
      </c>
    </row>
    <row r="19" spans="1:6" ht="15.95" customHeight="1" x14ac:dyDescent="0.2">
      <c r="A19" s="343" t="s">
        <v>492</v>
      </c>
      <c r="B19" s="264" t="s">
        <v>1065</v>
      </c>
      <c r="C19" s="264" t="s">
        <v>248</v>
      </c>
      <c r="D19" s="264">
        <v>2</v>
      </c>
      <c r="E19" s="264" t="s">
        <v>1001</v>
      </c>
      <c r="F19" s="264" t="s">
        <v>1064</v>
      </c>
    </row>
    <row r="20" spans="1:6" ht="15.95" customHeight="1" x14ac:dyDescent="0.2">
      <c r="A20" s="343" t="s">
        <v>493</v>
      </c>
      <c r="B20" s="264" t="s">
        <v>1066</v>
      </c>
      <c r="C20" s="264" t="s">
        <v>248</v>
      </c>
      <c r="D20" s="264">
        <v>3</v>
      </c>
      <c r="E20" s="264" t="s">
        <v>1002</v>
      </c>
      <c r="F20" s="264" t="s">
        <v>1064</v>
      </c>
    </row>
    <row r="21" spans="1:6" ht="15.95" customHeight="1" x14ac:dyDescent="0.2">
      <c r="A21" s="343" t="s">
        <v>616</v>
      </c>
      <c r="B21" s="264" t="s">
        <v>1067</v>
      </c>
      <c r="C21" s="264" t="s">
        <v>248</v>
      </c>
      <c r="D21" s="264">
        <v>2</v>
      </c>
      <c r="E21" s="264" t="s">
        <v>1003</v>
      </c>
      <c r="F21" s="264" t="s">
        <v>1064</v>
      </c>
    </row>
    <row r="22" spans="1:6" ht="15.95" customHeight="1" x14ac:dyDescent="0.2">
      <c r="A22" s="343" t="s">
        <v>21</v>
      </c>
      <c r="B22" s="264" t="s">
        <v>1068</v>
      </c>
      <c r="C22" s="264" t="s">
        <v>608</v>
      </c>
      <c r="D22" s="264">
        <v>2</v>
      </c>
      <c r="E22" s="264" t="s">
        <v>1004</v>
      </c>
      <c r="F22" s="264" t="s">
        <v>1069</v>
      </c>
    </row>
    <row r="23" spans="1:6" ht="15.95" customHeight="1" x14ac:dyDescent="0.2">
      <c r="A23" s="343" t="s">
        <v>22</v>
      </c>
      <c r="B23" s="264" t="s">
        <v>1070</v>
      </c>
      <c r="C23" s="264" t="s">
        <v>608</v>
      </c>
      <c r="D23" s="264">
        <v>1</v>
      </c>
      <c r="E23" s="264" t="s">
        <v>1005</v>
      </c>
      <c r="F23" s="264" t="s">
        <v>1069</v>
      </c>
    </row>
    <row r="24" spans="1:6" ht="15.95" customHeight="1" x14ac:dyDescent="0.2">
      <c r="A24" s="343" t="s">
        <v>23</v>
      </c>
      <c r="B24" s="264" t="s">
        <v>1071</v>
      </c>
      <c r="C24" s="264" t="s">
        <v>608</v>
      </c>
      <c r="D24" s="264">
        <v>2</v>
      </c>
      <c r="E24" s="264" t="s">
        <v>840</v>
      </c>
      <c r="F24" s="264" t="s">
        <v>1069</v>
      </c>
    </row>
    <row r="25" spans="1:6" ht="15.95" customHeight="1" x14ac:dyDescent="0.2">
      <c r="A25" s="343" t="s">
        <v>245</v>
      </c>
      <c r="B25" s="264" t="s">
        <v>1072</v>
      </c>
      <c r="C25" s="264" t="s">
        <v>608</v>
      </c>
      <c r="D25" s="264">
        <v>2</v>
      </c>
      <c r="E25" s="264" t="s">
        <v>1006</v>
      </c>
      <c r="F25" s="264" t="s">
        <v>1069</v>
      </c>
    </row>
    <row r="26" spans="1:6" ht="15.95" customHeight="1" x14ac:dyDescent="0.2">
      <c r="A26" s="343" t="s">
        <v>246</v>
      </c>
      <c r="B26" s="264" t="s">
        <v>1073</v>
      </c>
      <c r="C26" s="264" t="s">
        <v>608</v>
      </c>
      <c r="D26" s="264">
        <v>2</v>
      </c>
      <c r="E26" s="264" t="s">
        <v>1007</v>
      </c>
      <c r="F26" s="264" t="s">
        <v>1069</v>
      </c>
    </row>
    <row r="27" spans="1:6" ht="15.95" customHeight="1" x14ac:dyDescent="0.2">
      <c r="A27" s="343" t="s">
        <v>636</v>
      </c>
      <c r="B27" s="264" t="s">
        <v>1074</v>
      </c>
      <c r="C27" s="264" t="s">
        <v>608</v>
      </c>
      <c r="D27" s="264">
        <v>1</v>
      </c>
      <c r="E27" s="264" t="s">
        <v>1008</v>
      </c>
      <c r="F27" s="264" t="s">
        <v>1069</v>
      </c>
    </row>
    <row r="28" spans="1:6" ht="15.95" customHeight="1" x14ac:dyDescent="0.2">
      <c r="A28" s="343" t="s">
        <v>24</v>
      </c>
      <c r="B28" s="264" t="s">
        <v>1075</v>
      </c>
      <c r="C28" s="264" t="s">
        <v>609</v>
      </c>
      <c r="D28" s="264">
        <v>2</v>
      </c>
      <c r="E28" s="264" t="s">
        <v>1009</v>
      </c>
      <c r="F28" s="264" t="s">
        <v>1076</v>
      </c>
    </row>
    <row r="29" spans="1:6" ht="15.95" customHeight="1" x14ac:dyDescent="0.2">
      <c r="A29" s="343" t="s">
        <v>25</v>
      </c>
      <c r="B29" s="264" t="s">
        <v>1077</v>
      </c>
      <c r="C29" s="264" t="s">
        <v>609</v>
      </c>
      <c r="D29" s="264">
        <v>2</v>
      </c>
      <c r="E29" s="264" t="s">
        <v>1010</v>
      </c>
      <c r="F29" s="264" t="s">
        <v>1076</v>
      </c>
    </row>
    <row r="30" spans="1:6" ht="15.95" customHeight="1" x14ac:dyDescent="0.2">
      <c r="A30" s="343" t="s">
        <v>27</v>
      </c>
      <c r="B30" s="264" t="s">
        <v>1078</v>
      </c>
      <c r="C30" s="264" t="s">
        <v>609</v>
      </c>
      <c r="D30" s="264">
        <v>2</v>
      </c>
      <c r="E30" s="264" t="s">
        <v>1011</v>
      </c>
      <c r="F30" s="264" t="s">
        <v>1076</v>
      </c>
    </row>
    <row r="31" spans="1:6" ht="15.95" customHeight="1" x14ac:dyDescent="0.2">
      <c r="A31" s="343" t="s">
        <v>28</v>
      </c>
      <c r="B31" s="264" t="s">
        <v>1079</v>
      </c>
      <c r="C31" s="264" t="s">
        <v>609</v>
      </c>
      <c r="D31" s="264">
        <v>2</v>
      </c>
      <c r="E31" s="264" t="s">
        <v>1012</v>
      </c>
      <c r="F31" s="264" t="s">
        <v>1076</v>
      </c>
    </row>
    <row r="32" spans="1:6" ht="15.95" customHeight="1" x14ac:dyDescent="0.2">
      <c r="A32" s="343" t="s">
        <v>612</v>
      </c>
      <c r="B32" s="264" t="s">
        <v>1080</v>
      </c>
      <c r="C32" s="264" t="s">
        <v>611</v>
      </c>
      <c r="D32" s="264">
        <v>2</v>
      </c>
      <c r="E32" s="264" t="s">
        <v>1013</v>
      </c>
      <c r="F32" s="264" t="s">
        <v>611</v>
      </c>
    </row>
    <row r="33" spans="1:6" ht="15.95" customHeight="1" x14ac:dyDescent="0.2">
      <c r="A33" s="343" t="s">
        <v>613</v>
      </c>
      <c r="B33" s="264" t="s">
        <v>1081</v>
      </c>
      <c r="C33" s="264" t="s">
        <v>611</v>
      </c>
      <c r="D33" s="264">
        <v>2</v>
      </c>
      <c r="E33" s="264" t="s">
        <v>1082</v>
      </c>
      <c r="F33" s="264" t="s">
        <v>611</v>
      </c>
    </row>
    <row r="34" spans="1:6" ht="15.95" customHeight="1" x14ac:dyDescent="0.2">
      <c r="A34" s="343" t="s">
        <v>614</v>
      </c>
      <c r="B34" s="264" t="s">
        <v>1083</v>
      </c>
      <c r="C34" s="264" t="s">
        <v>611</v>
      </c>
      <c r="D34" s="264">
        <v>2</v>
      </c>
      <c r="E34" s="264" t="s">
        <v>1014</v>
      </c>
      <c r="F34" s="264" t="s">
        <v>611</v>
      </c>
    </row>
    <row r="35" spans="1:6" ht="15.95" customHeight="1" x14ac:dyDescent="0.2">
      <c r="A35" s="343" t="s">
        <v>615</v>
      </c>
      <c r="B35" s="264" t="s">
        <v>1084</v>
      </c>
      <c r="C35" s="264" t="s">
        <v>611</v>
      </c>
      <c r="D35" s="264">
        <v>2</v>
      </c>
      <c r="E35" s="264" t="s">
        <v>1015</v>
      </c>
      <c r="F35" s="264" t="s">
        <v>611</v>
      </c>
    </row>
    <row r="36" spans="1:6" ht="15.95" customHeight="1" x14ac:dyDescent="0.2">
      <c r="A36" s="343" t="s">
        <v>1225</v>
      </c>
      <c r="B36" s="264" t="s">
        <v>1226</v>
      </c>
      <c r="C36" s="264" t="s">
        <v>1227</v>
      </c>
      <c r="D36" s="264">
        <v>3</v>
      </c>
      <c r="E36" s="264" t="s">
        <v>1228</v>
      </c>
      <c r="F36" s="264" t="s">
        <v>1229</v>
      </c>
    </row>
    <row r="37" spans="1:6" ht="15.95" customHeight="1" x14ac:dyDescent="0.2">
      <c r="A37" s="343" t="s">
        <v>1230</v>
      </c>
      <c r="B37" s="264" t="s">
        <v>1231</v>
      </c>
      <c r="C37" s="264" t="s">
        <v>1227</v>
      </c>
      <c r="D37" s="264">
        <v>3</v>
      </c>
      <c r="E37" s="264" t="s">
        <v>1232</v>
      </c>
      <c r="F37" s="264" t="s">
        <v>1229</v>
      </c>
    </row>
    <row r="38" spans="1:6" ht="15.95" customHeight="1" x14ac:dyDescent="0.2">
      <c r="A38" s="343" t="s">
        <v>1233</v>
      </c>
      <c r="B38" s="264" t="s">
        <v>1234</v>
      </c>
      <c r="C38" s="264" t="s">
        <v>1227</v>
      </c>
      <c r="D38" s="264">
        <v>3</v>
      </c>
      <c r="E38" s="264" t="s">
        <v>1235</v>
      </c>
      <c r="F38" s="264" t="s">
        <v>1229</v>
      </c>
    </row>
    <row r="39" spans="1:6" ht="15.95" customHeight="1" x14ac:dyDescent="0.2">
      <c r="A39" s="343" t="s">
        <v>1236</v>
      </c>
      <c r="B39" s="264" t="s">
        <v>1237</v>
      </c>
      <c r="C39" s="264" t="s">
        <v>1227</v>
      </c>
      <c r="D39" s="264">
        <v>2</v>
      </c>
      <c r="E39" s="264" t="s">
        <v>1238</v>
      </c>
      <c r="F39" s="264" t="s">
        <v>1229</v>
      </c>
    </row>
    <row r="40" spans="1:6" ht="15.95" customHeight="1" x14ac:dyDescent="0.2">
      <c r="A40" s="343" t="s">
        <v>617</v>
      </c>
      <c r="B40" s="264" t="s">
        <v>1085</v>
      </c>
      <c r="C40" s="264" t="s">
        <v>1086</v>
      </c>
      <c r="D40" s="264">
        <v>2</v>
      </c>
      <c r="E40" s="264" t="s">
        <v>1016</v>
      </c>
      <c r="F40" s="264" t="s">
        <v>1087</v>
      </c>
    </row>
    <row r="41" spans="1:6" ht="15.95" customHeight="1" x14ac:dyDescent="0.2">
      <c r="A41" s="343" t="s">
        <v>618</v>
      </c>
      <c r="B41" s="264" t="s">
        <v>1088</v>
      </c>
      <c r="C41" s="264" t="s">
        <v>1086</v>
      </c>
      <c r="D41" s="264">
        <v>3</v>
      </c>
      <c r="E41" s="264" t="s">
        <v>1017</v>
      </c>
      <c r="F41" s="264" t="s">
        <v>1087</v>
      </c>
    </row>
    <row r="42" spans="1:6" ht="15.95" customHeight="1" x14ac:dyDescent="0.2">
      <c r="A42" s="343" t="s">
        <v>621</v>
      </c>
      <c r="B42" s="264" t="s">
        <v>1089</v>
      </c>
      <c r="C42" s="264" t="s">
        <v>1090</v>
      </c>
      <c r="D42" s="264">
        <v>2</v>
      </c>
      <c r="E42" s="264" t="s">
        <v>1018</v>
      </c>
      <c r="F42" s="264" t="s">
        <v>1091</v>
      </c>
    </row>
    <row r="43" spans="1:6" ht="15.95" customHeight="1" x14ac:dyDescent="0.2">
      <c r="A43" s="343" t="s">
        <v>622</v>
      </c>
      <c r="B43" s="264" t="s">
        <v>1092</v>
      </c>
      <c r="C43" s="264" t="s">
        <v>1090</v>
      </c>
      <c r="D43" s="264">
        <v>2</v>
      </c>
      <c r="E43" s="264" t="s">
        <v>1019</v>
      </c>
      <c r="F43" s="264" t="s">
        <v>1091</v>
      </c>
    </row>
    <row r="44" spans="1:6" ht="15.95" customHeight="1" x14ac:dyDescent="0.2">
      <c r="A44" s="343" t="s">
        <v>623</v>
      </c>
      <c r="B44" s="264" t="s">
        <v>1093</v>
      </c>
      <c r="C44" s="264" t="s">
        <v>1090</v>
      </c>
      <c r="D44" s="264">
        <v>2</v>
      </c>
      <c r="E44" s="264" t="s">
        <v>1020</v>
      </c>
      <c r="F44" s="264" t="s">
        <v>1091</v>
      </c>
    </row>
    <row r="45" spans="1:6" ht="15.95" customHeight="1" x14ac:dyDescent="0.2">
      <c r="A45" s="343" t="s">
        <v>624</v>
      </c>
      <c r="B45" s="264" t="s">
        <v>1094</v>
      </c>
      <c r="C45" s="264" t="s">
        <v>1090</v>
      </c>
      <c r="D45" s="264">
        <v>2</v>
      </c>
      <c r="E45" s="264" t="s">
        <v>1021</v>
      </c>
      <c r="F45" s="264" t="s">
        <v>1091</v>
      </c>
    </row>
    <row r="46" spans="1:6" ht="15.95" customHeight="1" x14ac:dyDescent="0.2">
      <c r="A46" s="343" t="s">
        <v>462</v>
      </c>
      <c r="B46" s="264" t="s">
        <v>1095</v>
      </c>
      <c r="C46" s="264" t="s">
        <v>607</v>
      </c>
      <c r="D46" s="264">
        <v>2</v>
      </c>
      <c r="E46" s="264" t="s">
        <v>1022</v>
      </c>
      <c r="F46" s="264" t="s">
        <v>1096</v>
      </c>
    </row>
    <row r="47" spans="1:6" ht="15.95" customHeight="1" x14ac:dyDescent="0.2">
      <c r="A47" s="343" t="s">
        <v>464</v>
      </c>
      <c r="B47" s="264" t="s">
        <v>1097</v>
      </c>
      <c r="C47" s="264" t="s">
        <v>607</v>
      </c>
      <c r="D47" s="264">
        <v>2</v>
      </c>
      <c r="E47" s="264" t="s">
        <v>1023</v>
      </c>
      <c r="F47" s="264" t="s">
        <v>1096</v>
      </c>
    </row>
    <row r="48" spans="1:6" ht="15.95" customHeight="1" x14ac:dyDescent="0.2">
      <c r="A48" s="343" t="s">
        <v>495</v>
      </c>
      <c r="B48" s="264" t="s">
        <v>1098</v>
      </c>
      <c r="C48" s="264" t="s">
        <v>607</v>
      </c>
      <c r="D48" s="264">
        <v>3</v>
      </c>
      <c r="E48" s="264" t="s">
        <v>1024</v>
      </c>
      <c r="F48" s="264" t="s">
        <v>1096</v>
      </c>
    </row>
    <row r="49" spans="1:6" ht="15.95" customHeight="1" x14ac:dyDescent="0.2">
      <c r="A49" s="343" t="s">
        <v>496</v>
      </c>
      <c r="B49" s="264" t="s">
        <v>1099</v>
      </c>
      <c r="C49" s="264" t="s">
        <v>607</v>
      </c>
      <c r="D49" s="264">
        <v>2</v>
      </c>
      <c r="E49" s="264" t="s">
        <v>1100</v>
      </c>
      <c r="F49" s="264" t="s">
        <v>1096</v>
      </c>
    </row>
    <row r="50" spans="1:6" ht="15.95" customHeight="1" x14ac:dyDescent="0.2">
      <c r="A50" s="343" t="s">
        <v>497</v>
      </c>
      <c r="B50" s="264" t="s">
        <v>1101</v>
      </c>
      <c r="C50" s="264" t="s">
        <v>607</v>
      </c>
      <c r="D50" s="264">
        <v>2</v>
      </c>
      <c r="E50" s="264" t="s">
        <v>1025</v>
      </c>
      <c r="F50" s="264" t="s">
        <v>1096</v>
      </c>
    </row>
    <row r="51" spans="1:6" ht="15.95" customHeight="1" x14ac:dyDescent="0.2">
      <c r="A51" s="343" t="s">
        <v>513</v>
      </c>
      <c r="B51" s="264" t="s">
        <v>1102</v>
      </c>
      <c r="C51" s="264" t="s">
        <v>607</v>
      </c>
      <c r="D51" s="264">
        <v>2</v>
      </c>
      <c r="E51" s="264" t="s">
        <v>1026</v>
      </c>
      <c r="F51" s="264" t="s">
        <v>1096</v>
      </c>
    </row>
    <row r="52" spans="1:6" ht="15.95" customHeight="1" x14ac:dyDescent="0.2">
      <c r="A52" s="343" t="s">
        <v>514</v>
      </c>
      <c r="B52" s="264" t="s">
        <v>1103</v>
      </c>
      <c r="C52" s="264" t="s">
        <v>607</v>
      </c>
      <c r="D52" s="264">
        <v>2</v>
      </c>
      <c r="E52" s="264" t="s">
        <v>1027</v>
      </c>
      <c r="F52" s="264" t="s">
        <v>1096</v>
      </c>
    </row>
    <row r="53" spans="1:6" ht="15.95" customHeight="1" x14ac:dyDescent="0.2">
      <c r="A53" s="343" t="s">
        <v>515</v>
      </c>
      <c r="B53" s="264" t="s">
        <v>1104</v>
      </c>
      <c r="C53" s="264" t="s">
        <v>607</v>
      </c>
      <c r="D53" s="264">
        <v>3</v>
      </c>
      <c r="E53" s="264" t="s">
        <v>1028</v>
      </c>
      <c r="F53" s="264" t="s">
        <v>1096</v>
      </c>
    </row>
    <row r="54" spans="1:6" ht="15.95" customHeight="1" x14ac:dyDescent="0.2">
      <c r="A54" s="343" t="s">
        <v>531</v>
      </c>
      <c r="B54" s="264" t="s">
        <v>1105</v>
      </c>
      <c r="C54" s="264" t="s">
        <v>607</v>
      </c>
      <c r="D54" s="264">
        <v>3</v>
      </c>
      <c r="E54" s="264" t="s">
        <v>1029</v>
      </c>
      <c r="F54" s="264" t="s">
        <v>1096</v>
      </c>
    </row>
    <row r="55" spans="1:6" ht="15.95" customHeight="1" x14ac:dyDescent="0.2">
      <c r="A55" s="343" t="s">
        <v>532</v>
      </c>
      <c r="B55" s="264" t="s">
        <v>1106</v>
      </c>
      <c r="C55" s="264" t="s">
        <v>607</v>
      </c>
      <c r="D55" s="264">
        <v>2</v>
      </c>
      <c r="E55" s="264" t="s">
        <v>1030</v>
      </c>
      <c r="F55" s="264" t="s">
        <v>1096</v>
      </c>
    </row>
    <row r="56" spans="1:6" ht="15.95" customHeight="1" x14ac:dyDescent="0.2">
      <c r="A56" s="343" t="s">
        <v>533</v>
      </c>
      <c r="B56" s="264" t="s">
        <v>1107</v>
      </c>
      <c r="C56" s="264" t="s">
        <v>607</v>
      </c>
      <c r="D56" s="264">
        <v>2</v>
      </c>
      <c r="E56" s="264" t="s">
        <v>1031</v>
      </c>
      <c r="F56" s="264" t="s">
        <v>1096</v>
      </c>
    </row>
    <row r="57" spans="1:6" ht="15.95" customHeight="1" x14ac:dyDescent="0.2">
      <c r="A57" s="343" t="s">
        <v>534</v>
      </c>
      <c r="B57" s="264" t="s">
        <v>1108</v>
      </c>
      <c r="C57" s="264" t="s">
        <v>607</v>
      </c>
      <c r="D57" s="264">
        <v>3</v>
      </c>
      <c r="E57" s="264" t="s">
        <v>1032</v>
      </c>
      <c r="F57" s="264" t="s">
        <v>1096</v>
      </c>
    </row>
    <row r="58" spans="1:6" ht="15.95" customHeight="1" x14ac:dyDescent="0.2">
      <c r="A58" s="343" t="s">
        <v>466</v>
      </c>
      <c r="B58" s="264" t="s">
        <v>1109</v>
      </c>
      <c r="C58" s="264" t="s">
        <v>610</v>
      </c>
      <c r="D58" s="264">
        <v>2</v>
      </c>
      <c r="E58" s="264" t="s">
        <v>1033</v>
      </c>
      <c r="F58" s="264" t="s">
        <v>610</v>
      </c>
    </row>
    <row r="59" spans="1:6" ht="15.95" customHeight="1" x14ac:dyDescent="0.2">
      <c r="A59" s="343" t="s">
        <v>599</v>
      </c>
      <c r="B59" s="264" t="s">
        <v>1110</v>
      </c>
      <c r="C59" s="264" t="s">
        <v>610</v>
      </c>
      <c r="D59" s="264">
        <v>2</v>
      </c>
      <c r="E59" s="264" t="s">
        <v>1034</v>
      </c>
      <c r="F59" s="264" t="s">
        <v>610</v>
      </c>
    </row>
    <row r="60" spans="1:6" ht="15.95" customHeight="1" x14ac:dyDescent="0.2">
      <c r="A60" s="343" t="s">
        <v>603</v>
      </c>
      <c r="B60" s="264" t="s">
        <v>1111</v>
      </c>
      <c r="C60" s="264" t="s">
        <v>610</v>
      </c>
      <c r="D60" s="264">
        <v>2</v>
      </c>
      <c r="E60" s="264" t="s">
        <v>1035</v>
      </c>
      <c r="F60" s="264" t="s">
        <v>610</v>
      </c>
    </row>
    <row r="61" spans="1:6" ht="15.95" customHeight="1" x14ac:dyDescent="0.2">
      <c r="A61" s="343" t="s">
        <v>604</v>
      </c>
      <c r="B61" s="264" t="s">
        <v>1112</v>
      </c>
      <c r="C61" s="264" t="s">
        <v>610</v>
      </c>
      <c r="D61" s="264">
        <v>3</v>
      </c>
      <c r="E61" s="264" t="s">
        <v>1036</v>
      </c>
      <c r="F61" s="264" t="s">
        <v>610</v>
      </c>
    </row>
    <row r="62" spans="1:6" ht="15.95" customHeight="1" x14ac:dyDescent="0.2">
      <c r="A62" s="343" t="s">
        <v>472</v>
      </c>
      <c r="B62" s="264" t="s">
        <v>1113</v>
      </c>
      <c r="C62" s="264" t="s">
        <v>465</v>
      </c>
      <c r="D62" s="264">
        <v>2</v>
      </c>
      <c r="E62" s="264" t="s">
        <v>1037</v>
      </c>
      <c r="F62" s="264" t="s">
        <v>1114</v>
      </c>
    </row>
    <row r="63" spans="1:6" ht="15.95" customHeight="1" x14ac:dyDescent="0.2">
      <c r="A63" s="343" t="s">
        <v>564</v>
      </c>
      <c r="B63" s="264" t="s">
        <v>1115</v>
      </c>
      <c r="C63" s="264" t="s">
        <v>465</v>
      </c>
      <c r="D63" s="264">
        <v>2</v>
      </c>
      <c r="E63" s="264" t="s">
        <v>1038</v>
      </c>
      <c r="F63" s="264" t="s">
        <v>1114</v>
      </c>
    </row>
    <row r="64" spans="1:6" ht="15.95" customHeight="1" x14ac:dyDescent="0.2">
      <c r="A64" s="343" t="s">
        <v>565</v>
      </c>
      <c r="B64" s="264" t="s">
        <v>1116</v>
      </c>
      <c r="C64" s="264" t="s">
        <v>465</v>
      </c>
      <c r="D64" s="264">
        <v>2</v>
      </c>
      <c r="E64" s="264" t="s">
        <v>1039</v>
      </c>
      <c r="F64" s="264" t="s">
        <v>1114</v>
      </c>
    </row>
    <row r="65" spans="1:6" ht="15.95" customHeight="1" x14ac:dyDescent="0.2">
      <c r="A65" s="343" t="s">
        <v>569</v>
      </c>
      <c r="B65" s="264" t="s">
        <v>1117</v>
      </c>
      <c r="C65" s="264" t="s">
        <v>465</v>
      </c>
      <c r="D65" s="264">
        <v>2</v>
      </c>
      <c r="E65" s="264" t="s">
        <v>1040</v>
      </c>
      <c r="F65" s="264" t="s">
        <v>1114</v>
      </c>
    </row>
    <row r="66" spans="1:6" ht="15.95" customHeight="1" x14ac:dyDescent="0.2">
      <c r="A66" s="343" t="s">
        <v>576</v>
      </c>
      <c r="B66" s="264" t="s">
        <v>1118</v>
      </c>
      <c r="C66" s="264" t="s">
        <v>465</v>
      </c>
      <c r="D66" s="264">
        <v>2</v>
      </c>
      <c r="E66" s="264" t="s">
        <v>1041</v>
      </c>
      <c r="F66" s="264" t="s">
        <v>1114</v>
      </c>
    </row>
    <row r="67" spans="1:6" ht="15.95" customHeight="1" x14ac:dyDescent="0.2">
      <c r="A67" s="343" t="s">
        <v>577</v>
      </c>
      <c r="B67" s="264" t="s">
        <v>1119</v>
      </c>
      <c r="C67" s="264" t="s">
        <v>465</v>
      </c>
      <c r="D67" s="264">
        <v>3</v>
      </c>
      <c r="E67" s="264" t="s">
        <v>1042</v>
      </c>
      <c r="F67" s="264" t="s">
        <v>1114</v>
      </c>
    </row>
    <row r="68" spans="1:6" ht="15.95" customHeight="1" x14ac:dyDescent="0.2">
      <c r="A68" s="343" t="s">
        <v>578</v>
      </c>
      <c r="B68" s="264" t="s">
        <v>1120</v>
      </c>
      <c r="C68" s="264" t="s">
        <v>465</v>
      </c>
      <c r="D68" s="264">
        <v>2</v>
      </c>
      <c r="E68" s="264" t="s">
        <v>1043</v>
      </c>
      <c r="F68" s="264" t="s">
        <v>1114</v>
      </c>
    </row>
    <row r="69" spans="1:6" ht="15.95" customHeight="1" x14ac:dyDescent="0.2">
      <c r="A69" s="343" t="s">
        <v>593</v>
      </c>
      <c r="B69" s="264" t="s">
        <v>1121</v>
      </c>
      <c r="C69" s="264" t="s">
        <v>465</v>
      </c>
      <c r="D69" s="264">
        <v>3</v>
      </c>
      <c r="E69" s="264" t="s">
        <v>1044</v>
      </c>
      <c r="F69" s="264" t="s">
        <v>1114</v>
      </c>
    </row>
    <row r="70" spans="1:6" ht="15.95" customHeight="1" x14ac:dyDescent="0.2">
      <c r="A70" s="343" t="s">
        <v>594</v>
      </c>
      <c r="B70" s="264" t="s">
        <v>1122</v>
      </c>
      <c r="C70" s="264" t="s">
        <v>465</v>
      </c>
      <c r="D70" s="264">
        <v>3</v>
      </c>
      <c r="E70" s="264" t="s">
        <v>1045</v>
      </c>
      <c r="F70" s="264" t="s">
        <v>1114</v>
      </c>
    </row>
    <row r="71" spans="1:6" ht="15.95" customHeight="1" x14ac:dyDescent="0.2">
      <c r="A71" s="343" t="s">
        <v>595</v>
      </c>
      <c r="B71" s="264" t="s">
        <v>1123</v>
      </c>
      <c r="C71" s="264" t="s">
        <v>465</v>
      </c>
      <c r="D71" s="264">
        <v>3</v>
      </c>
      <c r="E71" s="264" t="s">
        <v>1046</v>
      </c>
      <c r="F71" s="264" t="s">
        <v>1114</v>
      </c>
    </row>
    <row r="72" spans="1:6" ht="15.95" customHeight="1" x14ac:dyDescent="0.2">
      <c r="A72" s="343" t="s">
        <v>1239</v>
      </c>
      <c r="B72" s="264" t="s">
        <v>1240</v>
      </c>
      <c r="C72" s="264" t="s">
        <v>1241</v>
      </c>
      <c r="D72" s="264">
        <v>2</v>
      </c>
      <c r="E72" s="264" t="s">
        <v>1242</v>
      </c>
      <c r="F72" s="264" t="s">
        <v>1243</v>
      </c>
    </row>
    <row r="73" spans="1:6" ht="15.95" customHeight="1" x14ac:dyDescent="0.2">
      <c r="A73" s="343" t="s">
        <v>1244</v>
      </c>
      <c r="B73" s="264" t="s">
        <v>1245</v>
      </c>
      <c r="C73" s="264" t="s">
        <v>1241</v>
      </c>
      <c r="D73" s="264">
        <v>3</v>
      </c>
      <c r="E73" s="264" t="s">
        <v>1246</v>
      </c>
      <c r="F73" s="264" t="s">
        <v>1243</v>
      </c>
    </row>
    <row r="74" spans="1:6" ht="15.95" customHeight="1" x14ac:dyDescent="0.2">
      <c r="A74" s="343" t="s">
        <v>1247</v>
      </c>
      <c r="B74" s="264" t="s">
        <v>1248</v>
      </c>
      <c r="C74" s="264" t="s">
        <v>1241</v>
      </c>
      <c r="D74" s="264">
        <v>2</v>
      </c>
      <c r="E74" s="264" t="s">
        <v>1249</v>
      </c>
      <c r="F74" s="264" t="s">
        <v>1243</v>
      </c>
    </row>
    <row r="75" spans="1:6" ht="15.95" customHeight="1" x14ac:dyDescent="0.2">
      <c r="A75" s="343" t="s">
        <v>1250</v>
      </c>
      <c r="B75" s="264" t="s">
        <v>1251</v>
      </c>
      <c r="C75" s="264" t="s">
        <v>1241</v>
      </c>
      <c r="D75" s="264">
        <v>3</v>
      </c>
      <c r="E75" s="264" t="s">
        <v>1252</v>
      </c>
      <c r="F75" s="264" t="s">
        <v>1243</v>
      </c>
    </row>
    <row r="76" spans="1:6" ht="15.95" customHeight="1" x14ac:dyDescent="0.2">
      <c r="A76" s="343" t="s">
        <v>1253</v>
      </c>
      <c r="B76" s="264" t="s">
        <v>1254</v>
      </c>
      <c r="C76" s="264" t="s">
        <v>1255</v>
      </c>
      <c r="D76" s="264">
        <v>2</v>
      </c>
      <c r="E76" s="264" t="s">
        <v>1256</v>
      </c>
      <c r="F76" s="264" t="s">
        <v>1257</v>
      </c>
    </row>
    <row r="77" spans="1:6" x14ac:dyDescent="0.2">
      <c r="A77" s="343" t="s">
        <v>1258</v>
      </c>
      <c r="B77" s="264" t="s">
        <v>1237</v>
      </c>
      <c r="C77" s="264" t="s">
        <v>1255</v>
      </c>
      <c r="D77" s="264">
        <v>3</v>
      </c>
      <c r="E77" s="264" t="s">
        <v>1259</v>
      </c>
      <c r="F77" s="264" t="s">
        <v>1257</v>
      </c>
    </row>
  </sheetData>
  <hyperlinks>
    <hyperlink ref="A5" location="form001!A1" display="form001" xr:uid="{E8F13807-7603-4B87-B5E4-D2C697C127F4}"/>
    <hyperlink ref="A6" location="form002!A1" display="form002" xr:uid="{61C89FEE-21AE-4356-AF9E-9BEED094FE1A}"/>
    <hyperlink ref="A7" location="form003!A1" display="form003" xr:uid="{0A38A38B-8BEE-456C-80EF-F3AB70CFCA05}"/>
    <hyperlink ref="A8" location="form004!A1" display="form004" xr:uid="{485089A2-18C6-4341-A595-24A793C1F1A3}"/>
    <hyperlink ref="A9" location="form005!A1" display="form005" xr:uid="{E7D9D98C-58C3-43BA-90E3-C79E0F7B830F}"/>
    <hyperlink ref="A10" location="form006!A1" display="form006" xr:uid="{A14E6B6B-0915-4EB0-B049-EC99BBB35446}"/>
    <hyperlink ref="A11" location="form007!A1" display="form007" xr:uid="{005687A3-B7DF-4F3F-AB9F-C866AB795463}"/>
    <hyperlink ref="A12" location="form008!A1" display="form008" xr:uid="{BC5A7F3C-0CE9-4044-AF96-3726E6E3AE07}"/>
    <hyperlink ref="A13" location="form009!A1" display="form009" xr:uid="{423158FD-2D60-42C1-86B4-ED022BEF2D60}"/>
    <hyperlink ref="A14" location="form010!A1" display="form010" xr:uid="{E2D56D9C-E944-4713-9319-38846AA16E51}"/>
    <hyperlink ref="A18" location="goal001!A1" display="goal001" xr:uid="{BB6ACAEC-B504-4995-AF53-B8A2F1D76774}"/>
    <hyperlink ref="A19" location="goal002!A1" display="goal002" xr:uid="{B51F4349-A3AB-4449-BC16-A37964D4C256}"/>
    <hyperlink ref="A20" location="goal003!A1" display="goal003" xr:uid="{D71E2BCE-032A-4686-A758-80116B853A90}"/>
    <hyperlink ref="A21" location="goal004!A1" display="goal004" xr:uid="{42594A20-CDB5-438F-ADE8-116463815AE6}"/>
    <hyperlink ref="A22" location="graf001!A1" display="graf001" xr:uid="{BF54D3C8-A452-4020-891D-4F8569C3B76D}"/>
    <hyperlink ref="A23" location="graf002!A1" display="graf002" xr:uid="{01608233-5C34-4FE2-A153-2989A2D5CFC4}"/>
    <hyperlink ref="A24" location="graf003!A1" display="graf003" xr:uid="{E76E58E6-E08D-4215-AF02-2B43DCFD8AF4}"/>
    <hyperlink ref="A25" location="graf004!A1" display="graf004" xr:uid="{C1F8B19C-478B-49B9-BF25-2B43321DD421}"/>
    <hyperlink ref="A26" location="graf005!A1" display="graf005" xr:uid="{8F6A49F6-CBD7-4A73-9E32-6702B1D284EF}"/>
    <hyperlink ref="A27" location="graf006!A1" display="graf006" xr:uid="{F6B4C57A-E7A6-4F64-B1B8-3B8AF95750BC}"/>
    <hyperlink ref="A28" location="list001!A1" display="list001" xr:uid="{5FA4CD16-BACE-4A3B-9DDA-AB4A452AD362}"/>
    <hyperlink ref="A29" location="list002!A1" display="list002" xr:uid="{8C8FA5A4-EA3A-403B-8FDD-105A8611DCDF}"/>
    <hyperlink ref="A30" location="list003!A1" display="list003" xr:uid="{C94FF20C-2BF5-41EA-AC6B-5F88E4E17AA0}"/>
    <hyperlink ref="A31" location="list004!A1" display="list004" xr:uid="{5AC90538-10F2-4F8B-918C-FF8C76FC3C48}"/>
    <hyperlink ref="A32" location="macr001!A1" display="macr001" xr:uid="{61006B70-6140-4B18-A92D-FE256836F34B}"/>
    <hyperlink ref="A33" location="macr002!A1" display="macr002" xr:uid="{6417F9F1-B66E-4F41-8B90-A33D6503305E}"/>
    <hyperlink ref="A34" location="macr003!A1" display="macr003" xr:uid="{E5FB9FAE-3E61-47F2-9D32-DDED529F0B6B}"/>
    <hyperlink ref="A35" location="macr004!A1" display="macr004" xr:uid="{D391E43B-A0DE-405C-82C4-8924A9299450}"/>
    <hyperlink ref="A36" location="math001!A1" display="math001" xr:uid="{1E38371F-26A5-48F2-8CA6-FDA90669B217}"/>
    <hyperlink ref="A37" location="math002!A1" display="math002" xr:uid="{71D81FB4-B75D-42A1-87A2-C1052AE65301}"/>
    <hyperlink ref="A38" location="math003!A1" display="math003" xr:uid="{16DE43C8-8D77-4866-A9D3-EC1EACFCA952}"/>
    <hyperlink ref="A39" location="math004!A1" display="math004" xr:uid="{730E8875-0C7F-402E-A6B1-518D96F54860}"/>
    <hyperlink ref="A40" location="matr001!A1" display="matr001" xr:uid="{20BDB1CE-DE9D-4181-AB55-DD10710F2977}"/>
    <hyperlink ref="A41" location="matr002!A1" display="matr002" xr:uid="{D5A7B539-9037-4A97-BCFD-B52A376414A9}"/>
    <hyperlink ref="A42" location="meas001!A1" display="meas001" xr:uid="{B8722023-93AD-447C-B3AD-9081A32BFDEE}"/>
    <hyperlink ref="A43" location="meas002!A1" display="meas002" xr:uid="{F01E2C38-3151-4D81-9EE5-DF50C7991724}"/>
    <hyperlink ref="A44" location="meas003!A1" display="meas003" xr:uid="{3DF390B7-A6B8-4D58-9680-3A8FE64AEFF7}"/>
    <hyperlink ref="A45" location="meas004!A1" display="meas004" xr:uid="{6EC64EFA-FA89-4264-B5F9-DE6C8E4001FF}"/>
    <hyperlink ref="A46" location="pivo001!A1" display="pivo001" xr:uid="{2AC773C8-D5B3-44B2-8853-C89E8251043E}"/>
    <hyperlink ref="A47" location="pivo002!A1" display="pivo002" xr:uid="{89066683-B89D-422C-8FD5-79C113F66D3F}"/>
    <hyperlink ref="A48" location="pivo003!A1" display="pivo003" xr:uid="{22A68E47-C222-40F1-A769-A2BA8F9243C9}"/>
    <hyperlink ref="A49" location="pivo004!A1" display="pivo004" xr:uid="{19BCB30C-A6B5-478E-A20C-213BA9C7EB07}"/>
    <hyperlink ref="A50" location="pivo005!A1" display="pivo005" xr:uid="{3CB29C3F-71E7-42E9-B73B-357EA5398815}"/>
    <hyperlink ref="A51" location="pivo006!A1" display="pivo006" xr:uid="{78530EF9-3154-4C93-9FAC-682F0C28BA23}"/>
    <hyperlink ref="A52" location="pivo007!A1" display="pivo007" xr:uid="{7B0110B0-242D-4F90-89DA-CA2EE1289619}"/>
    <hyperlink ref="A53" location="pivo008!A1" display="pivo008" xr:uid="{5FB49122-873D-4E7F-A562-EB5BE0EC7355}"/>
    <hyperlink ref="A54" location="pivo009!A1" display="pivo009" xr:uid="{A8F9CC8B-794E-42C2-ACA9-1B63D76E1AD9}"/>
    <hyperlink ref="A55" location="pivo010!A1" display="pivo010" xr:uid="{ECB82CE3-01C2-4E8A-BDE1-D7B8A67BB0A1}"/>
    <hyperlink ref="A56" location="pivo011!A1" display="pivo011" xr:uid="{36CA200B-A471-4F95-BA6E-58D2A50BB2AD}"/>
    <hyperlink ref="A57" location="pivo012!A1" display="pivo012" xr:uid="{83E67CA5-10E6-40F0-83F4-7A4AB719559F}"/>
    <hyperlink ref="A58" location="scen001!A1" display="scen001" xr:uid="{6882CD5C-2DA1-4CD8-BA47-2F7D502E671A}"/>
    <hyperlink ref="A59" location="scen002!A1" display="scen002" xr:uid="{67F06682-F47C-4DF5-9289-9CA930A3D79C}"/>
    <hyperlink ref="A60" location="scen003!A1" display="scen003" xr:uid="{9B3CDC43-F0DB-4799-8D76-430A85EA4711}"/>
    <hyperlink ref="A61" location="scen004!A1" display="scen004" xr:uid="{AAC6F504-3FFF-4D3B-A31F-21EAB610A5D4}"/>
    <hyperlink ref="A62" location="solv001!A1" display="solv001" xr:uid="{168F1023-6F4A-4BB4-928C-97CEA9E62F3D}"/>
    <hyperlink ref="A63" location="solv002!A1" display="solv002" xr:uid="{7A1CC943-B78D-4286-92DA-A916475DE6E7}"/>
    <hyperlink ref="A64" location="solv003!A1" display="solv003" xr:uid="{F136698A-12F9-413E-83A5-A1CEAAF96574}"/>
    <hyperlink ref="A65" location="solv004!A1" display="solv004" xr:uid="{7F2AD70A-8060-4DB6-85DB-943B3C682332}"/>
    <hyperlink ref="A66" location="solv005!A1" display="solv005" xr:uid="{AC1C62F5-EC99-486D-BFA3-C2DCE9EDDA2D}"/>
    <hyperlink ref="A67" location="solv006!A1" display="solv006" xr:uid="{BCD5B5E0-D9F7-4C4E-B170-5B5AD8F3866B}"/>
    <hyperlink ref="A68" location="solv007!A1" display="solv007" xr:uid="{4A62BBBB-48BF-45E1-AE93-D3EBFB38908D}"/>
    <hyperlink ref="A69" location="solv008!A1" display="solv008" xr:uid="{2D9AED68-FE3F-4DD3-A5A0-496271CD8A0E}"/>
    <hyperlink ref="A70" location="solv009!A1" display="solv009" xr:uid="{FF93F054-E3A2-49CF-9DEA-9B79A37729B8}"/>
    <hyperlink ref="A71" location="solv010!A1" display="solv010" xr:uid="{91EB9D80-A24C-46CD-B416-6859FCFD762F}"/>
    <hyperlink ref="A72" location="stat001!A1" display="stat001" xr:uid="{A4EBC609-2501-4A5A-926B-113832E2EE99}"/>
    <hyperlink ref="A73" location="stat002!A1" display="stat002" xr:uid="{F7573FD7-1659-486D-A9FD-2FEB8923E3E6}"/>
    <hyperlink ref="A74" location="stat003!A1" display="stat003" xr:uid="{1572E5C0-FD2C-4DFC-9293-4CAC91B5C51B}"/>
    <hyperlink ref="A75" location="stat004!A1" display="stat004" xr:uid="{11F3D1E7-32A0-4416-84A6-10DAD1446B03}"/>
    <hyperlink ref="A15" location="form011!A1" display="form011" xr:uid="{7A52F62E-182C-4A2E-A9AE-E26F9666DEF2}"/>
    <hyperlink ref="A76" location="tabl001!A1" display="tabl001" xr:uid="{CD6F50F0-4CC4-4D57-8D7E-A756C3772354}"/>
    <hyperlink ref="A77" location="tabl002!A1" display="tabl002" xr:uid="{270A832B-64CE-4CB8-9BA9-B0C7AAF8EF10}"/>
    <hyperlink ref="A3" location="fcast001!A1" display="fcast001" xr:uid="{A3F89393-9D2B-4DA3-9BF3-47FE1DEE494F}"/>
    <hyperlink ref="A4" location="fcast002!A1" display="fcast002" xr:uid="{45C7D1CF-E7FB-4A22-8414-3D71878B0F8A}"/>
    <hyperlink ref="A16" location="form012!A1" display="form012" xr:uid="{2F3C84EA-609C-4687-A89D-B8AF64EBAB33}"/>
    <hyperlink ref="A17" location="form013!A1" display="form013" xr:uid="{31808C66-074C-4E5C-A44A-247D124FBB56}"/>
    <hyperlink ref="A2" location="data001!A1" display="data001" xr:uid="{51EA685B-C40B-4FBD-B276-209703705F59}"/>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3B785-C104-4E80-B7A1-AC0B73709976}">
  <dimension ref="B1:F4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9.42578125" style="9" bestFit="1" customWidth="1"/>
    <col min="6" max="6" width="11.42578125" style="9" bestFit="1" customWidth="1"/>
    <col min="7" max="16384" width="9.140625" style="9"/>
  </cols>
  <sheetData>
    <row r="1" spans="2:6" x14ac:dyDescent="0.2">
      <c r="B1" s="386" t="s">
        <v>1047</v>
      </c>
      <c r="C1" s="386"/>
      <c r="D1" s="342" t="s">
        <v>1207</v>
      </c>
    </row>
    <row r="2" spans="2:6" x14ac:dyDescent="0.2">
      <c r="B2" s="342" t="s">
        <v>1124</v>
      </c>
      <c r="C2" s="342"/>
      <c r="D2" s="342" t="str">
        <f>VLOOKUP(D$1,TabelContent[],COLUMN(TabelContent[Titel-EN]))</f>
        <v>Import simple csv file</v>
      </c>
    </row>
    <row r="3" spans="2:6" x14ac:dyDescent="0.2">
      <c r="B3" s="342" t="s">
        <v>1125</v>
      </c>
      <c r="C3" s="342"/>
      <c r="D3" s="342" t="str">
        <f>VLOOKUP(D$1,TabelContent[],COLUMN(TabelContent[Cat-EN]))</f>
        <v>Data</v>
      </c>
    </row>
    <row r="4" spans="2:6" x14ac:dyDescent="0.2">
      <c r="B4" s="342" t="s">
        <v>1126</v>
      </c>
      <c r="C4" s="342"/>
      <c r="D4" s="342">
        <f>VLOOKUP(D$1,TabelContent[],COLUMN(TabelContent[Niveau]))</f>
        <v>2</v>
      </c>
    </row>
    <row r="5" spans="2:6" x14ac:dyDescent="0.2">
      <c r="B5" s="50"/>
      <c r="C5" s="50"/>
      <c r="D5" s="50"/>
    </row>
    <row r="6" spans="2:6" x14ac:dyDescent="0.2">
      <c r="B6" s="387" t="s">
        <v>1132</v>
      </c>
      <c r="C6" s="387"/>
      <c r="D6" s="387"/>
    </row>
    <row r="7" spans="2:6" x14ac:dyDescent="0.2">
      <c r="B7" s="50"/>
      <c r="C7" s="50"/>
      <c r="D7" s="50"/>
    </row>
    <row r="8" spans="2:6" x14ac:dyDescent="0.2">
      <c r="E8" s="9" t="s">
        <v>828</v>
      </c>
      <c r="F8" s="9" t="s">
        <v>1314</v>
      </c>
    </row>
    <row r="9" spans="2:6" x14ac:dyDescent="0.2">
      <c r="E9" s="2">
        <v>40544</v>
      </c>
      <c r="F9" s="9">
        <v>3240325</v>
      </c>
    </row>
    <row r="10" spans="2:6" x14ac:dyDescent="0.2">
      <c r="E10" s="2">
        <v>40545</v>
      </c>
      <c r="F10" s="9">
        <v>2741349</v>
      </c>
    </row>
    <row r="11" spans="2:6" x14ac:dyDescent="0.2">
      <c r="E11" s="2">
        <v>40546</v>
      </c>
      <c r="F11" s="9">
        <v>2987427</v>
      </c>
    </row>
    <row r="12" spans="2:6" x14ac:dyDescent="0.2">
      <c r="E12" s="2">
        <v>40547</v>
      </c>
      <c r="F12" s="9">
        <v>3456892</v>
      </c>
    </row>
    <row r="13" spans="2:6" x14ac:dyDescent="0.2">
      <c r="E13" s="2">
        <v>40548</v>
      </c>
      <c r="F13" s="9">
        <v>3740738</v>
      </c>
    </row>
    <row r="14" spans="2:6" x14ac:dyDescent="0.2">
      <c r="E14" s="2">
        <v>40549</v>
      </c>
      <c r="F14" s="9">
        <v>3979178</v>
      </c>
    </row>
    <row r="15" spans="2:6" x14ac:dyDescent="0.2">
      <c r="E15" s="2">
        <v>40550</v>
      </c>
      <c r="F15" s="9">
        <v>4160454</v>
      </c>
    </row>
    <row r="16" spans="2:6" x14ac:dyDescent="0.2">
      <c r="E16" s="2">
        <v>40551</v>
      </c>
      <c r="F16" s="9">
        <v>4162013</v>
      </c>
    </row>
    <row r="17" spans="5:6" x14ac:dyDescent="0.2">
      <c r="E17" s="2">
        <v>40552</v>
      </c>
      <c r="F17" s="9">
        <v>3809132</v>
      </c>
    </row>
    <row r="18" spans="5:6" x14ac:dyDescent="0.2">
      <c r="E18" s="2">
        <v>40553</v>
      </c>
      <c r="F18" s="9">
        <v>3794419</v>
      </c>
    </row>
    <row r="19" spans="5:6" x14ac:dyDescent="0.2">
      <c r="E19" s="2">
        <v>40554</v>
      </c>
      <c r="F19" s="9">
        <v>3719219</v>
      </c>
    </row>
    <row r="20" spans="5:6" x14ac:dyDescent="0.2">
      <c r="E20" s="2">
        <v>40555</v>
      </c>
      <c r="F20" s="9">
        <v>3812981</v>
      </c>
    </row>
    <row r="21" spans="5:6" x14ac:dyDescent="0.2">
      <c r="E21" s="2">
        <v>40909</v>
      </c>
      <c r="F21" s="9">
        <v>3480451</v>
      </c>
    </row>
    <row r="22" spans="5:6" x14ac:dyDescent="0.2">
      <c r="E22" s="2">
        <v>40910</v>
      </c>
      <c r="F22" s="9">
        <v>3183133</v>
      </c>
    </row>
    <row r="23" spans="5:6" x14ac:dyDescent="0.2">
      <c r="E23" s="2">
        <v>40911</v>
      </c>
      <c r="F23" s="9">
        <v>3764529</v>
      </c>
    </row>
    <row r="24" spans="5:6" x14ac:dyDescent="0.2">
      <c r="E24" s="2">
        <v>40912</v>
      </c>
      <c r="F24" s="9">
        <v>3500189</v>
      </c>
    </row>
    <row r="25" spans="5:6" x14ac:dyDescent="0.2">
      <c r="E25" s="2">
        <v>40913</v>
      </c>
      <c r="F25" s="9">
        <v>3389811</v>
      </c>
    </row>
    <row r="26" spans="5:6" x14ac:dyDescent="0.2">
      <c r="E26" s="2">
        <v>40914</v>
      </c>
      <c r="F26" s="9">
        <v>4348789</v>
      </c>
    </row>
    <row r="27" spans="5:6" x14ac:dyDescent="0.2">
      <c r="E27" s="2">
        <v>40915</v>
      </c>
      <c r="F27" s="9">
        <v>4442455</v>
      </c>
    </row>
    <row r="28" spans="5:6" x14ac:dyDescent="0.2">
      <c r="E28" s="2">
        <v>40916</v>
      </c>
      <c r="F28" s="9">
        <v>4593383</v>
      </c>
    </row>
    <row r="29" spans="5:6" x14ac:dyDescent="0.2">
      <c r="E29" s="2">
        <v>40917</v>
      </c>
      <c r="F29" s="9">
        <v>4029783</v>
      </c>
    </row>
    <row r="30" spans="5:6" x14ac:dyDescent="0.2">
      <c r="E30" s="2">
        <v>40918</v>
      </c>
      <c r="F30" s="9">
        <v>4211211</v>
      </c>
    </row>
    <row r="31" spans="5:6" x14ac:dyDescent="0.2">
      <c r="E31" s="2">
        <v>40919</v>
      </c>
      <c r="F31" s="9">
        <v>3854682</v>
      </c>
    </row>
    <row r="32" spans="5:6" x14ac:dyDescent="0.2">
      <c r="E32" s="2">
        <v>40920</v>
      </c>
      <c r="F32" s="9">
        <v>3554831</v>
      </c>
    </row>
    <row r="33" spans="5:6" x14ac:dyDescent="0.2">
      <c r="E33" s="2">
        <v>41275</v>
      </c>
      <c r="F33" s="9">
        <v>3488309</v>
      </c>
    </row>
    <row r="34" spans="5:6" x14ac:dyDescent="0.2">
      <c r="E34" s="2">
        <v>41276</v>
      </c>
      <c r="F34" s="9">
        <v>3270444</v>
      </c>
    </row>
    <row r="35" spans="5:6" x14ac:dyDescent="0.2">
      <c r="E35" s="2">
        <v>41277</v>
      </c>
      <c r="F35" s="9">
        <v>3709943</v>
      </c>
    </row>
    <row r="36" spans="5:6" x14ac:dyDescent="0.2">
      <c r="E36" s="2">
        <v>41278</v>
      </c>
      <c r="F36" s="9">
        <v>3655530</v>
      </c>
    </row>
    <row r="37" spans="5:6" x14ac:dyDescent="0.2">
      <c r="E37" s="2">
        <v>41279</v>
      </c>
      <c r="F37" s="9">
        <v>4097990</v>
      </c>
    </row>
    <row r="38" spans="5:6" x14ac:dyDescent="0.2">
      <c r="E38" s="2">
        <v>41280</v>
      </c>
      <c r="F38" s="9">
        <v>4472583</v>
      </c>
    </row>
    <row r="39" spans="5:6" x14ac:dyDescent="0.2">
      <c r="E39" s="2">
        <v>41281</v>
      </c>
      <c r="F39" s="9">
        <v>4531711</v>
      </c>
    </row>
    <row r="40" spans="5:6" x14ac:dyDescent="0.2">
      <c r="E40" s="2">
        <v>41282</v>
      </c>
      <c r="F40" s="9">
        <v>4504466</v>
      </c>
    </row>
    <row r="41" spans="5:6" x14ac:dyDescent="0.2">
      <c r="E41" s="2">
        <v>41283</v>
      </c>
      <c r="F41" s="9">
        <v>4054338</v>
      </c>
    </row>
  </sheetData>
  <mergeCells count="2">
    <mergeCell ref="B1:C1"/>
    <mergeCell ref="B6:D6"/>
  </mergeCells>
  <hyperlinks>
    <hyperlink ref="B6:D6" location="TOC!A1" display="Go to TOC" xr:uid="{CCBC06AB-AEDB-45B4-9FBE-1B2BAF2FF2D7}"/>
  </hyperlinks>
  <pageMargins left="0.7" right="0.7" top="0.75" bottom="0.75" header="0.3" footer="0.3"/>
  <pageSetup paperSize="9"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3755-F258-4CC0-9EA9-915F97099145}">
  <dimension ref="B1:P28"/>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39" customWidth="1"/>
    <col min="3" max="3" width="7.7109375" style="339" customWidth="1"/>
    <col min="4" max="4" width="16" style="339" bestFit="1" customWidth="1"/>
    <col min="5" max="5" width="10.7109375" style="339" customWidth="1"/>
    <col min="6" max="6" width="9.140625" style="339"/>
    <col min="7" max="7" width="16" style="339" bestFit="1" customWidth="1"/>
    <col min="8" max="16384" width="9.140625" style="339"/>
  </cols>
  <sheetData>
    <row r="1" spans="2:16" x14ac:dyDescent="0.25">
      <c r="B1" s="386" t="s">
        <v>1047</v>
      </c>
      <c r="C1" s="386"/>
      <c r="D1" s="337" t="s">
        <v>1211</v>
      </c>
    </row>
    <row r="2" spans="2:16" x14ac:dyDescent="0.25">
      <c r="B2" s="337" t="s">
        <v>1124</v>
      </c>
      <c r="C2" s="337"/>
      <c r="D2" s="337" t="str">
        <f>VLOOKUP(D$1,TabelContent[],COLUMN(TabelContent[Titel-EN]))</f>
        <v>Revenu from ads</v>
      </c>
    </row>
    <row r="3" spans="2:16" x14ac:dyDescent="0.25">
      <c r="B3" s="337" t="s">
        <v>1125</v>
      </c>
      <c r="C3" s="337"/>
      <c r="D3" s="337" t="str">
        <f>VLOOKUP(D$1,TabelContent[],COLUMN(TabelContent[Cat-EN]))</f>
        <v>Forecasting</v>
      </c>
    </row>
    <row r="4" spans="2:16" x14ac:dyDescent="0.25">
      <c r="B4" s="337" t="s">
        <v>1126</v>
      </c>
      <c r="C4" s="337"/>
      <c r="D4" s="337">
        <f>VLOOKUP(D$1,TabelContent[],COLUMN(TabelContent[Niveau]))</f>
        <v>3</v>
      </c>
    </row>
    <row r="5" spans="2:16" x14ac:dyDescent="0.25">
      <c r="B5" s="337"/>
      <c r="C5" s="337"/>
      <c r="D5" s="337"/>
    </row>
    <row r="6" spans="2:16" x14ac:dyDescent="0.25">
      <c r="B6" s="337"/>
      <c r="C6" s="337"/>
      <c r="D6" s="337"/>
    </row>
    <row r="8" spans="2:16" x14ac:dyDescent="0.25">
      <c r="D8" s="338" t="s">
        <v>1197</v>
      </c>
    </row>
    <row r="10" spans="2:16" ht="30" x14ac:dyDescent="0.25">
      <c r="D10" s="338" t="s">
        <v>1198</v>
      </c>
      <c r="E10" s="340" t="s">
        <v>1199</v>
      </c>
    </row>
    <row r="11" spans="2:16" x14ac:dyDescent="0.25">
      <c r="D11" s="339">
        <v>0</v>
      </c>
      <c r="E11" s="341">
        <v>2</v>
      </c>
      <c r="F11" s="341"/>
      <c r="O11" s="339" t="s">
        <v>1200</v>
      </c>
      <c r="P11" s="339" t="s">
        <v>1201</v>
      </c>
    </row>
    <row r="12" spans="2:16" x14ac:dyDescent="0.25">
      <c r="D12" s="339">
        <v>2</v>
      </c>
      <c r="E12" s="341">
        <v>2.4980000000000002</v>
      </c>
      <c r="F12" s="341"/>
      <c r="O12" s="339">
        <v>2</v>
      </c>
      <c r="P12" s="339">
        <v>0.8135</v>
      </c>
    </row>
    <row r="13" spans="2:16" x14ac:dyDescent="0.25">
      <c r="D13" s="339">
        <v>4</v>
      </c>
      <c r="E13" s="341">
        <v>3.6840000000000002</v>
      </c>
      <c r="F13" s="341"/>
      <c r="O13" s="339">
        <v>3</v>
      </c>
      <c r="P13" s="339">
        <v>0.95140000000000002</v>
      </c>
    </row>
    <row r="14" spans="2:16" x14ac:dyDescent="0.25">
      <c r="D14" s="339">
        <v>6</v>
      </c>
      <c r="E14" s="341">
        <v>5.1619999999999999</v>
      </c>
      <c r="F14" s="341"/>
      <c r="O14" s="339">
        <v>4</v>
      </c>
      <c r="P14" s="339">
        <v>0.98829999999999996</v>
      </c>
    </row>
    <row r="15" spans="2:16" x14ac:dyDescent="0.25">
      <c r="D15" s="339">
        <v>8</v>
      </c>
      <c r="E15" s="341">
        <v>6.6120000000000001</v>
      </c>
      <c r="F15" s="341"/>
    </row>
    <row r="16" spans="2:16" x14ac:dyDescent="0.25">
      <c r="D16" s="339">
        <v>10</v>
      </c>
      <c r="E16" s="341">
        <v>8.375</v>
      </c>
      <c r="F16" s="341"/>
    </row>
    <row r="17" spans="4:6" x14ac:dyDescent="0.25">
      <c r="D17" s="339">
        <v>12</v>
      </c>
      <c r="E17" s="341">
        <v>9.4120000000000008</v>
      </c>
      <c r="F17" s="341"/>
    </row>
    <row r="18" spans="4:6" x14ac:dyDescent="0.25">
      <c r="D18" s="339">
        <v>14</v>
      </c>
      <c r="E18" s="341">
        <v>10.88</v>
      </c>
      <c r="F18" s="341"/>
    </row>
    <row r="19" spans="4:6" x14ac:dyDescent="0.25">
      <c r="D19" s="339">
        <v>16</v>
      </c>
      <c r="E19" s="341">
        <v>11.798999999999999</v>
      </c>
      <c r="F19" s="341"/>
    </row>
    <row r="20" spans="4:6" x14ac:dyDescent="0.25">
      <c r="D20" s="339">
        <v>18</v>
      </c>
      <c r="E20" s="341">
        <v>13.211</v>
      </c>
      <c r="F20" s="341"/>
    </row>
    <row r="21" spans="4:6" x14ac:dyDescent="0.25">
      <c r="D21" s="339">
        <v>20</v>
      </c>
      <c r="E21" s="341">
        <v>14.14</v>
      </c>
      <c r="F21" s="341"/>
    </row>
    <row r="22" spans="4:6" x14ac:dyDescent="0.25">
      <c r="D22" s="339">
        <v>22</v>
      </c>
      <c r="E22" s="341">
        <v>16.652000000000001</v>
      </c>
      <c r="F22" s="341"/>
    </row>
    <row r="23" spans="4:6" x14ac:dyDescent="0.25">
      <c r="D23" s="339">
        <v>24</v>
      </c>
      <c r="E23" s="341">
        <v>18.709</v>
      </c>
      <c r="F23" s="341"/>
    </row>
    <row r="24" spans="4:6" x14ac:dyDescent="0.25">
      <c r="D24" s="339">
        <v>26</v>
      </c>
      <c r="E24" s="341">
        <v>19.449000000000002</v>
      </c>
      <c r="F24" s="341"/>
    </row>
    <row r="25" spans="4:6" x14ac:dyDescent="0.25">
      <c r="D25" s="339">
        <v>28</v>
      </c>
      <c r="E25" s="341">
        <v>18.398</v>
      </c>
      <c r="F25" s="341"/>
    </row>
    <row r="26" spans="4:6" x14ac:dyDescent="0.25">
      <c r="D26" s="339">
        <v>30</v>
      </c>
      <c r="E26" s="341">
        <v>17.312000000000001</v>
      </c>
      <c r="F26" s="341"/>
    </row>
    <row r="27" spans="4:6" x14ac:dyDescent="0.25">
      <c r="D27" s="339">
        <v>32</v>
      </c>
      <c r="E27" s="341">
        <v>14.186</v>
      </c>
      <c r="F27" s="341"/>
    </row>
    <row r="28" spans="4:6" x14ac:dyDescent="0.25">
      <c r="D28" s="339">
        <v>34</v>
      </c>
      <c r="E28" s="341">
        <v>7.0529999999999999</v>
      </c>
      <c r="F28" s="341"/>
    </row>
  </sheetData>
  <mergeCells count="1">
    <mergeCell ref="B1:C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4B99-1BDC-4ED7-93B2-E53C4334804A}">
  <dimension ref="B1:F27"/>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35" customWidth="1"/>
    <col min="3" max="3" width="7.7109375" style="335" customWidth="1"/>
    <col min="4" max="4" width="10.28515625" style="335" customWidth="1"/>
    <col min="5" max="5" width="14.85546875" style="335" bestFit="1" customWidth="1"/>
    <col min="6" max="16384" width="9.140625" style="335"/>
  </cols>
  <sheetData>
    <row r="1" spans="2:5" x14ac:dyDescent="0.25">
      <c r="B1" s="386" t="s">
        <v>1047</v>
      </c>
      <c r="C1" s="386"/>
      <c r="D1" s="337" t="s">
        <v>1215</v>
      </c>
    </row>
    <row r="2" spans="2:5" x14ac:dyDescent="0.25">
      <c r="B2" s="337" t="s">
        <v>1124</v>
      </c>
      <c r="C2" s="337"/>
      <c r="D2" s="337" t="str">
        <f>VLOOKUP(D$1,TabelContent[],COLUMN(TabelContent[Titel-EN]))</f>
        <v>Sales forecast</v>
      </c>
    </row>
    <row r="3" spans="2:5" x14ac:dyDescent="0.25">
      <c r="B3" s="337" t="s">
        <v>1125</v>
      </c>
      <c r="C3" s="337"/>
      <c r="D3" s="337" t="str">
        <f>VLOOKUP(D$1,TabelContent[],COLUMN(TabelContent[Cat-EN]))</f>
        <v>Forecasting</v>
      </c>
    </row>
    <row r="4" spans="2:5" x14ac:dyDescent="0.25">
      <c r="B4" s="337" t="s">
        <v>1126</v>
      </c>
      <c r="C4" s="337"/>
      <c r="D4" s="337">
        <f>VLOOKUP(D$1,TabelContent[],COLUMN(TabelContent[Niveau]))</f>
        <v>3</v>
      </c>
    </row>
    <row r="5" spans="2:5" x14ac:dyDescent="0.25">
      <c r="B5" s="337"/>
      <c r="C5" s="337"/>
      <c r="D5" s="337"/>
    </row>
    <row r="6" spans="2:5" x14ac:dyDescent="0.25">
      <c r="B6" s="337"/>
      <c r="C6" s="337"/>
      <c r="D6" s="337"/>
    </row>
    <row r="8" spans="2:5" x14ac:dyDescent="0.25">
      <c r="D8" s="334" t="s">
        <v>652</v>
      </c>
      <c r="E8" s="334" t="s">
        <v>1202</v>
      </c>
    </row>
    <row r="9" spans="2:5" x14ac:dyDescent="0.25">
      <c r="D9" s="335">
        <v>2007</v>
      </c>
      <c r="E9" s="335">
        <v>5975</v>
      </c>
    </row>
    <row r="10" spans="2:5" x14ac:dyDescent="0.25">
      <c r="D10" s="335">
        <v>2008</v>
      </c>
      <c r="E10" s="335">
        <v>6880</v>
      </c>
    </row>
    <row r="11" spans="2:5" x14ac:dyDescent="0.25">
      <c r="D11" s="335">
        <v>2009</v>
      </c>
      <c r="E11" s="335">
        <v>8970</v>
      </c>
    </row>
    <row r="12" spans="2:5" x14ac:dyDescent="0.25">
      <c r="D12" s="335">
        <v>2010</v>
      </c>
      <c r="E12" s="335">
        <v>9021</v>
      </c>
    </row>
    <row r="13" spans="2:5" x14ac:dyDescent="0.25">
      <c r="D13" s="335">
        <v>2011</v>
      </c>
      <c r="E13" s="335">
        <v>9901</v>
      </c>
    </row>
    <row r="14" spans="2:5" x14ac:dyDescent="0.25">
      <c r="D14" s="335">
        <v>2012</v>
      </c>
      <c r="E14" s="335">
        <v>11994</v>
      </c>
    </row>
    <row r="15" spans="2:5" x14ac:dyDescent="0.25">
      <c r="D15" s="335">
        <v>2013</v>
      </c>
      <c r="E15" s="335">
        <v>14287</v>
      </c>
    </row>
    <row r="16" spans="2:5" x14ac:dyDescent="0.25">
      <c r="D16" s="335">
        <v>2014</v>
      </c>
      <c r="E16" s="335">
        <v>15552</v>
      </c>
    </row>
    <row r="17" spans="4:6" x14ac:dyDescent="0.25">
      <c r="D17" s="335">
        <v>2015</v>
      </c>
      <c r="E17" s="335">
        <v>17963</v>
      </c>
    </row>
    <row r="18" spans="4:6" x14ac:dyDescent="0.25">
      <c r="D18" s="335">
        <v>2016</v>
      </c>
      <c r="E18" s="336">
        <f>GROWTH(E9:E17,D9:D17,D18)</f>
        <v>20599.950633970493</v>
      </c>
    </row>
    <row r="24" spans="4:6" x14ac:dyDescent="0.25">
      <c r="F24" s="335" t="s">
        <v>1203</v>
      </c>
    </row>
    <row r="25" spans="4:6" x14ac:dyDescent="0.25">
      <c r="E25" s="335" t="s">
        <v>1204</v>
      </c>
      <c r="F25" s="335">
        <v>0.96689999999999998</v>
      </c>
    </row>
    <row r="26" spans="4:6" x14ac:dyDescent="0.25">
      <c r="E26" s="335" t="s">
        <v>1205</v>
      </c>
      <c r="F26" s="335">
        <v>0.9667</v>
      </c>
    </row>
    <row r="27" spans="4:6" x14ac:dyDescent="0.25">
      <c r="E27" s="335" t="s">
        <v>1206</v>
      </c>
      <c r="F27" s="335">
        <v>0.9829</v>
      </c>
    </row>
  </sheetData>
  <mergeCells count="1">
    <mergeCell ref="B1:C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zoomScaleNormal="100"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3.85546875" customWidth="1"/>
    <col min="5" max="6" width="11.85546875" customWidth="1"/>
    <col min="7" max="7" width="11.85546875" bestFit="1" customWidth="1"/>
    <col min="8" max="8" width="8.28515625" bestFit="1" customWidth="1"/>
    <col min="9" max="9" width="12.42578125" bestFit="1" customWidth="1"/>
  </cols>
  <sheetData>
    <row r="1" spans="2:10" s="9" customFormat="1" x14ac:dyDescent="0.2">
      <c r="B1" s="386" t="s">
        <v>1047</v>
      </c>
      <c r="C1" s="386"/>
      <c r="D1" s="263" t="s">
        <v>18</v>
      </c>
    </row>
    <row r="2" spans="2:10" s="4" customFormat="1" x14ac:dyDescent="0.2">
      <c r="B2" s="386" t="s">
        <v>1124</v>
      </c>
      <c r="C2" s="386"/>
      <c r="D2" s="337" t="str">
        <f>VLOOKUP(D$1,TabelContent[],COLUMN(TabelContent[Titel-EN]))</f>
        <v>Results computer company</v>
      </c>
    </row>
    <row r="3" spans="2:10" s="4" customFormat="1" x14ac:dyDescent="0.2">
      <c r="B3" s="386" t="s">
        <v>1125</v>
      </c>
      <c r="C3" s="386"/>
      <c r="D3" s="337" t="str">
        <f>VLOOKUP(D$1,TabelContent[],COLUMN(TabelContent[Cat-EN]))</f>
        <v>Formula</v>
      </c>
    </row>
    <row r="4" spans="2:10" s="4" customFormat="1" x14ac:dyDescent="0.2">
      <c r="B4" s="386" t="s">
        <v>1126</v>
      </c>
      <c r="C4" s="386" t="s">
        <v>605</v>
      </c>
      <c r="D4" s="337">
        <f>VLOOKUP(D$1,TabelContent[],COLUMN(TabelContent[Niveau]))</f>
        <v>1</v>
      </c>
    </row>
    <row r="5" spans="2:10" x14ac:dyDescent="0.2">
      <c r="B5" s="10"/>
      <c r="C5" s="10"/>
      <c r="D5" s="18"/>
      <c r="E5" s="10"/>
      <c r="F5" s="10"/>
      <c r="G5" s="10"/>
      <c r="H5" s="10"/>
    </row>
    <row r="6" spans="2:10" x14ac:dyDescent="0.2">
      <c r="B6" s="387" t="s">
        <v>1132</v>
      </c>
      <c r="C6" s="387"/>
      <c r="D6" s="387"/>
      <c r="E6" s="10"/>
      <c r="F6" s="10"/>
      <c r="G6" s="10"/>
      <c r="H6" s="10"/>
    </row>
    <row r="7" spans="2:10" x14ac:dyDescent="0.2">
      <c r="B7" s="10"/>
      <c r="C7" s="10"/>
      <c r="D7" s="10"/>
      <c r="E7" s="10"/>
      <c r="F7" s="10"/>
      <c r="G7" s="10"/>
      <c r="H7" s="10"/>
    </row>
    <row r="8" spans="2:10" x14ac:dyDescent="0.2">
      <c r="B8" s="10"/>
      <c r="D8" s="17" t="s">
        <v>755</v>
      </c>
      <c r="E8" s="18"/>
      <c r="F8" s="18"/>
      <c r="G8" s="271">
        <v>5000</v>
      </c>
      <c r="H8" s="19">
        <v>0.15</v>
      </c>
      <c r="I8" s="10"/>
    </row>
    <row r="9" spans="2:10" x14ac:dyDescent="0.2">
      <c r="B9" s="10"/>
      <c r="D9" s="10"/>
      <c r="E9" s="10"/>
      <c r="F9" s="10"/>
      <c r="G9" s="16"/>
      <c r="H9" s="20"/>
      <c r="I9" s="10" t="s">
        <v>1127</v>
      </c>
      <c r="J9" s="4" t="s">
        <v>1128</v>
      </c>
    </row>
    <row r="10" spans="2:10" ht="25.5" x14ac:dyDescent="0.2">
      <c r="B10" s="10"/>
      <c r="D10" s="17" t="s">
        <v>758</v>
      </c>
      <c r="E10" s="17" t="s">
        <v>759</v>
      </c>
      <c r="F10" s="17" t="s">
        <v>760</v>
      </c>
      <c r="G10" s="17" t="s">
        <v>761</v>
      </c>
      <c r="H10" s="21" t="s">
        <v>762</v>
      </c>
      <c r="I10" s="17" t="s">
        <v>763</v>
      </c>
      <c r="J10" s="17" t="s">
        <v>763</v>
      </c>
    </row>
    <row r="11" spans="2:10" x14ac:dyDescent="0.2">
      <c r="B11" s="10"/>
      <c r="D11" s="10" t="s">
        <v>0</v>
      </c>
      <c r="E11" s="272">
        <v>160000</v>
      </c>
      <c r="F11" s="272">
        <v>178000</v>
      </c>
      <c r="G11" s="272">
        <f>F11-E11</f>
        <v>18000</v>
      </c>
      <c r="H11" s="22">
        <f>G11/E11</f>
        <v>0.1125</v>
      </c>
      <c r="I11" s="10" t="str">
        <f>IF(AND(G11&gt;$G$8,H11&gt;$H$8),"good","bad")</f>
        <v>bad</v>
      </c>
      <c r="J11" s="10" t="str">
        <f>IF(G11&gt;$G$8,IF(H11&gt;$H$8,"good","bad"),"bad")</f>
        <v>bad</v>
      </c>
    </row>
    <row r="12" spans="2:10" x14ac:dyDescent="0.2">
      <c r="B12" s="10"/>
      <c r="D12" s="10" t="s">
        <v>1</v>
      </c>
      <c r="E12" s="272">
        <v>40000</v>
      </c>
      <c r="F12" s="272">
        <v>47000</v>
      </c>
      <c r="G12" s="272">
        <f t="shared" ref="G12:G14" si="0">F12-E12</f>
        <v>7000</v>
      </c>
      <c r="H12" s="22">
        <f t="shared" ref="H12:H14" si="1">G12/E12</f>
        <v>0.17499999999999999</v>
      </c>
      <c r="I12" s="10" t="str">
        <f t="shared" ref="I12:I14" si="2">IF(AND(G12&gt;$G$8,H12&gt;$H$8),"good","bad")</f>
        <v>good</v>
      </c>
      <c r="J12" s="10" t="str">
        <f t="shared" ref="J12:J14" si="3">IF(G12&gt;$G$8,IF(H12&gt;$H$8,"good","bad"),"bad")</f>
        <v>good</v>
      </c>
    </row>
    <row r="13" spans="2:10" x14ac:dyDescent="0.2">
      <c r="B13" s="10"/>
      <c r="D13" s="10" t="s">
        <v>756</v>
      </c>
      <c r="E13" s="272">
        <v>30000</v>
      </c>
      <c r="F13" s="272">
        <v>45000</v>
      </c>
      <c r="G13" s="272">
        <f t="shared" si="0"/>
        <v>15000</v>
      </c>
      <c r="H13" s="22">
        <f t="shared" si="1"/>
        <v>0.5</v>
      </c>
      <c r="I13" s="10" t="str">
        <f t="shared" si="2"/>
        <v>good</v>
      </c>
      <c r="J13" s="10" t="str">
        <f t="shared" si="3"/>
        <v>good</v>
      </c>
    </row>
    <row r="14" spans="2:10" x14ac:dyDescent="0.2">
      <c r="D14" s="10" t="s">
        <v>757</v>
      </c>
      <c r="E14" s="272">
        <v>26000</v>
      </c>
      <c r="F14" s="272">
        <v>30500</v>
      </c>
      <c r="G14" s="272">
        <f t="shared" si="0"/>
        <v>4500</v>
      </c>
      <c r="H14" s="22">
        <f t="shared" si="1"/>
        <v>0.17307692307692307</v>
      </c>
      <c r="I14" s="10" t="str">
        <f t="shared" si="2"/>
        <v>bad</v>
      </c>
      <c r="J14" s="10" t="str">
        <f t="shared" si="3"/>
        <v>bad</v>
      </c>
    </row>
  </sheetData>
  <mergeCells count="5">
    <mergeCell ref="B6:D6"/>
    <mergeCell ref="B2:C2"/>
    <mergeCell ref="B3:C3"/>
    <mergeCell ref="B4:C4"/>
    <mergeCell ref="B1:C1"/>
  </mergeCells>
  <hyperlinks>
    <hyperlink ref="B6:D6" location="TOC!A1" display="Go to TOC" xr:uid="{00000000-0004-0000-0200-000000000000}"/>
  </hyperlinks>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s="9" customFormat="1" x14ac:dyDescent="0.2">
      <c r="B1" s="386" t="s">
        <v>1047</v>
      </c>
      <c r="C1" s="386"/>
      <c r="D1" s="263" t="s">
        <v>625</v>
      </c>
    </row>
    <row r="2" spans="2:6" x14ac:dyDescent="0.2">
      <c r="B2" s="263" t="s">
        <v>1124</v>
      </c>
      <c r="C2" s="263"/>
      <c r="D2" s="337" t="str">
        <f>VLOOKUP(D$1,TabelContent[],COLUMN(TabelContent[Titel-EN]))</f>
        <v>Lookup article details</v>
      </c>
    </row>
    <row r="3" spans="2:6" x14ac:dyDescent="0.2">
      <c r="B3" s="263" t="s">
        <v>1125</v>
      </c>
      <c r="C3" s="263"/>
      <c r="D3" s="337" t="str">
        <f>VLOOKUP(D$1,TabelContent[],COLUMN(TabelContent[Cat-EN]))</f>
        <v>Formula</v>
      </c>
    </row>
    <row r="4" spans="2:6" x14ac:dyDescent="0.2">
      <c r="B4" s="263" t="s">
        <v>1126</v>
      </c>
      <c r="C4" s="263"/>
      <c r="D4" s="337">
        <f>VLOOKUP(D$1,TabelContent[],COLUMN(TabelContent[Niveau]))</f>
        <v>2</v>
      </c>
    </row>
    <row r="5" spans="2:6" x14ac:dyDescent="0.2">
      <c r="B5" s="10"/>
      <c r="C5" s="10"/>
      <c r="D5" s="10"/>
      <c r="E5" s="10"/>
    </row>
    <row r="6" spans="2:6" x14ac:dyDescent="0.2">
      <c r="B6" s="387" t="s">
        <v>1132</v>
      </c>
      <c r="C6" s="387"/>
      <c r="D6" s="387"/>
      <c r="E6" s="387"/>
    </row>
    <row r="7" spans="2:6" x14ac:dyDescent="0.2">
      <c r="B7" s="10"/>
      <c r="C7" s="10"/>
      <c r="D7" s="10"/>
      <c r="E7" s="10"/>
    </row>
    <row r="8" spans="2:6" x14ac:dyDescent="0.2">
      <c r="D8" s="1" t="s">
        <v>764</v>
      </c>
    </row>
    <row r="9" spans="2:6" x14ac:dyDescent="0.2">
      <c r="E9" s="65" t="s">
        <v>491</v>
      </c>
      <c r="F9" s="66">
        <v>205</v>
      </c>
    </row>
    <row r="10" spans="2:6" x14ac:dyDescent="0.2">
      <c r="D10" s="1" t="s">
        <v>765</v>
      </c>
      <c r="F10" s="66"/>
    </row>
    <row r="11" spans="2:6" x14ac:dyDescent="0.2">
      <c r="E11" s="61" t="s">
        <v>766</v>
      </c>
      <c r="F11" s="66" t="str">
        <f>VLOOKUP($F$9,D$15:$F$21,2,FALSE)</f>
        <v>HP OfficeJet H470wbt</v>
      </c>
    </row>
    <row r="12" spans="2:6" x14ac:dyDescent="0.2">
      <c r="E12" s="65" t="s">
        <v>767</v>
      </c>
      <c r="F12" s="273">
        <f>VLOOKUP($F$9,D$15:$F$21,3,FALSE)</f>
        <v>293</v>
      </c>
    </row>
    <row r="14" spans="2:6" x14ac:dyDescent="0.2">
      <c r="B14" s="10"/>
      <c r="D14" s="61" t="s">
        <v>483</v>
      </c>
      <c r="E14" s="17" t="s">
        <v>768</v>
      </c>
      <c r="F14" s="61" t="s">
        <v>732</v>
      </c>
    </row>
    <row r="15" spans="2:6" x14ac:dyDescent="0.2">
      <c r="D15" s="10">
        <v>145</v>
      </c>
      <c r="E15" s="10" t="s">
        <v>484</v>
      </c>
      <c r="F15" s="273">
        <v>85</v>
      </c>
    </row>
    <row r="16" spans="2:6" x14ac:dyDescent="0.2">
      <c r="D16" s="10">
        <v>155</v>
      </c>
      <c r="E16" s="10" t="s">
        <v>485</v>
      </c>
      <c r="F16" s="273">
        <v>354</v>
      </c>
    </row>
    <row r="17" spans="4:6" x14ac:dyDescent="0.2">
      <c r="D17" s="10">
        <v>187</v>
      </c>
      <c r="E17" s="10" t="s">
        <v>486</v>
      </c>
      <c r="F17" s="273">
        <v>271</v>
      </c>
    </row>
    <row r="18" spans="4:6" x14ac:dyDescent="0.2">
      <c r="D18" s="10">
        <v>205</v>
      </c>
      <c r="E18" s="10" t="s">
        <v>487</v>
      </c>
      <c r="F18" s="273">
        <v>293</v>
      </c>
    </row>
    <row r="19" spans="4:6" x14ac:dyDescent="0.2">
      <c r="D19" s="10">
        <v>225</v>
      </c>
      <c r="E19" s="10" t="s">
        <v>488</v>
      </c>
      <c r="F19" s="273">
        <v>62</v>
      </c>
    </row>
    <row r="20" spans="4:6" x14ac:dyDescent="0.2">
      <c r="D20" s="10">
        <v>319</v>
      </c>
      <c r="E20" s="10" t="s">
        <v>489</v>
      </c>
      <c r="F20" s="273">
        <v>34</v>
      </c>
    </row>
    <row r="21" spans="4:6" x14ac:dyDescent="0.2">
      <c r="D21" s="10">
        <v>377</v>
      </c>
      <c r="E21" s="10" t="s">
        <v>490</v>
      </c>
      <c r="F21" s="273">
        <v>87</v>
      </c>
    </row>
  </sheetData>
  <mergeCells count="2">
    <mergeCell ref="B6:E6"/>
    <mergeCell ref="B1:C1"/>
  </mergeCells>
  <hyperlinks>
    <hyperlink ref="B6:D6" location="TOC!A1" display="Ga naar Inhoudsopgave" xr:uid="{00000000-0004-0000-0300-000000000000}"/>
    <hyperlink ref="B6:E6" location="TOC!A1" display="Go to TOC" xr:uid="{00000000-0004-0000-0300-000001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4.85546875" bestFit="1" customWidth="1"/>
  </cols>
  <sheetData>
    <row r="1" spans="2:5" s="9" customFormat="1" x14ac:dyDescent="0.2">
      <c r="B1" s="386" t="s">
        <v>1047</v>
      </c>
      <c r="C1" s="386"/>
      <c r="D1" s="263" t="s">
        <v>19</v>
      </c>
    </row>
    <row r="2" spans="2:5" s="4" customFormat="1" x14ac:dyDescent="0.2">
      <c r="B2" s="263" t="s">
        <v>1124</v>
      </c>
      <c r="C2" s="263"/>
      <c r="D2" s="337" t="str">
        <f>VLOOKUP(D$1,TabelContent[],COLUMN(TabelContent[Titel-EN]))</f>
        <v>Calculating with dates</v>
      </c>
    </row>
    <row r="3" spans="2:5" s="4" customFormat="1" x14ac:dyDescent="0.2">
      <c r="B3" s="263" t="s">
        <v>1125</v>
      </c>
      <c r="C3" s="263"/>
      <c r="D3" s="337" t="str">
        <f>VLOOKUP(D$1,TabelContent[],COLUMN(TabelContent[Cat-EN]))</f>
        <v>Formula</v>
      </c>
    </row>
    <row r="4" spans="2:5" s="4" customFormat="1" x14ac:dyDescent="0.2">
      <c r="B4" s="263" t="s">
        <v>1126</v>
      </c>
      <c r="C4" s="263"/>
      <c r="D4" s="337">
        <f>VLOOKUP(D$1,TabelContent[],COLUMN(TabelContent[Niveau]))</f>
        <v>2</v>
      </c>
    </row>
    <row r="5" spans="2:5" s="4" customFormat="1" x14ac:dyDescent="0.2"/>
    <row r="6" spans="2:5" x14ac:dyDescent="0.2">
      <c r="B6" s="387" t="s">
        <v>1132</v>
      </c>
      <c r="C6" s="387"/>
      <c r="D6" s="388"/>
      <c r="E6" s="388"/>
    </row>
    <row r="7" spans="2:5" x14ac:dyDescent="0.2">
      <c r="B7" s="10"/>
      <c r="C7" s="10"/>
      <c r="D7" s="10"/>
      <c r="E7" s="10"/>
    </row>
    <row r="8" spans="2:5" x14ac:dyDescent="0.2">
      <c r="B8" s="10"/>
      <c r="C8" s="17" t="s">
        <v>769</v>
      </c>
      <c r="D8" s="10"/>
      <c r="E8" s="10"/>
    </row>
    <row r="9" spans="2:5" x14ac:dyDescent="0.2">
      <c r="B9" s="10"/>
      <c r="C9" s="10"/>
      <c r="D9" s="10" t="s">
        <v>771</v>
      </c>
      <c r="E9" s="13">
        <v>24532</v>
      </c>
    </row>
    <row r="10" spans="2:5" x14ac:dyDescent="0.2">
      <c r="B10" s="10"/>
      <c r="C10" s="10"/>
      <c r="D10" s="10" t="s">
        <v>772</v>
      </c>
      <c r="E10" s="14">
        <v>67</v>
      </c>
    </row>
    <row r="11" spans="2:5" x14ac:dyDescent="0.2">
      <c r="B11" s="10"/>
      <c r="C11" s="10"/>
      <c r="D11" s="10"/>
      <c r="E11" s="10"/>
    </row>
    <row r="12" spans="2:5" x14ac:dyDescent="0.2">
      <c r="B12" s="10"/>
      <c r="C12" s="17" t="s">
        <v>770</v>
      </c>
      <c r="D12" s="10"/>
      <c r="E12" s="10"/>
    </row>
    <row r="13" spans="2:5" x14ac:dyDescent="0.2">
      <c r="B13" s="10"/>
      <c r="C13" s="10"/>
      <c r="D13" s="10" t="s">
        <v>773</v>
      </c>
      <c r="E13" s="13">
        <f>DATE(YEAR(Date_of_Birth)+Pension_Age,MONTH(Date_of_Birth),DAY(Date_of_Birth))</f>
        <v>49004</v>
      </c>
    </row>
    <row r="14" spans="2:5" x14ac:dyDescent="0.2">
      <c r="B14" s="10"/>
      <c r="C14" s="10"/>
      <c r="D14" s="10" t="s">
        <v>774</v>
      </c>
      <c r="E14" s="13">
        <f ca="1">TODAY()</f>
        <v>44074</v>
      </c>
    </row>
    <row r="15" spans="2:5" x14ac:dyDescent="0.2">
      <c r="B15" s="10"/>
      <c r="C15" s="10"/>
      <c r="D15" s="10" t="s">
        <v>775</v>
      </c>
      <c r="E15" s="14">
        <f ca="1">Pension_Date-E14</f>
        <v>4930</v>
      </c>
    </row>
  </sheetData>
  <mergeCells count="2">
    <mergeCell ref="B6:E6"/>
    <mergeCell ref="B1:C1"/>
  </mergeCells>
  <hyperlinks>
    <hyperlink ref="B6:C6" location="Inhoud!A1" display="Ga naar Inhoudsopgave" xr:uid="{00000000-0004-0000-0400-000000000000}"/>
    <hyperlink ref="B6:E6" location="TOC!A1" display="Go to TOC" xr:uid="{00000000-0004-0000-0400-000001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3" bestFit="1" customWidth="1"/>
    <col min="6" max="6" width="11.5703125" bestFit="1" customWidth="1"/>
  </cols>
  <sheetData>
    <row r="1" spans="2:6" s="9" customFormat="1" x14ac:dyDescent="0.2">
      <c r="B1" s="386" t="s">
        <v>1047</v>
      </c>
      <c r="C1" s="386"/>
      <c r="D1" s="263" t="s">
        <v>20</v>
      </c>
    </row>
    <row r="2" spans="2:6" s="4" customFormat="1" x14ac:dyDescent="0.2">
      <c r="B2" s="263" t="s">
        <v>1124</v>
      </c>
      <c r="C2" s="263"/>
      <c r="D2" s="337" t="str">
        <f>VLOOKUP(D$1,TabelContent[],COLUMN(TabelContent[Titel-EN]))</f>
        <v>Determining commission</v>
      </c>
    </row>
    <row r="3" spans="2:6" s="4" customFormat="1" x14ac:dyDescent="0.2">
      <c r="B3" s="263" t="s">
        <v>1125</v>
      </c>
      <c r="C3" s="263"/>
      <c r="D3" s="337" t="str">
        <f>VLOOKUP(D$1,TabelContent[],COLUMN(TabelContent[Cat-EN]))</f>
        <v>Formula</v>
      </c>
    </row>
    <row r="4" spans="2:6" s="4" customFormat="1" x14ac:dyDescent="0.2">
      <c r="B4" s="263" t="s">
        <v>1126</v>
      </c>
      <c r="C4" s="263"/>
      <c r="D4" s="337">
        <f>VLOOKUP(D$1,TabelContent[],COLUMN(TabelContent[Niveau]))</f>
        <v>2</v>
      </c>
    </row>
    <row r="5" spans="2:6" x14ac:dyDescent="0.2">
      <c r="B5" s="10"/>
      <c r="C5" s="10"/>
      <c r="D5" s="10"/>
      <c r="E5" s="10"/>
    </row>
    <row r="6" spans="2:6" x14ac:dyDescent="0.2">
      <c r="B6" s="387" t="s">
        <v>1132</v>
      </c>
      <c r="C6" s="387"/>
      <c r="D6" s="387"/>
      <c r="E6" s="10"/>
    </row>
    <row r="7" spans="2:6" x14ac:dyDescent="0.2">
      <c r="B7" s="10"/>
      <c r="C7" s="10"/>
      <c r="D7" s="10"/>
      <c r="E7" s="10"/>
    </row>
    <row r="8" spans="2:6" x14ac:dyDescent="0.2">
      <c r="B8" s="10"/>
      <c r="D8" s="10" t="s">
        <v>776</v>
      </c>
      <c r="E8" s="272">
        <v>150000</v>
      </c>
      <c r="F8" s="10"/>
    </row>
    <row r="9" spans="2:6" x14ac:dyDescent="0.2">
      <c r="B9" s="10"/>
      <c r="D9" s="10" t="s">
        <v>777</v>
      </c>
      <c r="E9" s="15">
        <v>5.5E-2</v>
      </c>
      <c r="F9" s="10"/>
    </row>
    <row r="10" spans="2:6" x14ac:dyDescent="0.2">
      <c r="B10" s="10"/>
      <c r="D10" s="10" t="s">
        <v>778</v>
      </c>
      <c r="E10" s="15">
        <v>6.25E-2</v>
      </c>
      <c r="F10" s="10"/>
    </row>
    <row r="11" spans="2:6" x14ac:dyDescent="0.2">
      <c r="B11" s="10"/>
      <c r="D11" s="10"/>
      <c r="E11" s="10"/>
      <c r="F11" s="10"/>
    </row>
    <row r="12" spans="2:6" x14ac:dyDescent="0.2">
      <c r="B12" s="10"/>
      <c r="D12" s="10" t="s">
        <v>779</v>
      </c>
      <c r="E12" s="10" t="s">
        <v>780</v>
      </c>
      <c r="F12" s="10" t="s">
        <v>781</v>
      </c>
    </row>
    <row r="13" spans="2:6" x14ac:dyDescent="0.2">
      <c r="B13" s="10"/>
      <c r="D13" s="10" t="s">
        <v>4</v>
      </c>
      <c r="E13" s="272">
        <v>149000</v>
      </c>
      <c r="F13" s="272">
        <f>IF(E13&lt;Sales_Target,Commission_Low*E13,Commission_High*E13)</f>
        <v>8195</v>
      </c>
    </row>
    <row r="14" spans="2:6" x14ac:dyDescent="0.2">
      <c r="B14" s="10"/>
      <c r="D14" s="10" t="s">
        <v>5</v>
      </c>
      <c r="E14" s="272">
        <v>198000</v>
      </c>
      <c r="F14" s="272">
        <f>IF(E14&lt;Sales_Target,Commission_Low*E14,Commission_High*E14)</f>
        <v>12375</v>
      </c>
    </row>
    <row r="15" spans="2:6" x14ac:dyDescent="0.2">
      <c r="B15" s="10"/>
      <c r="D15" s="10" t="s">
        <v>6</v>
      </c>
      <c r="E15" s="272">
        <v>123000</v>
      </c>
      <c r="F15" s="272">
        <f>IF(E15&lt;Sales_Target,Commission_Low*E15,Commission_High*E15)</f>
        <v>6765</v>
      </c>
    </row>
  </sheetData>
  <mergeCells count="2">
    <mergeCell ref="B6:D6"/>
    <mergeCell ref="B1:C1"/>
  </mergeCells>
  <hyperlinks>
    <hyperlink ref="B6:D6" location="TOC!A1" display="Go to TOC" xr:uid="{00000000-0004-0000-05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8.28515625" bestFit="1" customWidth="1"/>
    <col min="9" max="9" width="7" bestFit="1" customWidth="1"/>
    <col min="10" max="10" width="9.42578125" customWidth="1"/>
  </cols>
  <sheetData>
    <row r="1" spans="2:10" s="9" customFormat="1" x14ac:dyDescent="0.2">
      <c r="B1" s="386" t="s">
        <v>1047</v>
      </c>
      <c r="C1" s="386"/>
      <c r="D1" s="263" t="s">
        <v>26</v>
      </c>
    </row>
    <row r="2" spans="2:10" s="4" customFormat="1" x14ac:dyDescent="0.2">
      <c r="B2" s="263" t="s">
        <v>1124</v>
      </c>
      <c r="C2" s="263"/>
      <c r="D2" s="337" t="str">
        <f>VLOOKUP(D$1,TabelContent[],COLUMN(TabelContent[Titel-EN]))</f>
        <v>Birth dates</v>
      </c>
    </row>
    <row r="3" spans="2:10" s="4" customFormat="1" x14ac:dyDescent="0.2">
      <c r="B3" s="263" t="s">
        <v>1125</v>
      </c>
      <c r="C3" s="263"/>
      <c r="D3" s="337" t="str">
        <f>VLOOKUP(D$1,TabelContent[],COLUMN(TabelContent[Cat-EN]))</f>
        <v>Formula</v>
      </c>
    </row>
    <row r="4" spans="2:10" s="4" customFormat="1" x14ac:dyDescent="0.2">
      <c r="B4" s="263" t="s">
        <v>1126</v>
      </c>
      <c r="C4" s="263"/>
      <c r="D4" s="337">
        <f>VLOOKUP(D$1,TabelContent[],COLUMN(TabelContent[Niveau]))</f>
        <v>3</v>
      </c>
    </row>
    <row r="5" spans="2:10" x14ac:dyDescent="0.2">
      <c r="B5" s="10"/>
      <c r="C5" s="10"/>
      <c r="D5" s="10"/>
      <c r="E5" s="10"/>
      <c r="F5" s="10"/>
      <c r="G5" s="10"/>
      <c r="H5" s="10"/>
      <c r="I5" s="10"/>
    </row>
    <row r="6" spans="2:10" x14ac:dyDescent="0.2">
      <c r="B6" s="387" t="s">
        <v>1132</v>
      </c>
      <c r="C6" s="387"/>
      <c r="D6" s="387"/>
      <c r="E6" s="10"/>
      <c r="F6" s="10"/>
      <c r="G6" s="10"/>
      <c r="H6" s="10"/>
      <c r="I6" s="10"/>
    </row>
    <row r="7" spans="2:10" x14ac:dyDescent="0.2">
      <c r="B7" s="10"/>
      <c r="C7" s="10"/>
      <c r="D7" s="10"/>
      <c r="E7" s="10"/>
      <c r="F7" s="10"/>
      <c r="G7" s="10"/>
      <c r="H7" s="10"/>
      <c r="I7" s="10"/>
    </row>
    <row r="8" spans="2:10" ht="18" x14ac:dyDescent="0.2">
      <c r="B8" s="10"/>
      <c r="D8" s="389" t="s">
        <v>782</v>
      </c>
      <c r="E8" s="390"/>
      <c r="F8" s="390"/>
      <c r="G8" s="390"/>
      <c r="H8" s="390"/>
      <c r="I8" s="390"/>
      <c r="J8" s="390"/>
    </row>
    <row r="9" spans="2:10" x14ac:dyDescent="0.2">
      <c r="B9" s="10"/>
      <c r="D9" s="391" t="s">
        <v>783</v>
      </c>
      <c r="E9" s="390"/>
      <c r="F9" s="390"/>
      <c r="G9" s="390"/>
      <c r="H9" s="390"/>
      <c r="I9" s="390"/>
      <c r="J9" s="390"/>
    </row>
    <row r="10" spans="2:10" x14ac:dyDescent="0.2">
      <c r="B10" s="10"/>
      <c r="D10" s="10"/>
      <c r="E10" s="10"/>
      <c r="F10" s="10"/>
      <c r="G10" s="10"/>
      <c r="H10" s="10"/>
      <c r="I10" s="10"/>
      <c r="J10" s="10"/>
    </row>
    <row r="11" spans="2:10" x14ac:dyDescent="0.2">
      <c r="B11" s="10"/>
      <c r="D11" s="17" t="s">
        <v>784</v>
      </c>
      <c r="E11" s="23">
        <v>40277</v>
      </c>
      <c r="F11" s="10"/>
      <c r="G11" s="10"/>
      <c r="H11" s="10"/>
      <c r="I11" s="10"/>
      <c r="J11" s="10"/>
    </row>
    <row r="12" spans="2:10" x14ac:dyDescent="0.2">
      <c r="B12" s="10"/>
      <c r="D12" s="18"/>
      <c r="E12" s="10"/>
      <c r="F12" s="10"/>
      <c r="G12" s="10"/>
      <c r="H12" s="10"/>
      <c r="I12" s="10"/>
      <c r="J12" s="10"/>
    </row>
    <row r="13" spans="2:10" ht="26.25" customHeight="1" x14ac:dyDescent="0.2">
      <c r="B13" s="10"/>
      <c r="D13" s="17" t="s">
        <v>768</v>
      </c>
      <c r="E13" s="17" t="s">
        <v>785</v>
      </c>
      <c r="F13" s="21" t="s">
        <v>787</v>
      </c>
      <c r="G13" s="21" t="s">
        <v>789</v>
      </c>
      <c r="H13" s="21" t="s">
        <v>790</v>
      </c>
      <c r="I13" s="21" t="s">
        <v>786</v>
      </c>
      <c r="J13" s="21" t="s">
        <v>788</v>
      </c>
    </row>
    <row r="14" spans="2:10" x14ac:dyDescent="0.2">
      <c r="B14" s="10"/>
      <c r="D14" s="10" t="s">
        <v>4</v>
      </c>
      <c r="E14" s="23">
        <v>40247</v>
      </c>
      <c r="F14" s="24">
        <v>40249</v>
      </c>
      <c r="G14" s="233" t="str">
        <f>IF(F14&lt;&gt;"",IF(F14&lt;E14,E14-F14,""),"")</f>
        <v/>
      </c>
      <c r="H14" s="233">
        <f>IF(AND(F14&lt;&gt;"",F14&gt;E14),F14-E14,"")</f>
        <v>2</v>
      </c>
      <c r="I14" s="208" t="str">
        <f>IF(AND(F14&lt;&gt;"",F14=E14),"yes","")</f>
        <v/>
      </c>
      <c r="J14" s="25" t="str">
        <f t="shared" ref="J14:J21" si="0">IF(AND(F14="",E14&lt;Report_Date),"yes","")</f>
        <v/>
      </c>
    </row>
    <row r="15" spans="2:10" x14ac:dyDescent="0.2">
      <c r="B15" s="10"/>
      <c r="D15" s="10" t="s">
        <v>5</v>
      </c>
      <c r="E15" s="23">
        <v>40254</v>
      </c>
      <c r="F15" s="10"/>
      <c r="G15" s="233" t="str">
        <f t="shared" ref="G15:G21" si="1">IF(F15&lt;&gt;"",IF(F15&lt;E15,E15-F15,""),"")</f>
        <v/>
      </c>
      <c r="H15" s="233" t="str">
        <f t="shared" ref="H15:H21" si="2">IF(AND(F15&lt;&gt;"",F15&gt;E15),F15-E15,"")</f>
        <v/>
      </c>
      <c r="I15" s="208" t="str">
        <f t="shared" ref="I15:I21" si="3">IF(AND(F15&lt;&gt;"",F15=E15),"yes","")</f>
        <v/>
      </c>
      <c r="J15" s="25" t="str">
        <f t="shared" si="0"/>
        <v>yes</v>
      </c>
    </row>
    <row r="16" spans="2:10" x14ac:dyDescent="0.2">
      <c r="B16" s="10"/>
      <c r="D16" s="10" t="s">
        <v>7</v>
      </c>
      <c r="E16" s="23">
        <v>40259</v>
      </c>
      <c r="F16" s="24">
        <v>40262</v>
      </c>
      <c r="G16" s="233" t="str">
        <f t="shared" si="1"/>
        <v/>
      </c>
      <c r="H16" s="233">
        <f t="shared" si="2"/>
        <v>3</v>
      </c>
      <c r="I16" s="208" t="str">
        <f t="shared" si="3"/>
        <v/>
      </c>
      <c r="J16" s="25" t="str">
        <f t="shared" si="0"/>
        <v/>
      </c>
    </row>
    <row r="17" spans="2:10" x14ac:dyDescent="0.2">
      <c r="B17" s="10"/>
      <c r="D17" s="10" t="s">
        <v>8</v>
      </c>
      <c r="E17" s="23">
        <v>40271</v>
      </c>
      <c r="F17" s="10"/>
      <c r="G17" s="233" t="str">
        <f t="shared" si="1"/>
        <v/>
      </c>
      <c r="H17" s="233" t="str">
        <f t="shared" si="2"/>
        <v/>
      </c>
      <c r="I17" s="208" t="str">
        <f t="shared" si="3"/>
        <v/>
      </c>
      <c r="J17" s="25" t="str">
        <f t="shared" si="0"/>
        <v>yes</v>
      </c>
    </row>
    <row r="18" spans="2:10" x14ac:dyDescent="0.2">
      <c r="B18" s="10"/>
      <c r="D18" s="10" t="s">
        <v>9</v>
      </c>
      <c r="E18" s="23">
        <v>40276</v>
      </c>
      <c r="F18" s="26">
        <v>40276</v>
      </c>
      <c r="G18" s="233" t="str">
        <f t="shared" si="1"/>
        <v/>
      </c>
      <c r="H18" s="233" t="str">
        <f t="shared" si="2"/>
        <v/>
      </c>
      <c r="I18" s="208" t="str">
        <f t="shared" si="3"/>
        <v>yes</v>
      </c>
      <c r="J18" s="25" t="str">
        <f t="shared" si="0"/>
        <v/>
      </c>
    </row>
    <row r="19" spans="2:10" x14ac:dyDescent="0.2">
      <c r="B19" s="10"/>
      <c r="D19" s="10" t="s">
        <v>10</v>
      </c>
      <c r="E19" s="23">
        <v>40278</v>
      </c>
      <c r="F19" s="24">
        <v>40274</v>
      </c>
      <c r="G19" s="233">
        <f t="shared" si="1"/>
        <v>4</v>
      </c>
      <c r="H19" s="233" t="str">
        <f t="shared" si="2"/>
        <v/>
      </c>
      <c r="I19" s="208" t="str">
        <f t="shared" si="3"/>
        <v/>
      </c>
      <c r="J19" s="25" t="str">
        <f t="shared" si="0"/>
        <v/>
      </c>
    </row>
    <row r="20" spans="2:10" x14ac:dyDescent="0.2">
      <c r="B20" s="10"/>
      <c r="D20" s="10" t="s">
        <v>11</v>
      </c>
      <c r="E20" s="23">
        <v>40283</v>
      </c>
      <c r="F20" s="24">
        <v>40275</v>
      </c>
      <c r="G20" s="233">
        <f t="shared" si="1"/>
        <v>8</v>
      </c>
      <c r="H20" s="233" t="str">
        <f t="shared" si="2"/>
        <v/>
      </c>
      <c r="I20" s="208" t="str">
        <f t="shared" si="3"/>
        <v/>
      </c>
      <c r="J20" s="25" t="str">
        <f t="shared" si="0"/>
        <v/>
      </c>
    </row>
    <row r="21" spans="2:10" x14ac:dyDescent="0.2">
      <c r="B21" s="10"/>
      <c r="D21" s="10" t="s">
        <v>6</v>
      </c>
      <c r="E21" s="23">
        <v>40284</v>
      </c>
      <c r="F21" s="26"/>
      <c r="G21" s="233" t="str">
        <f t="shared" si="1"/>
        <v/>
      </c>
      <c r="H21" s="233" t="str">
        <f t="shared" si="2"/>
        <v/>
      </c>
      <c r="I21" s="208" t="str">
        <f t="shared" si="3"/>
        <v/>
      </c>
      <c r="J21" s="25" t="str">
        <f t="shared" si="0"/>
        <v/>
      </c>
    </row>
  </sheetData>
  <mergeCells count="4">
    <mergeCell ref="B1:C1"/>
    <mergeCell ref="D8:J8"/>
    <mergeCell ref="D9:J9"/>
    <mergeCell ref="B6:D6"/>
  </mergeCells>
  <hyperlinks>
    <hyperlink ref="B6:D6" location="TOC!A1" display="Go to TOC" xr:uid="{00000000-0004-0000-06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9.7109375" style="4" customWidth="1"/>
    <col min="6" max="6" width="9.5703125" style="4" bestFit="1" customWidth="1"/>
    <col min="7" max="7" width="8.28515625" style="4" bestFit="1" customWidth="1"/>
    <col min="8" max="16384" width="9.140625" style="4"/>
  </cols>
  <sheetData>
    <row r="1" spans="2:7" s="9" customFormat="1" x14ac:dyDescent="0.2">
      <c r="B1" s="386" t="s">
        <v>1047</v>
      </c>
      <c r="C1" s="386"/>
      <c r="D1" s="263" t="s">
        <v>247</v>
      </c>
    </row>
    <row r="2" spans="2:7" x14ac:dyDescent="0.2">
      <c r="B2" s="263" t="s">
        <v>1124</v>
      </c>
      <c r="C2" s="263"/>
      <c r="D2" s="337" t="str">
        <f>VLOOKUP(D$1,TabelContent[],COLUMN(TabelContent[Titel-EN]))</f>
        <v>VAT return</v>
      </c>
    </row>
    <row r="3" spans="2:7" x14ac:dyDescent="0.2">
      <c r="B3" s="263" t="s">
        <v>1125</v>
      </c>
      <c r="C3" s="263"/>
      <c r="D3" s="337" t="str">
        <f>VLOOKUP(D$1,TabelContent[],COLUMN(TabelContent[Cat-EN]))</f>
        <v>Formula</v>
      </c>
    </row>
    <row r="4" spans="2:7" x14ac:dyDescent="0.2">
      <c r="B4" s="263" t="s">
        <v>1126</v>
      </c>
      <c r="C4" s="263"/>
      <c r="D4" s="337">
        <f>VLOOKUP(D$1,TabelContent[],COLUMN(TabelContent[Niveau]))</f>
        <v>3</v>
      </c>
    </row>
    <row r="5" spans="2:7" x14ac:dyDescent="0.2">
      <c r="B5" s="10"/>
      <c r="C5" s="10"/>
      <c r="D5" s="10"/>
      <c r="E5" s="10"/>
      <c r="F5" s="10"/>
    </row>
    <row r="6" spans="2:7" x14ac:dyDescent="0.2">
      <c r="B6" s="387" t="s">
        <v>1132</v>
      </c>
      <c r="C6" s="387"/>
      <c r="D6" s="387"/>
      <c r="E6" s="10"/>
      <c r="F6" s="10"/>
    </row>
    <row r="7" spans="2:7" x14ac:dyDescent="0.2">
      <c r="B7" s="10"/>
      <c r="C7" s="10"/>
      <c r="D7" s="10"/>
      <c r="E7" s="10"/>
      <c r="F7" s="10"/>
    </row>
    <row r="8" spans="2:7" x14ac:dyDescent="0.2">
      <c r="B8" s="10"/>
      <c r="D8" s="17" t="s">
        <v>791</v>
      </c>
      <c r="E8" s="10"/>
      <c r="F8" s="10"/>
      <c r="G8" s="10"/>
    </row>
    <row r="9" spans="2:7" x14ac:dyDescent="0.2">
      <c r="B9" s="10"/>
      <c r="D9" s="10" t="s">
        <v>792</v>
      </c>
      <c r="E9" s="272">
        <v>20000</v>
      </c>
      <c r="F9" s="10"/>
      <c r="G9" s="10"/>
    </row>
    <row r="10" spans="2:7" x14ac:dyDescent="0.2">
      <c r="B10" s="10"/>
      <c r="D10" s="10" t="s">
        <v>793</v>
      </c>
      <c r="E10" s="272">
        <v>1000</v>
      </c>
      <c r="F10" s="10"/>
      <c r="G10" s="10"/>
    </row>
    <row r="11" spans="2:7" x14ac:dyDescent="0.2">
      <c r="B11" s="10"/>
      <c r="D11" s="10"/>
      <c r="E11" s="10"/>
      <c r="F11" s="10"/>
      <c r="G11" s="10"/>
    </row>
    <row r="12" spans="2:7" x14ac:dyDescent="0.2">
      <c r="B12" s="10"/>
      <c r="D12" s="17" t="s">
        <v>794</v>
      </c>
      <c r="E12" s="16"/>
      <c r="F12" s="10"/>
      <c r="G12" s="10"/>
    </row>
    <row r="13" spans="2:7" x14ac:dyDescent="0.2">
      <c r="B13" s="10"/>
      <c r="D13" s="10" t="s">
        <v>795</v>
      </c>
      <c r="E13" s="272">
        <v>1345</v>
      </c>
      <c r="F13" s="10"/>
      <c r="G13" s="10"/>
    </row>
    <row r="14" spans="2:7" x14ac:dyDescent="0.2">
      <c r="B14" s="10"/>
      <c r="D14" s="10" t="s">
        <v>796</v>
      </c>
      <c r="E14" s="272">
        <v>1883</v>
      </c>
      <c r="F14" s="10"/>
      <c r="G14" s="10"/>
    </row>
    <row r="15" spans="2:7" x14ac:dyDescent="0.2">
      <c r="B15" s="10"/>
      <c r="D15" s="10" t="s">
        <v>797</v>
      </c>
      <c r="E15" s="22">
        <v>0.21</v>
      </c>
      <c r="F15" s="10"/>
      <c r="G15" s="10"/>
    </row>
    <row r="16" spans="2:7" x14ac:dyDescent="0.2">
      <c r="B16" s="10"/>
      <c r="D16" s="10"/>
      <c r="E16" s="22"/>
      <c r="F16" s="10"/>
      <c r="G16" s="10"/>
    </row>
    <row r="17" spans="2:7" x14ac:dyDescent="0.2">
      <c r="B17" s="10"/>
      <c r="D17" s="17" t="s">
        <v>798</v>
      </c>
      <c r="E17" s="10"/>
      <c r="F17" s="10"/>
      <c r="G17" s="10"/>
    </row>
    <row r="18" spans="2:7" x14ac:dyDescent="0.2">
      <c r="B18" s="10"/>
      <c r="D18" s="10" t="s">
        <v>799</v>
      </c>
      <c r="E18" s="272">
        <f>E15*E9</f>
        <v>4200</v>
      </c>
      <c r="F18" s="10"/>
      <c r="G18" s="10"/>
    </row>
    <row r="19" spans="2:7" x14ac:dyDescent="0.2">
      <c r="B19" s="10"/>
      <c r="D19" s="10" t="s">
        <v>800</v>
      </c>
      <c r="E19" s="272">
        <f>E10</f>
        <v>1000</v>
      </c>
      <c r="F19" s="10"/>
      <c r="G19" s="10"/>
    </row>
    <row r="20" spans="2:7" x14ac:dyDescent="0.2">
      <c r="B20" s="10"/>
      <c r="D20" s="10" t="s">
        <v>801</v>
      </c>
      <c r="E20" s="272">
        <f>E18-E19</f>
        <v>3200</v>
      </c>
      <c r="F20" s="10"/>
      <c r="G20" s="10"/>
    </row>
    <row r="21" spans="2:7" x14ac:dyDescent="0.2">
      <c r="B21" s="10"/>
      <c r="D21" s="10" t="s">
        <v>802</v>
      </c>
      <c r="E21" s="272">
        <f>IF(E20&lt;0,0,IF(E20&gt;E14,0,IF(E20&lt;=E13,E20,2.5*(E14-E20))))</f>
        <v>0</v>
      </c>
      <c r="F21" s="10"/>
      <c r="G21" s="10"/>
    </row>
    <row r="22" spans="2:7" x14ac:dyDescent="0.2">
      <c r="B22" s="10"/>
      <c r="D22" s="17" t="str">
        <f>IF(E22&lt;0,"To receive","To pay")</f>
        <v>To pay</v>
      </c>
      <c r="E22" s="271">
        <f>ABS(E20-E21)</f>
        <v>3200</v>
      </c>
      <c r="F22" s="10"/>
      <c r="G22" s="10"/>
    </row>
    <row r="23" spans="2:7" x14ac:dyDescent="0.2">
      <c r="B23" s="10"/>
      <c r="D23" s="10"/>
      <c r="E23" s="10"/>
      <c r="F23" s="10"/>
      <c r="G23" s="10"/>
    </row>
  </sheetData>
  <mergeCells count="2">
    <mergeCell ref="B6:D6"/>
    <mergeCell ref="B1:C1"/>
  </mergeCells>
  <hyperlinks>
    <hyperlink ref="B6:D6" location="TOC!A1" display="Go to TOC" xr:uid="{00000000-0004-0000-07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5" width="8.7109375" style="4" customWidth="1"/>
    <col min="6" max="6" width="9.5703125" style="4" bestFit="1" customWidth="1"/>
    <col min="7" max="16384" width="9.140625" style="4"/>
  </cols>
  <sheetData>
    <row r="1" spans="2:5" s="9" customFormat="1" x14ac:dyDescent="0.2">
      <c r="B1" s="386" t="s">
        <v>1047</v>
      </c>
      <c r="C1" s="386"/>
      <c r="D1" s="263" t="s">
        <v>637</v>
      </c>
    </row>
    <row r="2" spans="2:5" x14ac:dyDescent="0.2">
      <c r="B2" s="263" t="s">
        <v>1124</v>
      </c>
      <c r="C2" s="263"/>
      <c r="D2" s="337" t="str">
        <f>VLOOKUP(D$1,TabelContent[],COLUMN(TabelContent[Titel-EN]))</f>
        <v>Ticket price</v>
      </c>
    </row>
    <row r="3" spans="2:5" x14ac:dyDescent="0.2">
      <c r="B3" s="263" t="s">
        <v>1125</v>
      </c>
      <c r="C3" s="263"/>
      <c r="D3" s="337" t="str">
        <f>VLOOKUP(D$1,TabelContent[],COLUMN(TabelContent[Cat-EN]))</f>
        <v>Formula</v>
      </c>
    </row>
    <row r="4" spans="2:5" x14ac:dyDescent="0.2">
      <c r="B4" s="263" t="s">
        <v>1126</v>
      </c>
      <c r="C4" s="263"/>
      <c r="D4" s="337">
        <f>VLOOKUP(D$1,TabelContent[],COLUMN(TabelContent[Niveau]))</f>
        <v>1</v>
      </c>
    </row>
    <row r="5" spans="2:5" x14ac:dyDescent="0.2">
      <c r="B5" s="10"/>
      <c r="C5" s="10"/>
      <c r="D5" s="10"/>
      <c r="E5" s="10"/>
    </row>
    <row r="6" spans="2:5" x14ac:dyDescent="0.2">
      <c r="B6" s="387" t="s">
        <v>1132</v>
      </c>
      <c r="C6" s="387"/>
      <c r="D6" s="387"/>
      <c r="E6" s="10"/>
    </row>
    <row r="7" spans="2:5" x14ac:dyDescent="0.2">
      <c r="B7" s="10"/>
      <c r="C7" s="10"/>
      <c r="D7" s="10"/>
      <c r="E7" s="10"/>
    </row>
    <row r="8" spans="2:5" x14ac:dyDescent="0.2">
      <c r="D8" s="1" t="s">
        <v>804</v>
      </c>
      <c r="E8" s="65" t="s">
        <v>732</v>
      </c>
    </row>
    <row r="9" spans="2:5" x14ac:dyDescent="0.2">
      <c r="D9" s="4" t="s">
        <v>808</v>
      </c>
      <c r="E9" s="248">
        <v>3</v>
      </c>
    </row>
    <row r="10" spans="2:5" x14ac:dyDescent="0.2">
      <c r="D10" s="4" t="s">
        <v>807</v>
      </c>
      <c r="E10" s="248">
        <v>6</v>
      </c>
    </row>
    <row r="12" spans="2:5" x14ac:dyDescent="0.2">
      <c r="D12" s="4" t="s">
        <v>805</v>
      </c>
      <c r="E12" s="245">
        <v>10</v>
      </c>
    </row>
    <row r="13" spans="2:5" x14ac:dyDescent="0.2">
      <c r="D13" s="4" t="s">
        <v>806</v>
      </c>
      <c r="E13" s="248">
        <f>IF(E12&gt;12,E10,E9)</f>
        <v>3</v>
      </c>
    </row>
  </sheetData>
  <mergeCells count="2">
    <mergeCell ref="B6:D6"/>
    <mergeCell ref="B1:C1"/>
  </mergeCells>
  <hyperlinks>
    <hyperlink ref="B6:D6" location="TOC!A1" display="Go to TOC" xr:uid="{00000000-0004-0000-08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F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2.7109375" style="4" customWidth="1"/>
    <col min="6" max="6" width="15.28515625" style="4" bestFit="1" customWidth="1"/>
    <col min="7" max="16384" width="9.140625" style="4"/>
  </cols>
  <sheetData>
    <row r="1" spans="2:6" s="9" customFormat="1" x14ac:dyDescent="0.2">
      <c r="B1" s="386" t="s">
        <v>1047</v>
      </c>
      <c r="C1" s="386"/>
      <c r="D1" s="263" t="s">
        <v>638</v>
      </c>
    </row>
    <row r="2" spans="2:6" x14ac:dyDescent="0.2">
      <c r="B2" s="263" t="s">
        <v>1124</v>
      </c>
      <c r="C2" s="263"/>
      <c r="D2" s="337" t="str">
        <f>VLOOKUP(D$1,TabelContent[],COLUMN(TabelContent[Titel-EN]))</f>
        <v>Property tax</v>
      </c>
    </row>
    <row r="3" spans="2:6" x14ac:dyDescent="0.2">
      <c r="B3" s="263" t="s">
        <v>1125</v>
      </c>
      <c r="C3" s="263"/>
      <c r="D3" s="337" t="str">
        <f>VLOOKUP(D$1,TabelContent[],COLUMN(TabelContent[Cat-EN]))</f>
        <v>Formula</v>
      </c>
    </row>
    <row r="4" spans="2:6" x14ac:dyDescent="0.2">
      <c r="B4" s="263" t="s">
        <v>1126</v>
      </c>
      <c r="C4" s="263"/>
      <c r="D4" s="337">
        <f>VLOOKUP(D$1,TabelContent[],COLUMN(TabelContent[Niveau]))</f>
        <v>2</v>
      </c>
    </row>
    <row r="5" spans="2:6" x14ac:dyDescent="0.2">
      <c r="B5" s="10"/>
      <c r="C5" s="10"/>
      <c r="D5" s="10"/>
      <c r="E5" s="10"/>
    </row>
    <row r="6" spans="2:6" x14ac:dyDescent="0.2">
      <c r="B6" s="387" t="s">
        <v>1132</v>
      </c>
      <c r="C6" s="387"/>
      <c r="D6" s="387"/>
      <c r="E6" s="10"/>
    </row>
    <row r="7" spans="2:6" x14ac:dyDescent="0.2">
      <c r="B7" s="10"/>
      <c r="C7" s="10"/>
      <c r="D7" s="10"/>
      <c r="E7" s="10"/>
    </row>
    <row r="8" spans="2:6" ht="15.75" x14ac:dyDescent="0.25">
      <c r="D8" s="201" t="s">
        <v>809</v>
      </c>
      <c r="E8" s="75"/>
      <c r="F8" s="75"/>
    </row>
    <row r="9" spans="2:6" x14ac:dyDescent="0.2">
      <c r="D9" s="4" t="s">
        <v>810</v>
      </c>
      <c r="E9" s="202">
        <v>1.0640000000000001E-3</v>
      </c>
      <c r="F9" s="4" t="s">
        <v>816</v>
      </c>
    </row>
    <row r="10" spans="2:6" x14ac:dyDescent="0.2">
      <c r="D10" s="4" t="s">
        <v>811</v>
      </c>
      <c r="E10" s="202">
        <v>1.224E-3</v>
      </c>
      <c r="F10" s="4" t="s">
        <v>816</v>
      </c>
    </row>
    <row r="12" spans="2:6" x14ac:dyDescent="0.2">
      <c r="D12" s="4" t="s">
        <v>812</v>
      </c>
      <c r="E12" s="274">
        <v>375000</v>
      </c>
    </row>
    <row r="13" spans="2:6" x14ac:dyDescent="0.2">
      <c r="E13" s="203"/>
      <c r="F13" s="204" t="s">
        <v>803</v>
      </c>
    </row>
    <row r="14" spans="2:6" x14ac:dyDescent="0.2">
      <c r="D14" s="4" t="s">
        <v>813</v>
      </c>
      <c r="E14" s="205" t="s">
        <v>701</v>
      </c>
      <c r="F14" s="275">
        <f>IF(E14="yes",E9*$E$12,0)</f>
        <v>399</v>
      </c>
    </row>
    <row r="15" spans="2:6" x14ac:dyDescent="0.2">
      <c r="D15" s="4" t="s">
        <v>814</v>
      </c>
      <c r="E15" s="205" t="s">
        <v>701</v>
      </c>
      <c r="F15" s="275">
        <f>IF(E15="yes",E10*$E$12,0)</f>
        <v>459</v>
      </c>
    </row>
    <row r="16" spans="2:6" ht="13.5" thickBot="1" x14ac:dyDescent="0.25">
      <c r="F16" s="76"/>
    </row>
    <row r="17" spans="5:6" ht="13.5" thickBot="1" x14ac:dyDescent="0.25">
      <c r="E17" s="235" t="s">
        <v>815</v>
      </c>
      <c r="F17" s="276">
        <f>F14+F15</f>
        <v>858</v>
      </c>
    </row>
  </sheetData>
  <mergeCells count="2">
    <mergeCell ref="B6:D6"/>
    <mergeCell ref="B1:C1"/>
  </mergeCells>
  <hyperlinks>
    <hyperlink ref="B6:D6" location="TOC!A1" display="Go to TOC" xr:uid="{00000000-0004-0000-09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s="9" customFormat="1" x14ac:dyDescent="0.2">
      <c r="B1" s="386" t="s">
        <v>1047</v>
      </c>
      <c r="C1" s="386"/>
      <c r="D1" s="263" t="s">
        <v>639</v>
      </c>
    </row>
    <row r="2" spans="2:5" x14ac:dyDescent="0.2">
      <c r="B2" s="263" t="s">
        <v>1124</v>
      </c>
      <c r="C2" s="263"/>
      <c r="D2" s="337" t="str">
        <f>VLOOKUP(D$1,TabelContent[],COLUMN(TabelContent[Titel-EN]))</f>
        <v>Savings deposit</v>
      </c>
    </row>
    <row r="3" spans="2:5" x14ac:dyDescent="0.2">
      <c r="B3" s="263" t="s">
        <v>1125</v>
      </c>
      <c r="C3" s="263"/>
      <c r="D3" s="337" t="str">
        <f>VLOOKUP(D$1,TabelContent[],COLUMN(TabelContent[Cat-EN]))</f>
        <v>Formula</v>
      </c>
    </row>
    <row r="4" spans="2:5" x14ac:dyDescent="0.2">
      <c r="B4" s="263" t="s">
        <v>1126</v>
      </c>
      <c r="C4" s="263"/>
      <c r="D4" s="337">
        <f>VLOOKUP(D$1,TabelContent[],COLUMN(TabelContent[Niveau]))</f>
        <v>1</v>
      </c>
    </row>
    <row r="5" spans="2:5" x14ac:dyDescent="0.2">
      <c r="B5" s="10"/>
      <c r="C5" s="10"/>
      <c r="D5" s="10"/>
    </row>
    <row r="6" spans="2:5" x14ac:dyDescent="0.2">
      <c r="B6" s="387" t="s">
        <v>1132</v>
      </c>
      <c r="C6" s="387"/>
      <c r="D6" s="387"/>
    </row>
    <row r="7" spans="2:5" x14ac:dyDescent="0.2">
      <c r="B7" s="10"/>
      <c r="C7" s="10"/>
      <c r="D7" s="10"/>
    </row>
    <row r="8" spans="2:5" x14ac:dyDescent="0.2">
      <c r="D8" s="4" t="s">
        <v>803</v>
      </c>
      <c r="E8" s="248">
        <v>20000</v>
      </c>
    </row>
    <row r="9" spans="2:5" x14ac:dyDescent="0.2">
      <c r="D9" s="4" t="s">
        <v>818</v>
      </c>
      <c r="E9" s="206">
        <v>2.75E-2</v>
      </c>
    </row>
    <row r="11" spans="2:5" x14ac:dyDescent="0.2">
      <c r="D11" s="4" t="s">
        <v>817</v>
      </c>
    </row>
    <row r="12" spans="2:5" x14ac:dyDescent="0.2">
      <c r="D12" s="4" t="s">
        <v>655</v>
      </c>
      <c r="E12" s="277">
        <f>E8*E9</f>
        <v>550</v>
      </c>
    </row>
    <row r="13" spans="2:5" x14ac:dyDescent="0.2">
      <c r="D13" s="4" t="s">
        <v>803</v>
      </c>
      <c r="E13" s="277">
        <f>E8+E12</f>
        <v>20550</v>
      </c>
    </row>
  </sheetData>
  <mergeCells count="2">
    <mergeCell ref="B6:D6"/>
    <mergeCell ref="B1:C1"/>
  </mergeCells>
  <hyperlinks>
    <hyperlink ref="B6:D6" location="TOC!A1" display="Go to TOC" xr:uid="{00000000-0004-0000-0A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s="9" customFormat="1" x14ac:dyDescent="0.2">
      <c r="B1" s="386" t="s">
        <v>1047</v>
      </c>
      <c r="C1" s="386"/>
      <c r="D1" s="263" t="s">
        <v>642</v>
      </c>
    </row>
    <row r="2" spans="2:6" x14ac:dyDescent="0.2">
      <c r="B2" s="263" t="s">
        <v>1124</v>
      </c>
      <c r="C2" s="263"/>
      <c r="D2" s="337" t="str">
        <f>VLOOKUP(D$1,TabelContent[],COLUMN(TabelContent[Titel-EN]))</f>
        <v>Joule's law</v>
      </c>
    </row>
    <row r="3" spans="2:6" x14ac:dyDescent="0.2">
      <c r="B3" s="263" t="s">
        <v>1125</v>
      </c>
      <c r="C3" s="263"/>
      <c r="D3" s="337" t="str">
        <f>VLOOKUP(D$1,TabelContent[],COLUMN(TabelContent[Cat-EN]))</f>
        <v>Formula</v>
      </c>
    </row>
    <row r="4" spans="2:6" x14ac:dyDescent="0.2">
      <c r="B4" s="263" t="s">
        <v>1126</v>
      </c>
      <c r="C4" s="263"/>
      <c r="D4" s="337">
        <f>VLOOKUP(D$1,TabelContent[],COLUMN(TabelContent[Niveau]))</f>
        <v>1</v>
      </c>
    </row>
    <row r="5" spans="2:6" x14ac:dyDescent="0.2">
      <c r="B5" s="10"/>
      <c r="C5" s="10"/>
      <c r="D5" s="10"/>
    </row>
    <row r="6" spans="2:6" x14ac:dyDescent="0.2">
      <c r="B6" s="387" t="s">
        <v>1132</v>
      </c>
      <c r="C6" s="387"/>
      <c r="D6" s="387"/>
    </row>
    <row r="7" spans="2:6" x14ac:dyDescent="0.2">
      <c r="B7" s="10"/>
      <c r="C7" s="10"/>
      <c r="D7" s="10"/>
    </row>
    <row r="8" spans="2:6" x14ac:dyDescent="0.2">
      <c r="D8" s="4" t="s">
        <v>819</v>
      </c>
      <c r="E8" s="4">
        <v>2</v>
      </c>
      <c r="F8" s="4" t="s">
        <v>823</v>
      </c>
    </row>
    <row r="9" spans="2:6" x14ac:dyDescent="0.2">
      <c r="D9" s="4" t="s">
        <v>820</v>
      </c>
      <c r="E9" s="4">
        <v>5</v>
      </c>
      <c r="F9" s="4" t="s">
        <v>824</v>
      </c>
    </row>
    <row r="10" spans="2:6" x14ac:dyDescent="0.2">
      <c r="D10" s="4" t="s">
        <v>821</v>
      </c>
      <c r="E10" s="4">
        <v>30</v>
      </c>
      <c r="F10" s="4" t="s">
        <v>640</v>
      </c>
    </row>
    <row r="11" spans="2:6" x14ac:dyDescent="0.2">
      <c r="D11" s="4" t="s">
        <v>822</v>
      </c>
      <c r="E11" s="4">
        <f>0.24*E8^2*E9*E10</f>
        <v>144</v>
      </c>
      <c r="F11" s="4" t="s">
        <v>641</v>
      </c>
    </row>
  </sheetData>
  <mergeCells count="2">
    <mergeCell ref="B6:D6"/>
    <mergeCell ref="B1:C1"/>
  </mergeCells>
  <hyperlinks>
    <hyperlink ref="B6:D6" location="TOC!A1" display="Go to TOC" xr:uid="{00000000-0004-0000-0B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11.5703125" style="9" bestFit="1" customWidth="1"/>
    <col min="6" max="16384" width="9.140625" style="9"/>
  </cols>
  <sheetData>
    <row r="1" spans="2:7" x14ac:dyDescent="0.2">
      <c r="B1" s="386" t="s">
        <v>1047</v>
      </c>
      <c r="C1" s="386"/>
      <c r="D1" s="311" t="s">
        <v>1190</v>
      </c>
    </row>
    <row r="2" spans="2:7" x14ac:dyDescent="0.2">
      <c r="B2" s="311" t="s">
        <v>1124</v>
      </c>
      <c r="C2" s="311"/>
      <c r="D2" s="337" t="str">
        <f>VLOOKUP(D$1,TabelContent[],COLUMN(TabelContent[Titel-EN]))</f>
        <v>Investment bond</v>
      </c>
    </row>
    <row r="3" spans="2:7" x14ac:dyDescent="0.2">
      <c r="B3" s="311" t="s">
        <v>1125</v>
      </c>
      <c r="C3" s="311"/>
      <c r="D3" s="337" t="str">
        <f>VLOOKUP(D$1,TabelContent[],COLUMN(TabelContent[Cat-EN]))</f>
        <v>Formula</v>
      </c>
    </row>
    <row r="4" spans="2:7" x14ac:dyDescent="0.2">
      <c r="B4" s="311" t="s">
        <v>1126</v>
      </c>
      <c r="C4" s="311"/>
      <c r="D4" s="337">
        <f>VLOOKUP(D$1,TabelContent[],COLUMN(TabelContent[Niveau]))</f>
        <v>1</v>
      </c>
    </row>
    <row r="5" spans="2:7" x14ac:dyDescent="0.2">
      <c r="B5" s="50"/>
      <c r="C5" s="50"/>
      <c r="D5" s="50"/>
    </row>
    <row r="6" spans="2:7" x14ac:dyDescent="0.2">
      <c r="B6" s="387" t="s">
        <v>1132</v>
      </c>
      <c r="C6" s="387"/>
      <c r="D6" s="387"/>
    </row>
    <row r="7" spans="2:7" x14ac:dyDescent="0.2">
      <c r="B7" s="50"/>
      <c r="C7" s="50"/>
      <c r="D7" s="50"/>
    </row>
    <row r="8" spans="2:7" x14ac:dyDescent="0.2">
      <c r="D8" s="9" t="s">
        <v>1193</v>
      </c>
      <c r="E8" s="9" t="s">
        <v>1194</v>
      </c>
      <c r="F8" s="9" t="s">
        <v>1195</v>
      </c>
      <c r="G8" s="9" t="s">
        <v>1196</v>
      </c>
    </row>
    <row r="9" spans="2:7" x14ac:dyDescent="0.2">
      <c r="D9" s="248">
        <v>252591.95005755726</v>
      </c>
      <c r="E9" s="278">
        <v>300000</v>
      </c>
      <c r="F9" s="179">
        <v>3.5000000000000003E-2</v>
      </c>
      <c r="G9" s="9">
        <v>5</v>
      </c>
    </row>
  </sheetData>
  <mergeCells count="2">
    <mergeCell ref="B1:C1"/>
    <mergeCell ref="B6:D6"/>
  </mergeCells>
  <hyperlinks>
    <hyperlink ref="B6:D6" location="TOC!A1" display="Go to TOC" xr:uid="{00000000-0004-0000-0C00-000000000000}"/>
  </hyperlinks>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68238-3D37-4D91-B89C-EC0490593CA3}">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11.85546875" style="9" bestFit="1" customWidth="1"/>
    <col min="6" max="16" width="4.7109375" style="9" customWidth="1"/>
    <col min="17" max="16384" width="9.140625" style="9"/>
  </cols>
  <sheetData>
    <row r="1" spans="2:16" x14ac:dyDescent="0.2">
      <c r="B1" s="386" t="s">
        <v>1047</v>
      </c>
      <c r="C1" s="386"/>
      <c r="D1" s="337" t="s">
        <v>1219</v>
      </c>
    </row>
    <row r="2" spans="2:16" x14ac:dyDescent="0.2">
      <c r="B2" s="337" t="s">
        <v>1124</v>
      </c>
      <c r="C2" s="337"/>
      <c r="D2" s="337" t="str">
        <f>VLOOKUP(D$1,TabelContent[],COLUMN(TabelContent[Titel-EN]))</f>
        <v>Multiplying table</v>
      </c>
    </row>
    <row r="3" spans="2:16" x14ac:dyDescent="0.2">
      <c r="B3" s="337" t="s">
        <v>1125</v>
      </c>
      <c r="C3" s="337"/>
      <c r="D3" s="337" t="str">
        <f>VLOOKUP(D$1,TabelContent[],COLUMN(TabelContent[Cat-EN]))</f>
        <v>Formula</v>
      </c>
    </row>
    <row r="4" spans="2:16" x14ac:dyDescent="0.2">
      <c r="B4" s="337" t="s">
        <v>1126</v>
      </c>
      <c r="C4" s="337"/>
      <c r="D4" s="337">
        <f>VLOOKUP(D$1,TabelContent[],COLUMN(TabelContent[Niveau]))</f>
        <v>1</v>
      </c>
    </row>
    <row r="5" spans="2:16" x14ac:dyDescent="0.2">
      <c r="B5" s="50"/>
      <c r="C5" s="50"/>
      <c r="D5" s="50"/>
    </row>
    <row r="6" spans="2:16" x14ac:dyDescent="0.2">
      <c r="B6" s="387" t="s">
        <v>1132</v>
      </c>
      <c r="C6" s="387"/>
      <c r="D6" s="387"/>
    </row>
    <row r="7" spans="2:16" x14ac:dyDescent="0.2">
      <c r="B7" s="50"/>
      <c r="C7" s="50"/>
      <c r="D7" s="50"/>
    </row>
    <row r="8" spans="2:16" ht="24.95" customHeight="1" thickBot="1" x14ac:dyDescent="0.25">
      <c r="G8" s="344">
        <v>1</v>
      </c>
      <c r="H8" s="344">
        <v>2</v>
      </c>
      <c r="I8" s="344">
        <v>3</v>
      </c>
      <c r="J8" s="344">
        <v>4</v>
      </c>
      <c r="K8" s="344">
        <v>5</v>
      </c>
      <c r="L8" s="344">
        <v>6</v>
      </c>
      <c r="M8" s="344">
        <v>7</v>
      </c>
      <c r="N8" s="344">
        <v>8</v>
      </c>
      <c r="O8" s="344">
        <v>9</v>
      </c>
      <c r="P8" s="344">
        <v>10</v>
      </c>
    </row>
    <row r="9" spans="2:16" ht="24.95" customHeight="1" x14ac:dyDescent="0.2">
      <c r="F9" s="344">
        <v>1</v>
      </c>
      <c r="G9" s="345">
        <f>G$8*$F9</f>
        <v>1</v>
      </c>
      <c r="H9" s="346">
        <f t="shared" ref="H9:P18" si="0">H$8*$F9</f>
        <v>2</v>
      </c>
      <c r="I9" s="346">
        <f t="shared" si="0"/>
        <v>3</v>
      </c>
      <c r="J9" s="346">
        <f t="shared" si="0"/>
        <v>4</v>
      </c>
      <c r="K9" s="346">
        <f t="shared" si="0"/>
        <v>5</v>
      </c>
      <c r="L9" s="346">
        <f t="shared" si="0"/>
        <v>6</v>
      </c>
      <c r="M9" s="346">
        <f t="shared" si="0"/>
        <v>7</v>
      </c>
      <c r="N9" s="346">
        <f t="shared" si="0"/>
        <v>8</v>
      </c>
      <c r="O9" s="346">
        <f t="shared" si="0"/>
        <v>9</v>
      </c>
      <c r="P9" s="347">
        <f t="shared" si="0"/>
        <v>10</v>
      </c>
    </row>
    <row r="10" spans="2:16" ht="24.95" customHeight="1" x14ac:dyDescent="0.2">
      <c r="F10" s="344">
        <v>2</v>
      </c>
      <c r="G10" s="348">
        <f t="shared" ref="G10:G18" si="1">G$8*$F10</f>
        <v>2</v>
      </c>
      <c r="H10" s="349">
        <f t="shared" si="0"/>
        <v>4</v>
      </c>
      <c r="I10" s="349">
        <f t="shared" si="0"/>
        <v>6</v>
      </c>
      <c r="J10" s="349">
        <f t="shared" si="0"/>
        <v>8</v>
      </c>
      <c r="K10" s="349">
        <f t="shared" si="0"/>
        <v>10</v>
      </c>
      <c r="L10" s="349">
        <f t="shared" si="0"/>
        <v>12</v>
      </c>
      <c r="M10" s="349">
        <f t="shared" si="0"/>
        <v>14</v>
      </c>
      <c r="N10" s="349">
        <f t="shared" si="0"/>
        <v>16</v>
      </c>
      <c r="O10" s="349">
        <f t="shared" si="0"/>
        <v>18</v>
      </c>
      <c r="P10" s="350">
        <f t="shared" si="0"/>
        <v>20</v>
      </c>
    </row>
    <row r="11" spans="2:16" ht="24.95" customHeight="1" x14ac:dyDescent="0.2">
      <c r="F11" s="344">
        <v>3</v>
      </c>
      <c r="G11" s="348">
        <f t="shared" si="1"/>
        <v>3</v>
      </c>
      <c r="H11" s="349">
        <f t="shared" si="0"/>
        <v>6</v>
      </c>
      <c r="I11" s="349">
        <f t="shared" si="0"/>
        <v>9</v>
      </c>
      <c r="J11" s="349">
        <f t="shared" si="0"/>
        <v>12</v>
      </c>
      <c r="K11" s="349">
        <f t="shared" si="0"/>
        <v>15</v>
      </c>
      <c r="L11" s="349">
        <f t="shared" si="0"/>
        <v>18</v>
      </c>
      <c r="M11" s="349">
        <f t="shared" si="0"/>
        <v>21</v>
      </c>
      <c r="N11" s="349">
        <f t="shared" si="0"/>
        <v>24</v>
      </c>
      <c r="O11" s="349">
        <f t="shared" si="0"/>
        <v>27</v>
      </c>
      <c r="P11" s="350">
        <f t="shared" si="0"/>
        <v>30</v>
      </c>
    </row>
    <row r="12" spans="2:16" ht="24.95" customHeight="1" x14ac:dyDescent="0.2">
      <c r="F12" s="344">
        <v>4</v>
      </c>
      <c r="G12" s="348">
        <f t="shared" si="1"/>
        <v>4</v>
      </c>
      <c r="H12" s="349">
        <f t="shared" si="0"/>
        <v>8</v>
      </c>
      <c r="I12" s="349">
        <f t="shared" si="0"/>
        <v>12</v>
      </c>
      <c r="J12" s="349">
        <f t="shared" si="0"/>
        <v>16</v>
      </c>
      <c r="K12" s="349">
        <f t="shared" si="0"/>
        <v>20</v>
      </c>
      <c r="L12" s="349">
        <f t="shared" si="0"/>
        <v>24</v>
      </c>
      <c r="M12" s="349">
        <f t="shared" si="0"/>
        <v>28</v>
      </c>
      <c r="N12" s="349">
        <f t="shared" si="0"/>
        <v>32</v>
      </c>
      <c r="O12" s="349">
        <f t="shared" si="0"/>
        <v>36</v>
      </c>
      <c r="P12" s="350">
        <f t="shared" si="0"/>
        <v>40</v>
      </c>
    </row>
    <row r="13" spans="2:16" ht="24.95" customHeight="1" x14ac:dyDescent="0.2">
      <c r="F13" s="344">
        <v>5</v>
      </c>
      <c r="G13" s="348">
        <f t="shared" si="1"/>
        <v>5</v>
      </c>
      <c r="H13" s="349">
        <f t="shared" si="0"/>
        <v>10</v>
      </c>
      <c r="I13" s="349">
        <f t="shared" si="0"/>
        <v>15</v>
      </c>
      <c r="J13" s="349">
        <f t="shared" si="0"/>
        <v>20</v>
      </c>
      <c r="K13" s="349">
        <f t="shared" si="0"/>
        <v>25</v>
      </c>
      <c r="L13" s="349">
        <f t="shared" si="0"/>
        <v>30</v>
      </c>
      <c r="M13" s="349">
        <f t="shared" si="0"/>
        <v>35</v>
      </c>
      <c r="N13" s="349">
        <f t="shared" si="0"/>
        <v>40</v>
      </c>
      <c r="O13" s="349">
        <f t="shared" si="0"/>
        <v>45</v>
      </c>
      <c r="P13" s="350">
        <f t="shared" si="0"/>
        <v>50</v>
      </c>
    </row>
    <row r="14" spans="2:16" ht="24.95" customHeight="1" x14ac:dyDescent="0.2">
      <c r="F14" s="344">
        <v>6</v>
      </c>
      <c r="G14" s="348">
        <f t="shared" si="1"/>
        <v>6</v>
      </c>
      <c r="H14" s="349">
        <f t="shared" si="0"/>
        <v>12</v>
      </c>
      <c r="I14" s="349">
        <f t="shared" si="0"/>
        <v>18</v>
      </c>
      <c r="J14" s="349">
        <f t="shared" si="0"/>
        <v>24</v>
      </c>
      <c r="K14" s="349">
        <f t="shared" si="0"/>
        <v>30</v>
      </c>
      <c r="L14" s="349">
        <f t="shared" si="0"/>
        <v>36</v>
      </c>
      <c r="M14" s="349">
        <f t="shared" si="0"/>
        <v>42</v>
      </c>
      <c r="N14" s="349">
        <f t="shared" si="0"/>
        <v>48</v>
      </c>
      <c r="O14" s="349">
        <f t="shared" si="0"/>
        <v>54</v>
      </c>
      <c r="P14" s="350">
        <f t="shared" si="0"/>
        <v>60</v>
      </c>
    </row>
    <row r="15" spans="2:16" ht="24.95" customHeight="1" x14ac:dyDescent="0.2">
      <c r="F15" s="344">
        <v>7</v>
      </c>
      <c r="G15" s="348">
        <f t="shared" si="1"/>
        <v>7</v>
      </c>
      <c r="H15" s="349">
        <f t="shared" si="0"/>
        <v>14</v>
      </c>
      <c r="I15" s="349">
        <f t="shared" si="0"/>
        <v>21</v>
      </c>
      <c r="J15" s="349">
        <f t="shared" si="0"/>
        <v>28</v>
      </c>
      <c r="K15" s="349">
        <f t="shared" si="0"/>
        <v>35</v>
      </c>
      <c r="L15" s="349">
        <f t="shared" si="0"/>
        <v>42</v>
      </c>
      <c r="M15" s="349">
        <f t="shared" si="0"/>
        <v>49</v>
      </c>
      <c r="N15" s="349">
        <f t="shared" si="0"/>
        <v>56</v>
      </c>
      <c r="O15" s="349">
        <f t="shared" si="0"/>
        <v>63</v>
      </c>
      <c r="P15" s="350">
        <f t="shared" si="0"/>
        <v>70</v>
      </c>
    </row>
    <row r="16" spans="2:16" ht="24.95" customHeight="1" x14ac:dyDescent="0.2">
      <c r="F16" s="344">
        <v>8</v>
      </c>
      <c r="G16" s="348">
        <f t="shared" si="1"/>
        <v>8</v>
      </c>
      <c r="H16" s="349">
        <f t="shared" si="0"/>
        <v>16</v>
      </c>
      <c r="I16" s="349">
        <f t="shared" si="0"/>
        <v>24</v>
      </c>
      <c r="J16" s="349">
        <f t="shared" si="0"/>
        <v>32</v>
      </c>
      <c r="K16" s="349">
        <f t="shared" si="0"/>
        <v>40</v>
      </c>
      <c r="L16" s="349">
        <f t="shared" si="0"/>
        <v>48</v>
      </c>
      <c r="M16" s="349">
        <f t="shared" si="0"/>
        <v>56</v>
      </c>
      <c r="N16" s="349">
        <f t="shared" si="0"/>
        <v>64</v>
      </c>
      <c r="O16" s="349">
        <f t="shared" si="0"/>
        <v>72</v>
      </c>
      <c r="P16" s="350">
        <f t="shared" si="0"/>
        <v>80</v>
      </c>
    </row>
    <row r="17" spans="6:16" ht="24.95" customHeight="1" x14ac:dyDescent="0.2">
      <c r="F17" s="344">
        <v>9</v>
      </c>
      <c r="G17" s="348">
        <f t="shared" si="1"/>
        <v>9</v>
      </c>
      <c r="H17" s="349">
        <f t="shared" si="0"/>
        <v>18</v>
      </c>
      <c r="I17" s="349">
        <f t="shared" si="0"/>
        <v>27</v>
      </c>
      <c r="J17" s="349">
        <f t="shared" si="0"/>
        <v>36</v>
      </c>
      <c r="K17" s="349">
        <f t="shared" si="0"/>
        <v>45</v>
      </c>
      <c r="L17" s="349">
        <f t="shared" si="0"/>
        <v>54</v>
      </c>
      <c r="M17" s="349">
        <f t="shared" si="0"/>
        <v>63</v>
      </c>
      <c r="N17" s="349">
        <f t="shared" si="0"/>
        <v>72</v>
      </c>
      <c r="O17" s="349">
        <f t="shared" si="0"/>
        <v>81</v>
      </c>
      <c r="P17" s="350">
        <f t="shared" si="0"/>
        <v>90</v>
      </c>
    </row>
    <row r="18" spans="6:16" ht="24.95" customHeight="1" thickBot="1" x14ac:dyDescent="0.25">
      <c r="F18" s="344">
        <v>10</v>
      </c>
      <c r="G18" s="351">
        <f t="shared" si="1"/>
        <v>10</v>
      </c>
      <c r="H18" s="352">
        <f t="shared" si="0"/>
        <v>20</v>
      </c>
      <c r="I18" s="352">
        <f t="shared" si="0"/>
        <v>30</v>
      </c>
      <c r="J18" s="352">
        <f t="shared" si="0"/>
        <v>40</v>
      </c>
      <c r="K18" s="352">
        <f t="shared" si="0"/>
        <v>50</v>
      </c>
      <c r="L18" s="352">
        <f t="shared" si="0"/>
        <v>60</v>
      </c>
      <c r="M18" s="352">
        <f t="shared" si="0"/>
        <v>70</v>
      </c>
      <c r="N18" s="352">
        <f t="shared" si="0"/>
        <v>80</v>
      </c>
      <c r="O18" s="352">
        <f t="shared" si="0"/>
        <v>90</v>
      </c>
      <c r="P18" s="353">
        <f t="shared" si="0"/>
        <v>100</v>
      </c>
    </row>
  </sheetData>
  <mergeCells count="2">
    <mergeCell ref="B1:C1"/>
    <mergeCell ref="B6:D6"/>
  </mergeCells>
  <hyperlinks>
    <hyperlink ref="B6:D6" location="TOC!A1" display="Go to TOC" xr:uid="{5AA216CA-648B-41CD-A27B-FEC92AF162FA}"/>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20A1-523B-4580-9D0B-3DABA6EAD482}">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11.85546875" style="9" bestFit="1" customWidth="1"/>
    <col min="6" max="6" width="9.140625" style="9"/>
    <col min="7" max="7" width="10.85546875" style="9" bestFit="1" customWidth="1"/>
    <col min="8" max="16384" width="9.140625" style="9"/>
  </cols>
  <sheetData>
    <row r="1" spans="2:8" x14ac:dyDescent="0.2">
      <c r="B1" s="386" t="s">
        <v>1047</v>
      </c>
      <c r="C1" s="386"/>
      <c r="D1" s="337" t="s">
        <v>1222</v>
      </c>
    </row>
    <row r="2" spans="2:8" x14ac:dyDescent="0.2">
      <c r="B2" s="337" t="s">
        <v>1124</v>
      </c>
      <c r="C2" s="337"/>
      <c r="D2" s="337" t="str">
        <f>VLOOKUP(D$1,TabelContent[],COLUMN(TabelContent[Titel-EN]))</f>
        <v>Price olive oil</v>
      </c>
    </row>
    <row r="3" spans="2:8" x14ac:dyDescent="0.2">
      <c r="B3" s="337" t="s">
        <v>1125</v>
      </c>
      <c r="C3" s="337"/>
      <c r="D3" s="337" t="str">
        <f>VLOOKUP(D$1,TabelContent[],COLUMN(TabelContent[Cat-EN]))</f>
        <v>Formula</v>
      </c>
    </row>
    <row r="4" spans="2:8" x14ac:dyDescent="0.2">
      <c r="B4" s="337" t="s">
        <v>1126</v>
      </c>
      <c r="C4" s="337"/>
      <c r="D4" s="337">
        <f>VLOOKUP(D$1,TabelContent[],COLUMN(TabelContent[Niveau]))</f>
        <v>2</v>
      </c>
    </row>
    <row r="5" spans="2:8" x14ac:dyDescent="0.2">
      <c r="B5" s="50"/>
      <c r="C5" s="50"/>
      <c r="D5" s="50"/>
    </row>
    <row r="6" spans="2:8" x14ac:dyDescent="0.2">
      <c r="B6" s="387" t="s">
        <v>1132</v>
      </c>
      <c r="C6" s="387"/>
      <c r="D6" s="387"/>
    </row>
    <row r="7" spans="2:8" x14ac:dyDescent="0.2">
      <c r="B7" s="50"/>
      <c r="C7" s="50"/>
      <c r="D7" s="50"/>
    </row>
    <row r="8" spans="2:8" x14ac:dyDescent="0.2">
      <c r="E8" s="9" t="s">
        <v>1260</v>
      </c>
      <c r="F8" s="9">
        <v>20</v>
      </c>
      <c r="G8" s="9" t="s">
        <v>1263</v>
      </c>
      <c r="H8" s="9">
        <v>21</v>
      </c>
    </row>
    <row r="9" spans="2:8" x14ac:dyDescent="0.2">
      <c r="E9" s="9" t="s">
        <v>1261</v>
      </c>
      <c r="F9" s="354">
        <v>45</v>
      </c>
      <c r="G9" s="9" t="s">
        <v>1264</v>
      </c>
      <c r="H9" s="354">
        <f>IF(cans_total&lt;=quantity_limit,cans_total*price_high,quantity_limit*price_high+(cans_total-quantity_limit)*price_low)</f>
        <v>940</v>
      </c>
    </row>
    <row r="10" spans="2:8" x14ac:dyDescent="0.2">
      <c r="E10" s="9" t="s">
        <v>1262</v>
      </c>
      <c r="F10" s="354">
        <v>40</v>
      </c>
    </row>
  </sheetData>
  <mergeCells count="2">
    <mergeCell ref="B1:C1"/>
    <mergeCell ref="B6:D6"/>
  </mergeCells>
  <hyperlinks>
    <hyperlink ref="B6:D6" location="TOC!A1" display="Go to TOC" xr:uid="{07C0848A-E4AF-40FC-8F55-707D47E4F53B}"/>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42578125" style="4" bestFit="1" customWidth="1"/>
    <col min="5" max="5" width="11.85546875" style="4" bestFit="1" customWidth="1"/>
    <col min="6" max="16384" width="9.140625" style="4"/>
  </cols>
  <sheetData>
    <row r="1" spans="2:5" s="9" customFormat="1" x14ac:dyDescent="0.2">
      <c r="B1" s="386" t="s">
        <v>1047</v>
      </c>
      <c r="C1" s="386"/>
      <c r="D1" s="263" t="s">
        <v>463</v>
      </c>
    </row>
    <row r="2" spans="2:5" x14ac:dyDescent="0.2">
      <c r="B2" s="263" t="s">
        <v>1124</v>
      </c>
      <c r="C2" s="263"/>
      <c r="D2" s="337" t="str">
        <f>VLOOKUP(D$1,TabelContent[],COLUMN(TabelContent[Titel-EN]))</f>
        <v>Freelancer</v>
      </c>
    </row>
    <row r="3" spans="2:5" x14ac:dyDescent="0.2">
      <c r="B3" s="263" t="s">
        <v>1125</v>
      </c>
      <c r="C3" s="263"/>
      <c r="D3" s="337" t="str">
        <f>VLOOKUP(D$1,TabelContent[],COLUMN(TabelContent[Cat-EN]))</f>
        <v>Goal Seek</v>
      </c>
    </row>
    <row r="4" spans="2:5" x14ac:dyDescent="0.2">
      <c r="B4" s="263" t="s">
        <v>1126</v>
      </c>
      <c r="C4" s="263"/>
      <c r="D4" s="337">
        <f>VLOOKUP(D$1,TabelContent[],COLUMN(TabelContent[Niveau]))</f>
        <v>2</v>
      </c>
    </row>
    <row r="5" spans="2:5" x14ac:dyDescent="0.2">
      <c r="B5" s="10"/>
      <c r="C5" s="10"/>
      <c r="D5" s="10"/>
    </row>
    <row r="6" spans="2:5" x14ac:dyDescent="0.2">
      <c r="B6" s="387" t="s">
        <v>1132</v>
      </c>
      <c r="C6" s="387"/>
      <c r="D6" s="387"/>
    </row>
    <row r="7" spans="2:5" x14ac:dyDescent="0.2">
      <c r="B7" s="10"/>
      <c r="C7" s="10"/>
      <c r="D7" s="10"/>
    </row>
    <row r="8" spans="2:5" x14ac:dyDescent="0.2">
      <c r="B8" s="10"/>
      <c r="D8" s="10" t="s">
        <v>1130</v>
      </c>
      <c r="E8" s="28">
        <v>7.8E-2</v>
      </c>
    </row>
    <row r="9" spans="2:5" x14ac:dyDescent="0.2">
      <c r="B9" s="10"/>
      <c r="D9" s="10" t="s">
        <v>1129</v>
      </c>
      <c r="E9" s="291">
        <v>64102.564102564109</v>
      </c>
    </row>
    <row r="10" spans="2:5" x14ac:dyDescent="0.2">
      <c r="B10" s="10"/>
      <c r="D10" s="10" t="s">
        <v>1131</v>
      </c>
      <c r="E10" s="292">
        <f>E8*E9</f>
        <v>5000.0000000000009</v>
      </c>
    </row>
  </sheetData>
  <mergeCells count="2">
    <mergeCell ref="B6:D6"/>
    <mergeCell ref="B1:C1"/>
  </mergeCells>
  <hyperlinks>
    <hyperlink ref="B6:D6" location="TOC!A1" display="Go to TOC" xr:uid="{00000000-0004-0000-0D00-000000000000}"/>
  </hyperlinks>
  <pageMargins left="0.7" right="0.7"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s="9" customFormat="1" x14ac:dyDescent="0.2">
      <c r="B1" s="386" t="s">
        <v>1047</v>
      </c>
      <c r="C1" s="386"/>
      <c r="D1" s="263" t="s">
        <v>492</v>
      </c>
    </row>
    <row r="2" spans="2:6" x14ac:dyDescent="0.2">
      <c r="B2" s="263" t="s">
        <v>1124</v>
      </c>
      <c r="C2" s="263"/>
      <c r="D2" s="337" t="str">
        <f>VLOOKUP(D$1,TabelContent[],COLUMN(TabelContent[Titel-EN]))</f>
        <v>Loan payment</v>
      </c>
    </row>
    <row r="3" spans="2:6" x14ac:dyDescent="0.2">
      <c r="B3" s="263" t="s">
        <v>1125</v>
      </c>
      <c r="C3" s="263"/>
      <c r="D3" s="337" t="str">
        <f>VLOOKUP(D$1,TabelContent[],COLUMN(TabelContent[Cat-EN]))</f>
        <v>Goal Seek</v>
      </c>
    </row>
    <row r="4" spans="2:6" x14ac:dyDescent="0.2">
      <c r="B4" s="263" t="s">
        <v>1126</v>
      </c>
      <c r="C4" s="263"/>
      <c r="D4" s="337">
        <f>VLOOKUP(D$1,TabelContent[],COLUMN(TabelContent[Niveau]))</f>
        <v>2</v>
      </c>
    </row>
    <row r="5" spans="2:6" x14ac:dyDescent="0.2">
      <c r="B5" s="10"/>
      <c r="C5" s="10"/>
      <c r="D5" s="10"/>
    </row>
    <row r="6" spans="2:6" x14ac:dyDescent="0.2">
      <c r="B6" s="387" t="s">
        <v>1132</v>
      </c>
      <c r="C6" s="387"/>
      <c r="D6" s="387"/>
      <c r="E6" s="392"/>
    </row>
    <row r="7" spans="2:6" x14ac:dyDescent="0.2">
      <c r="B7" s="10"/>
      <c r="C7" s="10"/>
      <c r="D7" s="10"/>
    </row>
    <row r="8" spans="2:6" x14ac:dyDescent="0.2">
      <c r="D8" s="1" t="s">
        <v>644</v>
      </c>
    </row>
    <row r="9" spans="2:6" x14ac:dyDescent="0.2">
      <c r="D9" s="1"/>
      <c r="E9" s="67">
        <v>0.08</v>
      </c>
      <c r="F9" s="4" t="s">
        <v>645</v>
      </c>
    </row>
    <row r="10" spans="2:6" x14ac:dyDescent="0.2">
      <c r="E10" s="4">
        <v>10</v>
      </c>
      <c r="F10" s="4" t="s">
        <v>646</v>
      </c>
    </row>
    <row r="11" spans="2:6" x14ac:dyDescent="0.2">
      <c r="E11" s="278">
        <v>7280.3918774254716</v>
      </c>
      <c r="F11" s="4" t="s">
        <v>647</v>
      </c>
    </row>
    <row r="13" spans="2:6" x14ac:dyDescent="0.2">
      <c r="D13" s="1" t="s">
        <v>643</v>
      </c>
    </row>
    <row r="14" spans="2:6" x14ac:dyDescent="0.2">
      <c r="E14" s="293">
        <f>PMT(E9/12,E10,E11,0,1)</f>
        <v>-749.99999999999375</v>
      </c>
      <c r="F14" s="4" t="s">
        <v>648</v>
      </c>
    </row>
  </sheetData>
  <mergeCells count="2">
    <mergeCell ref="B6:E6"/>
    <mergeCell ref="B1:C1"/>
  </mergeCells>
  <hyperlinks>
    <hyperlink ref="B6:D6" location="Inhoud!A1" display="Ga naar Inhoudsopgave" xr:uid="{00000000-0004-0000-0E00-000000000000}"/>
    <hyperlink ref="B6:E6" location="TOC!A1" display="Go to TOC" xr:uid="{00000000-0004-0000-0E00-000001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19"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s="9" customFormat="1" x14ac:dyDescent="0.2">
      <c r="B1" s="386" t="s">
        <v>1047</v>
      </c>
      <c r="C1" s="386"/>
      <c r="D1" s="263" t="s">
        <v>493</v>
      </c>
    </row>
    <row r="2" spans="2:5" x14ac:dyDescent="0.2">
      <c r="B2" s="263" t="s">
        <v>1124</v>
      </c>
      <c r="C2" s="263"/>
      <c r="D2" s="337" t="str">
        <f>VLOOKUP(D$1,TabelContent[],COLUMN(TabelContent[Titel-EN]))</f>
        <v>Break-even point</v>
      </c>
      <c r="E2" s="62"/>
    </row>
    <row r="3" spans="2:5" x14ac:dyDescent="0.2">
      <c r="B3" s="263" t="s">
        <v>1125</v>
      </c>
      <c r="C3" s="263"/>
      <c r="D3" s="337" t="str">
        <f>VLOOKUP(D$1,TabelContent[],COLUMN(TabelContent[Cat-EN]))</f>
        <v>Goal Seek</v>
      </c>
      <c r="E3" s="62"/>
    </row>
    <row r="4" spans="2:5" x14ac:dyDescent="0.2">
      <c r="B4" s="263" t="s">
        <v>1126</v>
      </c>
      <c r="C4" s="263"/>
      <c r="D4" s="337">
        <f>VLOOKUP(D$1,TabelContent[],COLUMN(TabelContent[Niveau]))</f>
        <v>3</v>
      </c>
      <c r="E4" s="62"/>
    </row>
    <row r="5" spans="2:5" x14ac:dyDescent="0.2">
      <c r="B5" s="10"/>
      <c r="C5" s="10"/>
      <c r="D5" s="10"/>
      <c r="E5" s="10"/>
    </row>
    <row r="6" spans="2:5" x14ac:dyDescent="0.2">
      <c r="B6" s="387" t="s">
        <v>1132</v>
      </c>
      <c r="C6" s="387"/>
      <c r="D6" s="387"/>
      <c r="E6" s="387"/>
    </row>
    <row r="7" spans="2:5" x14ac:dyDescent="0.2">
      <c r="B7" s="10"/>
      <c r="C7" s="10"/>
      <c r="D7" s="10"/>
      <c r="E7" s="10"/>
    </row>
    <row r="8" spans="2:5" x14ac:dyDescent="0.2">
      <c r="B8" s="10"/>
      <c r="C8" s="65" t="s">
        <v>494</v>
      </c>
      <c r="D8" s="65" t="s">
        <v>657</v>
      </c>
      <c r="E8" s="65" t="s">
        <v>658</v>
      </c>
    </row>
    <row r="9" spans="2:5" x14ac:dyDescent="0.2">
      <c r="B9" s="10"/>
      <c r="C9" s="62">
        <v>0</v>
      </c>
      <c r="D9" s="62">
        <f>C9^2+8*C9+15</f>
        <v>15</v>
      </c>
      <c r="E9" s="62">
        <f>-5*C9^2+80*C9</f>
        <v>0</v>
      </c>
    </row>
    <row r="10" spans="2:5" x14ac:dyDescent="0.2">
      <c r="B10" s="10"/>
      <c r="C10" s="62">
        <v>0.2</v>
      </c>
      <c r="D10" s="62">
        <f>C10^2+8*C10+15</f>
        <v>16.64</v>
      </c>
      <c r="E10" s="62">
        <f>-5*C10^2+80*C10</f>
        <v>15.8</v>
      </c>
    </row>
    <row r="11" spans="2:5" x14ac:dyDescent="0.2">
      <c r="B11" s="10"/>
      <c r="C11" s="62">
        <v>0.4</v>
      </c>
      <c r="D11" s="62">
        <f t="shared" ref="D11:D74" si="0">C11^2+8*C11+15</f>
        <v>18.36</v>
      </c>
      <c r="E11" s="62">
        <f t="shared" ref="E11:E74" si="1">-5*C11^2+80*C11</f>
        <v>31.2</v>
      </c>
    </row>
    <row r="12" spans="2:5" x14ac:dyDescent="0.2">
      <c r="B12" s="10"/>
      <c r="C12" s="62">
        <v>0.6</v>
      </c>
      <c r="D12" s="62">
        <f t="shared" si="0"/>
        <v>20.16</v>
      </c>
      <c r="E12" s="62">
        <f t="shared" si="1"/>
        <v>46.2</v>
      </c>
    </row>
    <row r="13" spans="2:5" x14ac:dyDescent="0.2">
      <c r="B13" s="10"/>
      <c r="C13" s="62">
        <v>0.8</v>
      </c>
      <c r="D13" s="62">
        <f t="shared" si="0"/>
        <v>22.04</v>
      </c>
      <c r="E13" s="62">
        <f t="shared" si="1"/>
        <v>60.8</v>
      </c>
    </row>
    <row r="14" spans="2:5" x14ac:dyDescent="0.2">
      <c r="B14" s="10"/>
      <c r="C14" s="62">
        <v>1</v>
      </c>
      <c r="D14" s="62">
        <f t="shared" si="0"/>
        <v>24</v>
      </c>
      <c r="E14" s="62">
        <f t="shared" si="1"/>
        <v>75</v>
      </c>
    </row>
    <row r="15" spans="2:5" x14ac:dyDescent="0.2">
      <c r="B15" s="10"/>
      <c r="C15" s="62">
        <v>1.2</v>
      </c>
      <c r="D15" s="62">
        <f t="shared" si="0"/>
        <v>26.04</v>
      </c>
      <c r="E15" s="62">
        <f t="shared" si="1"/>
        <v>88.8</v>
      </c>
    </row>
    <row r="16" spans="2:5" x14ac:dyDescent="0.2">
      <c r="C16" s="62">
        <v>1.4</v>
      </c>
      <c r="D16" s="62">
        <f t="shared" si="0"/>
        <v>28.159999999999997</v>
      </c>
      <c r="E16" s="62">
        <f t="shared" si="1"/>
        <v>102.2</v>
      </c>
    </row>
    <row r="17" spans="3:11" x14ac:dyDescent="0.2">
      <c r="C17" s="62">
        <v>1.6</v>
      </c>
      <c r="D17" s="62">
        <f t="shared" si="0"/>
        <v>30.36</v>
      </c>
      <c r="E17" s="62">
        <f t="shared" si="1"/>
        <v>115.2</v>
      </c>
    </row>
    <row r="18" spans="3:11" x14ac:dyDescent="0.2">
      <c r="C18" s="62">
        <v>1.8</v>
      </c>
      <c r="D18" s="62">
        <f t="shared" si="0"/>
        <v>32.64</v>
      </c>
      <c r="E18" s="62">
        <f t="shared" si="1"/>
        <v>127.8</v>
      </c>
    </row>
    <row r="19" spans="3:11" x14ac:dyDescent="0.2">
      <c r="C19" s="62">
        <v>2</v>
      </c>
      <c r="D19" s="62">
        <f t="shared" si="0"/>
        <v>35</v>
      </c>
      <c r="E19" s="62">
        <f t="shared" si="1"/>
        <v>140</v>
      </c>
    </row>
    <row r="20" spans="3:11" x14ac:dyDescent="0.2">
      <c r="C20" s="62">
        <v>2.2000000000000002</v>
      </c>
      <c r="D20" s="62">
        <f t="shared" si="0"/>
        <v>37.44</v>
      </c>
      <c r="E20" s="62">
        <f t="shared" si="1"/>
        <v>151.80000000000001</v>
      </c>
    </row>
    <row r="21" spans="3:11" x14ac:dyDescent="0.2">
      <c r="C21" s="62">
        <v>2.4</v>
      </c>
      <c r="D21" s="62">
        <f t="shared" si="0"/>
        <v>39.96</v>
      </c>
      <c r="E21" s="62">
        <f t="shared" si="1"/>
        <v>163.19999999999999</v>
      </c>
    </row>
    <row r="22" spans="3:11" x14ac:dyDescent="0.2">
      <c r="C22" s="62">
        <v>2.6</v>
      </c>
      <c r="D22" s="62">
        <f t="shared" si="0"/>
        <v>42.56</v>
      </c>
      <c r="E22" s="62">
        <f t="shared" si="1"/>
        <v>174.2</v>
      </c>
    </row>
    <row r="23" spans="3:11" x14ac:dyDescent="0.2">
      <c r="C23" s="62">
        <v>2.8</v>
      </c>
      <c r="D23" s="62">
        <f t="shared" si="0"/>
        <v>45.239999999999995</v>
      </c>
      <c r="E23" s="62">
        <f t="shared" si="1"/>
        <v>184.8</v>
      </c>
    </row>
    <row r="24" spans="3:11" x14ac:dyDescent="0.2">
      <c r="C24" s="62">
        <v>3</v>
      </c>
      <c r="D24" s="62">
        <f t="shared" si="0"/>
        <v>48</v>
      </c>
      <c r="E24" s="62">
        <f t="shared" si="1"/>
        <v>195</v>
      </c>
    </row>
    <row r="25" spans="3:11" x14ac:dyDescent="0.2">
      <c r="C25" s="62">
        <v>3.2</v>
      </c>
      <c r="D25" s="62">
        <f t="shared" si="0"/>
        <v>50.84</v>
      </c>
      <c r="E25" s="62">
        <f t="shared" si="1"/>
        <v>204.79999999999998</v>
      </c>
    </row>
    <row r="26" spans="3:11" x14ac:dyDescent="0.2">
      <c r="C26" s="62">
        <v>3.4</v>
      </c>
      <c r="D26" s="62">
        <f t="shared" si="0"/>
        <v>53.76</v>
      </c>
      <c r="E26" s="62">
        <f t="shared" si="1"/>
        <v>214.2</v>
      </c>
    </row>
    <row r="27" spans="3:11" x14ac:dyDescent="0.2">
      <c r="C27" s="62">
        <v>3.6</v>
      </c>
      <c r="D27" s="62">
        <f t="shared" si="0"/>
        <v>56.760000000000005</v>
      </c>
      <c r="E27" s="62">
        <f t="shared" si="1"/>
        <v>223.2</v>
      </c>
      <c r="G27" s="393" t="s">
        <v>649</v>
      </c>
      <c r="H27" s="390"/>
      <c r="I27" s="390"/>
      <c r="J27" s="390"/>
      <c r="K27" s="390"/>
    </row>
    <row r="28" spans="3:11" x14ac:dyDescent="0.2">
      <c r="C28" s="62">
        <v>3.8</v>
      </c>
      <c r="D28" s="62">
        <f t="shared" si="0"/>
        <v>59.839999999999996</v>
      </c>
      <c r="E28" s="62">
        <f t="shared" si="1"/>
        <v>231.8</v>
      </c>
      <c r="H28" s="65" t="s">
        <v>494</v>
      </c>
      <c r="I28" s="65" t="s">
        <v>657</v>
      </c>
      <c r="J28" s="65" t="s">
        <v>658</v>
      </c>
      <c r="K28" s="65" t="s">
        <v>659</v>
      </c>
    </row>
    <row r="29" spans="3:11" x14ac:dyDescent="0.2">
      <c r="C29" s="62">
        <v>4</v>
      </c>
      <c r="D29" s="62">
        <f t="shared" si="0"/>
        <v>63</v>
      </c>
      <c r="E29" s="62">
        <f t="shared" si="1"/>
        <v>240</v>
      </c>
      <c r="G29" s="65" t="s">
        <v>650</v>
      </c>
      <c r="H29" s="68">
        <v>0.212081555285868</v>
      </c>
      <c r="I29" s="63">
        <f t="shared" ref="I29:I30" si="2">H29^2+8*H29+15</f>
        <v>16.741631028379416</v>
      </c>
      <c r="J29" s="63">
        <f t="shared" ref="J29" si="3">-5*H29^2+80*H29</f>
        <v>16.741631492407077</v>
      </c>
      <c r="K29" s="69">
        <f>J29-I29</f>
        <v>4.6402766074038482E-7</v>
      </c>
    </row>
    <row r="30" spans="3:11" x14ac:dyDescent="0.2">
      <c r="C30" s="62">
        <v>4.2</v>
      </c>
      <c r="D30" s="62">
        <f t="shared" si="0"/>
        <v>66.240000000000009</v>
      </c>
      <c r="E30" s="62">
        <f t="shared" si="1"/>
        <v>247.8</v>
      </c>
      <c r="G30" s="65" t="s">
        <v>651</v>
      </c>
      <c r="H30" s="68">
        <v>11.7879185093717</v>
      </c>
      <c r="I30" s="63">
        <f t="shared" si="2"/>
        <v>248.25837085856151</v>
      </c>
      <c r="J30" s="63">
        <f t="shared" ref="J30" si="4">-5*H30^2+80*H30</f>
        <v>248.25836683179648</v>
      </c>
      <c r="K30" s="69">
        <f>J30-I30</f>
        <v>-4.026765026310386E-6</v>
      </c>
    </row>
    <row r="31" spans="3:11" x14ac:dyDescent="0.2">
      <c r="C31" s="62">
        <v>4.4000000000000004</v>
      </c>
      <c r="D31" s="62">
        <f t="shared" si="0"/>
        <v>69.56</v>
      </c>
      <c r="E31" s="62">
        <f t="shared" si="1"/>
        <v>255.2</v>
      </c>
    </row>
    <row r="32" spans="3:11" x14ac:dyDescent="0.2">
      <c r="C32" s="62">
        <v>4.5999999999999996</v>
      </c>
      <c r="D32" s="62">
        <f t="shared" si="0"/>
        <v>72.959999999999994</v>
      </c>
      <c r="E32" s="62">
        <f t="shared" si="1"/>
        <v>262.20000000000005</v>
      </c>
    </row>
    <row r="33" spans="3:5" x14ac:dyDescent="0.2">
      <c r="C33" s="62">
        <v>4.8</v>
      </c>
      <c r="D33" s="62">
        <f t="shared" si="0"/>
        <v>76.44</v>
      </c>
      <c r="E33" s="62">
        <f t="shared" si="1"/>
        <v>268.8</v>
      </c>
    </row>
    <row r="34" spans="3:5" x14ac:dyDescent="0.2">
      <c r="C34" s="62">
        <v>5</v>
      </c>
      <c r="D34" s="62">
        <f t="shared" si="0"/>
        <v>80</v>
      </c>
      <c r="E34" s="62">
        <f t="shared" si="1"/>
        <v>275</v>
      </c>
    </row>
    <row r="35" spans="3:5" x14ac:dyDescent="0.2">
      <c r="C35" s="62">
        <v>5.2</v>
      </c>
      <c r="D35" s="62">
        <f t="shared" si="0"/>
        <v>83.64</v>
      </c>
      <c r="E35" s="62">
        <f t="shared" si="1"/>
        <v>280.79999999999995</v>
      </c>
    </row>
    <row r="36" spans="3:5" x14ac:dyDescent="0.2">
      <c r="C36" s="62">
        <v>5.4</v>
      </c>
      <c r="D36" s="62">
        <f t="shared" si="0"/>
        <v>87.360000000000014</v>
      </c>
      <c r="E36" s="62">
        <f t="shared" si="1"/>
        <v>286.2</v>
      </c>
    </row>
    <row r="37" spans="3:5" x14ac:dyDescent="0.2">
      <c r="C37" s="62">
        <v>5.6</v>
      </c>
      <c r="D37" s="62">
        <f t="shared" si="0"/>
        <v>91.16</v>
      </c>
      <c r="E37" s="62">
        <f t="shared" si="1"/>
        <v>291.20000000000005</v>
      </c>
    </row>
    <row r="38" spans="3:5" x14ac:dyDescent="0.2">
      <c r="C38" s="62">
        <v>5.8</v>
      </c>
      <c r="D38" s="62">
        <f t="shared" si="0"/>
        <v>95.039999999999992</v>
      </c>
      <c r="E38" s="62">
        <f t="shared" si="1"/>
        <v>295.8</v>
      </c>
    </row>
    <row r="39" spans="3:5" x14ac:dyDescent="0.2">
      <c r="C39" s="62">
        <v>6</v>
      </c>
      <c r="D39" s="62">
        <f t="shared" si="0"/>
        <v>99</v>
      </c>
      <c r="E39" s="62">
        <f t="shared" si="1"/>
        <v>300</v>
      </c>
    </row>
    <row r="40" spans="3:5" x14ac:dyDescent="0.2">
      <c r="C40" s="62">
        <v>6.2</v>
      </c>
      <c r="D40" s="62">
        <f t="shared" si="0"/>
        <v>103.04</v>
      </c>
      <c r="E40" s="62">
        <f t="shared" si="1"/>
        <v>303.79999999999995</v>
      </c>
    </row>
    <row r="41" spans="3:5" x14ac:dyDescent="0.2">
      <c r="C41" s="62">
        <v>6.4</v>
      </c>
      <c r="D41" s="62">
        <f t="shared" si="0"/>
        <v>107.16000000000001</v>
      </c>
      <c r="E41" s="62">
        <f t="shared" si="1"/>
        <v>307.19999999999993</v>
      </c>
    </row>
    <row r="42" spans="3:5" x14ac:dyDescent="0.2">
      <c r="C42" s="62">
        <v>6.6</v>
      </c>
      <c r="D42" s="62">
        <f t="shared" si="0"/>
        <v>111.35999999999999</v>
      </c>
      <c r="E42" s="62">
        <f t="shared" si="1"/>
        <v>310.20000000000005</v>
      </c>
    </row>
    <row r="43" spans="3:5" x14ac:dyDescent="0.2">
      <c r="C43" s="62">
        <v>6.8</v>
      </c>
      <c r="D43" s="62">
        <f t="shared" si="0"/>
        <v>115.63999999999999</v>
      </c>
      <c r="E43" s="62">
        <f t="shared" si="1"/>
        <v>312.8</v>
      </c>
    </row>
    <row r="44" spans="3:5" x14ac:dyDescent="0.2">
      <c r="C44" s="62">
        <v>7</v>
      </c>
      <c r="D44" s="62">
        <f t="shared" si="0"/>
        <v>120</v>
      </c>
      <c r="E44" s="62">
        <f t="shared" si="1"/>
        <v>315</v>
      </c>
    </row>
    <row r="45" spans="3:5" x14ac:dyDescent="0.2">
      <c r="C45" s="62">
        <v>7.2</v>
      </c>
      <c r="D45" s="62">
        <f t="shared" si="0"/>
        <v>124.44</v>
      </c>
      <c r="E45" s="62">
        <f t="shared" si="1"/>
        <v>316.79999999999995</v>
      </c>
    </row>
    <row r="46" spans="3:5" x14ac:dyDescent="0.2">
      <c r="C46" s="62">
        <v>7.4</v>
      </c>
      <c r="D46" s="62">
        <f t="shared" si="0"/>
        <v>128.96</v>
      </c>
      <c r="E46" s="62">
        <f t="shared" si="1"/>
        <v>318.2</v>
      </c>
    </row>
    <row r="47" spans="3:5" x14ac:dyDescent="0.2">
      <c r="C47" s="62">
        <v>7.6</v>
      </c>
      <c r="D47" s="62">
        <f t="shared" si="0"/>
        <v>133.56</v>
      </c>
      <c r="E47" s="62">
        <f t="shared" si="1"/>
        <v>319.2</v>
      </c>
    </row>
    <row r="48" spans="3:5" x14ac:dyDescent="0.2">
      <c r="C48" s="62">
        <v>7.8</v>
      </c>
      <c r="D48" s="62">
        <f t="shared" si="0"/>
        <v>138.24</v>
      </c>
      <c r="E48" s="62">
        <f t="shared" si="1"/>
        <v>319.8</v>
      </c>
    </row>
    <row r="49" spans="3:5" x14ac:dyDescent="0.2">
      <c r="C49" s="62">
        <v>8</v>
      </c>
      <c r="D49" s="62">
        <f t="shared" si="0"/>
        <v>143</v>
      </c>
      <c r="E49" s="62">
        <f t="shared" si="1"/>
        <v>320</v>
      </c>
    </row>
    <row r="50" spans="3:5" x14ac:dyDescent="0.2">
      <c r="C50" s="62">
        <v>8.1999999999999993</v>
      </c>
      <c r="D50" s="62">
        <f t="shared" si="0"/>
        <v>147.83999999999997</v>
      </c>
      <c r="E50" s="62">
        <f t="shared" si="1"/>
        <v>319.8</v>
      </c>
    </row>
    <row r="51" spans="3:5" x14ac:dyDescent="0.2">
      <c r="C51" s="62">
        <v>8.4</v>
      </c>
      <c r="D51" s="62">
        <f t="shared" si="0"/>
        <v>152.76</v>
      </c>
      <c r="E51" s="62">
        <f t="shared" si="1"/>
        <v>319.2</v>
      </c>
    </row>
    <row r="52" spans="3:5" x14ac:dyDescent="0.2">
      <c r="C52" s="62">
        <v>8.6</v>
      </c>
      <c r="D52" s="62">
        <f t="shared" si="0"/>
        <v>157.76</v>
      </c>
      <c r="E52" s="62">
        <f t="shared" si="1"/>
        <v>318.20000000000005</v>
      </c>
    </row>
    <row r="53" spans="3:5" x14ac:dyDescent="0.2">
      <c r="C53" s="62">
        <v>8.8000000000000007</v>
      </c>
      <c r="D53" s="62">
        <f t="shared" si="0"/>
        <v>162.84000000000003</v>
      </c>
      <c r="E53" s="62">
        <f t="shared" si="1"/>
        <v>316.79999999999995</v>
      </c>
    </row>
    <row r="54" spans="3:5" x14ac:dyDescent="0.2">
      <c r="C54" s="62">
        <v>9</v>
      </c>
      <c r="D54" s="62">
        <f t="shared" si="0"/>
        <v>168</v>
      </c>
      <c r="E54" s="62">
        <f t="shared" si="1"/>
        <v>315</v>
      </c>
    </row>
    <row r="55" spans="3:5" x14ac:dyDescent="0.2">
      <c r="C55" s="62">
        <v>9.1999999999999993</v>
      </c>
      <c r="D55" s="62">
        <f t="shared" si="0"/>
        <v>173.23999999999998</v>
      </c>
      <c r="E55" s="62">
        <f t="shared" si="1"/>
        <v>312.80000000000007</v>
      </c>
    </row>
    <row r="56" spans="3:5" x14ac:dyDescent="0.2">
      <c r="C56" s="62">
        <v>9.4</v>
      </c>
      <c r="D56" s="62">
        <f t="shared" si="0"/>
        <v>178.56</v>
      </c>
      <c r="E56" s="62">
        <f t="shared" si="1"/>
        <v>310.19999999999993</v>
      </c>
    </row>
    <row r="57" spans="3:5" x14ac:dyDescent="0.2">
      <c r="C57" s="62">
        <v>9.6</v>
      </c>
      <c r="D57" s="62">
        <f t="shared" si="0"/>
        <v>183.95999999999998</v>
      </c>
      <c r="E57" s="62">
        <f t="shared" si="1"/>
        <v>307.20000000000005</v>
      </c>
    </row>
    <row r="58" spans="3:5" x14ac:dyDescent="0.2">
      <c r="C58" s="62">
        <v>9.8000000000000007</v>
      </c>
      <c r="D58" s="62">
        <f t="shared" si="0"/>
        <v>189.44000000000003</v>
      </c>
      <c r="E58" s="62">
        <f t="shared" si="1"/>
        <v>303.7999999999999</v>
      </c>
    </row>
    <row r="59" spans="3:5" x14ac:dyDescent="0.2">
      <c r="C59" s="62">
        <v>10</v>
      </c>
      <c r="D59" s="62">
        <f t="shared" si="0"/>
        <v>195</v>
      </c>
      <c r="E59" s="62">
        <f t="shared" si="1"/>
        <v>300</v>
      </c>
    </row>
    <row r="60" spans="3:5" x14ac:dyDescent="0.2">
      <c r="C60" s="62">
        <v>10.199999999999999</v>
      </c>
      <c r="D60" s="62">
        <f t="shared" si="0"/>
        <v>200.64</v>
      </c>
      <c r="E60" s="62">
        <f t="shared" si="1"/>
        <v>295.80000000000007</v>
      </c>
    </row>
    <row r="61" spans="3:5" x14ac:dyDescent="0.2">
      <c r="C61" s="62">
        <v>10.4</v>
      </c>
      <c r="D61" s="62">
        <f t="shared" si="0"/>
        <v>206.36</v>
      </c>
      <c r="E61" s="62">
        <f t="shared" si="1"/>
        <v>291.19999999999993</v>
      </c>
    </row>
    <row r="62" spans="3:5" x14ac:dyDescent="0.2">
      <c r="C62" s="62">
        <v>10.6</v>
      </c>
      <c r="D62" s="62">
        <f t="shared" si="0"/>
        <v>212.16</v>
      </c>
      <c r="E62" s="62">
        <f t="shared" si="1"/>
        <v>286.20000000000005</v>
      </c>
    </row>
    <row r="63" spans="3:5" x14ac:dyDescent="0.2">
      <c r="C63" s="62">
        <v>10.8</v>
      </c>
      <c r="D63" s="62">
        <f t="shared" si="0"/>
        <v>218.04000000000002</v>
      </c>
      <c r="E63" s="62">
        <f t="shared" si="1"/>
        <v>280.79999999999995</v>
      </c>
    </row>
    <row r="64" spans="3:5" x14ac:dyDescent="0.2">
      <c r="C64" s="62">
        <v>11</v>
      </c>
      <c r="D64" s="62">
        <f t="shared" si="0"/>
        <v>224</v>
      </c>
      <c r="E64" s="62">
        <f t="shared" si="1"/>
        <v>275</v>
      </c>
    </row>
    <row r="65" spans="3:5" x14ac:dyDescent="0.2">
      <c r="C65" s="62">
        <v>11.2</v>
      </c>
      <c r="D65" s="62">
        <f t="shared" si="0"/>
        <v>230.03999999999996</v>
      </c>
      <c r="E65" s="62">
        <f t="shared" si="1"/>
        <v>268.80000000000007</v>
      </c>
    </row>
    <row r="66" spans="3:5" x14ac:dyDescent="0.2">
      <c r="C66" s="62">
        <v>11.4</v>
      </c>
      <c r="D66" s="62">
        <f t="shared" si="0"/>
        <v>236.16000000000003</v>
      </c>
      <c r="E66" s="62">
        <f t="shared" si="1"/>
        <v>262.19999999999993</v>
      </c>
    </row>
    <row r="67" spans="3:5" x14ac:dyDescent="0.2">
      <c r="C67" s="62">
        <v>11.6</v>
      </c>
      <c r="D67" s="62">
        <f t="shared" si="0"/>
        <v>242.36</v>
      </c>
      <c r="E67" s="62">
        <f t="shared" si="1"/>
        <v>255.20000000000005</v>
      </c>
    </row>
    <row r="68" spans="3:5" x14ac:dyDescent="0.2">
      <c r="C68" s="62">
        <v>11.8</v>
      </c>
      <c r="D68" s="62">
        <f t="shared" si="0"/>
        <v>248.64000000000001</v>
      </c>
      <c r="E68" s="62">
        <f t="shared" si="1"/>
        <v>247.79999999999995</v>
      </c>
    </row>
    <row r="69" spans="3:5" x14ac:dyDescent="0.2">
      <c r="C69" s="62">
        <v>12</v>
      </c>
      <c r="D69" s="62">
        <f t="shared" si="0"/>
        <v>255</v>
      </c>
      <c r="E69" s="62">
        <f t="shared" si="1"/>
        <v>240</v>
      </c>
    </row>
    <row r="70" spans="3:5" x14ac:dyDescent="0.2">
      <c r="C70" s="62">
        <v>12.2</v>
      </c>
      <c r="D70" s="62">
        <f t="shared" si="0"/>
        <v>261.43999999999994</v>
      </c>
      <c r="E70" s="62">
        <f t="shared" si="1"/>
        <v>231.80000000000018</v>
      </c>
    </row>
    <row r="71" spans="3:5" x14ac:dyDescent="0.2">
      <c r="C71" s="62">
        <v>12.4</v>
      </c>
      <c r="D71" s="62">
        <f t="shared" si="0"/>
        <v>267.96000000000004</v>
      </c>
      <c r="E71" s="62">
        <f t="shared" si="1"/>
        <v>223.19999999999993</v>
      </c>
    </row>
    <row r="72" spans="3:5" x14ac:dyDescent="0.2">
      <c r="C72" s="62">
        <v>12.6</v>
      </c>
      <c r="D72" s="62">
        <f t="shared" si="0"/>
        <v>274.56</v>
      </c>
      <c r="E72" s="62">
        <f t="shared" si="1"/>
        <v>214.20000000000005</v>
      </c>
    </row>
    <row r="73" spans="3:5" x14ac:dyDescent="0.2">
      <c r="C73" s="62">
        <v>12.8</v>
      </c>
      <c r="D73" s="62">
        <f t="shared" si="0"/>
        <v>281.24</v>
      </c>
      <c r="E73" s="62">
        <f t="shared" si="1"/>
        <v>204.79999999999984</v>
      </c>
    </row>
    <row r="74" spans="3:5" x14ac:dyDescent="0.2">
      <c r="C74" s="62">
        <v>13</v>
      </c>
      <c r="D74" s="62">
        <f t="shared" si="0"/>
        <v>288</v>
      </c>
      <c r="E74" s="62">
        <f t="shared" si="1"/>
        <v>195</v>
      </c>
    </row>
    <row r="75" spans="3:5" x14ac:dyDescent="0.2">
      <c r="C75" s="62">
        <v>13.2</v>
      </c>
      <c r="D75" s="62">
        <f t="shared" ref="D75:D89" si="5">C75^2+8*C75+15</f>
        <v>294.83999999999997</v>
      </c>
      <c r="E75" s="62">
        <f t="shared" ref="E75:E89" si="6">-5*C75^2+80*C75</f>
        <v>184.80000000000007</v>
      </c>
    </row>
    <row r="76" spans="3:5" x14ac:dyDescent="0.2">
      <c r="C76" s="62">
        <v>13.4</v>
      </c>
      <c r="D76" s="62">
        <f t="shared" si="5"/>
        <v>301.76</v>
      </c>
      <c r="E76" s="62">
        <f t="shared" si="6"/>
        <v>174.20000000000005</v>
      </c>
    </row>
    <row r="77" spans="3:5" x14ac:dyDescent="0.2">
      <c r="C77" s="62">
        <v>13.6</v>
      </c>
      <c r="D77" s="62">
        <f t="shared" si="5"/>
        <v>308.76</v>
      </c>
      <c r="E77" s="62">
        <f t="shared" si="6"/>
        <v>163.20000000000005</v>
      </c>
    </row>
    <row r="78" spans="3:5" x14ac:dyDescent="0.2">
      <c r="C78" s="62">
        <v>13.8</v>
      </c>
      <c r="D78" s="62">
        <f t="shared" si="5"/>
        <v>315.84000000000003</v>
      </c>
      <c r="E78" s="62">
        <f t="shared" si="6"/>
        <v>151.79999999999984</v>
      </c>
    </row>
    <row r="79" spans="3:5" x14ac:dyDescent="0.2">
      <c r="C79" s="62">
        <v>14</v>
      </c>
      <c r="D79" s="62">
        <f t="shared" si="5"/>
        <v>323</v>
      </c>
      <c r="E79" s="62">
        <f t="shared" si="6"/>
        <v>140</v>
      </c>
    </row>
    <row r="80" spans="3:5" x14ac:dyDescent="0.2">
      <c r="C80" s="62">
        <v>14.2</v>
      </c>
      <c r="D80" s="62">
        <f t="shared" si="5"/>
        <v>330.24</v>
      </c>
      <c r="E80" s="62">
        <f t="shared" si="6"/>
        <v>127.80000000000007</v>
      </c>
    </row>
    <row r="81" spans="3:5" x14ac:dyDescent="0.2">
      <c r="C81" s="62">
        <v>14.4</v>
      </c>
      <c r="D81" s="62">
        <f t="shared" si="5"/>
        <v>337.56</v>
      </c>
      <c r="E81" s="62">
        <f t="shared" si="6"/>
        <v>115.19999999999982</v>
      </c>
    </row>
    <row r="82" spans="3:5" x14ac:dyDescent="0.2">
      <c r="C82" s="62">
        <v>14.6</v>
      </c>
      <c r="D82" s="62">
        <f t="shared" si="5"/>
        <v>344.96</v>
      </c>
      <c r="E82" s="62">
        <f t="shared" si="6"/>
        <v>102.20000000000005</v>
      </c>
    </row>
    <row r="83" spans="3:5" x14ac:dyDescent="0.2">
      <c r="C83" s="62">
        <v>14.8</v>
      </c>
      <c r="D83" s="62">
        <f t="shared" si="5"/>
        <v>352.44000000000005</v>
      </c>
      <c r="E83" s="62">
        <f t="shared" si="6"/>
        <v>88.799999999999955</v>
      </c>
    </row>
    <row r="84" spans="3:5" x14ac:dyDescent="0.2">
      <c r="C84" s="62">
        <v>15</v>
      </c>
      <c r="D84" s="62">
        <f t="shared" si="5"/>
        <v>360</v>
      </c>
      <c r="E84" s="62">
        <f t="shared" si="6"/>
        <v>75</v>
      </c>
    </row>
    <row r="85" spans="3:5" x14ac:dyDescent="0.2">
      <c r="C85" s="62">
        <v>15.2</v>
      </c>
      <c r="D85" s="62">
        <f t="shared" si="5"/>
        <v>367.64</v>
      </c>
      <c r="E85" s="62">
        <f t="shared" si="6"/>
        <v>60.799999999999955</v>
      </c>
    </row>
    <row r="86" spans="3:5" x14ac:dyDescent="0.2">
      <c r="C86" s="62">
        <v>15.4</v>
      </c>
      <c r="D86" s="62">
        <f t="shared" si="5"/>
        <v>375.36</v>
      </c>
      <c r="E86" s="62">
        <f t="shared" si="6"/>
        <v>46.199999999999818</v>
      </c>
    </row>
    <row r="87" spans="3:5" x14ac:dyDescent="0.2">
      <c r="C87" s="62">
        <v>15.6</v>
      </c>
      <c r="D87" s="62">
        <f t="shared" si="5"/>
        <v>383.15999999999997</v>
      </c>
      <c r="E87" s="62">
        <f t="shared" si="6"/>
        <v>31.200000000000045</v>
      </c>
    </row>
    <row r="88" spans="3:5" x14ac:dyDescent="0.2">
      <c r="C88" s="62">
        <v>15.8</v>
      </c>
      <c r="D88" s="62">
        <f t="shared" si="5"/>
        <v>391.04</v>
      </c>
      <c r="E88" s="62">
        <f t="shared" si="6"/>
        <v>15.799999999999955</v>
      </c>
    </row>
    <row r="89" spans="3:5" x14ac:dyDescent="0.2">
      <c r="C89" s="62">
        <v>16</v>
      </c>
      <c r="D89" s="62">
        <f t="shared" si="5"/>
        <v>399</v>
      </c>
      <c r="E89" s="62">
        <f t="shared" si="6"/>
        <v>0</v>
      </c>
    </row>
  </sheetData>
  <mergeCells count="3">
    <mergeCell ref="G27:K27"/>
    <mergeCell ref="B1:C1"/>
    <mergeCell ref="B6:E6"/>
  </mergeCells>
  <hyperlinks>
    <hyperlink ref="B6:D6" location="sjabloon!A1" display="Ga naar Inhoudsopgave" xr:uid="{00000000-0004-0000-0F00-000000000000}"/>
    <hyperlink ref="B6:E6" location="TOC!A1" display="Go to TOC" xr:uid="{00000000-0004-0000-0F00-000001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42578125" style="4" customWidth="1"/>
    <col min="5" max="5" width="11.85546875" style="4" bestFit="1" customWidth="1"/>
    <col min="6" max="6" width="10.85546875" style="4" bestFit="1" customWidth="1"/>
    <col min="7" max="16384" width="9.140625" style="4"/>
  </cols>
  <sheetData>
    <row r="1" spans="2:6" s="9" customFormat="1" x14ac:dyDescent="0.2">
      <c r="B1" s="386" t="s">
        <v>1047</v>
      </c>
      <c r="C1" s="386"/>
      <c r="D1" s="263" t="s">
        <v>616</v>
      </c>
    </row>
    <row r="2" spans="2:6" x14ac:dyDescent="0.2">
      <c r="B2" s="263" t="s">
        <v>1124</v>
      </c>
      <c r="C2" s="263"/>
      <c r="D2" s="337" t="str">
        <f>VLOOKUP(D$1,TabelContent[],COLUMN(TabelContent[Titel-EN]))</f>
        <v>Savings amount</v>
      </c>
    </row>
    <row r="3" spans="2:6" x14ac:dyDescent="0.2">
      <c r="B3" s="263" t="s">
        <v>1125</v>
      </c>
      <c r="C3" s="263"/>
      <c r="D3" s="337" t="str">
        <f>VLOOKUP(D$1,TabelContent[],COLUMN(TabelContent[Cat-EN]))</f>
        <v>Goal Seek</v>
      </c>
    </row>
    <row r="4" spans="2:6" x14ac:dyDescent="0.2">
      <c r="B4" s="263" t="s">
        <v>1126</v>
      </c>
      <c r="C4" s="263"/>
      <c r="D4" s="337">
        <f>VLOOKUP(D$1,TabelContent[],COLUMN(TabelContent[Niveau]))</f>
        <v>2</v>
      </c>
    </row>
    <row r="5" spans="2:6" x14ac:dyDescent="0.2">
      <c r="B5" s="10"/>
      <c r="C5" s="10"/>
      <c r="D5" s="10"/>
    </row>
    <row r="6" spans="2:6" x14ac:dyDescent="0.2">
      <c r="B6" s="387" t="s">
        <v>1132</v>
      </c>
      <c r="C6" s="387"/>
      <c r="D6" s="387"/>
    </row>
    <row r="7" spans="2:6" x14ac:dyDescent="0.2">
      <c r="B7" s="10"/>
      <c r="C7" s="10"/>
      <c r="D7" s="10"/>
    </row>
    <row r="8" spans="2:6" x14ac:dyDescent="0.2">
      <c r="D8" s="4" t="s">
        <v>656</v>
      </c>
      <c r="E8" s="294">
        <v>1000</v>
      </c>
    </row>
    <row r="9" spans="2:6" x14ac:dyDescent="0.2">
      <c r="D9" s="4" t="s">
        <v>654</v>
      </c>
      <c r="E9" s="67">
        <v>2.7E-2</v>
      </c>
    </row>
    <row r="11" spans="2:6" x14ac:dyDescent="0.2">
      <c r="D11" s="102" t="s">
        <v>652</v>
      </c>
      <c r="E11" s="102" t="s">
        <v>655</v>
      </c>
      <c r="F11" s="102" t="s">
        <v>653</v>
      </c>
    </row>
    <row r="12" spans="2:6" x14ac:dyDescent="0.2">
      <c r="D12" s="192">
        <v>2010</v>
      </c>
      <c r="E12" s="280"/>
      <c r="F12" s="294">
        <f>E8</f>
        <v>1000</v>
      </c>
    </row>
    <row r="13" spans="2:6" x14ac:dyDescent="0.2">
      <c r="D13" s="192">
        <v>2011</v>
      </c>
      <c r="E13" s="280">
        <f>$E$9*F12</f>
        <v>27</v>
      </c>
      <c r="F13" s="280">
        <f>F12+E13</f>
        <v>1027</v>
      </c>
    </row>
    <row r="14" spans="2:6" x14ac:dyDescent="0.2">
      <c r="D14" s="192">
        <v>2012</v>
      </c>
      <c r="E14" s="280">
        <f t="shared" ref="E14:E22" si="0">$E$9*F13</f>
        <v>27.728999999999999</v>
      </c>
      <c r="F14" s="280">
        <f t="shared" ref="F14:F22" si="1">F13+E14</f>
        <v>1054.729</v>
      </c>
    </row>
    <row r="15" spans="2:6" x14ac:dyDescent="0.2">
      <c r="D15" s="192">
        <v>2013</v>
      </c>
      <c r="E15" s="280">
        <f t="shared" si="0"/>
        <v>28.477683000000003</v>
      </c>
      <c r="F15" s="280">
        <f t="shared" si="1"/>
        <v>1083.2066830000001</v>
      </c>
    </row>
    <row r="16" spans="2:6" x14ac:dyDescent="0.2">
      <c r="D16" s="192">
        <v>2014</v>
      </c>
      <c r="E16" s="280">
        <f t="shared" si="0"/>
        <v>29.246580441000003</v>
      </c>
      <c r="F16" s="280">
        <f t="shared" si="1"/>
        <v>1112.4532634410002</v>
      </c>
    </row>
    <row r="17" spans="4:6" x14ac:dyDescent="0.2">
      <c r="D17" s="192">
        <v>2015</v>
      </c>
      <c r="E17" s="280">
        <f t="shared" si="0"/>
        <v>30.036238112907007</v>
      </c>
      <c r="F17" s="280">
        <f t="shared" si="1"/>
        <v>1142.4895015539073</v>
      </c>
    </row>
    <row r="18" spans="4:6" x14ac:dyDescent="0.2">
      <c r="D18" s="192">
        <v>2016</v>
      </c>
      <c r="E18" s="280">
        <f t="shared" si="0"/>
        <v>30.847216541955497</v>
      </c>
      <c r="F18" s="280">
        <f t="shared" si="1"/>
        <v>1173.3367180958628</v>
      </c>
    </row>
    <row r="19" spans="4:6" x14ac:dyDescent="0.2">
      <c r="D19" s="192">
        <v>2017</v>
      </c>
      <c r="E19" s="280">
        <f t="shared" si="0"/>
        <v>31.680091388588295</v>
      </c>
      <c r="F19" s="280">
        <f t="shared" si="1"/>
        <v>1205.0168094844512</v>
      </c>
    </row>
    <row r="20" spans="4:6" x14ac:dyDescent="0.2">
      <c r="D20" s="192">
        <v>2018</v>
      </c>
      <c r="E20" s="280">
        <f t="shared" si="0"/>
        <v>32.535453856080181</v>
      </c>
      <c r="F20" s="280">
        <f t="shared" si="1"/>
        <v>1237.5522633405315</v>
      </c>
    </row>
    <row r="21" spans="4:6" x14ac:dyDescent="0.2">
      <c r="D21" s="192">
        <v>2019</v>
      </c>
      <c r="E21" s="280">
        <f t="shared" si="0"/>
        <v>33.413911110194348</v>
      </c>
      <c r="F21" s="280">
        <f t="shared" si="1"/>
        <v>1270.9661744507257</v>
      </c>
    </row>
    <row r="22" spans="4:6" x14ac:dyDescent="0.2">
      <c r="D22" s="192">
        <v>2020</v>
      </c>
      <c r="E22" s="280">
        <f t="shared" si="0"/>
        <v>34.316086710169593</v>
      </c>
      <c r="F22" s="280">
        <f t="shared" si="1"/>
        <v>1305.2822611608954</v>
      </c>
    </row>
  </sheetData>
  <mergeCells count="2">
    <mergeCell ref="B6:D6"/>
    <mergeCell ref="B1:C1"/>
  </mergeCells>
  <hyperlinks>
    <hyperlink ref="B6:D6" location="TOC!A1" display="Go to TOC" xr:uid="{00000000-0004-0000-1000-000000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9" customFormat="1" x14ac:dyDescent="0.2">
      <c r="B1" s="386" t="s">
        <v>1047</v>
      </c>
      <c r="C1" s="386"/>
      <c r="D1" s="263" t="s">
        <v>21</v>
      </c>
    </row>
    <row r="2" spans="2:4" s="4" customFormat="1" x14ac:dyDescent="0.2">
      <c r="B2" s="263" t="s">
        <v>1124</v>
      </c>
      <c r="C2" s="263"/>
      <c r="D2" s="337" t="str">
        <f>VLOOKUP(D$1,TabelContent[],COLUMN(TabelContent[Titel-EN]))</f>
        <v>Third-degree chart</v>
      </c>
    </row>
    <row r="3" spans="2:4" s="4" customFormat="1" x14ac:dyDescent="0.2">
      <c r="B3" s="263" t="s">
        <v>1125</v>
      </c>
      <c r="C3" s="263"/>
      <c r="D3" s="337" t="str">
        <f>VLOOKUP(D$1,TabelContent[],COLUMN(TabelContent[Cat-EN]))</f>
        <v>Chart</v>
      </c>
    </row>
    <row r="4" spans="2:4" s="4" customFormat="1" x14ac:dyDescent="0.2">
      <c r="B4" s="263" t="s">
        <v>1126</v>
      </c>
      <c r="C4" s="263"/>
      <c r="D4" s="337">
        <f>VLOOKUP(D$1,TabelContent[],COLUMN(TabelContent[Niveau]))</f>
        <v>2</v>
      </c>
    </row>
    <row r="5" spans="2:4" x14ac:dyDescent="0.2">
      <c r="B5" s="10"/>
      <c r="C5" s="10"/>
      <c r="D5" s="10"/>
    </row>
    <row r="6" spans="2:4" x14ac:dyDescent="0.2">
      <c r="B6" s="387" t="s">
        <v>1132</v>
      </c>
      <c r="C6" s="387"/>
      <c r="D6" s="387"/>
    </row>
    <row r="7" spans="2:4" x14ac:dyDescent="0.2">
      <c r="B7" s="10"/>
      <c r="C7" s="10"/>
      <c r="D7" s="10"/>
    </row>
    <row r="8" spans="2:4" x14ac:dyDescent="0.2">
      <c r="B8" s="10"/>
      <c r="C8" s="30" t="s">
        <v>12</v>
      </c>
      <c r="D8" s="30" t="s">
        <v>13</v>
      </c>
    </row>
    <row r="9" spans="2:4" x14ac:dyDescent="0.2">
      <c r="B9" s="10"/>
      <c r="C9" s="31">
        <v>-1</v>
      </c>
      <c r="D9" s="32">
        <f>(C9-0.5)^3</f>
        <v>-3.375</v>
      </c>
    </row>
    <row r="10" spans="2:4" x14ac:dyDescent="0.2">
      <c r="B10" s="10"/>
      <c r="C10" s="31">
        <v>-0.9</v>
      </c>
      <c r="D10" s="32">
        <f t="shared" ref="D10:D39" si="0">(C10-0.5)^3</f>
        <v>-2.7439999999999993</v>
      </c>
    </row>
    <row r="11" spans="2:4" x14ac:dyDescent="0.2">
      <c r="B11" s="10"/>
      <c r="C11" s="31">
        <v>-0.8</v>
      </c>
      <c r="D11" s="32">
        <f t="shared" si="0"/>
        <v>-2.1970000000000005</v>
      </c>
    </row>
    <row r="12" spans="2:4" x14ac:dyDescent="0.2">
      <c r="B12" s="10"/>
      <c r="C12" s="31">
        <v>-0.7</v>
      </c>
      <c r="D12" s="32">
        <f t="shared" si="0"/>
        <v>-1.728</v>
      </c>
    </row>
    <row r="13" spans="2:4" x14ac:dyDescent="0.2">
      <c r="B13" s="10"/>
      <c r="C13" s="31">
        <v>-0.6</v>
      </c>
      <c r="D13" s="32">
        <f t="shared" si="0"/>
        <v>-1.3310000000000004</v>
      </c>
    </row>
    <row r="14" spans="2:4" x14ac:dyDescent="0.2">
      <c r="B14" s="10"/>
      <c r="C14" s="31">
        <v>-0.5</v>
      </c>
      <c r="D14" s="32">
        <f t="shared" si="0"/>
        <v>-1</v>
      </c>
    </row>
    <row r="15" spans="2:4" x14ac:dyDescent="0.2">
      <c r="B15" s="10"/>
      <c r="C15" s="31">
        <v>-0.4</v>
      </c>
      <c r="D15" s="32">
        <f t="shared" si="0"/>
        <v>-0.72900000000000009</v>
      </c>
    </row>
    <row r="16" spans="2:4" x14ac:dyDescent="0.2">
      <c r="B16" s="10"/>
      <c r="C16" s="31">
        <v>-0.3</v>
      </c>
      <c r="D16" s="32">
        <f t="shared" si="0"/>
        <v>-0.51200000000000012</v>
      </c>
    </row>
    <row r="17" spans="2:4" x14ac:dyDescent="0.2">
      <c r="B17" s="10"/>
      <c r="C17" s="31">
        <v>-0.2</v>
      </c>
      <c r="D17" s="32">
        <f t="shared" si="0"/>
        <v>-0.34299999999999992</v>
      </c>
    </row>
    <row r="18" spans="2:4" x14ac:dyDescent="0.2">
      <c r="B18" s="10"/>
      <c r="C18" s="31">
        <v>-0.1</v>
      </c>
      <c r="D18" s="32">
        <f t="shared" si="0"/>
        <v>-0.216</v>
      </c>
    </row>
    <row r="19" spans="2:4" x14ac:dyDescent="0.2">
      <c r="B19" s="10"/>
      <c r="C19" s="31">
        <v>0</v>
      </c>
      <c r="D19" s="32">
        <f t="shared" si="0"/>
        <v>-0.125</v>
      </c>
    </row>
    <row r="20" spans="2:4" x14ac:dyDescent="0.2">
      <c r="B20" s="10"/>
      <c r="C20" s="31">
        <v>9.9999999999999645E-2</v>
      </c>
      <c r="D20" s="32">
        <f t="shared" si="0"/>
        <v>-6.4000000000000168E-2</v>
      </c>
    </row>
    <row r="21" spans="2:4" x14ac:dyDescent="0.2">
      <c r="B21" s="10"/>
      <c r="C21" s="31">
        <v>0.2</v>
      </c>
      <c r="D21" s="32">
        <f t="shared" si="0"/>
        <v>-2.7E-2</v>
      </c>
    </row>
    <row r="22" spans="2:4" x14ac:dyDescent="0.2">
      <c r="B22" s="10"/>
      <c r="C22" s="31">
        <v>0.3</v>
      </c>
      <c r="D22" s="32">
        <f t="shared" si="0"/>
        <v>-8.0000000000000019E-3</v>
      </c>
    </row>
    <row r="23" spans="2:4" x14ac:dyDescent="0.2">
      <c r="B23" s="10"/>
      <c r="C23" s="31">
        <v>0.4</v>
      </c>
      <c r="D23" s="32">
        <f t="shared" si="0"/>
        <v>-9.9999999999999937E-4</v>
      </c>
    </row>
    <row r="24" spans="2:4" x14ac:dyDescent="0.2">
      <c r="B24" s="10"/>
      <c r="C24" s="31">
        <v>0.5</v>
      </c>
      <c r="D24" s="32">
        <f t="shared" si="0"/>
        <v>0</v>
      </c>
    </row>
    <row r="25" spans="2:4" x14ac:dyDescent="0.2">
      <c r="B25" s="10"/>
      <c r="C25" s="31">
        <v>0.6</v>
      </c>
      <c r="D25" s="32">
        <f t="shared" si="0"/>
        <v>9.9999999999999937E-4</v>
      </c>
    </row>
    <row r="26" spans="2:4" x14ac:dyDescent="0.2">
      <c r="B26" s="10"/>
      <c r="C26" s="31">
        <v>0.7</v>
      </c>
      <c r="D26" s="32">
        <f t="shared" si="0"/>
        <v>7.999999999999995E-3</v>
      </c>
    </row>
    <row r="27" spans="2:4" x14ac:dyDescent="0.2">
      <c r="B27" s="10"/>
      <c r="C27" s="31">
        <v>0.8</v>
      </c>
      <c r="D27" s="32">
        <f t="shared" si="0"/>
        <v>2.700000000000001E-2</v>
      </c>
    </row>
    <row r="28" spans="2:4" x14ac:dyDescent="0.2">
      <c r="B28" s="10"/>
      <c r="C28" s="31">
        <v>0.89999999999999947</v>
      </c>
      <c r="D28" s="32">
        <f t="shared" si="0"/>
        <v>6.3999999999999752E-2</v>
      </c>
    </row>
    <row r="29" spans="2:4" x14ac:dyDescent="0.2">
      <c r="B29" s="10"/>
      <c r="C29" s="31">
        <v>1</v>
      </c>
      <c r="D29" s="32">
        <f t="shared" si="0"/>
        <v>0.125</v>
      </c>
    </row>
    <row r="30" spans="2:4" x14ac:dyDescent="0.2">
      <c r="B30" s="10"/>
      <c r="C30" s="31">
        <v>1.1000000000000001</v>
      </c>
      <c r="D30" s="32">
        <f t="shared" si="0"/>
        <v>0.21600000000000008</v>
      </c>
    </row>
    <row r="31" spans="2:4" x14ac:dyDescent="0.2">
      <c r="B31" s="10"/>
      <c r="C31" s="31">
        <v>1.2</v>
      </c>
      <c r="D31" s="32">
        <f t="shared" si="0"/>
        <v>0.34299999999999992</v>
      </c>
    </row>
    <row r="32" spans="2:4" x14ac:dyDescent="0.2">
      <c r="B32" s="10"/>
      <c r="C32" s="31">
        <v>1.3</v>
      </c>
      <c r="D32" s="32">
        <f t="shared" si="0"/>
        <v>0.51200000000000012</v>
      </c>
    </row>
    <row r="33" spans="2:4" x14ac:dyDescent="0.2">
      <c r="B33" s="10"/>
      <c r="C33" s="31">
        <v>1.4</v>
      </c>
      <c r="D33" s="32">
        <f t="shared" si="0"/>
        <v>0.72899999999999976</v>
      </c>
    </row>
    <row r="34" spans="2:4" x14ac:dyDescent="0.2">
      <c r="B34" s="10"/>
      <c r="C34" s="31">
        <v>1.5</v>
      </c>
      <c r="D34" s="32">
        <f t="shared" si="0"/>
        <v>1</v>
      </c>
    </row>
    <row r="35" spans="2:4" x14ac:dyDescent="0.2">
      <c r="B35" s="10"/>
      <c r="C35" s="31">
        <v>1.6</v>
      </c>
      <c r="D35" s="32">
        <f t="shared" si="0"/>
        <v>1.3310000000000004</v>
      </c>
    </row>
    <row r="36" spans="2:4" x14ac:dyDescent="0.2">
      <c r="B36" s="10"/>
      <c r="C36" s="31">
        <v>1.7</v>
      </c>
      <c r="D36" s="32">
        <f t="shared" si="0"/>
        <v>1.728</v>
      </c>
    </row>
    <row r="37" spans="2:4" x14ac:dyDescent="0.2">
      <c r="B37" s="10"/>
      <c r="C37" s="31">
        <v>1.8</v>
      </c>
      <c r="D37" s="32">
        <f t="shared" si="0"/>
        <v>2.1970000000000005</v>
      </c>
    </row>
    <row r="38" spans="2:4" x14ac:dyDescent="0.2">
      <c r="B38" s="10"/>
      <c r="C38" s="31">
        <v>1.9</v>
      </c>
      <c r="D38" s="32">
        <f t="shared" si="0"/>
        <v>2.7439999999999993</v>
      </c>
    </row>
    <row r="39" spans="2:4" x14ac:dyDescent="0.2">
      <c r="B39" s="10"/>
      <c r="C39" s="31">
        <v>2</v>
      </c>
      <c r="D39" s="32">
        <f t="shared" si="0"/>
        <v>3.375</v>
      </c>
    </row>
  </sheetData>
  <mergeCells count="2">
    <mergeCell ref="B6:D6"/>
    <mergeCell ref="B1:C1"/>
  </mergeCells>
  <hyperlinks>
    <hyperlink ref="B6:D6" location="TOC!A1" display="Go to TOC" xr:uid="{00000000-0004-0000-11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7" width="8.7109375" style="4" customWidth="1"/>
    <col min="8" max="8" width="9.7109375" style="4" bestFit="1" customWidth="1"/>
    <col min="9" max="9" width="8.7109375" style="4" customWidth="1"/>
    <col min="10" max="16384" width="9.140625" style="4"/>
  </cols>
  <sheetData>
    <row r="1" spans="2:9" s="9" customFormat="1" x14ac:dyDescent="0.2">
      <c r="B1" s="386" t="s">
        <v>1047</v>
      </c>
      <c r="C1" s="386"/>
      <c r="D1" s="263" t="s">
        <v>22</v>
      </c>
    </row>
    <row r="2" spans="2:9" x14ac:dyDescent="0.2">
      <c r="B2" s="263" t="s">
        <v>1124</v>
      </c>
      <c r="C2" s="263"/>
      <c r="D2" s="337" t="str">
        <f>VLOOKUP(D$1,TabelContent[],COLUMN(TabelContent[Titel-EN]))</f>
        <v>Travel bookings</v>
      </c>
    </row>
    <row r="3" spans="2:9" x14ac:dyDescent="0.2">
      <c r="B3" s="263" t="s">
        <v>1125</v>
      </c>
      <c r="C3" s="263"/>
      <c r="D3" s="337" t="str">
        <f>VLOOKUP(D$1,TabelContent[],COLUMN(TabelContent[Cat-EN]))</f>
        <v>Chart</v>
      </c>
    </row>
    <row r="4" spans="2:9" x14ac:dyDescent="0.2">
      <c r="B4" s="263" t="s">
        <v>1126</v>
      </c>
      <c r="C4" s="263"/>
      <c r="D4" s="337">
        <f>VLOOKUP(D$1,TabelContent[],COLUMN(TabelContent[Niveau]))</f>
        <v>1</v>
      </c>
    </row>
    <row r="5" spans="2:9" x14ac:dyDescent="0.2">
      <c r="B5" s="10"/>
      <c r="C5" s="10"/>
      <c r="D5" s="10"/>
      <c r="E5" s="10"/>
      <c r="F5" s="10"/>
      <c r="G5" s="10"/>
      <c r="H5" s="10"/>
      <c r="I5" s="10"/>
    </row>
    <row r="6" spans="2:9" x14ac:dyDescent="0.2">
      <c r="B6" s="387" t="s">
        <v>1132</v>
      </c>
      <c r="C6" s="387"/>
      <c r="D6" s="387"/>
      <c r="E6" s="10"/>
      <c r="F6" s="10"/>
      <c r="G6" s="10"/>
      <c r="H6" s="10"/>
      <c r="I6" s="10"/>
    </row>
    <row r="7" spans="2:9" ht="13.5" thickBot="1" x14ac:dyDescent="0.25">
      <c r="B7" s="10"/>
      <c r="C7" s="10"/>
      <c r="D7" s="10"/>
      <c r="E7" s="10"/>
      <c r="F7" s="10"/>
      <c r="G7" s="10"/>
      <c r="H7" s="10"/>
      <c r="I7" s="10"/>
    </row>
    <row r="8" spans="2:9" ht="13.5" thickBot="1" x14ac:dyDescent="0.25">
      <c r="B8" s="10"/>
      <c r="C8" s="33" t="s">
        <v>652</v>
      </c>
      <c r="D8" s="33" t="s">
        <v>829</v>
      </c>
      <c r="E8" s="33" t="s">
        <v>14</v>
      </c>
      <c r="F8" s="33" t="s">
        <v>15</v>
      </c>
      <c r="G8" s="33" t="s">
        <v>16</v>
      </c>
      <c r="H8" s="33" t="s">
        <v>831</v>
      </c>
      <c r="I8" s="33" t="s">
        <v>830</v>
      </c>
    </row>
    <row r="9" spans="2:9" x14ac:dyDescent="0.2">
      <c r="B9" s="10"/>
      <c r="C9" s="34">
        <v>2008</v>
      </c>
      <c r="D9" s="34">
        <v>180</v>
      </c>
      <c r="E9" s="34">
        <v>350</v>
      </c>
      <c r="F9" s="34">
        <v>145</v>
      </c>
      <c r="G9" s="34">
        <v>330</v>
      </c>
      <c r="H9" s="34">
        <v>267</v>
      </c>
      <c r="I9" s="34">
        <f>SUM(D9:H9)</f>
        <v>1272</v>
      </c>
    </row>
    <row r="10" spans="2:9" x14ac:dyDescent="0.2">
      <c r="B10" s="10"/>
      <c r="C10" s="35">
        <v>2009</v>
      </c>
      <c r="D10" s="35">
        <v>210</v>
      </c>
      <c r="E10" s="35">
        <v>400</v>
      </c>
      <c r="F10" s="35">
        <v>110</v>
      </c>
      <c r="G10" s="35">
        <v>350</v>
      </c>
      <c r="H10" s="35">
        <v>305</v>
      </c>
      <c r="I10" s="34">
        <f t="shared" ref="I10:I11" si="0">SUM(D10:H10)</f>
        <v>1375</v>
      </c>
    </row>
    <row r="11" spans="2:9" ht="13.5" thickBot="1" x14ac:dyDescent="0.25">
      <c r="B11" s="10"/>
      <c r="C11" s="36">
        <v>2010</v>
      </c>
      <c r="D11" s="36">
        <v>200</v>
      </c>
      <c r="E11" s="36">
        <v>450</v>
      </c>
      <c r="F11" s="36">
        <v>95</v>
      </c>
      <c r="G11" s="36">
        <v>320</v>
      </c>
      <c r="H11" s="36">
        <v>380</v>
      </c>
      <c r="I11" s="34">
        <f t="shared" si="0"/>
        <v>1445</v>
      </c>
    </row>
    <row r="12" spans="2:9" ht="13.5" thickBot="1" x14ac:dyDescent="0.25">
      <c r="B12" s="10"/>
      <c r="C12" s="33" t="s">
        <v>830</v>
      </c>
      <c r="D12" s="37">
        <f>SUM(D9:D11)</f>
        <v>590</v>
      </c>
      <c r="E12" s="37">
        <f t="shared" ref="E12:I12" si="1">SUM(E9:E11)</f>
        <v>1200</v>
      </c>
      <c r="F12" s="37">
        <f t="shared" si="1"/>
        <v>350</v>
      </c>
      <c r="G12" s="37">
        <f t="shared" si="1"/>
        <v>1000</v>
      </c>
      <c r="H12" s="37">
        <f t="shared" si="1"/>
        <v>952</v>
      </c>
      <c r="I12" s="37">
        <f t="shared" si="1"/>
        <v>4092</v>
      </c>
    </row>
  </sheetData>
  <mergeCells count="2">
    <mergeCell ref="B6:D6"/>
    <mergeCell ref="B1:C1"/>
  </mergeCells>
  <hyperlinks>
    <hyperlink ref="B6:D6" location="TOC!A1" display="Go to TOC" xr:uid="{00000000-0004-0000-12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s="9" customFormat="1" x14ac:dyDescent="0.2">
      <c r="B1" s="386" t="s">
        <v>1047</v>
      </c>
      <c r="C1" s="386"/>
      <c r="D1" s="263" t="s">
        <v>23</v>
      </c>
    </row>
    <row r="2" spans="2:6" x14ac:dyDescent="0.2">
      <c r="B2" s="263" t="s">
        <v>1124</v>
      </c>
      <c r="C2" s="263"/>
      <c r="D2" s="337" t="str">
        <f>VLOOKUP(D$1,TabelContent[],COLUMN(TabelContent[Titel-EN]))</f>
        <v>Sales figures</v>
      </c>
    </row>
    <row r="3" spans="2:6" x14ac:dyDescent="0.2">
      <c r="B3" s="263" t="s">
        <v>1125</v>
      </c>
      <c r="C3" s="263"/>
      <c r="D3" s="337" t="str">
        <f>VLOOKUP(D$1,TabelContent[],COLUMN(TabelContent[Cat-EN]))</f>
        <v>Chart</v>
      </c>
    </row>
    <row r="4" spans="2:6" x14ac:dyDescent="0.2">
      <c r="B4" s="263" t="s">
        <v>1126</v>
      </c>
      <c r="C4" s="263"/>
      <c r="D4" s="337">
        <f>VLOOKUP(D$1,TabelContent[],COLUMN(TabelContent[Niveau]))</f>
        <v>2</v>
      </c>
    </row>
    <row r="5" spans="2:6" x14ac:dyDescent="0.2">
      <c r="B5" s="10"/>
      <c r="C5" s="10"/>
      <c r="D5" s="10"/>
      <c r="E5" s="10"/>
      <c r="F5" s="10"/>
    </row>
    <row r="6" spans="2:6" x14ac:dyDescent="0.2">
      <c r="B6" s="387" t="s">
        <v>1132</v>
      </c>
      <c r="C6" s="387"/>
      <c r="D6" s="387"/>
      <c r="E6" s="10"/>
      <c r="F6" s="10"/>
    </row>
    <row r="7" spans="2:6" x14ac:dyDescent="0.2">
      <c r="B7" s="10"/>
      <c r="C7" s="10"/>
      <c r="D7" s="10"/>
      <c r="E7" s="10"/>
      <c r="F7" s="10"/>
    </row>
    <row r="8" spans="2:6" x14ac:dyDescent="0.2">
      <c r="B8" s="10"/>
      <c r="C8" s="10" t="s">
        <v>840</v>
      </c>
      <c r="D8" s="10"/>
      <c r="E8" s="10"/>
      <c r="F8" s="10"/>
    </row>
    <row r="9" spans="2:6" ht="13.5" thickBot="1" x14ac:dyDescent="0.25">
      <c r="B9" s="10"/>
      <c r="C9" s="10"/>
      <c r="D9" s="10"/>
      <c r="E9" s="10"/>
      <c r="F9" s="10"/>
    </row>
    <row r="10" spans="2:6" ht="13.5" thickBot="1" x14ac:dyDescent="0.25">
      <c r="B10" s="10"/>
      <c r="C10" s="38"/>
      <c r="D10" s="39" t="s">
        <v>836</v>
      </c>
      <c r="E10" s="39" t="s">
        <v>837</v>
      </c>
      <c r="F10" s="39" t="s">
        <v>838</v>
      </c>
    </row>
    <row r="11" spans="2:6" x14ac:dyDescent="0.2">
      <c r="B11" s="10"/>
      <c r="C11" s="10" t="s">
        <v>832</v>
      </c>
      <c r="D11" s="272">
        <v>85000</v>
      </c>
      <c r="E11" s="272">
        <v>75000</v>
      </c>
      <c r="F11" s="40">
        <f>(E11-D11)/D11</f>
        <v>-0.11764705882352941</v>
      </c>
    </row>
    <row r="12" spans="2:6" x14ac:dyDescent="0.2">
      <c r="B12" s="10"/>
      <c r="C12" s="10" t="s">
        <v>833</v>
      </c>
      <c r="D12" s="272">
        <v>100000</v>
      </c>
      <c r="E12" s="272">
        <v>80000</v>
      </c>
      <c r="F12" s="40">
        <f t="shared" ref="F12:F14" si="0">(E12-D12)/D12</f>
        <v>-0.2</v>
      </c>
    </row>
    <row r="13" spans="2:6" x14ac:dyDescent="0.2">
      <c r="B13" s="10"/>
      <c r="C13" s="10" t="s">
        <v>834</v>
      </c>
      <c r="D13" s="272">
        <v>115000</v>
      </c>
      <c r="E13" s="272">
        <v>90000</v>
      </c>
      <c r="F13" s="40">
        <f t="shared" si="0"/>
        <v>-0.21739130434782608</v>
      </c>
    </row>
    <row r="14" spans="2:6" ht="13.5" thickBot="1" x14ac:dyDescent="0.25">
      <c r="B14" s="10"/>
      <c r="C14" s="10" t="s">
        <v>835</v>
      </c>
      <c r="D14" s="272">
        <v>120000</v>
      </c>
      <c r="E14" s="272">
        <v>100000</v>
      </c>
      <c r="F14" s="40">
        <f t="shared" si="0"/>
        <v>-0.16666666666666666</v>
      </c>
    </row>
    <row r="15" spans="2:6" ht="13.5" thickBot="1" x14ac:dyDescent="0.25">
      <c r="B15" s="10"/>
      <c r="C15" s="38"/>
      <c r="D15" s="38"/>
      <c r="E15" s="38" t="s">
        <v>839</v>
      </c>
      <c r="F15" s="41">
        <f>AVERAGE(F11:F14)</f>
        <v>-0.17542625745950552</v>
      </c>
    </row>
  </sheetData>
  <mergeCells count="2">
    <mergeCell ref="B6:D6"/>
    <mergeCell ref="B1:C1"/>
  </mergeCells>
  <hyperlinks>
    <hyperlink ref="B6:D6" location="TOC!A1" display="Go to TOC" xr:uid="{00000000-0004-0000-13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16"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s="9" customFormat="1" x14ac:dyDescent="0.2">
      <c r="B1" s="386" t="s">
        <v>1047</v>
      </c>
      <c r="C1" s="386"/>
      <c r="D1" s="263" t="s">
        <v>245</v>
      </c>
    </row>
    <row r="2" spans="2:11" x14ac:dyDescent="0.2">
      <c r="B2" s="263" t="s">
        <v>1124</v>
      </c>
      <c r="C2" s="263"/>
      <c r="D2" s="337" t="str">
        <f>VLOOKUP(D$1,TabelContent[],COLUMN(TabelContent[Titel-EN]))</f>
        <v>Age structure</v>
      </c>
    </row>
    <row r="3" spans="2:11" x14ac:dyDescent="0.2">
      <c r="B3" s="263" t="s">
        <v>1125</v>
      </c>
      <c r="C3" s="263"/>
      <c r="D3" s="337" t="str">
        <f>VLOOKUP(D$1,TabelContent[],COLUMN(TabelContent[Cat-EN]))</f>
        <v>Chart</v>
      </c>
    </row>
    <row r="4" spans="2:11" x14ac:dyDescent="0.2">
      <c r="B4" s="263" t="s">
        <v>1126</v>
      </c>
      <c r="C4" s="263"/>
      <c r="D4" s="337">
        <f>VLOOKUP(D$1,TabelContent[],COLUMN(TabelContent[Niveau]))</f>
        <v>2</v>
      </c>
    </row>
    <row r="5" spans="2:11" x14ac:dyDescent="0.2">
      <c r="B5" s="10"/>
      <c r="C5" s="10"/>
      <c r="D5" s="10"/>
      <c r="E5" s="10"/>
      <c r="F5" s="10"/>
      <c r="G5" s="10"/>
      <c r="H5" s="10"/>
      <c r="I5" s="10"/>
      <c r="J5" s="10"/>
    </row>
    <row r="6" spans="2:11" x14ac:dyDescent="0.2">
      <c r="B6" s="387" t="s">
        <v>1132</v>
      </c>
      <c r="C6" s="387"/>
      <c r="D6" s="387"/>
      <c r="E6" s="10"/>
      <c r="F6" s="10"/>
      <c r="G6" s="10"/>
      <c r="H6" s="10"/>
      <c r="I6" s="10"/>
      <c r="J6" s="10"/>
    </row>
    <row r="7" spans="2:11" x14ac:dyDescent="0.2">
      <c r="B7" s="10"/>
      <c r="C7" s="10"/>
      <c r="D7" s="10"/>
      <c r="E7" s="10"/>
      <c r="F7" s="10"/>
      <c r="G7" s="10"/>
      <c r="H7" s="10"/>
      <c r="I7" s="10"/>
      <c r="J7" s="10"/>
    </row>
    <row r="8" spans="2:11" x14ac:dyDescent="0.2">
      <c r="B8" s="10"/>
      <c r="D8" s="42"/>
      <c r="E8" s="43" t="s">
        <v>473</v>
      </c>
      <c r="F8" s="43" t="s">
        <v>474</v>
      </c>
      <c r="G8" s="43" t="s">
        <v>475</v>
      </c>
      <c r="H8" s="43" t="s">
        <v>476</v>
      </c>
      <c r="I8" s="43" t="s">
        <v>477</v>
      </c>
      <c r="J8" s="43" t="s">
        <v>478</v>
      </c>
      <c r="K8" s="43" t="s">
        <v>479</v>
      </c>
    </row>
    <row r="9" spans="2:11" x14ac:dyDescent="0.2">
      <c r="B9" s="10"/>
      <c r="D9" s="44" t="s">
        <v>841</v>
      </c>
      <c r="E9" s="45">
        <v>0.21067276580411265</v>
      </c>
      <c r="F9" s="45">
        <v>0.19760031615307849</v>
      </c>
      <c r="G9" s="45">
        <v>0.18525314176113039</v>
      </c>
      <c r="H9" s="45">
        <v>0.13919622817775926</v>
      </c>
      <c r="I9" s="45">
        <v>0.1218389111244302</v>
      </c>
      <c r="J9" s="45">
        <v>0.12513661477753019</v>
      </c>
      <c r="K9" s="45">
        <v>0.1163276790108277</v>
      </c>
    </row>
    <row r="10" spans="2:11" x14ac:dyDescent="0.2">
      <c r="B10" s="10"/>
      <c r="D10" s="44" t="s">
        <v>842</v>
      </c>
      <c r="E10" s="45">
        <v>0.16257783037473772</v>
      </c>
      <c r="F10" s="45">
        <v>0.1817415115753753</v>
      </c>
      <c r="G10" s="45">
        <v>0.17419601946993202</v>
      </c>
      <c r="H10" s="45">
        <v>0.17531520442744575</v>
      </c>
      <c r="I10" s="45">
        <v>0.1348128268491397</v>
      </c>
      <c r="J10" s="45">
        <v>0.11900232918031134</v>
      </c>
      <c r="K10" s="45">
        <v>0.12067603785438409</v>
      </c>
    </row>
    <row r="11" spans="2:11" x14ac:dyDescent="0.2">
      <c r="B11" s="10"/>
      <c r="D11" s="44" t="s">
        <v>843</v>
      </c>
      <c r="E11" s="45">
        <v>0.15907690340650976</v>
      </c>
      <c r="F11" s="45">
        <v>0.13789760655232861</v>
      </c>
      <c r="G11" s="45">
        <v>0.15996470339732888</v>
      </c>
      <c r="H11" s="45">
        <v>0.16592801625205963</v>
      </c>
      <c r="I11" s="45">
        <v>0.17156456634024447</v>
      </c>
      <c r="J11" s="45">
        <v>0.13440265507644691</v>
      </c>
      <c r="K11" s="45">
        <v>0.12140370047907724</v>
      </c>
    </row>
    <row r="12" spans="2:11" x14ac:dyDescent="0.2">
      <c r="B12" s="10"/>
      <c r="D12" s="44" t="s">
        <v>844</v>
      </c>
      <c r="E12" s="45">
        <v>0.13527193644455698</v>
      </c>
      <c r="F12" s="45">
        <v>0.13351432840155786</v>
      </c>
      <c r="G12" s="45">
        <v>0.12175074421454371</v>
      </c>
      <c r="H12" s="45">
        <v>0.1492784692428806</v>
      </c>
      <c r="I12" s="45">
        <v>0.15827284121603155</v>
      </c>
      <c r="J12" s="45">
        <v>0.16574352541454052</v>
      </c>
      <c r="K12" s="45">
        <v>0.13155405412335416</v>
      </c>
    </row>
    <row r="13" spans="2:11" x14ac:dyDescent="0.2">
      <c r="B13" s="10"/>
      <c r="D13" s="44" t="s">
        <v>845</v>
      </c>
      <c r="E13" s="45">
        <v>0.12280631066445805</v>
      </c>
      <c r="F13" s="45">
        <v>0.11551726886342373</v>
      </c>
      <c r="G13" s="45">
        <v>0.116333546103872</v>
      </c>
      <c r="H13" s="45">
        <v>0.11158465955679273</v>
      </c>
      <c r="I13" s="45">
        <v>0.13934938312208486</v>
      </c>
      <c r="J13" s="45">
        <v>0.1480571988691341</v>
      </c>
      <c r="K13" s="45">
        <v>0.15597820306245755</v>
      </c>
    </row>
    <row r="14" spans="2:11" x14ac:dyDescent="0.2">
      <c r="B14" s="10"/>
      <c r="D14" s="44" t="s">
        <v>846</v>
      </c>
      <c r="E14" s="45">
        <v>9.5487950111167369E-2</v>
      </c>
      <c r="F14" s="45">
        <v>0.10320248634216249</v>
      </c>
      <c r="G14" s="45">
        <v>9.7572617689620653E-2</v>
      </c>
      <c r="H14" s="45">
        <v>0.10273455125372809</v>
      </c>
      <c r="I14" s="45">
        <v>0.10123401099098114</v>
      </c>
      <c r="J14" s="45">
        <v>0.1263728138326205</v>
      </c>
      <c r="K14" s="45">
        <v>0.13636274509744772</v>
      </c>
    </row>
    <row r="15" spans="2:11" x14ac:dyDescent="0.2">
      <c r="B15" s="10"/>
      <c r="D15" s="44" t="s">
        <v>847</v>
      </c>
      <c r="E15" s="45">
        <v>6.7249054107438158E-2</v>
      </c>
      <c r="F15" s="45">
        <v>7.4680391624816267E-2</v>
      </c>
      <c r="G15" s="45">
        <v>8.0371311986976626E-2</v>
      </c>
      <c r="H15" s="45">
        <v>7.9669922973605728E-2</v>
      </c>
      <c r="I15" s="45">
        <v>8.7209235958807391E-2</v>
      </c>
      <c r="J15" s="45">
        <v>8.6228965673744565E-2</v>
      </c>
      <c r="K15" s="45">
        <v>0.11136996832999406</v>
      </c>
    </row>
    <row r="16" spans="2:11" x14ac:dyDescent="0.2">
      <c r="B16" s="10"/>
      <c r="D16" s="44" t="s">
        <v>848</v>
      </c>
      <c r="E16" s="45">
        <v>3.6923943525997843E-2</v>
      </c>
      <c r="F16" s="45">
        <v>4.2322786197101336E-2</v>
      </c>
      <c r="G16" s="45">
        <v>4.7444974660086139E-2</v>
      </c>
      <c r="H16" s="45">
        <v>5.4159906448180382E-2</v>
      </c>
      <c r="I16" s="45">
        <v>5.6998205951503081E-2</v>
      </c>
      <c r="J16" s="45">
        <v>6.3516526464089965E-2</v>
      </c>
      <c r="K16" s="45">
        <v>6.7232925463781609E-2</v>
      </c>
    </row>
    <row r="17" spans="2:11" x14ac:dyDescent="0.2">
      <c r="B17" s="10"/>
      <c r="D17" s="44" t="s">
        <v>849</v>
      </c>
      <c r="E17" s="45">
        <v>9.9333055610214775E-3</v>
      </c>
      <c r="F17" s="45">
        <v>1.3523304290155934E-2</v>
      </c>
      <c r="G17" s="45">
        <v>1.7112940716509612E-2</v>
      </c>
      <c r="H17" s="45">
        <v>2.2133041667547843E-2</v>
      </c>
      <c r="I17" s="45">
        <v>2.872001844677757E-2</v>
      </c>
      <c r="J17" s="45">
        <v>3.1539370711581922E-2</v>
      </c>
      <c r="K17" s="45">
        <v>3.9094686578675861E-2</v>
      </c>
    </row>
  </sheetData>
  <mergeCells count="2">
    <mergeCell ref="B6:D6"/>
    <mergeCell ref="B1:C1"/>
  </mergeCells>
  <hyperlinks>
    <hyperlink ref="B6:D6" location="TOC!A1" display="Go to TOC" xr:uid="{00000000-0004-0000-14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5" width="11.42578125" style="4" customWidth="1"/>
    <col min="6" max="16384" width="9.140625" style="4"/>
  </cols>
  <sheetData>
    <row r="1" spans="2:5" s="9" customFormat="1" x14ac:dyDescent="0.2">
      <c r="B1" s="386" t="s">
        <v>1047</v>
      </c>
      <c r="C1" s="386"/>
      <c r="D1" s="263" t="s">
        <v>246</v>
      </c>
    </row>
    <row r="2" spans="2:5" x14ac:dyDescent="0.2">
      <c r="B2" s="263" t="s">
        <v>1124</v>
      </c>
      <c r="C2" s="263"/>
      <c r="D2" s="337" t="str">
        <f>VLOOKUP(D$1,TabelContent[],COLUMN(TabelContent[Titel-EN]))</f>
        <v>Relationship production - cost</v>
      </c>
    </row>
    <row r="3" spans="2:5" x14ac:dyDescent="0.2">
      <c r="B3" s="263" t="s">
        <v>1125</v>
      </c>
      <c r="C3" s="263"/>
      <c r="D3" s="337" t="str">
        <f>VLOOKUP(D$1,TabelContent[],COLUMN(TabelContent[Cat-EN]))</f>
        <v>Chart</v>
      </c>
    </row>
    <row r="4" spans="2:5" x14ac:dyDescent="0.2">
      <c r="B4" s="263" t="s">
        <v>1126</v>
      </c>
      <c r="C4" s="263"/>
      <c r="D4" s="337">
        <f>VLOOKUP(D$1,TabelContent[],COLUMN(TabelContent[Niveau]))</f>
        <v>2</v>
      </c>
    </row>
    <row r="5" spans="2:5" x14ac:dyDescent="0.2">
      <c r="B5" s="10"/>
      <c r="C5" s="10"/>
      <c r="D5" s="10"/>
      <c r="E5" s="10"/>
    </row>
    <row r="6" spans="2:5" x14ac:dyDescent="0.2">
      <c r="B6" s="387" t="s">
        <v>1132</v>
      </c>
      <c r="C6" s="387"/>
      <c r="D6" s="387"/>
      <c r="E6" s="387"/>
    </row>
    <row r="7" spans="2:5" x14ac:dyDescent="0.2">
      <c r="B7" s="10"/>
      <c r="C7" s="10"/>
      <c r="D7" s="10"/>
      <c r="E7" s="10"/>
    </row>
    <row r="8" spans="2:5" ht="38.25" x14ac:dyDescent="0.2">
      <c r="B8" s="10"/>
      <c r="D8" s="46" t="s">
        <v>850</v>
      </c>
      <c r="E8" s="46" t="s">
        <v>1164</v>
      </c>
    </row>
    <row r="9" spans="2:5" x14ac:dyDescent="0.2">
      <c r="B9" s="10"/>
      <c r="D9" s="30">
        <v>62</v>
      </c>
      <c r="E9" s="47">
        <v>7.1</v>
      </c>
    </row>
    <row r="10" spans="2:5" x14ac:dyDescent="0.2">
      <c r="B10" s="10"/>
      <c r="D10" s="30">
        <v>66</v>
      </c>
      <c r="E10" s="47">
        <v>8.3000000000000007</v>
      </c>
    </row>
    <row r="11" spans="2:5" x14ac:dyDescent="0.2">
      <c r="B11" s="10"/>
      <c r="D11" s="30">
        <v>67</v>
      </c>
      <c r="E11" s="47">
        <v>8.1</v>
      </c>
    </row>
    <row r="12" spans="2:5" x14ac:dyDescent="0.2">
      <c r="B12" s="10"/>
      <c r="D12" s="30">
        <v>68</v>
      </c>
      <c r="E12" s="47">
        <v>9.6</v>
      </c>
    </row>
    <row r="13" spans="2:5" x14ac:dyDescent="0.2">
      <c r="B13" s="10"/>
      <c r="D13" s="30">
        <v>71</v>
      </c>
      <c r="E13" s="47">
        <v>10.3</v>
      </c>
    </row>
    <row r="14" spans="2:5" x14ac:dyDescent="0.2">
      <c r="B14" s="10"/>
      <c r="D14" s="30">
        <v>74</v>
      </c>
      <c r="E14" s="47">
        <v>10.7</v>
      </c>
    </row>
    <row r="15" spans="2:5" x14ac:dyDescent="0.2">
      <c r="B15" s="10"/>
      <c r="D15" s="30">
        <v>75</v>
      </c>
      <c r="E15" s="47">
        <v>12.4</v>
      </c>
    </row>
    <row r="16" spans="2:5" x14ac:dyDescent="0.2">
      <c r="B16" s="10"/>
      <c r="D16" s="30">
        <v>76</v>
      </c>
      <c r="E16" s="47">
        <v>11.1</v>
      </c>
    </row>
    <row r="17" spans="2:5" x14ac:dyDescent="0.2">
      <c r="B17" s="10"/>
      <c r="D17" s="30">
        <v>79</v>
      </c>
      <c r="E17" s="47">
        <v>13.1</v>
      </c>
    </row>
    <row r="18" spans="2:5" x14ac:dyDescent="0.2">
      <c r="B18" s="10"/>
      <c r="D18" s="30">
        <v>82</v>
      </c>
      <c r="E18" s="47">
        <v>12.6</v>
      </c>
    </row>
  </sheetData>
  <mergeCells count="2">
    <mergeCell ref="B6:E6"/>
    <mergeCell ref="B1:C1"/>
  </mergeCells>
  <hyperlinks>
    <hyperlink ref="B6:D6" location="sjabloon!A1" display="Ga naar Inhoudsopgave" xr:uid="{00000000-0004-0000-1500-000000000000}"/>
    <hyperlink ref="B6:E6" location="TOC!A1" display="Go to TOC" xr:uid="{00000000-0004-0000-1500-000001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6"/>
  <dimension ref="B1:F3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s="9" customFormat="1" x14ac:dyDescent="0.2">
      <c r="B1" s="386" t="s">
        <v>1047</v>
      </c>
      <c r="C1" s="386"/>
      <c r="D1" s="263" t="s">
        <v>636</v>
      </c>
    </row>
    <row r="2" spans="2:5" x14ac:dyDescent="0.2">
      <c r="B2" s="263" t="s">
        <v>1124</v>
      </c>
      <c r="C2" s="263"/>
      <c r="D2" s="337" t="str">
        <f>VLOOKUP(D$1,TabelContent[],COLUMN(TabelContent[Titel-EN]))</f>
        <v>Counting agarics</v>
      </c>
    </row>
    <row r="3" spans="2:5" x14ac:dyDescent="0.2">
      <c r="B3" s="263" t="s">
        <v>1125</v>
      </c>
      <c r="C3" s="263"/>
      <c r="D3" s="337" t="str">
        <f>VLOOKUP(D$1,TabelContent[],COLUMN(TabelContent[Cat-EN]))</f>
        <v>Chart</v>
      </c>
    </row>
    <row r="4" spans="2:5" x14ac:dyDescent="0.2">
      <c r="B4" s="263" t="s">
        <v>1126</v>
      </c>
      <c r="C4" s="263"/>
      <c r="D4" s="337">
        <f>VLOOKUP(D$1,TabelContent[],COLUMN(TabelContent[Niveau]))</f>
        <v>1</v>
      </c>
    </row>
    <row r="5" spans="2:5" x14ac:dyDescent="0.2">
      <c r="B5" s="10"/>
      <c r="C5" s="10"/>
      <c r="D5" s="10"/>
      <c r="E5" s="10"/>
    </row>
    <row r="6" spans="2:5" x14ac:dyDescent="0.2">
      <c r="B6" s="387" t="s">
        <v>1132</v>
      </c>
      <c r="C6" s="387"/>
      <c r="D6" s="387"/>
      <c r="E6" s="387"/>
    </row>
    <row r="7" spans="2:5" x14ac:dyDescent="0.2">
      <c r="B7" s="10"/>
      <c r="C7" s="10"/>
      <c r="D7" s="10"/>
      <c r="E7" s="10"/>
    </row>
    <row r="8" spans="2:5" ht="25.5" x14ac:dyDescent="0.2">
      <c r="B8" s="10"/>
      <c r="D8" s="46" t="s">
        <v>652</v>
      </c>
      <c r="E8" s="46" t="s">
        <v>851</v>
      </c>
    </row>
    <row r="9" spans="2:5" x14ac:dyDescent="0.2">
      <c r="B9" s="10"/>
      <c r="D9" s="200" t="s">
        <v>626</v>
      </c>
      <c r="E9" s="198">
        <v>10</v>
      </c>
    </row>
    <row r="10" spans="2:5" x14ac:dyDescent="0.2">
      <c r="B10" s="10"/>
      <c r="D10" s="200" t="s">
        <v>627</v>
      </c>
      <c r="E10" s="198">
        <v>9</v>
      </c>
    </row>
    <row r="11" spans="2:5" x14ac:dyDescent="0.2">
      <c r="B11" s="10"/>
      <c r="D11" s="200" t="s">
        <v>628</v>
      </c>
      <c r="E11" s="198">
        <v>15</v>
      </c>
    </row>
    <row r="12" spans="2:5" x14ac:dyDescent="0.2">
      <c r="B12" s="10"/>
      <c r="D12" s="200" t="s">
        <v>629</v>
      </c>
      <c r="E12" s="198">
        <v>12</v>
      </c>
    </row>
    <row r="13" spans="2:5" x14ac:dyDescent="0.2">
      <c r="B13" s="10"/>
      <c r="D13" s="200" t="s">
        <v>630</v>
      </c>
      <c r="E13" s="198">
        <v>18</v>
      </c>
    </row>
    <row r="14" spans="2:5" x14ac:dyDescent="0.2">
      <c r="B14" s="10"/>
      <c r="D14" s="200" t="s">
        <v>477</v>
      </c>
      <c r="E14" s="198">
        <v>10</v>
      </c>
    </row>
    <row r="15" spans="2:5" x14ac:dyDescent="0.2">
      <c r="B15" s="10"/>
      <c r="D15" s="200" t="s">
        <v>631</v>
      </c>
      <c r="E15" s="198">
        <v>19</v>
      </c>
    </row>
    <row r="16" spans="2:5" x14ac:dyDescent="0.2">
      <c r="B16" s="10"/>
      <c r="D16" s="200" t="s">
        <v>632</v>
      </c>
      <c r="E16" s="198">
        <v>33</v>
      </c>
    </row>
    <row r="17" spans="2:5" x14ac:dyDescent="0.2">
      <c r="B17" s="10"/>
      <c r="D17" s="200" t="s">
        <v>633</v>
      </c>
      <c r="E17" s="198">
        <v>39</v>
      </c>
    </row>
    <row r="18" spans="2:5" x14ac:dyDescent="0.2">
      <c r="B18" s="10"/>
      <c r="D18" s="200" t="s">
        <v>634</v>
      </c>
      <c r="E18" s="198">
        <v>15</v>
      </c>
    </row>
    <row r="19" spans="2:5" x14ac:dyDescent="0.2">
      <c r="D19" s="200" t="s">
        <v>635</v>
      </c>
      <c r="E19" s="199">
        <v>10</v>
      </c>
    </row>
    <row r="34" spans="6:6" x14ac:dyDescent="0.2">
      <c r="F34" s="9"/>
    </row>
    <row r="35" spans="6:6" x14ac:dyDescent="0.2">
      <c r="F35" s="9"/>
    </row>
  </sheetData>
  <mergeCells count="2">
    <mergeCell ref="B6:E6"/>
    <mergeCell ref="B1:C1"/>
  </mergeCells>
  <hyperlinks>
    <hyperlink ref="B6:D6" location="sjabloon!A1" display="Ga naar Inhoudsopgave" xr:uid="{00000000-0004-0000-1600-000000000000}"/>
    <hyperlink ref="B6:E6" location="TOC!A1" display="Go to TOC" xr:uid="{00000000-0004-0000-16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9" customFormat="1" x14ac:dyDescent="0.2">
      <c r="B1" s="386" t="s">
        <v>1047</v>
      </c>
      <c r="C1" s="386"/>
      <c r="D1" s="263" t="s">
        <v>24</v>
      </c>
    </row>
    <row r="2" spans="2:6" s="4" customFormat="1" x14ac:dyDescent="0.2">
      <c r="B2" s="263" t="s">
        <v>1124</v>
      </c>
      <c r="C2" s="263"/>
      <c r="D2" s="337" t="str">
        <f>VLOOKUP(D$1,TabelContent[],COLUMN(TabelContent[Titel-EN]))</f>
        <v>Selecting</v>
      </c>
    </row>
    <row r="3" spans="2:6" s="4" customFormat="1" x14ac:dyDescent="0.2">
      <c r="B3" s="263" t="s">
        <v>1125</v>
      </c>
      <c r="C3" s="263"/>
      <c r="D3" s="337" t="str">
        <f>VLOOKUP(D$1,TabelContent[],COLUMN(TabelContent[Cat-EN]))</f>
        <v>List</v>
      </c>
    </row>
    <row r="4" spans="2:6" s="4" customFormat="1" x14ac:dyDescent="0.2">
      <c r="B4" s="263" t="s">
        <v>1126</v>
      </c>
      <c r="C4" s="263"/>
      <c r="D4" s="337">
        <f>VLOOKUP(D$1,TabelContent[],COLUMN(TabelContent[Niveau]))</f>
        <v>2</v>
      </c>
    </row>
    <row r="5" spans="2:6" x14ac:dyDescent="0.2">
      <c r="B5" s="10"/>
      <c r="C5" s="10"/>
      <c r="D5" s="10"/>
      <c r="E5" s="10"/>
    </row>
    <row r="6" spans="2:6" x14ac:dyDescent="0.2">
      <c r="B6" s="387" t="s">
        <v>1132</v>
      </c>
      <c r="C6" s="387"/>
      <c r="D6" s="387"/>
      <c r="E6" s="10"/>
    </row>
    <row r="7" spans="2:6" x14ac:dyDescent="0.2">
      <c r="B7" s="10"/>
      <c r="C7" s="10"/>
      <c r="D7" s="10"/>
      <c r="E7" s="10"/>
    </row>
    <row r="8" spans="2:6" x14ac:dyDescent="0.2">
      <c r="B8" s="10"/>
      <c r="D8" s="48" t="s">
        <v>852</v>
      </c>
      <c r="E8" s="48" t="s">
        <v>853</v>
      </c>
      <c r="F8" s="48" t="s">
        <v>528</v>
      </c>
    </row>
    <row r="9" spans="2:6" x14ac:dyDescent="0.2">
      <c r="B9" s="10"/>
      <c r="D9" s="49" t="s">
        <v>29</v>
      </c>
      <c r="E9" s="49" t="s">
        <v>30</v>
      </c>
      <c r="F9" s="49">
        <v>1</v>
      </c>
    </row>
    <row r="10" spans="2:6" x14ac:dyDescent="0.2">
      <c r="B10" s="10"/>
      <c r="D10" s="49" t="s">
        <v>31</v>
      </c>
      <c r="E10" s="49" t="s">
        <v>32</v>
      </c>
      <c r="F10" s="49"/>
    </row>
    <row r="11" spans="2:6" x14ac:dyDescent="0.2">
      <c r="B11" s="10"/>
      <c r="D11" s="49" t="s">
        <v>33</v>
      </c>
      <c r="E11" s="49" t="s">
        <v>34</v>
      </c>
      <c r="F11" s="49">
        <v>2</v>
      </c>
    </row>
    <row r="12" spans="2:6" hidden="1" x14ac:dyDescent="0.2">
      <c r="B12" s="10"/>
      <c r="D12" s="49" t="s">
        <v>35</v>
      </c>
      <c r="E12" s="49" t="s">
        <v>36</v>
      </c>
      <c r="F12" s="49">
        <v>6</v>
      </c>
    </row>
    <row r="13" spans="2:6" hidden="1" x14ac:dyDescent="0.2">
      <c r="B13" s="10"/>
      <c r="D13" s="49" t="s">
        <v>37</v>
      </c>
      <c r="E13" s="49" t="s">
        <v>38</v>
      </c>
      <c r="F13" s="49">
        <v>7</v>
      </c>
    </row>
    <row r="14" spans="2:6" x14ac:dyDescent="0.2">
      <c r="B14" s="10"/>
      <c r="D14" s="49" t="s">
        <v>39</v>
      </c>
      <c r="E14" s="49" t="s">
        <v>40</v>
      </c>
      <c r="F14" s="49">
        <v>3</v>
      </c>
    </row>
    <row r="15" spans="2:6" x14ac:dyDescent="0.2">
      <c r="B15" s="10"/>
      <c r="D15" s="49" t="s">
        <v>41</v>
      </c>
      <c r="E15" s="49" t="s">
        <v>42</v>
      </c>
      <c r="F15" s="49"/>
    </row>
    <row r="16" spans="2:6" hidden="1" x14ac:dyDescent="0.2">
      <c r="B16" s="10"/>
      <c r="D16" s="49" t="s">
        <v>43</v>
      </c>
      <c r="E16" s="49" t="s">
        <v>44</v>
      </c>
      <c r="F16" s="49">
        <v>9</v>
      </c>
    </row>
  </sheetData>
  <autoFilter ref="D8:F16" xr:uid="{00000000-0009-0000-0000-000017000000}">
    <filterColumn colId="2">
      <customFilters>
        <customFilter operator="lessThanOrEqual" val="3"/>
        <customFilter val=""/>
      </customFilters>
    </filterColumn>
  </autoFilter>
  <mergeCells count="2">
    <mergeCell ref="B6:D6"/>
    <mergeCell ref="B1:C1"/>
  </mergeCells>
  <hyperlinks>
    <hyperlink ref="B6:D6" location="TOC!A1" display="Go to TOC" xr:uid="{00000000-0004-0000-1700-000000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9" customFormat="1" x14ac:dyDescent="0.2">
      <c r="B1" s="386" t="s">
        <v>1047</v>
      </c>
      <c r="C1" s="386"/>
      <c r="D1" s="263" t="s">
        <v>25</v>
      </c>
    </row>
    <row r="2" spans="2:10" s="4" customFormat="1" x14ac:dyDescent="0.2">
      <c r="B2" s="263" t="s">
        <v>1124</v>
      </c>
      <c r="C2" s="263"/>
      <c r="D2" s="337" t="str">
        <f>VLOOKUP(D$1,TabelContent[],COLUMN(TabelContent[Titel-EN]))</f>
        <v>Consolidating examination results</v>
      </c>
    </row>
    <row r="3" spans="2:10" s="4" customFormat="1" x14ac:dyDescent="0.2">
      <c r="B3" s="263" t="s">
        <v>1125</v>
      </c>
      <c r="C3" s="263"/>
      <c r="D3" s="337" t="str">
        <f>VLOOKUP(D$1,TabelContent[],COLUMN(TabelContent[Cat-EN]))</f>
        <v>List</v>
      </c>
    </row>
    <row r="4" spans="2:10" s="4" customFormat="1" x14ac:dyDescent="0.2">
      <c r="B4" s="263" t="s">
        <v>1126</v>
      </c>
      <c r="C4" s="263"/>
      <c r="D4" s="337">
        <f>VLOOKUP(D$1,TabelContent[],COLUMN(TabelContent[Niveau]))</f>
        <v>2</v>
      </c>
    </row>
    <row r="5" spans="2:10" x14ac:dyDescent="0.2">
      <c r="B5" s="10"/>
      <c r="C5" s="10"/>
      <c r="D5" s="10"/>
      <c r="E5" s="10"/>
      <c r="F5" s="10"/>
      <c r="G5" s="10"/>
      <c r="H5" s="10"/>
      <c r="I5" s="10"/>
      <c r="J5" s="10"/>
    </row>
    <row r="6" spans="2:10" x14ac:dyDescent="0.2">
      <c r="B6" s="387" t="s">
        <v>1132</v>
      </c>
      <c r="C6" s="387"/>
      <c r="D6" s="387"/>
      <c r="E6" s="388"/>
      <c r="F6" s="10"/>
      <c r="G6" s="10"/>
      <c r="H6" s="10"/>
      <c r="I6" s="10"/>
      <c r="J6" s="10"/>
    </row>
    <row r="7" spans="2:10" x14ac:dyDescent="0.2">
      <c r="B7" s="10"/>
      <c r="C7" s="10"/>
      <c r="D7" s="10"/>
      <c r="E7" s="10"/>
      <c r="F7" s="10"/>
      <c r="G7" s="10"/>
      <c r="H7" s="10"/>
      <c r="I7" s="10"/>
      <c r="J7" s="10"/>
    </row>
    <row r="8" spans="2:10" x14ac:dyDescent="0.2">
      <c r="B8" s="10"/>
      <c r="C8" s="394" t="s">
        <v>854</v>
      </c>
      <c r="D8" s="394"/>
      <c r="E8" s="10"/>
      <c r="F8" s="394" t="s">
        <v>855</v>
      </c>
      <c r="G8" s="394"/>
      <c r="H8" s="10"/>
      <c r="I8" s="394" t="s">
        <v>856</v>
      </c>
      <c r="J8" s="394"/>
    </row>
    <row r="9" spans="2:10" x14ac:dyDescent="0.2">
      <c r="B9" s="10"/>
      <c r="C9" s="17" t="s">
        <v>45</v>
      </c>
      <c r="D9" s="17" t="s">
        <v>528</v>
      </c>
      <c r="E9" s="10"/>
      <c r="F9" s="17" t="s">
        <v>45</v>
      </c>
      <c r="G9" s="17" t="s">
        <v>528</v>
      </c>
      <c r="H9" s="10"/>
      <c r="I9" s="17" t="s">
        <v>45</v>
      </c>
      <c r="J9" s="17" t="s">
        <v>528</v>
      </c>
    </row>
    <row r="10" spans="2:10" x14ac:dyDescent="0.2">
      <c r="B10" s="10"/>
      <c r="C10" s="10" t="s">
        <v>29</v>
      </c>
      <c r="D10" s="10">
        <v>7</v>
      </c>
      <c r="E10" s="10"/>
      <c r="F10" s="10" t="s">
        <v>46</v>
      </c>
      <c r="G10" s="10">
        <v>6</v>
      </c>
      <c r="H10" s="10"/>
      <c r="I10" s="10" t="s">
        <v>29</v>
      </c>
      <c r="J10" s="10">
        <v>7</v>
      </c>
    </row>
    <row r="11" spans="2:10" x14ac:dyDescent="0.2">
      <c r="B11" s="10"/>
      <c r="C11" s="10" t="s">
        <v>31</v>
      </c>
      <c r="D11" s="10">
        <v>5</v>
      </c>
      <c r="E11" s="10"/>
      <c r="F11" s="10" t="s">
        <v>31</v>
      </c>
      <c r="G11" s="10">
        <v>8</v>
      </c>
      <c r="H11" s="10"/>
      <c r="I11" s="10" t="s">
        <v>46</v>
      </c>
      <c r="J11" s="10">
        <v>6</v>
      </c>
    </row>
    <row r="12" spans="2:10" x14ac:dyDescent="0.2">
      <c r="B12" s="10"/>
      <c r="C12" s="10" t="s">
        <v>47</v>
      </c>
      <c r="D12" s="10">
        <v>6</v>
      </c>
      <c r="E12" s="10"/>
      <c r="F12" s="10" t="s">
        <v>48</v>
      </c>
      <c r="G12" s="10">
        <v>9</v>
      </c>
      <c r="H12" s="10"/>
      <c r="I12" s="10" t="s">
        <v>31</v>
      </c>
      <c r="J12" s="10">
        <v>8</v>
      </c>
    </row>
    <row r="13" spans="2:10" x14ac:dyDescent="0.2">
      <c r="B13" s="10"/>
      <c r="C13" s="10" t="s">
        <v>48</v>
      </c>
      <c r="D13" s="10">
        <v>4</v>
      </c>
      <c r="E13" s="10"/>
      <c r="F13" s="10" t="s">
        <v>49</v>
      </c>
      <c r="G13" s="10">
        <v>7</v>
      </c>
      <c r="H13" s="10"/>
      <c r="I13" s="10" t="s">
        <v>47</v>
      </c>
      <c r="J13" s="10">
        <v>6</v>
      </c>
    </row>
    <row r="14" spans="2:10" x14ac:dyDescent="0.2">
      <c r="B14" s="10"/>
      <c r="C14" s="10" t="s">
        <v>50</v>
      </c>
      <c r="D14" s="10">
        <v>6</v>
      </c>
      <c r="E14" s="10"/>
      <c r="F14" s="10" t="s">
        <v>51</v>
      </c>
      <c r="G14" s="10">
        <v>6</v>
      </c>
      <c r="H14" s="10"/>
      <c r="I14" s="10" t="s">
        <v>48</v>
      </c>
      <c r="J14" s="10">
        <v>9</v>
      </c>
    </row>
    <row r="15" spans="2:10" x14ac:dyDescent="0.2">
      <c r="B15" s="10"/>
      <c r="C15" s="10" t="s">
        <v>51</v>
      </c>
      <c r="D15" s="10">
        <v>4</v>
      </c>
      <c r="E15" s="10"/>
      <c r="F15" s="10" t="s">
        <v>52</v>
      </c>
      <c r="G15" s="10">
        <v>6</v>
      </c>
      <c r="H15" s="10"/>
      <c r="I15" s="10" t="s">
        <v>50</v>
      </c>
      <c r="J15" s="10">
        <v>6</v>
      </c>
    </row>
    <row r="16" spans="2:10" x14ac:dyDescent="0.2">
      <c r="B16" s="10"/>
      <c r="C16" s="10" t="s">
        <v>52</v>
      </c>
      <c r="D16" s="10">
        <v>5</v>
      </c>
      <c r="E16" s="10"/>
      <c r="F16" s="10" t="s">
        <v>53</v>
      </c>
      <c r="G16" s="10">
        <v>5</v>
      </c>
      <c r="H16" s="10"/>
      <c r="I16" s="10" t="s">
        <v>49</v>
      </c>
      <c r="J16" s="10">
        <v>7</v>
      </c>
    </row>
    <row r="17" spans="2:10" x14ac:dyDescent="0.2">
      <c r="B17" s="10"/>
      <c r="C17" s="10" t="s">
        <v>54</v>
      </c>
      <c r="D17" s="10">
        <v>5</v>
      </c>
      <c r="E17" s="10"/>
      <c r="F17" s="10" t="s">
        <v>55</v>
      </c>
      <c r="G17" s="10">
        <v>6</v>
      </c>
      <c r="H17" s="10"/>
      <c r="I17" s="10" t="s">
        <v>51</v>
      </c>
      <c r="J17" s="10">
        <v>6</v>
      </c>
    </row>
    <row r="18" spans="2:10" x14ac:dyDescent="0.2">
      <c r="B18" s="10"/>
      <c r="C18" s="10" t="s">
        <v>56</v>
      </c>
      <c r="D18" s="10">
        <v>6</v>
      </c>
      <c r="E18" s="10"/>
      <c r="F18" s="10"/>
      <c r="G18" s="10"/>
      <c r="H18" s="10"/>
      <c r="I18" s="10" t="s">
        <v>52</v>
      </c>
      <c r="J18" s="10">
        <v>6</v>
      </c>
    </row>
    <row r="19" spans="2:10" x14ac:dyDescent="0.2">
      <c r="B19" s="10"/>
      <c r="C19" s="10" t="s">
        <v>55</v>
      </c>
      <c r="D19" s="10">
        <v>5</v>
      </c>
      <c r="E19" s="10"/>
      <c r="F19" s="10"/>
      <c r="G19" s="10"/>
      <c r="H19" s="10"/>
      <c r="I19" s="10" t="s">
        <v>54</v>
      </c>
      <c r="J19" s="10">
        <v>5</v>
      </c>
    </row>
    <row r="20" spans="2:10" x14ac:dyDescent="0.2">
      <c r="B20" s="10"/>
      <c r="C20" s="10"/>
      <c r="D20" s="10"/>
      <c r="E20" s="10"/>
      <c r="F20" s="10"/>
      <c r="G20" s="10"/>
      <c r="H20" s="10"/>
      <c r="I20" s="10" t="s">
        <v>56</v>
      </c>
      <c r="J20" s="10">
        <v>6</v>
      </c>
    </row>
    <row r="21" spans="2:10" x14ac:dyDescent="0.2">
      <c r="B21" s="10"/>
      <c r="C21" s="10"/>
      <c r="D21" s="10"/>
      <c r="E21" s="10"/>
      <c r="F21" s="10"/>
      <c r="G21" s="10"/>
      <c r="H21" s="10"/>
      <c r="I21" s="10" t="s">
        <v>53</v>
      </c>
      <c r="J21" s="10">
        <v>5</v>
      </c>
    </row>
    <row r="22" spans="2:10" x14ac:dyDescent="0.2">
      <c r="B22" s="10"/>
      <c r="C22" s="10"/>
      <c r="D22" s="10"/>
      <c r="E22" s="10"/>
      <c r="F22" s="10"/>
      <c r="G22" s="10"/>
      <c r="H22" s="10"/>
      <c r="I22" s="10" t="s">
        <v>55</v>
      </c>
      <c r="J22" s="10">
        <v>6</v>
      </c>
    </row>
  </sheetData>
  <dataConsolidate function="max">
    <dataRefs count="2">
      <dataRef ref="C9:D18" sheet="list002"/>
      <dataRef ref="F9:G16" sheet="list002"/>
    </dataRefs>
  </dataConsolidate>
  <mergeCells count="5">
    <mergeCell ref="B1:C1"/>
    <mergeCell ref="C8:D8"/>
    <mergeCell ref="F8:G8"/>
    <mergeCell ref="I8:J8"/>
    <mergeCell ref="B6:E6"/>
  </mergeCells>
  <hyperlinks>
    <hyperlink ref="B6:D6" location="Inhoud!A1" display="Ga naar Inhoudsopgave" xr:uid="{00000000-0004-0000-1800-000000000000}"/>
    <hyperlink ref="B6:E6" location="TOC!A1" display="Go to TOC" xr:uid="{00000000-0004-0000-1800-000001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6" width="7.7109375" customWidth="1"/>
  </cols>
  <sheetData>
    <row r="1" spans="2:6" s="9" customFormat="1" x14ac:dyDescent="0.2">
      <c r="B1" s="386" t="s">
        <v>1047</v>
      </c>
      <c r="C1" s="386"/>
      <c r="D1" s="263" t="s">
        <v>27</v>
      </c>
    </row>
    <row r="2" spans="2:6" s="4" customFormat="1" x14ac:dyDescent="0.2">
      <c r="B2" s="263" t="s">
        <v>1124</v>
      </c>
      <c r="C2" s="263"/>
      <c r="D2" s="337" t="str">
        <f>VLOOKUP(D$1,TabelContent[],COLUMN(TabelContent[Titel-EN]))</f>
        <v>Consolidating sales data</v>
      </c>
    </row>
    <row r="3" spans="2:6" s="4" customFormat="1" x14ac:dyDescent="0.2">
      <c r="B3" s="263" t="s">
        <v>1125</v>
      </c>
      <c r="C3" s="263"/>
      <c r="D3" s="337" t="str">
        <f>VLOOKUP(D$1,TabelContent[],COLUMN(TabelContent[Cat-EN]))</f>
        <v>List</v>
      </c>
    </row>
    <row r="4" spans="2:6" s="4" customFormat="1" x14ac:dyDescent="0.2">
      <c r="B4" s="263" t="s">
        <v>1126</v>
      </c>
      <c r="C4" s="263"/>
      <c r="D4" s="337">
        <f>VLOOKUP(D$1,TabelContent[],COLUMN(TabelContent[Niveau]))</f>
        <v>2</v>
      </c>
    </row>
    <row r="5" spans="2:6" x14ac:dyDescent="0.2">
      <c r="B5" s="10"/>
      <c r="C5" s="10"/>
      <c r="D5" s="10"/>
      <c r="E5" s="10"/>
      <c r="F5" s="10"/>
    </row>
    <row r="6" spans="2:6" x14ac:dyDescent="0.2">
      <c r="B6" s="387" t="s">
        <v>1132</v>
      </c>
      <c r="C6" s="387"/>
      <c r="D6" s="387"/>
      <c r="E6" s="388"/>
      <c r="F6" s="10"/>
    </row>
    <row r="7" spans="2:6" x14ac:dyDescent="0.2">
      <c r="B7" s="10"/>
      <c r="C7" s="10"/>
      <c r="D7" s="10"/>
      <c r="E7" s="10"/>
      <c r="F7" s="10"/>
    </row>
    <row r="8" spans="2:6" x14ac:dyDescent="0.2">
      <c r="B8" s="10"/>
      <c r="C8" s="394" t="s">
        <v>857</v>
      </c>
      <c r="D8" s="394"/>
      <c r="E8" s="394"/>
      <c r="F8" s="394"/>
    </row>
    <row r="9" spans="2:6" x14ac:dyDescent="0.2">
      <c r="B9" s="10"/>
      <c r="C9" s="10"/>
      <c r="D9" s="27" t="s">
        <v>859</v>
      </c>
      <c r="E9" s="27" t="s">
        <v>860</v>
      </c>
      <c r="F9" s="27" t="s">
        <v>861</v>
      </c>
    </row>
    <row r="10" spans="2:6" x14ac:dyDescent="0.2">
      <c r="B10" s="10"/>
      <c r="C10" s="10" t="s">
        <v>862</v>
      </c>
      <c r="D10" s="27">
        <v>5</v>
      </c>
      <c r="E10" s="27">
        <v>10</v>
      </c>
      <c r="F10" s="27">
        <v>15</v>
      </c>
    </row>
    <row r="11" spans="2:6" x14ac:dyDescent="0.2">
      <c r="B11" s="10"/>
      <c r="C11" s="10" t="s">
        <v>863</v>
      </c>
      <c r="D11" s="27">
        <v>20</v>
      </c>
      <c r="E11" s="27">
        <v>20</v>
      </c>
      <c r="F11" s="27">
        <v>30</v>
      </c>
    </row>
    <row r="12" spans="2:6" x14ac:dyDescent="0.2">
      <c r="B12" s="10"/>
      <c r="C12" s="10" t="s">
        <v>864</v>
      </c>
      <c r="D12" s="27">
        <v>25</v>
      </c>
      <c r="E12" s="27">
        <v>35</v>
      </c>
      <c r="F12" s="27">
        <v>40</v>
      </c>
    </row>
    <row r="13" spans="2:6" x14ac:dyDescent="0.2">
      <c r="B13" s="10"/>
      <c r="C13" s="10"/>
      <c r="D13" s="10"/>
      <c r="E13" s="10"/>
      <c r="F13" s="10"/>
    </row>
    <row r="14" spans="2:6" x14ac:dyDescent="0.2">
      <c r="B14" s="10"/>
      <c r="C14" s="394" t="s">
        <v>858</v>
      </c>
      <c r="D14" s="394"/>
      <c r="E14" s="394"/>
      <c r="F14" s="394"/>
    </row>
    <row r="15" spans="2:6" x14ac:dyDescent="0.2">
      <c r="B15" s="10"/>
      <c r="C15" s="10"/>
      <c r="D15" s="27" t="s">
        <v>860</v>
      </c>
      <c r="E15" s="27" t="s">
        <v>861</v>
      </c>
      <c r="F15" s="27" t="s">
        <v>859</v>
      </c>
    </row>
    <row r="16" spans="2:6" x14ac:dyDescent="0.2">
      <c r="B16" s="10"/>
      <c r="C16" s="10" t="s">
        <v>862</v>
      </c>
      <c r="D16" s="27">
        <v>10</v>
      </c>
      <c r="E16" s="27">
        <v>40</v>
      </c>
      <c r="F16" s="27">
        <v>50</v>
      </c>
    </row>
    <row r="17" spans="2:6" x14ac:dyDescent="0.2">
      <c r="B17" s="10"/>
      <c r="C17" s="10" t="s">
        <v>865</v>
      </c>
      <c r="D17" s="27">
        <v>30</v>
      </c>
      <c r="E17" s="27">
        <v>50</v>
      </c>
      <c r="F17" s="27">
        <v>20</v>
      </c>
    </row>
    <row r="18" spans="2:6" x14ac:dyDescent="0.2">
      <c r="B18" s="10"/>
      <c r="C18" s="10" t="s">
        <v>863</v>
      </c>
      <c r="D18" s="27">
        <v>40</v>
      </c>
      <c r="E18" s="27">
        <v>20</v>
      </c>
      <c r="F18" s="27">
        <v>36</v>
      </c>
    </row>
    <row r="19" spans="2:6" x14ac:dyDescent="0.2">
      <c r="B19" s="10"/>
      <c r="C19" s="10"/>
      <c r="D19" s="10"/>
      <c r="E19" s="10"/>
      <c r="F19" s="10"/>
    </row>
    <row r="20" spans="2:6" x14ac:dyDescent="0.2">
      <c r="B20" s="10"/>
      <c r="C20" s="394" t="s">
        <v>826</v>
      </c>
      <c r="D20" s="394"/>
      <c r="E20" s="394"/>
      <c r="F20" s="394"/>
    </row>
    <row r="21" spans="2:6" x14ac:dyDescent="0.2">
      <c r="B21" s="10"/>
      <c r="C21" s="10"/>
      <c r="D21" s="27" t="s">
        <v>57</v>
      </c>
      <c r="E21" s="27" t="s">
        <v>58</v>
      </c>
      <c r="F21" s="27" t="s">
        <v>59</v>
      </c>
    </row>
    <row r="22" spans="2:6" x14ac:dyDescent="0.2">
      <c r="B22" s="10"/>
      <c r="C22" s="10" t="s">
        <v>862</v>
      </c>
      <c r="D22" s="10">
        <v>55</v>
      </c>
      <c r="E22" s="10">
        <v>20</v>
      </c>
      <c r="F22" s="10">
        <v>55</v>
      </c>
    </row>
    <row r="23" spans="2:6" x14ac:dyDescent="0.2">
      <c r="B23" s="10"/>
      <c r="C23" s="10" t="s">
        <v>865</v>
      </c>
      <c r="D23" s="10">
        <v>20</v>
      </c>
      <c r="E23" s="10">
        <v>30</v>
      </c>
      <c r="F23" s="10">
        <v>50</v>
      </c>
    </row>
    <row r="24" spans="2:6" x14ac:dyDescent="0.2">
      <c r="B24" s="10"/>
      <c r="C24" s="10" t="s">
        <v>863</v>
      </c>
      <c r="D24" s="10">
        <v>56</v>
      </c>
      <c r="E24" s="10">
        <v>60</v>
      </c>
      <c r="F24" s="10">
        <v>50</v>
      </c>
    </row>
    <row r="25" spans="2:6" x14ac:dyDescent="0.2">
      <c r="B25" s="10"/>
      <c r="C25" s="10" t="s">
        <v>864</v>
      </c>
      <c r="D25" s="10">
        <v>25</v>
      </c>
      <c r="E25" s="10">
        <v>35</v>
      </c>
      <c r="F25" s="10">
        <v>40</v>
      </c>
    </row>
  </sheetData>
  <dataConsolidate topLabels="1">
    <dataRefs count="2">
      <dataRef ref="C8:F11" sheet="list003"/>
      <dataRef ref="C14:F17" sheet="list003"/>
    </dataRefs>
  </dataConsolidate>
  <mergeCells count="5">
    <mergeCell ref="B1:C1"/>
    <mergeCell ref="C8:F8"/>
    <mergeCell ref="C14:F14"/>
    <mergeCell ref="C20:F20"/>
    <mergeCell ref="B6:E6"/>
  </mergeCells>
  <hyperlinks>
    <hyperlink ref="B6:D6" location="Inhoud!A1" display="Ga naar Inhoudsopgave" xr:uid="{00000000-0004-0000-1900-000000000000}"/>
    <hyperlink ref="B6:E6" location="TOC!A1" display="Go to TOC" xr:uid="{00000000-0004-0000-1900-000001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2.7109375" customWidth="1"/>
    <col min="6" max="6" width="8.42578125" customWidth="1"/>
    <col min="7" max="7" width="10.7109375" customWidth="1"/>
    <col min="8" max="8" width="8" bestFit="1" customWidth="1"/>
    <col min="9" max="9" width="11.5703125" customWidth="1"/>
    <col min="10" max="10" width="11.5703125" bestFit="1" customWidth="1"/>
  </cols>
  <sheetData>
    <row r="1" spans="2:10" s="9" customFormat="1" x14ac:dyDescent="0.2">
      <c r="B1" s="386" t="s">
        <v>1047</v>
      </c>
      <c r="C1" s="386"/>
      <c r="D1" s="263" t="s">
        <v>28</v>
      </c>
    </row>
    <row r="2" spans="2:10" s="4" customFormat="1" x14ac:dyDescent="0.2">
      <c r="B2" s="263" t="s">
        <v>1124</v>
      </c>
      <c r="C2" s="263"/>
      <c r="D2" s="337" t="str">
        <f>VLOOKUP(D$1,TabelContent[],COLUMN(TabelContent[Titel-EN]))</f>
        <v>Filtering overview cars</v>
      </c>
      <c r="E2" s="6"/>
      <c r="F2" s="6"/>
      <c r="G2" s="6"/>
      <c r="H2" s="7"/>
      <c r="I2" s="8"/>
    </row>
    <row r="3" spans="2:10" s="4" customFormat="1" x14ac:dyDescent="0.2">
      <c r="B3" s="263" t="s">
        <v>1125</v>
      </c>
      <c r="C3" s="263"/>
      <c r="D3" s="337" t="str">
        <f>VLOOKUP(D$1,TabelContent[],COLUMN(TabelContent[Cat-EN]))</f>
        <v>List</v>
      </c>
      <c r="E3" s="6"/>
      <c r="F3" s="6"/>
      <c r="G3" s="6"/>
      <c r="H3" s="7"/>
      <c r="I3" s="8"/>
    </row>
    <row r="4" spans="2:10" s="4" customFormat="1" x14ac:dyDescent="0.2">
      <c r="B4" s="263" t="s">
        <v>1126</v>
      </c>
      <c r="C4" s="263"/>
      <c r="D4" s="337">
        <f>VLOOKUP(D$1,TabelContent[],COLUMN(TabelContent[Niveau]))</f>
        <v>2</v>
      </c>
      <c r="E4" s="6"/>
      <c r="F4" s="6"/>
      <c r="G4" s="6"/>
      <c r="H4" s="7"/>
      <c r="I4" s="8"/>
    </row>
    <row r="6" spans="2:10" x14ac:dyDescent="0.2">
      <c r="B6" s="395" t="s">
        <v>1132</v>
      </c>
      <c r="C6" s="395"/>
      <c r="D6" s="395"/>
    </row>
    <row r="8" spans="2:10" x14ac:dyDescent="0.2">
      <c r="D8" s="232" t="s">
        <v>728</v>
      </c>
      <c r="E8" s="232" t="s">
        <v>60</v>
      </c>
      <c r="F8" s="232" t="s">
        <v>61</v>
      </c>
      <c r="G8" s="232" t="s">
        <v>729</v>
      </c>
      <c r="H8" s="232" t="s">
        <v>730</v>
      </c>
      <c r="I8" s="231" t="s">
        <v>731</v>
      </c>
      <c r="J8" s="5" t="s">
        <v>732</v>
      </c>
    </row>
    <row r="9" spans="2:10" hidden="1" x14ac:dyDescent="0.2">
      <c r="D9" s="252" t="s">
        <v>62</v>
      </c>
      <c r="E9" s="252" t="s">
        <v>63</v>
      </c>
      <c r="F9" s="252">
        <v>4</v>
      </c>
      <c r="G9" s="252">
        <v>170</v>
      </c>
      <c r="H9" s="252" t="s">
        <v>734</v>
      </c>
      <c r="I9" s="245">
        <v>12.2</v>
      </c>
      <c r="J9" s="278">
        <v>19990</v>
      </c>
    </row>
    <row r="10" spans="2:10" hidden="1" x14ac:dyDescent="0.2">
      <c r="D10" s="252" t="s">
        <v>62</v>
      </c>
      <c r="E10" s="252" t="s">
        <v>64</v>
      </c>
      <c r="F10" s="252">
        <v>4</v>
      </c>
      <c r="G10" s="252">
        <v>190</v>
      </c>
      <c r="H10" s="252" t="s">
        <v>734</v>
      </c>
      <c r="I10" s="245">
        <v>10</v>
      </c>
      <c r="J10" s="278">
        <v>33645</v>
      </c>
    </row>
    <row r="11" spans="2:10" hidden="1" x14ac:dyDescent="0.2">
      <c r="D11" s="252" t="s">
        <v>62</v>
      </c>
      <c r="E11" s="252" t="s">
        <v>65</v>
      </c>
      <c r="F11" s="252">
        <v>4</v>
      </c>
      <c r="G11" s="252">
        <v>175</v>
      </c>
      <c r="H11" s="252" t="s">
        <v>735</v>
      </c>
      <c r="I11" s="245">
        <v>12.9</v>
      </c>
      <c r="J11" s="278">
        <v>45040</v>
      </c>
    </row>
    <row r="12" spans="2:10" hidden="1" x14ac:dyDescent="0.2">
      <c r="D12" s="252" t="s">
        <v>62</v>
      </c>
      <c r="E12" s="252" t="s">
        <v>67</v>
      </c>
      <c r="F12" s="252">
        <v>4</v>
      </c>
      <c r="G12" s="252">
        <v>190</v>
      </c>
      <c r="H12" s="252" t="s">
        <v>734</v>
      </c>
      <c r="I12" s="245">
        <v>10.1</v>
      </c>
      <c r="J12" s="278">
        <v>45725</v>
      </c>
    </row>
    <row r="13" spans="2:10" hidden="1" x14ac:dyDescent="0.2">
      <c r="D13" s="252" t="s">
        <v>68</v>
      </c>
      <c r="E13" s="252" t="s">
        <v>69</v>
      </c>
      <c r="F13" s="252">
        <v>4</v>
      </c>
      <c r="G13" s="252">
        <v>167</v>
      </c>
      <c r="H13" s="252" t="s">
        <v>733</v>
      </c>
      <c r="I13" s="245">
        <v>12.4</v>
      </c>
      <c r="J13" s="278">
        <v>31595</v>
      </c>
    </row>
    <row r="14" spans="2:10" hidden="1" x14ac:dyDescent="0.2">
      <c r="D14" s="252" t="s">
        <v>68</v>
      </c>
      <c r="E14" s="252" t="s">
        <v>70</v>
      </c>
      <c r="F14" s="252">
        <v>4</v>
      </c>
      <c r="G14" s="252">
        <v>153</v>
      </c>
      <c r="H14" s="252" t="s">
        <v>735</v>
      </c>
      <c r="I14" s="245">
        <v>16.2</v>
      </c>
      <c r="J14" s="278">
        <v>36745</v>
      </c>
    </row>
    <row r="15" spans="2:10" hidden="1" x14ac:dyDescent="0.2">
      <c r="D15" s="252" t="s">
        <v>68</v>
      </c>
      <c r="E15" s="252" t="s">
        <v>71</v>
      </c>
      <c r="F15" s="252">
        <v>4</v>
      </c>
      <c r="G15" s="252">
        <v>176</v>
      </c>
      <c r="H15" s="252" t="s">
        <v>733</v>
      </c>
      <c r="I15" s="245">
        <v>13.1</v>
      </c>
      <c r="J15" s="278">
        <v>45750</v>
      </c>
    </row>
    <row r="16" spans="2:10" hidden="1" x14ac:dyDescent="0.2">
      <c r="D16" s="252" t="s">
        <v>68</v>
      </c>
      <c r="E16" s="252" t="s">
        <v>72</v>
      </c>
      <c r="F16" s="252">
        <v>5</v>
      </c>
      <c r="G16" s="252">
        <v>158</v>
      </c>
      <c r="H16" s="252" t="s">
        <v>735</v>
      </c>
      <c r="I16" s="245">
        <v>14.9</v>
      </c>
      <c r="J16" s="278">
        <v>54450</v>
      </c>
    </row>
    <row r="17" spans="4:10" hidden="1" x14ac:dyDescent="0.2">
      <c r="D17" s="252" t="s">
        <v>68</v>
      </c>
      <c r="E17" s="252">
        <v>200</v>
      </c>
      <c r="F17" s="252">
        <v>5</v>
      </c>
      <c r="G17" s="252">
        <v>216</v>
      </c>
      <c r="H17" s="252" t="s">
        <v>733</v>
      </c>
      <c r="I17" s="245">
        <v>10.199999999999999</v>
      </c>
      <c r="J17" s="278">
        <v>96900</v>
      </c>
    </row>
    <row r="18" spans="4:10" hidden="1" x14ac:dyDescent="0.2">
      <c r="D18" s="252" t="s">
        <v>73</v>
      </c>
      <c r="E18" s="252" t="s">
        <v>74</v>
      </c>
      <c r="F18" s="252">
        <v>4</v>
      </c>
      <c r="G18" s="252">
        <v>138</v>
      </c>
      <c r="H18" s="252" t="s">
        <v>734</v>
      </c>
      <c r="I18" s="245">
        <v>14.4</v>
      </c>
      <c r="J18" s="278">
        <v>14995</v>
      </c>
    </row>
    <row r="19" spans="4:10" hidden="1" x14ac:dyDescent="0.2">
      <c r="D19" s="252" t="s">
        <v>73</v>
      </c>
      <c r="E19" s="252" t="s">
        <v>75</v>
      </c>
      <c r="F19" s="252">
        <v>4</v>
      </c>
      <c r="G19" s="252">
        <v>155</v>
      </c>
      <c r="H19" s="252" t="s">
        <v>734</v>
      </c>
      <c r="I19" s="245">
        <v>13.2</v>
      </c>
      <c r="J19" s="278">
        <v>19995</v>
      </c>
    </row>
    <row r="20" spans="4:10" hidden="1" x14ac:dyDescent="0.2">
      <c r="D20" s="252" t="s">
        <v>73</v>
      </c>
      <c r="E20" s="252" t="s">
        <v>76</v>
      </c>
      <c r="F20" s="252">
        <v>4</v>
      </c>
      <c r="G20" s="252">
        <v>154</v>
      </c>
      <c r="H20" s="252" t="s">
        <v>734</v>
      </c>
      <c r="I20" s="245">
        <v>13.2</v>
      </c>
      <c r="J20" s="278">
        <v>23990</v>
      </c>
    </row>
    <row r="21" spans="4:10" hidden="1" x14ac:dyDescent="0.2">
      <c r="D21" s="252" t="s">
        <v>77</v>
      </c>
      <c r="E21" s="252">
        <v>316</v>
      </c>
      <c r="F21" s="252">
        <v>4</v>
      </c>
      <c r="G21" s="252">
        <v>175</v>
      </c>
      <c r="H21" s="252" t="s">
        <v>734</v>
      </c>
      <c r="I21" s="245">
        <v>11.6</v>
      </c>
      <c r="J21" s="278">
        <v>33720</v>
      </c>
    </row>
    <row r="22" spans="4:10" hidden="1" x14ac:dyDescent="0.2">
      <c r="D22" s="252" t="s">
        <v>77</v>
      </c>
      <c r="E22" s="252" t="s">
        <v>78</v>
      </c>
      <c r="F22" s="252">
        <v>4</v>
      </c>
      <c r="G22" s="252">
        <v>184</v>
      </c>
      <c r="H22" s="252" t="s">
        <v>734</v>
      </c>
      <c r="I22" s="245">
        <v>11.2</v>
      </c>
      <c r="J22" s="278">
        <v>38160</v>
      </c>
    </row>
    <row r="23" spans="4:10" x14ac:dyDescent="0.2">
      <c r="D23" s="252" t="s">
        <v>77</v>
      </c>
      <c r="E23" s="252" t="s">
        <v>79</v>
      </c>
      <c r="F23" s="252">
        <v>6</v>
      </c>
      <c r="G23" s="252">
        <v>217</v>
      </c>
      <c r="H23" s="252" t="s">
        <v>734</v>
      </c>
      <c r="I23" s="245">
        <v>9.9</v>
      </c>
      <c r="J23" s="278">
        <v>58290</v>
      </c>
    </row>
    <row r="24" spans="4:10" hidden="1" x14ac:dyDescent="0.2">
      <c r="D24" s="252" t="s">
        <v>77</v>
      </c>
      <c r="E24" s="252" t="s">
        <v>80</v>
      </c>
      <c r="F24" s="252">
        <v>4</v>
      </c>
      <c r="G24" s="252">
        <v>175</v>
      </c>
      <c r="H24" s="252" t="s">
        <v>734</v>
      </c>
      <c r="I24" s="245">
        <v>10.4</v>
      </c>
      <c r="J24" s="278">
        <v>43170</v>
      </c>
    </row>
    <row r="25" spans="4:10" x14ac:dyDescent="0.2">
      <c r="D25" s="252" t="s">
        <v>77</v>
      </c>
      <c r="E25" s="252" t="s">
        <v>81</v>
      </c>
      <c r="F25" s="252">
        <v>6</v>
      </c>
      <c r="G25" s="252">
        <v>185</v>
      </c>
      <c r="H25" s="252" t="s">
        <v>734</v>
      </c>
      <c r="I25" s="245">
        <v>10.3</v>
      </c>
      <c r="J25" s="278">
        <v>50220</v>
      </c>
    </row>
    <row r="26" spans="4:10" x14ac:dyDescent="0.2">
      <c r="D26" s="252" t="s">
        <v>77</v>
      </c>
      <c r="E26" s="252" t="s">
        <v>82</v>
      </c>
      <c r="F26" s="252">
        <v>6</v>
      </c>
      <c r="G26" s="252">
        <v>185</v>
      </c>
      <c r="H26" s="252" t="s">
        <v>734</v>
      </c>
      <c r="I26" s="245">
        <v>9.4</v>
      </c>
      <c r="J26" s="278">
        <v>53730</v>
      </c>
    </row>
    <row r="27" spans="4:10" x14ac:dyDescent="0.2">
      <c r="D27" s="252" t="s">
        <v>77</v>
      </c>
      <c r="E27" s="252" t="s">
        <v>83</v>
      </c>
      <c r="F27" s="252">
        <v>6</v>
      </c>
      <c r="G27" s="252">
        <v>220</v>
      </c>
      <c r="H27" s="252" t="s">
        <v>733</v>
      </c>
      <c r="I27" s="245">
        <v>8.8000000000000007</v>
      </c>
      <c r="J27" s="278">
        <v>94170</v>
      </c>
    </row>
    <row r="28" spans="4:10" hidden="1" x14ac:dyDescent="0.2">
      <c r="D28" s="252" t="s">
        <v>84</v>
      </c>
      <c r="E28" s="252" t="s">
        <v>85</v>
      </c>
      <c r="F28" s="252">
        <v>2</v>
      </c>
      <c r="G28" s="252">
        <v>115</v>
      </c>
      <c r="H28" s="252" t="s">
        <v>734</v>
      </c>
      <c r="I28" s="245">
        <v>16.5</v>
      </c>
      <c r="J28" s="278">
        <v>11200</v>
      </c>
    </row>
    <row r="29" spans="4:10" hidden="1" x14ac:dyDescent="0.2">
      <c r="D29" s="252" t="s">
        <v>84</v>
      </c>
      <c r="E29" s="252" t="s">
        <v>86</v>
      </c>
      <c r="F29" s="252">
        <v>4</v>
      </c>
      <c r="G29" s="252">
        <v>124</v>
      </c>
      <c r="H29" s="252" t="s">
        <v>734</v>
      </c>
      <c r="I29" s="245">
        <v>15.1</v>
      </c>
      <c r="J29" s="278">
        <v>14250</v>
      </c>
    </row>
    <row r="30" spans="4:10" hidden="1" x14ac:dyDescent="0.2">
      <c r="D30" s="252" t="s">
        <v>84</v>
      </c>
      <c r="E30" s="252" t="s">
        <v>87</v>
      </c>
      <c r="F30" s="252">
        <v>4</v>
      </c>
      <c r="G30" s="252">
        <v>150</v>
      </c>
      <c r="H30" s="252" t="s">
        <v>734</v>
      </c>
      <c r="I30" s="245">
        <v>12.1</v>
      </c>
      <c r="J30" s="278">
        <v>12650</v>
      </c>
    </row>
    <row r="31" spans="4:10" hidden="1" x14ac:dyDescent="0.2">
      <c r="D31" s="252" t="s">
        <v>84</v>
      </c>
      <c r="E31" s="252" t="s">
        <v>88</v>
      </c>
      <c r="F31" s="252">
        <v>4</v>
      </c>
      <c r="G31" s="252">
        <v>155</v>
      </c>
      <c r="H31" s="252" t="s">
        <v>734</v>
      </c>
      <c r="I31" s="245">
        <v>14.2</v>
      </c>
      <c r="J31" s="278">
        <v>21500</v>
      </c>
    </row>
    <row r="32" spans="4:10" hidden="1" x14ac:dyDescent="0.2">
      <c r="D32" s="252" t="s">
        <v>84</v>
      </c>
      <c r="E32" s="252" t="s">
        <v>89</v>
      </c>
      <c r="F32" s="252">
        <v>4</v>
      </c>
      <c r="G32" s="252">
        <v>176</v>
      </c>
      <c r="H32" s="252" t="s">
        <v>734</v>
      </c>
      <c r="I32" s="245">
        <v>10.199999999999999</v>
      </c>
      <c r="J32" s="278">
        <v>37600</v>
      </c>
    </row>
    <row r="33" spans="4:10" hidden="1" x14ac:dyDescent="0.2">
      <c r="D33" s="252" t="s">
        <v>84</v>
      </c>
      <c r="E33" s="252" t="s">
        <v>90</v>
      </c>
      <c r="F33" s="252">
        <v>4</v>
      </c>
      <c r="G33" s="252">
        <v>186</v>
      </c>
      <c r="H33" s="252" t="s">
        <v>734</v>
      </c>
      <c r="I33" s="245">
        <v>10.4</v>
      </c>
      <c r="J33" s="278">
        <v>44700</v>
      </c>
    </row>
    <row r="34" spans="4:10" hidden="1" x14ac:dyDescent="0.2">
      <c r="D34" s="252" t="s">
        <v>84</v>
      </c>
      <c r="E34" s="252" t="s">
        <v>91</v>
      </c>
      <c r="F34" s="252">
        <v>4</v>
      </c>
      <c r="G34" s="252">
        <v>149</v>
      </c>
      <c r="H34" s="252" t="s">
        <v>735</v>
      </c>
      <c r="I34" s="245">
        <v>12.1</v>
      </c>
      <c r="J34" s="278">
        <v>45625</v>
      </c>
    </row>
    <row r="35" spans="4:10" hidden="1" x14ac:dyDescent="0.2">
      <c r="D35" s="252" t="s">
        <v>92</v>
      </c>
      <c r="E35" s="252" t="s">
        <v>93</v>
      </c>
      <c r="F35" s="252">
        <v>3</v>
      </c>
      <c r="G35" s="252">
        <v>135</v>
      </c>
      <c r="H35" s="252" t="s">
        <v>733</v>
      </c>
      <c r="I35" s="245">
        <v>16.5</v>
      </c>
      <c r="J35" s="278">
        <v>12999</v>
      </c>
    </row>
    <row r="36" spans="4:10" hidden="1" x14ac:dyDescent="0.2">
      <c r="D36" s="252" t="s">
        <v>92</v>
      </c>
      <c r="E36" s="252" t="s">
        <v>94</v>
      </c>
      <c r="F36" s="252">
        <v>3</v>
      </c>
      <c r="G36" s="252">
        <v>140</v>
      </c>
      <c r="H36" s="252" t="s">
        <v>733</v>
      </c>
      <c r="I36" s="245">
        <v>14.9</v>
      </c>
      <c r="J36" s="278">
        <v>14899</v>
      </c>
    </row>
    <row r="37" spans="4:10" hidden="1" x14ac:dyDescent="0.2">
      <c r="D37" s="252" t="s">
        <v>92</v>
      </c>
      <c r="E37" s="252" t="s">
        <v>95</v>
      </c>
      <c r="F37" s="252">
        <v>3</v>
      </c>
      <c r="G37" s="252">
        <v>125</v>
      </c>
      <c r="H37" s="252" t="s">
        <v>735</v>
      </c>
      <c r="I37" s="245">
        <v>17.8</v>
      </c>
      <c r="J37" s="278">
        <v>18649</v>
      </c>
    </row>
    <row r="38" spans="4:10" hidden="1" x14ac:dyDescent="0.2">
      <c r="D38" s="252" t="s">
        <v>92</v>
      </c>
      <c r="E38" s="252" t="s">
        <v>96</v>
      </c>
      <c r="F38" s="252">
        <v>4</v>
      </c>
      <c r="G38" s="252">
        <v>150</v>
      </c>
      <c r="H38" s="252" t="s">
        <v>733</v>
      </c>
      <c r="I38" s="245">
        <v>14</v>
      </c>
      <c r="J38" s="278">
        <v>19499</v>
      </c>
    </row>
    <row r="39" spans="4:10" hidden="1" x14ac:dyDescent="0.2">
      <c r="D39" s="252" t="s">
        <v>97</v>
      </c>
      <c r="E39" s="252" t="s">
        <v>98</v>
      </c>
      <c r="F39" s="252">
        <v>4</v>
      </c>
      <c r="G39" s="252">
        <v>125</v>
      </c>
      <c r="H39" s="252" t="s">
        <v>734</v>
      </c>
      <c r="I39" s="245">
        <v>16.100000000000001</v>
      </c>
      <c r="J39" s="278">
        <v>12690</v>
      </c>
    </row>
    <row r="40" spans="4:10" hidden="1" x14ac:dyDescent="0.2">
      <c r="D40" s="252" t="s">
        <v>97</v>
      </c>
      <c r="E40" s="252" t="s">
        <v>99</v>
      </c>
      <c r="F40" s="252">
        <v>4</v>
      </c>
      <c r="G40" s="252">
        <v>145</v>
      </c>
      <c r="H40" s="252" t="s">
        <v>734</v>
      </c>
      <c r="I40" s="245">
        <v>16.3</v>
      </c>
      <c r="J40" s="278">
        <v>15990</v>
      </c>
    </row>
    <row r="41" spans="4:10" hidden="1" x14ac:dyDescent="0.2">
      <c r="D41" s="252" t="s">
        <v>97</v>
      </c>
      <c r="E41" s="252" t="s">
        <v>100</v>
      </c>
      <c r="F41" s="252">
        <v>4</v>
      </c>
      <c r="G41" s="252">
        <v>155</v>
      </c>
      <c r="H41" s="252" t="s">
        <v>735</v>
      </c>
      <c r="I41" s="245">
        <v>18.600000000000001</v>
      </c>
      <c r="J41" s="278">
        <v>21690</v>
      </c>
    </row>
    <row r="42" spans="4:10" hidden="1" x14ac:dyDescent="0.2">
      <c r="D42" s="252" t="s">
        <v>97</v>
      </c>
      <c r="E42" s="252" t="s">
        <v>101</v>
      </c>
      <c r="F42" s="252">
        <v>4</v>
      </c>
      <c r="G42" s="252">
        <v>150</v>
      </c>
      <c r="H42" s="252" t="s">
        <v>734</v>
      </c>
      <c r="I42" s="245">
        <v>13.4</v>
      </c>
      <c r="J42" s="278">
        <v>17250</v>
      </c>
    </row>
    <row r="43" spans="4:10" hidden="1" x14ac:dyDescent="0.2">
      <c r="D43" s="252" t="s">
        <v>97</v>
      </c>
      <c r="E43" s="252" t="s">
        <v>102</v>
      </c>
      <c r="F43" s="252">
        <v>4</v>
      </c>
      <c r="G43" s="252">
        <v>150</v>
      </c>
      <c r="H43" s="252" t="s">
        <v>735</v>
      </c>
      <c r="I43" s="245">
        <v>15.2</v>
      </c>
      <c r="J43" s="278">
        <v>22350</v>
      </c>
    </row>
    <row r="44" spans="4:10" hidden="1" x14ac:dyDescent="0.2">
      <c r="D44" s="252" t="s">
        <v>97</v>
      </c>
      <c r="E44" s="252" t="s">
        <v>103</v>
      </c>
      <c r="F44" s="252">
        <v>4</v>
      </c>
      <c r="G44" s="252">
        <v>155</v>
      </c>
      <c r="H44" s="252" t="s">
        <v>734</v>
      </c>
      <c r="I44" s="245">
        <v>13.4</v>
      </c>
      <c r="J44" s="278">
        <v>22890</v>
      </c>
    </row>
    <row r="45" spans="4:10" hidden="1" x14ac:dyDescent="0.2">
      <c r="D45" s="252" t="s">
        <v>97</v>
      </c>
      <c r="E45" s="252" t="s">
        <v>104</v>
      </c>
      <c r="F45" s="252">
        <v>4</v>
      </c>
      <c r="G45" s="252">
        <v>150</v>
      </c>
      <c r="H45" s="252" t="s">
        <v>735</v>
      </c>
      <c r="I45" s="245">
        <v>13.6</v>
      </c>
      <c r="J45" s="278">
        <v>27490</v>
      </c>
    </row>
    <row r="46" spans="4:10" hidden="1" x14ac:dyDescent="0.2">
      <c r="D46" s="252" t="s">
        <v>97</v>
      </c>
      <c r="E46" s="252" t="s">
        <v>105</v>
      </c>
      <c r="F46" s="252">
        <v>4</v>
      </c>
      <c r="G46" s="252">
        <v>180</v>
      </c>
      <c r="H46" s="252" t="s">
        <v>734</v>
      </c>
      <c r="I46" s="245">
        <v>13.7</v>
      </c>
      <c r="J46" s="278">
        <v>35690</v>
      </c>
    </row>
    <row r="47" spans="4:10" hidden="1" x14ac:dyDescent="0.2">
      <c r="D47" s="252" t="s">
        <v>97</v>
      </c>
      <c r="E47" s="252" t="s">
        <v>106</v>
      </c>
      <c r="F47" s="252">
        <v>4</v>
      </c>
      <c r="G47" s="252">
        <v>185</v>
      </c>
      <c r="H47" s="252" t="s">
        <v>735</v>
      </c>
      <c r="I47" s="245">
        <v>14.1</v>
      </c>
      <c r="J47" s="278">
        <v>39990</v>
      </c>
    </row>
    <row r="48" spans="4:10" hidden="1" x14ac:dyDescent="0.2">
      <c r="D48" s="252" t="s">
        <v>107</v>
      </c>
      <c r="E48" s="252" t="s">
        <v>108</v>
      </c>
      <c r="F48" s="252">
        <v>4</v>
      </c>
      <c r="G48" s="252">
        <v>136</v>
      </c>
      <c r="H48" s="252" t="s">
        <v>734</v>
      </c>
      <c r="I48" s="245">
        <v>13.6</v>
      </c>
      <c r="J48" s="278">
        <v>16988</v>
      </c>
    </row>
    <row r="49" spans="4:10" hidden="1" x14ac:dyDescent="0.2">
      <c r="D49" s="252" t="s">
        <v>107</v>
      </c>
      <c r="E49" s="252" t="s">
        <v>109</v>
      </c>
      <c r="F49" s="252">
        <v>4</v>
      </c>
      <c r="G49" s="252">
        <v>148</v>
      </c>
      <c r="H49" s="252" t="s">
        <v>735</v>
      </c>
      <c r="I49" s="245">
        <v>15.9</v>
      </c>
      <c r="J49" s="278">
        <v>22564</v>
      </c>
    </row>
    <row r="50" spans="4:10" hidden="1" x14ac:dyDescent="0.2">
      <c r="D50" s="252" t="s">
        <v>107</v>
      </c>
      <c r="E50" s="252" t="s">
        <v>110</v>
      </c>
      <c r="F50" s="252">
        <v>4</v>
      </c>
      <c r="G50" s="252">
        <v>144</v>
      </c>
      <c r="H50" s="252" t="s">
        <v>734</v>
      </c>
      <c r="I50" s="245">
        <v>14.1</v>
      </c>
      <c r="J50" s="278">
        <v>20660</v>
      </c>
    </row>
    <row r="51" spans="4:10" hidden="1" x14ac:dyDescent="0.2">
      <c r="D51" s="252" t="s">
        <v>107</v>
      </c>
      <c r="E51" s="252" t="s">
        <v>111</v>
      </c>
      <c r="F51" s="252">
        <v>4</v>
      </c>
      <c r="G51" s="252">
        <v>150</v>
      </c>
      <c r="H51" s="252" t="s">
        <v>735</v>
      </c>
      <c r="I51" s="245">
        <v>16.899999999999999</v>
      </c>
      <c r="J51" s="278">
        <v>25781</v>
      </c>
    </row>
    <row r="52" spans="4:10" hidden="1" x14ac:dyDescent="0.2">
      <c r="D52" s="252" t="s">
        <v>107</v>
      </c>
      <c r="E52" s="252" t="s">
        <v>112</v>
      </c>
      <c r="F52" s="252">
        <v>4</v>
      </c>
      <c r="G52" s="252">
        <v>167</v>
      </c>
      <c r="H52" s="252" t="s">
        <v>734</v>
      </c>
      <c r="I52" s="245">
        <v>14.7</v>
      </c>
      <c r="J52" s="278">
        <v>24444</v>
      </c>
    </row>
    <row r="53" spans="4:10" hidden="1" x14ac:dyDescent="0.2">
      <c r="D53" s="252" t="s">
        <v>107</v>
      </c>
      <c r="E53" s="252" t="s">
        <v>113</v>
      </c>
      <c r="F53" s="252">
        <v>4</v>
      </c>
      <c r="G53" s="252">
        <v>165</v>
      </c>
      <c r="H53" s="252" t="s">
        <v>735</v>
      </c>
      <c r="I53" s="245">
        <v>18.3</v>
      </c>
      <c r="J53" s="278">
        <v>27968</v>
      </c>
    </row>
    <row r="54" spans="4:10" hidden="1" x14ac:dyDescent="0.2">
      <c r="D54" s="252" t="s">
        <v>107</v>
      </c>
      <c r="E54" s="252" t="s">
        <v>114</v>
      </c>
      <c r="F54" s="252">
        <v>4</v>
      </c>
      <c r="G54" s="252">
        <v>165</v>
      </c>
      <c r="H54" s="252" t="s">
        <v>734</v>
      </c>
      <c r="I54" s="245">
        <v>10.6</v>
      </c>
      <c r="J54" s="278">
        <v>25901</v>
      </c>
    </row>
    <row r="55" spans="4:10" hidden="1" x14ac:dyDescent="0.2">
      <c r="D55" s="252" t="s">
        <v>107</v>
      </c>
      <c r="E55" s="252" t="s">
        <v>115</v>
      </c>
      <c r="F55" s="252">
        <v>4</v>
      </c>
      <c r="G55" s="252">
        <v>155</v>
      </c>
      <c r="H55" s="252" t="s">
        <v>735</v>
      </c>
      <c r="I55" s="245">
        <v>12.9</v>
      </c>
      <c r="J55" s="278">
        <v>31519</v>
      </c>
    </row>
    <row r="56" spans="4:10" hidden="1" x14ac:dyDescent="0.2">
      <c r="D56" s="252" t="s">
        <v>107</v>
      </c>
      <c r="E56" s="252" t="s">
        <v>116</v>
      </c>
      <c r="F56" s="252">
        <v>4</v>
      </c>
      <c r="G56" s="252">
        <v>179</v>
      </c>
      <c r="H56" s="252" t="s">
        <v>734</v>
      </c>
      <c r="I56" s="245">
        <v>11.1</v>
      </c>
      <c r="J56" s="278">
        <v>37078</v>
      </c>
    </row>
    <row r="57" spans="4:10" hidden="1" x14ac:dyDescent="0.2">
      <c r="D57" s="252" t="s">
        <v>107</v>
      </c>
      <c r="E57" s="252" t="s">
        <v>117</v>
      </c>
      <c r="F57" s="252">
        <v>4</v>
      </c>
      <c r="G57" s="252">
        <v>158</v>
      </c>
      <c r="H57" s="252" t="s">
        <v>735</v>
      </c>
      <c r="I57" s="245">
        <v>12.8</v>
      </c>
      <c r="J57" s="278">
        <v>43928</v>
      </c>
    </row>
    <row r="58" spans="4:10" hidden="1" x14ac:dyDescent="0.2">
      <c r="D58" s="252" t="s">
        <v>118</v>
      </c>
      <c r="E58" s="252" t="s">
        <v>119</v>
      </c>
      <c r="F58" s="252">
        <v>4</v>
      </c>
      <c r="G58" s="252">
        <v>155</v>
      </c>
      <c r="H58" s="252" t="s">
        <v>734</v>
      </c>
      <c r="I58" s="245">
        <v>9.6999999999999993</v>
      </c>
      <c r="J58" s="278">
        <v>14195</v>
      </c>
    </row>
    <row r="59" spans="4:10" hidden="1" x14ac:dyDescent="0.2">
      <c r="D59" s="252" t="s">
        <v>120</v>
      </c>
      <c r="E59" s="252" t="s">
        <v>121</v>
      </c>
      <c r="F59" s="252">
        <v>4</v>
      </c>
      <c r="G59" s="252">
        <v>145</v>
      </c>
      <c r="H59" s="252" t="s">
        <v>733</v>
      </c>
      <c r="I59" s="245">
        <v>14.4</v>
      </c>
      <c r="J59" s="278">
        <v>18490</v>
      </c>
    </row>
    <row r="60" spans="4:10" hidden="1" x14ac:dyDescent="0.2">
      <c r="D60" s="252" t="s">
        <v>120</v>
      </c>
      <c r="E60" s="252" t="s">
        <v>122</v>
      </c>
      <c r="F60" s="252">
        <v>4</v>
      </c>
      <c r="G60" s="252">
        <v>168</v>
      </c>
      <c r="H60" s="252" t="s">
        <v>733</v>
      </c>
      <c r="I60" s="245">
        <v>13.4</v>
      </c>
      <c r="J60" s="278">
        <v>27290</v>
      </c>
    </row>
    <row r="61" spans="4:10" hidden="1" x14ac:dyDescent="0.2">
      <c r="D61" s="252" t="s">
        <v>120</v>
      </c>
      <c r="E61" s="252" t="s">
        <v>123</v>
      </c>
      <c r="F61" s="252">
        <v>4</v>
      </c>
      <c r="G61" s="252">
        <v>176</v>
      </c>
      <c r="H61" s="252" t="s">
        <v>733</v>
      </c>
      <c r="I61" s="245">
        <v>13.7</v>
      </c>
      <c r="J61" s="278">
        <v>29590</v>
      </c>
    </row>
    <row r="62" spans="4:10" hidden="1" x14ac:dyDescent="0.2">
      <c r="D62" s="252" t="s">
        <v>120</v>
      </c>
      <c r="E62" s="252" t="s">
        <v>124</v>
      </c>
      <c r="F62" s="252">
        <v>4</v>
      </c>
      <c r="G62" s="252">
        <v>185</v>
      </c>
      <c r="H62" s="252" t="s">
        <v>734</v>
      </c>
      <c r="I62" s="245">
        <v>12.1</v>
      </c>
      <c r="J62" s="278">
        <v>36790</v>
      </c>
    </row>
    <row r="63" spans="4:10" hidden="1" x14ac:dyDescent="0.2">
      <c r="D63" s="252" t="s">
        <v>125</v>
      </c>
      <c r="E63" s="252" t="s">
        <v>126</v>
      </c>
      <c r="F63" s="252">
        <v>4</v>
      </c>
      <c r="G63" s="252">
        <v>155</v>
      </c>
      <c r="H63" s="252" t="s">
        <v>733</v>
      </c>
      <c r="I63" s="245">
        <v>12.1</v>
      </c>
      <c r="J63" s="278">
        <v>16495</v>
      </c>
    </row>
    <row r="64" spans="4:10" hidden="1" x14ac:dyDescent="0.2">
      <c r="D64" s="252" t="s">
        <v>125</v>
      </c>
      <c r="E64" s="252" t="s">
        <v>127</v>
      </c>
      <c r="F64" s="252">
        <v>4</v>
      </c>
      <c r="G64" s="252">
        <v>160</v>
      </c>
      <c r="H64" s="252" t="s">
        <v>733</v>
      </c>
      <c r="I64" s="245">
        <v>10.6</v>
      </c>
      <c r="J64" s="278">
        <v>19995</v>
      </c>
    </row>
    <row r="65" spans="4:10" x14ac:dyDescent="0.2">
      <c r="D65" s="252" t="s">
        <v>128</v>
      </c>
      <c r="E65" s="252" t="s">
        <v>129</v>
      </c>
      <c r="F65" s="252">
        <v>6</v>
      </c>
      <c r="G65" s="252">
        <v>196</v>
      </c>
      <c r="H65" s="252" t="s">
        <v>734</v>
      </c>
      <c r="I65" s="245">
        <v>8.4</v>
      </c>
      <c r="J65" s="278">
        <v>90440</v>
      </c>
    </row>
    <row r="66" spans="4:10" hidden="1" x14ac:dyDescent="0.2">
      <c r="D66" s="252" t="s">
        <v>130</v>
      </c>
      <c r="E66" s="252" t="s">
        <v>131</v>
      </c>
      <c r="F66" s="252">
        <v>4</v>
      </c>
      <c r="G66" s="252">
        <v>140</v>
      </c>
      <c r="H66" s="252" t="s">
        <v>733</v>
      </c>
      <c r="I66" s="245">
        <v>10.9</v>
      </c>
      <c r="J66" s="278">
        <v>10395</v>
      </c>
    </row>
    <row r="67" spans="4:10" hidden="1" x14ac:dyDescent="0.2">
      <c r="D67" s="252" t="s">
        <v>130</v>
      </c>
      <c r="E67" s="252">
        <v>2107</v>
      </c>
      <c r="F67" s="252">
        <v>4</v>
      </c>
      <c r="G67" s="252">
        <v>155</v>
      </c>
      <c r="H67" s="252" t="s">
        <v>734</v>
      </c>
      <c r="I67" s="245">
        <v>11</v>
      </c>
      <c r="J67" s="278">
        <v>13995</v>
      </c>
    </row>
    <row r="68" spans="4:10" hidden="1" x14ac:dyDescent="0.2">
      <c r="D68" s="252" t="s">
        <v>130</v>
      </c>
      <c r="E68" s="252" t="s">
        <v>132</v>
      </c>
      <c r="F68" s="252">
        <v>4</v>
      </c>
      <c r="G68" s="252">
        <v>148</v>
      </c>
      <c r="H68" s="252" t="s">
        <v>733</v>
      </c>
      <c r="I68" s="245">
        <v>13.7</v>
      </c>
      <c r="J68" s="278">
        <v>15925</v>
      </c>
    </row>
    <row r="69" spans="4:10" hidden="1" x14ac:dyDescent="0.2">
      <c r="D69" s="252" t="s">
        <v>133</v>
      </c>
      <c r="E69" s="252" t="s">
        <v>134</v>
      </c>
      <c r="F69" s="252">
        <v>3</v>
      </c>
      <c r="G69" s="252">
        <v>145</v>
      </c>
      <c r="H69" s="252" t="s">
        <v>734</v>
      </c>
      <c r="I69" s="245">
        <v>17.8</v>
      </c>
      <c r="J69" s="278">
        <v>16990</v>
      </c>
    </row>
    <row r="70" spans="4:10" hidden="1" x14ac:dyDescent="0.2">
      <c r="D70" s="252" t="s">
        <v>133</v>
      </c>
      <c r="E70" s="252" t="s">
        <v>135</v>
      </c>
      <c r="F70" s="252">
        <v>4</v>
      </c>
      <c r="G70" s="252">
        <v>160</v>
      </c>
      <c r="H70" s="252" t="s">
        <v>734</v>
      </c>
      <c r="I70" s="245">
        <v>13</v>
      </c>
      <c r="J70" s="278">
        <v>26850</v>
      </c>
    </row>
    <row r="71" spans="4:10" hidden="1" x14ac:dyDescent="0.2">
      <c r="D71" s="252" t="s">
        <v>133</v>
      </c>
      <c r="E71" s="252" t="s">
        <v>136</v>
      </c>
      <c r="F71" s="252">
        <v>4</v>
      </c>
      <c r="G71" s="252">
        <v>170</v>
      </c>
      <c r="H71" s="252" t="s">
        <v>735</v>
      </c>
      <c r="I71" s="245">
        <v>16.399999999999999</v>
      </c>
      <c r="J71" s="278">
        <v>38870</v>
      </c>
    </row>
    <row r="72" spans="4:10" hidden="1" x14ac:dyDescent="0.2">
      <c r="D72" s="252" t="s">
        <v>133</v>
      </c>
      <c r="E72" s="252" t="s">
        <v>137</v>
      </c>
      <c r="F72" s="252">
        <v>4</v>
      </c>
      <c r="G72" s="252">
        <v>195</v>
      </c>
      <c r="H72" s="252" t="s">
        <v>734</v>
      </c>
      <c r="I72" s="245">
        <v>10.7</v>
      </c>
      <c r="J72" s="278">
        <v>47070</v>
      </c>
    </row>
    <row r="73" spans="4:10" hidden="1" x14ac:dyDescent="0.2">
      <c r="D73" s="252" t="s">
        <v>133</v>
      </c>
      <c r="E73" s="252" t="s">
        <v>138</v>
      </c>
      <c r="F73" s="252">
        <v>4</v>
      </c>
      <c r="G73" s="252">
        <v>185</v>
      </c>
      <c r="H73" s="252" t="s">
        <v>735</v>
      </c>
      <c r="I73" s="245">
        <v>14</v>
      </c>
      <c r="J73" s="278">
        <v>54960</v>
      </c>
    </row>
    <row r="74" spans="4:10" hidden="1" x14ac:dyDescent="0.2">
      <c r="D74" s="252" t="s">
        <v>139</v>
      </c>
      <c r="E74" s="252" t="s">
        <v>140</v>
      </c>
      <c r="F74" s="252">
        <v>4</v>
      </c>
      <c r="G74" s="252">
        <v>140</v>
      </c>
      <c r="H74" s="252" t="s">
        <v>733</v>
      </c>
      <c r="I74" s="245">
        <v>14</v>
      </c>
      <c r="J74" s="278">
        <v>17795</v>
      </c>
    </row>
    <row r="75" spans="4:10" hidden="1" x14ac:dyDescent="0.2">
      <c r="D75" s="252" t="s">
        <v>139</v>
      </c>
      <c r="E75" s="252" t="s">
        <v>141</v>
      </c>
      <c r="F75" s="252">
        <v>4</v>
      </c>
      <c r="G75" s="252">
        <v>142</v>
      </c>
      <c r="H75" s="252" t="s">
        <v>735</v>
      </c>
      <c r="I75" s="245">
        <v>15.1</v>
      </c>
      <c r="J75" s="278">
        <v>24440</v>
      </c>
    </row>
    <row r="76" spans="4:10" hidden="1" x14ac:dyDescent="0.2">
      <c r="D76" s="252" t="s">
        <v>139</v>
      </c>
      <c r="E76" s="252" t="s">
        <v>142</v>
      </c>
      <c r="F76" s="252">
        <v>4</v>
      </c>
      <c r="G76" s="252">
        <v>165</v>
      </c>
      <c r="H76" s="252" t="s">
        <v>733</v>
      </c>
      <c r="I76" s="245">
        <v>12.7</v>
      </c>
      <c r="J76" s="278">
        <v>23395</v>
      </c>
    </row>
    <row r="77" spans="4:10" hidden="1" x14ac:dyDescent="0.2">
      <c r="D77" s="252" t="s">
        <v>139</v>
      </c>
      <c r="E77" s="252" t="s">
        <v>143</v>
      </c>
      <c r="F77" s="252">
        <v>4</v>
      </c>
      <c r="G77" s="252">
        <v>170</v>
      </c>
      <c r="H77" s="252" t="s">
        <v>733</v>
      </c>
      <c r="I77" s="245">
        <v>11.3</v>
      </c>
      <c r="J77" s="278">
        <v>32485</v>
      </c>
    </row>
    <row r="78" spans="4:10" hidden="1" x14ac:dyDescent="0.2">
      <c r="D78" s="252" t="s">
        <v>144</v>
      </c>
      <c r="E78" s="252">
        <v>190</v>
      </c>
      <c r="F78" s="252">
        <v>4</v>
      </c>
      <c r="G78" s="252">
        <v>175</v>
      </c>
      <c r="H78" s="252" t="s">
        <v>734</v>
      </c>
      <c r="I78" s="245">
        <v>11.4</v>
      </c>
      <c r="J78" s="278">
        <v>50720</v>
      </c>
    </row>
    <row r="79" spans="4:10" hidden="1" x14ac:dyDescent="0.2">
      <c r="D79" s="252" t="s">
        <v>144</v>
      </c>
      <c r="E79" s="252" t="s">
        <v>145</v>
      </c>
      <c r="F79" s="252">
        <v>4</v>
      </c>
      <c r="G79" s="252">
        <v>160</v>
      </c>
      <c r="H79" s="252" t="s">
        <v>735</v>
      </c>
      <c r="I79" s="245">
        <v>14.3</v>
      </c>
      <c r="J79" s="278">
        <v>52490</v>
      </c>
    </row>
    <row r="80" spans="4:10" hidden="1" x14ac:dyDescent="0.2">
      <c r="D80" s="252" t="s">
        <v>144</v>
      </c>
      <c r="E80" s="252">
        <v>200</v>
      </c>
      <c r="F80" s="252">
        <v>4</v>
      </c>
      <c r="G80" s="252">
        <v>187</v>
      </c>
      <c r="H80" s="252" t="s">
        <v>734</v>
      </c>
      <c r="I80" s="245">
        <v>11.5</v>
      </c>
      <c r="J80" s="278">
        <v>57200</v>
      </c>
    </row>
    <row r="81" spans="4:10" hidden="1" x14ac:dyDescent="0.2">
      <c r="D81" s="252" t="s">
        <v>144</v>
      </c>
      <c r="E81" s="252" t="s">
        <v>146</v>
      </c>
      <c r="F81" s="252">
        <v>4</v>
      </c>
      <c r="G81" s="252">
        <v>160</v>
      </c>
      <c r="H81" s="252" t="s">
        <v>735</v>
      </c>
      <c r="I81" s="245">
        <v>14.2</v>
      </c>
      <c r="J81" s="278">
        <v>59010</v>
      </c>
    </row>
    <row r="82" spans="4:10" hidden="1" x14ac:dyDescent="0.2">
      <c r="D82" s="252" t="s">
        <v>144</v>
      </c>
      <c r="E82" s="252" t="s">
        <v>147</v>
      </c>
      <c r="F82" s="252">
        <v>5</v>
      </c>
      <c r="G82" s="252">
        <v>175</v>
      </c>
      <c r="H82" s="252" t="s">
        <v>735</v>
      </c>
      <c r="I82" s="245">
        <v>14.7</v>
      </c>
      <c r="J82" s="278">
        <v>65990</v>
      </c>
    </row>
    <row r="83" spans="4:10" hidden="1" x14ac:dyDescent="0.2">
      <c r="D83" s="252" t="s">
        <v>144</v>
      </c>
      <c r="E83" s="252" t="s">
        <v>148</v>
      </c>
      <c r="F83" s="252">
        <v>6</v>
      </c>
      <c r="G83" s="252">
        <v>190</v>
      </c>
      <c r="H83" s="252" t="s">
        <v>735</v>
      </c>
      <c r="I83" s="245">
        <v>12.6</v>
      </c>
      <c r="J83" s="278">
        <v>76110</v>
      </c>
    </row>
    <row r="84" spans="4:10" x14ac:dyDescent="0.2">
      <c r="D84" s="252" t="s">
        <v>144</v>
      </c>
      <c r="E84" s="252" t="s">
        <v>149</v>
      </c>
      <c r="F84" s="252">
        <v>6</v>
      </c>
      <c r="G84" s="252">
        <v>230</v>
      </c>
      <c r="H84" s="252" t="s">
        <v>734</v>
      </c>
      <c r="I84" s="245">
        <v>11.3</v>
      </c>
      <c r="J84" s="278">
        <v>85435</v>
      </c>
    </row>
    <row r="85" spans="4:10" hidden="1" x14ac:dyDescent="0.2">
      <c r="D85" s="252" t="s">
        <v>150</v>
      </c>
      <c r="E85" s="252" t="s">
        <v>151</v>
      </c>
      <c r="F85" s="252">
        <v>4</v>
      </c>
      <c r="G85" s="252">
        <v>150</v>
      </c>
      <c r="H85" s="252" t="s">
        <v>733</v>
      </c>
      <c r="I85" s="245">
        <v>13.9</v>
      </c>
      <c r="J85" s="278">
        <v>17345</v>
      </c>
    </row>
    <row r="86" spans="4:10" hidden="1" x14ac:dyDescent="0.2">
      <c r="D86" s="252" t="s">
        <v>150</v>
      </c>
      <c r="E86" s="252" t="s">
        <v>152</v>
      </c>
      <c r="F86" s="252">
        <v>4</v>
      </c>
      <c r="G86" s="252">
        <v>145</v>
      </c>
      <c r="H86" s="252" t="s">
        <v>735</v>
      </c>
      <c r="I86" s="245">
        <v>15.3</v>
      </c>
      <c r="J86" s="278">
        <v>22595</v>
      </c>
    </row>
    <row r="87" spans="4:10" hidden="1" x14ac:dyDescent="0.2">
      <c r="D87" s="252" t="s">
        <v>150</v>
      </c>
      <c r="E87" s="252" t="s">
        <v>153</v>
      </c>
      <c r="F87" s="252">
        <v>4</v>
      </c>
      <c r="G87" s="252">
        <v>150</v>
      </c>
      <c r="H87" s="252" t="s">
        <v>733</v>
      </c>
      <c r="I87" s="245">
        <v>10.1</v>
      </c>
      <c r="J87" s="278">
        <v>19545</v>
      </c>
    </row>
    <row r="88" spans="4:10" hidden="1" x14ac:dyDescent="0.2">
      <c r="D88" s="252" t="s">
        <v>150</v>
      </c>
      <c r="E88" s="252" t="s">
        <v>154</v>
      </c>
      <c r="F88" s="252">
        <v>4</v>
      </c>
      <c r="G88" s="252">
        <v>145</v>
      </c>
      <c r="H88" s="252" t="s">
        <v>735</v>
      </c>
      <c r="I88" s="245">
        <v>15</v>
      </c>
      <c r="J88" s="278">
        <v>24795</v>
      </c>
    </row>
    <row r="89" spans="4:10" hidden="1" x14ac:dyDescent="0.2">
      <c r="D89" s="252" t="s">
        <v>150</v>
      </c>
      <c r="E89" s="252" t="s">
        <v>155</v>
      </c>
      <c r="F89" s="252">
        <v>4</v>
      </c>
      <c r="G89" s="252">
        <v>160</v>
      </c>
      <c r="H89" s="252" t="s">
        <v>733</v>
      </c>
      <c r="I89" s="245">
        <v>12.4</v>
      </c>
      <c r="J89" s="278">
        <v>23995</v>
      </c>
    </row>
    <row r="90" spans="4:10" hidden="1" x14ac:dyDescent="0.2">
      <c r="D90" s="252" t="s">
        <v>150</v>
      </c>
      <c r="E90" s="252" t="s">
        <v>156</v>
      </c>
      <c r="F90" s="252">
        <v>4</v>
      </c>
      <c r="G90" s="252">
        <v>166</v>
      </c>
      <c r="H90" s="252" t="s">
        <v>735</v>
      </c>
      <c r="I90" s="245">
        <v>14</v>
      </c>
      <c r="J90" s="278">
        <v>33095</v>
      </c>
    </row>
    <row r="91" spans="4:10" hidden="1" x14ac:dyDescent="0.2">
      <c r="D91" s="252" t="s">
        <v>157</v>
      </c>
      <c r="E91" s="252" t="s">
        <v>158</v>
      </c>
      <c r="F91" s="252">
        <v>4</v>
      </c>
      <c r="G91" s="252">
        <v>155</v>
      </c>
      <c r="H91" s="252" t="s">
        <v>733</v>
      </c>
      <c r="I91" s="245">
        <v>13.1</v>
      </c>
      <c r="J91" s="278">
        <v>18670</v>
      </c>
    </row>
    <row r="92" spans="4:10" hidden="1" x14ac:dyDescent="0.2">
      <c r="D92" s="252" t="s">
        <v>157</v>
      </c>
      <c r="E92" s="252" t="s">
        <v>159</v>
      </c>
      <c r="F92" s="252">
        <v>4</v>
      </c>
      <c r="G92" s="252">
        <v>145</v>
      </c>
      <c r="H92" s="252" t="s">
        <v>735</v>
      </c>
      <c r="I92" s="245">
        <v>15.9</v>
      </c>
      <c r="J92" s="278">
        <v>23915</v>
      </c>
    </row>
    <row r="93" spans="4:10" hidden="1" x14ac:dyDescent="0.2">
      <c r="D93" s="252" t="s">
        <v>157</v>
      </c>
      <c r="E93" s="252" t="s">
        <v>160</v>
      </c>
      <c r="F93" s="252">
        <v>4</v>
      </c>
      <c r="G93" s="252">
        <v>160</v>
      </c>
      <c r="H93" s="252" t="s">
        <v>733</v>
      </c>
      <c r="I93" s="245">
        <v>12</v>
      </c>
      <c r="J93" s="278">
        <v>25170</v>
      </c>
    </row>
    <row r="94" spans="4:10" hidden="1" x14ac:dyDescent="0.2">
      <c r="D94" s="252" t="s">
        <v>157</v>
      </c>
      <c r="E94" s="252" t="s">
        <v>161</v>
      </c>
      <c r="F94" s="252">
        <v>4</v>
      </c>
      <c r="G94" s="252">
        <v>145</v>
      </c>
      <c r="H94" s="252" t="s">
        <v>735</v>
      </c>
      <c r="I94" s="245">
        <v>13.7</v>
      </c>
      <c r="J94" s="278">
        <v>31855</v>
      </c>
    </row>
    <row r="95" spans="4:10" x14ac:dyDescent="0.2">
      <c r="D95" s="252" t="s">
        <v>157</v>
      </c>
      <c r="E95" s="252" t="s">
        <v>162</v>
      </c>
      <c r="F95" s="252">
        <v>6</v>
      </c>
      <c r="G95" s="252">
        <v>195</v>
      </c>
      <c r="H95" s="252" t="s">
        <v>734</v>
      </c>
      <c r="I95" s="245">
        <v>9.9</v>
      </c>
      <c r="J95" s="278">
        <v>37605</v>
      </c>
    </row>
    <row r="96" spans="4:10" hidden="1" x14ac:dyDescent="0.2">
      <c r="D96" s="252" t="s">
        <v>157</v>
      </c>
      <c r="E96" s="252" t="s">
        <v>163</v>
      </c>
      <c r="F96" s="252">
        <v>6</v>
      </c>
      <c r="G96" s="252">
        <v>165</v>
      </c>
      <c r="H96" s="252" t="s">
        <v>735</v>
      </c>
      <c r="I96" s="245">
        <v>12.1</v>
      </c>
      <c r="J96" s="278">
        <v>39765</v>
      </c>
    </row>
    <row r="97" spans="4:10" hidden="1" x14ac:dyDescent="0.2">
      <c r="D97" s="252" t="s">
        <v>157</v>
      </c>
      <c r="E97" s="252" t="s">
        <v>164</v>
      </c>
      <c r="F97" s="252">
        <v>4</v>
      </c>
      <c r="G97" s="252">
        <v>205</v>
      </c>
      <c r="H97" s="252" t="s">
        <v>734</v>
      </c>
      <c r="I97" s="245">
        <v>10.6</v>
      </c>
      <c r="J97" s="278">
        <v>47525</v>
      </c>
    </row>
    <row r="98" spans="4:10" hidden="1" x14ac:dyDescent="0.2">
      <c r="D98" s="252" t="s">
        <v>165</v>
      </c>
      <c r="E98" s="252" t="s">
        <v>166</v>
      </c>
      <c r="F98" s="252">
        <v>4</v>
      </c>
      <c r="G98" s="252">
        <v>140</v>
      </c>
      <c r="H98" s="252" t="s">
        <v>733</v>
      </c>
      <c r="I98" s="245">
        <v>13.9</v>
      </c>
      <c r="J98" s="278">
        <v>17237</v>
      </c>
    </row>
    <row r="99" spans="4:10" hidden="1" x14ac:dyDescent="0.2">
      <c r="D99" s="252" t="s">
        <v>165</v>
      </c>
      <c r="E99" s="252" t="s">
        <v>167</v>
      </c>
      <c r="F99" s="252">
        <v>4</v>
      </c>
      <c r="G99" s="252">
        <v>155</v>
      </c>
      <c r="H99" s="252" t="s">
        <v>734</v>
      </c>
      <c r="I99" s="245">
        <v>13.6</v>
      </c>
      <c r="J99" s="278">
        <v>20632</v>
      </c>
    </row>
    <row r="100" spans="4:10" hidden="1" x14ac:dyDescent="0.2">
      <c r="D100" s="252" t="s">
        <v>165</v>
      </c>
      <c r="E100" s="252" t="s">
        <v>168</v>
      </c>
      <c r="F100" s="252">
        <v>4</v>
      </c>
      <c r="G100" s="252">
        <v>152</v>
      </c>
      <c r="H100" s="252" t="s">
        <v>735</v>
      </c>
      <c r="I100" s="245">
        <v>15.2</v>
      </c>
      <c r="J100" s="278">
        <v>25573</v>
      </c>
    </row>
    <row r="101" spans="4:10" hidden="1" x14ac:dyDescent="0.2">
      <c r="D101" s="252" t="s">
        <v>165</v>
      </c>
      <c r="E101" s="252" t="s">
        <v>169</v>
      </c>
      <c r="F101" s="252">
        <v>4</v>
      </c>
      <c r="G101" s="252">
        <v>160</v>
      </c>
      <c r="H101" s="252" t="s">
        <v>734</v>
      </c>
      <c r="I101" s="245">
        <v>12.3</v>
      </c>
      <c r="J101" s="278">
        <v>24899</v>
      </c>
    </row>
    <row r="102" spans="4:10" hidden="1" x14ac:dyDescent="0.2">
      <c r="D102" s="252" t="s">
        <v>165</v>
      </c>
      <c r="E102" s="252" t="s">
        <v>170</v>
      </c>
      <c r="F102" s="252">
        <v>4</v>
      </c>
      <c r="G102" s="252">
        <v>141</v>
      </c>
      <c r="H102" s="252" t="s">
        <v>735</v>
      </c>
      <c r="I102" s="245">
        <v>15.2</v>
      </c>
      <c r="J102" s="278">
        <v>30710</v>
      </c>
    </row>
    <row r="103" spans="4:10" hidden="1" x14ac:dyDescent="0.2">
      <c r="D103" s="252" t="s">
        <v>165</v>
      </c>
      <c r="E103" s="252" t="s">
        <v>171</v>
      </c>
      <c r="F103" s="252">
        <v>4</v>
      </c>
      <c r="G103" s="252">
        <v>183</v>
      </c>
      <c r="H103" s="252" t="s">
        <v>734</v>
      </c>
      <c r="I103" s="245">
        <v>12.8</v>
      </c>
      <c r="J103" s="278">
        <v>33540</v>
      </c>
    </row>
    <row r="104" spans="4:10" hidden="1" x14ac:dyDescent="0.2">
      <c r="D104" s="252" t="s">
        <v>165</v>
      </c>
      <c r="E104" s="252" t="s">
        <v>172</v>
      </c>
      <c r="F104" s="252">
        <v>4</v>
      </c>
      <c r="G104" s="252">
        <v>163</v>
      </c>
      <c r="H104" s="252" t="s">
        <v>735</v>
      </c>
      <c r="I104" s="245">
        <v>14.1</v>
      </c>
      <c r="J104" s="278">
        <v>39670</v>
      </c>
    </row>
    <row r="105" spans="4:10" hidden="1" x14ac:dyDescent="0.2">
      <c r="D105" s="252" t="s">
        <v>165</v>
      </c>
      <c r="E105" s="252" t="s">
        <v>173</v>
      </c>
      <c r="F105" s="252">
        <v>4</v>
      </c>
      <c r="G105" s="252">
        <v>205</v>
      </c>
      <c r="H105" s="252" t="s">
        <v>734</v>
      </c>
      <c r="I105" s="245">
        <v>8.9</v>
      </c>
      <c r="J105" s="278">
        <v>46208</v>
      </c>
    </row>
    <row r="106" spans="4:10" hidden="1" x14ac:dyDescent="0.2">
      <c r="D106" s="252" t="s">
        <v>174</v>
      </c>
      <c r="E106" s="252" t="s">
        <v>175</v>
      </c>
      <c r="F106" s="252">
        <v>4</v>
      </c>
      <c r="G106" s="252">
        <v>134</v>
      </c>
      <c r="H106" s="252" t="s">
        <v>734</v>
      </c>
      <c r="I106" s="245">
        <v>14.6</v>
      </c>
      <c r="J106" s="278">
        <v>16360</v>
      </c>
    </row>
    <row r="107" spans="4:10" hidden="1" x14ac:dyDescent="0.2">
      <c r="D107" s="252" t="s">
        <v>174</v>
      </c>
      <c r="E107" s="252" t="s">
        <v>176</v>
      </c>
      <c r="F107" s="252">
        <v>4</v>
      </c>
      <c r="G107" s="252">
        <v>155</v>
      </c>
      <c r="H107" s="252" t="s">
        <v>735</v>
      </c>
      <c r="I107" s="245">
        <v>18.2</v>
      </c>
      <c r="J107" s="278">
        <v>23435</v>
      </c>
    </row>
    <row r="108" spans="4:10" hidden="1" x14ac:dyDescent="0.2">
      <c r="D108" s="252" t="s">
        <v>174</v>
      </c>
      <c r="E108" s="252" t="s">
        <v>177</v>
      </c>
      <c r="F108" s="252">
        <v>4</v>
      </c>
      <c r="G108" s="252">
        <v>152</v>
      </c>
      <c r="H108" s="252" t="s">
        <v>734</v>
      </c>
      <c r="I108" s="245">
        <v>13.1</v>
      </c>
      <c r="J108" s="278">
        <v>23630</v>
      </c>
    </row>
    <row r="109" spans="4:10" hidden="1" x14ac:dyDescent="0.2">
      <c r="D109" s="252" t="s">
        <v>174</v>
      </c>
      <c r="E109" s="252" t="s">
        <v>178</v>
      </c>
      <c r="F109" s="252">
        <v>4</v>
      </c>
      <c r="G109" s="252">
        <v>152</v>
      </c>
      <c r="H109" s="252" t="s">
        <v>735</v>
      </c>
      <c r="I109" s="245">
        <v>16.7</v>
      </c>
      <c r="J109" s="278">
        <v>29980</v>
      </c>
    </row>
    <row r="110" spans="4:10" hidden="1" x14ac:dyDescent="0.2">
      <c r="D110" s="252" t="s">
        <v>174</v>
      </c>
      <c r="E110" s="252" t="s">
        <v>179</v>
      </c>
      <c r="F110" s="252">
        <v>4</v>
      </c>
      <c r="G110" s="252">
        <v>150</v>
      </c>
      <c r="H110" s="252" t="s">
        <v>734</v>
      </c>
      <c r="I110" s="245">
        <v>15</v>
      </c>
      <c r="J110" s="278">
        <v>20455</v>
      </c>
    </row>
    <row r="111" spans="4:10" hidden="1" x14ac:dyDescent="0.2">
      <c r="D111" s="252" t="s">
        <v>174</v>
      </c>
      <c r="E111" s="252" t="s">
        <v>180</v>
      </c>
      <c r="F111" s="252">
        <v>4</v>
      </c>
      <c r="G111" s="252">
        <v>160</v>
      </c>
      <c r="H111" s="252" t="s">
        <v>735</v>
      </c>
      <c r="I111" s="245">
        <v>16.899999999999999</v>
      </c>
      <c r="J111" s="278">
        <v>26745</v>
      </c>
    </row>
    <row r="112" spans="4:10" hidden="1" x14ac:dyDescent="0.2">
      <c r="D112" s="252" t="s">
        <v>174</v>
      </c>
      <c r="E112" s="252" t="s">
        <v>181</v>
      </c>
      <c r="F112" s="252">
        <v>4</v>
      </c>
      <c r="G112" s="252">
        <v>165</v>
      </c>
      <c r="H112" s="252" t="s">
        <v>734</v>
      </c>
      <c r="I112" s="245">
        <v>10.199999999999999</v>
      </c>
      <c r="J112" s="278">
        <v>30595</v>
      </c>
    </row>
    <row r="113" spans="4:10" hidden="1" x14ac:dyDescent="0.2">
      <c r="D113" s="252" t="s">
        <v>174</v>
      </c>
      <c r="E113" s="252" t="s">
        <v>182</v>
      </c>
      <c r="F113" s="252">
        <v>4</v>
      </c>
      <c r="G113" s="252">
        <v>160</v>
      </c>
      <c r="H113" s="252" t="s">
        <v>735</v>
      </c>
      <c r="I113" s="245">
        <v>12.5</v>
      </c>
      <c r="J113" s="278">
        <v>37980</v>
      </c>
    </row>
    <row r="114" spans="4:10" hidden="1" x14ac:dyDescent="0.2">
      <c r="D114" s="252" t="s">
        <v>183</v>
      </c>
      <c r="E114" s="252" t="s">
        <v>184</v>
      </c>
      <c r="F114" s="252">
        <v>4</v>
      </c>
      <c r="G114" s="252">
        <v>215</v>
      </c>
      <c r="H114" s="252" t="s">
        <v>733</v>
      </c>
      <c r="I114" s="245">
        <v>8.9</v>
      </c>
      <c r="J114" s="278">
        <v>77300</v>
      </c>
    </row>
    <row r="115" spans="4:10" hidden="1" x14ac:dyDescent="0.2">
      <c r="D115" s="252" t="s">
        <v>185</v>
      </c>
      <c r="E115" s="252" t="s">
        <v>186</v>
      </c>
      <c r="F115" s="252">
        <v>4</v>
      </c>
      <c r="G115" s="252">
        <v>143</v>
      </c>
      <c r="H115" s="252" t="s">
        <v>734</v>
      </c>
      <c r="I115" s="245">
        <v>17.2</v>
      </c>
      <c r="J115" s="278">
        <v>16575</v>
      </c>
    </row>
    <row r="116" spans="4:10" hidden="1" x14ac:dyDescent="0.2">
      <c r="D116" s="252" t="s">
        <v>185</v>
      </c>
      <c r="E116" s="252" t="s">
        <v>187</v>
      </c>
      <c r="F116" s="252">
        <v>4</v>
      </c>
      <c r="G116" s="252">
        <v>146</v>
      </c>
      <c r="H116" s="252" t="s">
        <v>734</v>
      </c>
      <c r="I116" s="245">
        <v>14.3</v>
      </c>
      <c r="J116" s="278">
        <v>19720</v>
      </c>
    </row>
    <row r="117" spans="4:10" hidden="1" x14ac:dyDescent="0.2">
      <c r="D117" s="252" t="s">
        <v>185</v>
      </c>
      <c r="E117" s="252" t="s">
        <v>188</v>
      </c>
      <c r="F117" s="252">
        <v>4</v>
      </c>
      <c r="G117" s="252">
        <v>146</v>
      </c>
      <c r="H117" s="252" t="s">
        <v>735</v>
      </c>
      <c r="I117" s="245">
        <v>15.9</v>
      </c>
      <c r="J117" s="278">
        <v>24450</v>
      </c>
    </row>
    <row r="118" spans="4:10" hidden="1" x14ac:dyDescent="0.2">
      <c r="D118" s="252" t="s">
        <v>185</v>
      </c>
      <c r="E118" s="252" t="s">
        <v>189</v>
      </c>
      <c r="F118" s="252">
        <v>4</v>
      </c>
      <c r="G118" s="252">
        <v>146</v>
      </c>
      <c r="H118" s="252" t="s">
        <v>734</v>
      </c>
      <c r="I118" s="245">
        <v>14.3</v>
      </c>
      <c r="J118" s="278">
        <v>20360</v>
      </c>
    </row>
    <row r="119" spans="4:10" hidden="1" x14ac:dyDescent="0.2">
      <c r="D119" s="252" t="s">
        <v>185</v>
      </c>
      <c r="E119" s="252" t="s">
        <v>190</v>
      </c>
      <c r="F119" s="252">
        <v>4</v>
      </c>
      <c r="G119" s="252">
        <v>148</v>
      </c>
      <c r="H119" s="252" t="s">
        <v>735</v>
      </c>
      <c r="I119" s="245">
        <v>16.899999999999999</v>
      </c>
      <c r="J119" s="278">
        <v>25175</v>
      </c>
    </row>
    <row r="120" spans="4:10" hidden="1" x14ac:dyDescent="0.2">
      <c r="D120" s="252" t="s">
        <v>185</v>
      </c>
      <c r="E120" s="252" t="s">
        <v>191</v>
      </c>
      <c r="F120" s="252">
        <v>4</v>
      </c>
      <c r="G120" s="252">
        <v>173</v>
      </c>
      <c r="H120" s="252" t="s">
        <v>734</v>
      </c>
      <c r="I120" s="245">
        <v>14.9</v>
      </c>
      <c r="J120" s="278">
        <v>27495</v>
      </c>
    </row>
    <row r="121" spans="4:10" hidden="1" x14ac:dyDescent="0.2">
      <c r="D121" s="252" t="s">
        <v>185</v>
      </c>
      <c r="E121" s="252" t="s">
        <v>192</v>
      </c>
      <c r="F121" s="252">
        <v>4</v>
      </c>
      <c r="G121" s="252">
        <v>164</v>
      </c>
      <c r="H121" s="252" t="s">
        <v>735</v>
      </c>
      <c r="I121" s="245">
        <v>16</v>
      </c>
      <c r="J121" s="278">
        <v>33595</v>
      </c>
    </row>
    <row r="122" spans="4:10" hidden="1" x14ac:dyDescent="0.2">
      <c r="D122" s="252" t="s">
        <v>185</v>
      </c>
      <c r="E122" s="252" t="s">
        <v>193</v>
      </c>
      <c r="F122" s="252">
        <v>4</v>
      </c>
      <c r="G122" s="252">
        <v>182</v>
      </c>
      <c r="H122" s="252" t="s">
        <v>734</v>
      </c>
      <c r="I122" s="245">
        <v>12.7</v>
      </c>
      <c r="J122" s="278">
        <v>37465</v>
      </c>
    </row>
    <row r="123" spans="4:10" hidden="1" x14ac:dyDescent="0.2">
      <c r="D123" s="252" t="s">
        <v>185</v>
      </c>
      <c r="E123" s="252" t="s">
        <v>194</v>
      </c>
      <c r="F123" s="252">
        <v>4</v>
      </c>
      <c r="G123" s="252">
        <v>155</v>
      </c>
      <c r="H123" s="252" t="s">
        <v>735</v>
      </c>
      <c r="I123" s="245">
        <v>14</v>
      </c>
      <c r="J123" s="278">
        <v>40745</v>
      </c>
    </row>
    <row r="124" spans="4:10" hidden="1" x14ac:dyDescent="0.2">
      <c r="D124" s="252" t="s">
        <v>195</v>
      </c>
      <c r="E124" s="252" t="s">
        <v>196</v>
      </c>
      <c r="F124" s="252">
        <v>4</v>
      </c>
      <c r="G124" s="252">
        <v>155</v>
      </c>
      <c r="H124" s="252" t="s">
        <v>733</v>
      </c>
      <c r="I124" s="245">
        <v>13.3</v>
      </c>
      <c r="J124" s="278">
        <v>24995</v>
      </c>
    </row>
    <row r="125" spans="4:10" hidden="1" x14ac:dyDescent="0.2">
      <c r="D125" s="252" t="s">
        <v>195</v>
      </c>
      <c r="E125" s="252" t="s">
        <v>197</v>
      </c>
      <c r="F125" s="252">
        <v>4</v>
      </c>
      <c r="G125" s="252">
        <v>203</v>
      </c>
      <c r="H125" s="252" t="s">
        <v>734</v>
      </c>
      <c r="I125" s="245">
        <v>11.4</v>
      </c>
      <c r="J125" s="278">
        <v>44900</v>
      </c>
    </row>
    <row r="126" spans="4:10" hidden="1" x14ac:dyDescent="0.2">
      <c r="D126" s="252" t="s">
        <v>198</v>
      </c>
      <c r="E126" s="252">
        <v>90</v>
      </c>
      <c r="F126" s="252">
        <v>4</v>
      </c>
      <c r="G126" s="252">
        <v>165</v>
      </c>
      <c r="H126" s="252" t="s">
        <v>733</v>
      </c>
      <c r="I126" s="245">
        <v>10.6</v>
      </c>
      <c r="J126" s="278">
        <v>37050</v>
      </c>
    </row>
    <row r="127" spans="4:10" hidden="1" x14ac:dyDescent="0.2">
      <c r="D127" s="252" t="s">
        <v>198</v>
      </c>
      <c r="E127" s="252">
        <v>900</v>
      </c>
      <c r="F127" s="252">
        <v>4</v>
      </c>
      <c r="G127" s="252">
        <v>165</v>
      </c>
      <c r="H127" s="252" t="s">
        <v>733</v>
      </c>
      <c r="I127" s="245">
        <v>10.199999999999999</v>
      </c>
      <c r="J127" s="278">
        <v>39050</v>
      </c>
    </row>
    <row r="128" spans="4:10" hidden="1" x14ac:dyDescent="0.2">
      <c r="D128" s="252" t="s">
        <v>198</v>
      </c>
      <c r="E128" s="252" t="s">
        <v>199</v>
      </c>
      <c r="F128" s="252">
        <v>4</v>
      </c>
      <c r="G128" s="252">
        <v>190</v>
      </c>
      <c r="H128" s="252" t="s">
        <v>733</v>
      </c>
      <c r="I128" s="245">
        <v>9.6999999999999993</v>
      </c>
      <c r="J128" s="278">
        <v>60950</v>
      </c>
    </row>
    <row r="129" spans="4:10" hidden="1" x14ac:dyDescent="0.2">
      <c r="D129" s="252" t="s">
        <v>200</v>
      </c>
      <c r="E129" s="252" t="s">
        <v>201</v>
      </c>
      <c r="F129" s="252">
        <v>4</v>
      </c>
      <c r="G129" s="252">
        <v>133</v>
      </c>
      <c r="H129" s="252" t="s">
        <v>733</v>
      </c>
      <c r="I129" s="245">
        <v>15.8</v>
      </c>
      <c r="J129" s="278">
        <v>11995</v>
      </c>
    </row>
    <row r="130" spans="4:10" hidden="1" x14ac:dyDescent="0.2">
      <c r="D130" s="252" t="s">
        <v>200</v>
      </c>
      <c r="E130" s="252" t="s">
        <v>202</v>
      </c>
      <c r="F130" s="252">
        <v>4</v>
      </c>
      <c r="G130" s="252">
        <v>148</v>
      </c>
      <c r="H130" s="252" t="s">
        <v>733</v>
      </c>
      <c r="I130" s="245">
        <v>12.9</v>
      </c>
      <c r="J130" s="278">
        <v>16195</v>
      </c>
    </row>
    <row r="131" spans="4:10" hidden="1" x14ac:dyDescent="0.2">
      <c r="D131" s="252" t="s">
        <v>200</v>
      </c>
      <c r="E131" s="252" t="s">
        <v>203</v>
      </c>
      <c r="F131" s="252">
        <v>4</v>
      </c>
      <c r="G131" s="252">
        <v>140</v>
      </c>
      <c r="H131" s="252" t="s">
        <v>735</v>
      </c>
      <c r="I131" s="245">
        <v>15.2</v>
      </c>
      <c r="J131" s="278">
        <v>22995</v>
      </c>
    </row>
    <row r="132" spans="4:10" hidden="1" x14ac:dyDescent="0.2">
      <c r="D132" s="252" t="s">
        <v>200</v>
      </c>
      <c r="E132" s="252" t="s">
        <v>204</v>
      </c>
      <c r="F132" s="252">
        <v>4</v>
      </c>
      <c r="G132" s="252">
        <v>129</v>
      </c>
      <c r="H132" s="252" t="s">
        <v>733</v>
      </c>
      <c r="I132" s="245">
        <v>12.8</v>
      </c>
      <c r="J132" s="278">
        <v>14995</v>
      </c>
    </row>
    <row r="133" spans="4:10" hidden="1" x14ac:dyDescent="0.2">
      <c r="D133" s="252" t="s">
        <v>200</v>
      </c>
      <c r="E133" s="252" t="s">
        <v>205</v>
      </c>
      <c r="F133" s="252">
        <v>4</v>
      </c>
      <c r="G133" s="252">
        <v>150</v>
      </c>
      <c r="H133" s="252" t="s">
        <v>735</v>
      </c>
      <c r="I133" s="245">
        <v>14</v>
      </c>
      <c r="J133" s="278">
        <v>20895</v>
      </c>
    </row>
    <row r="134" spans="4:10" hidden="1" x14ac:dyDescent="0.2">
      <c r="D134" s="252" t="s">
        <v>200</v>
      </c>
      <c r="E134" s="252" t="s">
        <v>206</v>
      </c>
      <c r="F134" s="252">
        <v>4</v>
      </c>
      <c r="G134" s="252">
        <v>150</v>
      </c>
      <c r="H134" s="252" t="s">
        <v>733</v>
      </c>
      <c r="I134" s="245">
        <v>13.1</v>
      </c>
      <c r="J134" s="278">
        <v>18595</v>
      </c>
    </row>
    <row r="135" spans="4:10" hidden="1" x14ac:dyDescent="0.2">
      <c r="D135" s="252" t="s">
        <v>200</v>
      </c>
      <c r="E135" s="252" t="s">
        <v>207</v>
      </c>
      <c r="F135" s="252">
        <v>4</v>
      </c>
      <c r="G135" s="252">
        <v>145</v>
      </c>
      <c r="H135" s="252" t="s">
        <v>735</v>
      </c>
      <c r="I135" s="245">
        <v>14</v>
      </c>
      <c r="J135" s="278">
        <v>24495</v>
      </c>
    </row>
    <row r="136" spans="4:10" hidden="1" x14ac:dyDescent="0.2">
      <c r="D136" s="252" t="s">
        <v>208</v>
      </c>
      <c r="E136" s="252">
        <v>105</v>
      </c>
      <c r="F136" s="252">
        <v>4</v>
      </c>
      <c r="G136" s="252">
        <v>130</v>
      </c>
      <c r="H136" s="252" t="s">
        <v>733</v>
      </c>
      <c r="I136" s="245">
        <v>12.1</v>
      </c>
      <c r="J136" s="278">
        <v>10295</v>
      </c>
    </row>
    <row r="137" spans="4:10" hidden="1" x14ac:dyDescent="0.2">
      <c r="D137" s="252" t="s">
        <v>209</v>
      </c>
      <c r="E137" s="252" t="s">
        <v>210</v>
      </c>
      <c r="F137" s="252">
        <v>2</v>
      </c>
      <c r="G137" s="252">
        <v>125</v>
      </c>
      <c r="H137" s="252" t="s">
        <v>733</v>
      </c>
      <c r="I137" s="245">
        <v>17.100000000000001</v>
      </c>
      <c r="J137" s="278">
        <v>11495</v>
      </c>
    </row>
    <row r="138" spans="4:10" hidden="1" x14ac:dyDescent="0.2">
      <c r="D138" s="252" t="s">
        <v>209</v>
      </c>
      <c r="E138" s="252" t="s">
        <v>211</v>
      </c>
      <c r="F138" s="252">
        <v>3</v>
      </c>
      <c r="G138" s="252">
        <v>150</v>
      </c>
      <c r="H138" s="252" t="s">
        <v>733</v>
      </c>
      <c r="I138" s="245">
        <v>13.7</v>
      </c>
      <c r="J138" s="278">
        <v>14495</v>
      </c>
    </row>
    <row r="139" spans="4:10" hidden="1" x14ac:dyDescent="0.2">
      <c r="D139" s="252" t="s">
        <v>209</v>
      </c>
      <c r="E139" s="252" t="s">
        <v>212</v>
      </c>
      <c r="F139" s="252">
        <v>4</v>
      </c>
      <c r="G139" s="252">
        <v>160</v>
      </c>
      <c r="H139" s="252" t="s">
        <v>733</v>
      </c>
      <c r="I139" s="245">
        <v>13.1</v>
      </c>
      <c r="J139" s="278">
        <v>22495</v>
      </c>
    </row>
    <row r="140" spans="4:10" hidden="1" x14ac:dyDescent="0.2">
      <c r="D140" s="252" t="s">
        <v>209</v>
      </c>
      <c r="E140" s="252" t="s">
        <v>213</v>
      </c>
      <c r="F140" s="252">
        <v>4</v>
      </c>
      <c r="G140" s="252">
        <v>200</v>
      </c>
      <c r="H140" s="252" t="s">
        <v>734</v>
      </c>
      <c r="I140" s="245">
        <v>9.4</v>
      </c>
      <c r="J140" s="278">
        <v>53995</v>
      </c>
    </row>
    <row r="141" spans="4:10" hidden="1" x14ac:dyDescent="0.2">
      <c r="D141" s="252" t="s">
        <v>214</v>
      </c>
      <c r="E141" s="252" t="s">
        <v>215</v>
      </c>
      <c r="F141" s="252">
        <v>3</v>
      </c>
      <c r="G141" s="252">
        <v>125</v>
      </c>
      <c r="H141" s="252" t="s">
        <v>733</v>
      </c>
      <c r="I141" s="245">
        <v>15.2</v>
      </c>
      <c r="J141" s="278">
        <v>11695</v>
      </c>
    </row>
    <row r="142" spans="4:10" hidden="1" x14ac:dyDescent="0.2">
      <c r="D142" s="252" t="s">
        <v>214</v>
      </c>
      <c r="E142" s="252" t="s">
        <v>216</v>
      </c>
      <c r="F142" s="252">
        <v>3</v>
      </c>
      <c r="G142" s="252">
        <v>145</v>
      </c>
      <c r="H142" s="252" t="s">
        <v>733</v>
      </c>
      <c r="I142" s="245">
        <v>14.9</v>
      </c>
      <c r="J142" s="278">
        <v>14995</v>
      </c>
    </row>
    <row r="143" spans="4:10" hidden="1" x14ac:dyDescent="0.2">
      <c r="D143" s="252" t="s">
        <v>217</v>
      </c>
      <c r="E143" s="252" t="s">
        <v>218</v>
      </c>
      <c r="F143" s="252">
        <v>4</v>
      </c>
      <c r="G143" s="252">
        <v>141</v>
      </c>
      <c r="H143" s="252" t="s">
        <v>734</v>
      </c>
      <c r="I143" s="245">
        <v>12.1</v>
      </c>
      <c r="J143" s="278">
        <v>14995</v>
      </c>
    </row>
    <row r="144" spans="4:10" hidden="1" x14ac:dyDescent="0.2">
      <c r="D144" s="252" t="s">
        <v>217</v>
      </c>
      <c r="E144" s="252" t="s">
        <v>219</v>
      </c>
      <c r="F144" s="252">
        <v>4</v>
      </c>
      <c r="G144" s="252">
        <v>160</v>
      </c>
      <c r="H144" s="252" t="s">
        <v>733</v>
      </c>
      <c r="I144" s="245">
        <v>13</v>
      </c>
      <c r="J144" s="278">
        <v>18595</v>
      </c>
    </row>
    <row r="145" spans="4:10" hidden="1" x14ac:dyDescent="0.2">
      <c r="D145" s="252" t="s">
        <v>217</v>
      </c>
      <c r="E145" s="252" t="s">
        <v>220</v>
      </c>
      <c r="F145" s="252">
        <v>4</v>
      </c>
      <c r="G145" s="252">
        <v>155</v>
      </c>
      <c r="H145" s="252" t="s">
        <v>735</v>
      </c>
      <c r="I145" s="245">
        <v>15.1</v>
      </c>
      <c r="J145" s="278">
        <v>23545</v>
      </c>
    </row>
    <row r="146" spans="4:10" hidden="1" x14ac:dyDescent="0.2">
      <c r="D146" s="252" t="s">
        <v>217</v>
      </c>
      <c r="E146" s="252" t="s">
        <v>221</v>
      </c>
      <c r="F146" s="252">
        <v>4</v>
      </c>
      <c r="G146" s="252">
        <v>175</v>
      </c>
      <c r="H146" s="252" t="s">
        <v>734</v>
      </c>
      <c r="I146" s="245">
        <v>12.1</v>
      </c>
      <c r="J146" s="278">
        <v>24995</v>
      </c>
    </row>
    <row r="147" spans="4:10" hidden="1" x14ac:dyDescent="0.2">
      <c r="D147" s="252" t="s">
        <v>217</v>
      </c>
      <c r="E147" s="252" t="s">
        <v>222</v>
      </c>
      <c r="F147" s="252">
        <v>4</v>
      </c>
      <c r="G147" s="252">
        <v>170</v>
      </c>
      <c r="H147" s="252" t="s">
        <v>734</v>
      </c>
      <c r="I147" s="245">
        <v>11</v>
      </c>
      <c r="J147" s="278">
        <v>33395</v>
      </c>
    </row>
    <row r="148" spans="4:10" hidden="1" x14ac:dyDescent="0.2">
      <c r="D148" s="252" t="s">
        <v>217</v>
      </c>
      <c r="E148" s="252" t="s">
        <v>223</v>
      </c>
      <c r="F148" s="252">
        <v>4</v>
      </c>
      <c r="G148" s="252">
        <v>170</v>
      </c>
      <c r="H148" s="252" t="s">
        <v>734</v>
      </c>
      <c r="I148" s="245">
        <v>12.4</v>
      </c>
      <c r="J148" s="278">
        <v>31595</v>
      </c>
    </row>
    <row r="149" spans="4:10" hidden="1" x14ac:dyDescent="0.2">
      <c r="D149" s="252" t="s">
        <v>217</v>
      </c>
      <c r="E149" s="252" t="s">
        <v>224</v>
      </c>
      <c r="F149" s="252">
        <v>4</v>
      </c>
      <c r="G149" s="252">
        <v>170</v>
      </c>
      <c r="H149" s="252" t="s">
        <v>735</v>
      </c>
      <c r="I149" s="245">
        <v>15</v>
      </c>
      <c r="J149" s="278">
        <v>38495</v>
      </c>
    </row>
    <row r="150" spans="4:10" hidden="1" x14ac:dyDescent="0.2">
      <c r="D150" s="252" t="s">
        <v>217</v>
      </c>
      <c r="E150" s="252" t="s">
        <v>225</v>
      </c>
      <c r="F150" s="252">
        <v>4</v>
      </c>
      <c r="G150" s="252">
        <v>200</v>
      </c>
      <c r="H150" s="252" t="s">
        <v>733</v>
      </c>
      <c r="I150" s="245">
        <v>12.9</v>
      </c>
      <c r="J150" s="278">
        <v>47345</v>
      </c>
    </row>
    <row r="151" spans="4:10" x14ac:dyDescent="0.2">
      <c r="D151" s="252" t="s">
        <v>217</v>
      </c>
      <c r="E151" s="252" t="s">
        <v>226</v>
      </c>
      <c r="F151" s="252">
        <v>6</v>
      </c>
      <c r="G151" s="252">
        <v>190</v>
      </c>
      <c r="H151" s="252" t="s">
        <v>734</v>
      </c>
      <c r="I151" s="245">
        <v>10.3</v>
      </c>
      <c r="J151" s="278">
        <v>48545</v>
      </c>
    </row>
    <row r="152" spans="4:10" hidden="1" x14ac:dyDescent="0.2">
      <c r="D152" s="252" t="s">
        <v>227</v>
      </c>
      <c r="E152" s="252" t="s">
        <v>228</v>
      </c>
      <c r="F152" s="252">
        <v>4</v>
      </c>
      <c r="G152" s="252">
        <v>142</v>
      </c>
      <c r="H152" s="252" t="s">
        <v>733</v>
      </c>
      <c r="I152" s="245">
        <v>11.7</v>
      </c>
      <c r="J152" s="278">
        <v>16390</v>
      </c>
    </row>
    <row r="153" spans="4:10" hidden="1" x14ac:dyDescent="0.2">
      <c r="D153" s="252" t="s">
        <v>227</v>
      </c>
      <c r="E153" s="252" t="s">
        <v>229</v>
      </c>
      <c r="F153" s="252">
        <v>4</v>
      </c>
      <c r="G153" s="252">
        <v>140</v>
      </c>
      <c r="H153" s="252" t="s">
        <v>735</v>
      </c>
      <c r="I153" s="245">
        <v>15.9</v>
      </c>
      <c r="J153" s="278">
        <v>22590</v>
      </c>
    </row>
    <row r="154" spans="4:10" hidden="1" x14ac:dyDescent="0.2">
      <c r="D154" s="252" t="s">
        <v>227</v>
      </c>
      <c r="E154" s="252" t="s">
        <v>230</v>
      </c>
      <c r="F154" s="252">
        <v>4</v>
      </c>
      <c r="G154" s="252">
        <v>151</v>
      </c>
      <c r="H154" s="252" t="s">
        <v>733</v>
      </c>
      <c r="I154" s="245">
        <v>13.2</v>
      </c>
      <c r="J154" s="278">
        <v>21995</v>
      </c>
    </row>
    <row r="155" spans="4:10" hidden="1" x14ac:dyDescent="0.2">
      <c r="D155" s="252" t="s">
        <v>227</v>
      </c>
      <c r="E155" s="252" t="s">
        <v>231</v>
      </c>
      <c r="F155" s="252">
        <v>4</v>
      </c>
      <c r="G155" s="252">
        <v>148</v>
      </c>
      <c r="H155" s="252" t="s">
        <v>735</v>
      </c>
      <c r="I155" s="245">
        <v>16.100000000000001</v>
      </c>
      <c r="J155" s="278">
        <v>27230</v>
      </c>
    </row>
    <row r="156" spans="4:10" hidden="1" x14ac:dyDescent="0.2">
      <c r="D156" s="252" t="s">
        <v>227</v>
      </c>
      <c r="E156" s="252" t="s">
        <v>232</v>
      </c>
      <c r="F156" s="252">
        <v>4</v>
      </c>
      <c r="G156" s="252">
        <v>148</v>
      </c>
      <c r="H156" s="252" t="s">
        <v>733</v>
      </c>
      <c r="I156" s="245">
        <v>13.6</v>
      </c>
      <c r="J156" s="278">
        <v>22800</v>
      </c>
    </row>
    <row r="157" spans="4:10" hidden="1" x14ac:dyDescent="0.2">
      <c r="D157" s="252" t="s">
        <v>227</v>
      </c>
      <c r="E157" s="252" t="s">
        <v>233</v>
      </c>
      <c r="F157" s="252">
        <v>4</v>
      </c>
      <c r="G157" s="252">
        <v>146</v>
      </c>
      <c r="H157" s="252" t="s">
        <v>735</v>
      </c>
      <c r="I157" s="245">
        <v>16.3</v>
      </c>
      <c r="J157" s="278">
        <v>28035</v>
      </c>
    </row>
    <row r="158" spans="4:10" hidden="1" x14ac:dyDescent="0.2">
      <c r="D158" s="252" t="s">
        <v>227</v>
      </c>
      <c r="E158" s="252" t="s">
        <v>234</v>
      </c>
      <c r="F158" s="252">
        <v>4</v>
      </c>
      <c r="G158" s="252">
        <v>181</v>
      </c>
      <c r="H158" s="252" t="s">
        <v>733</v>
      </c>
      <c r="I158" s="245">
        <v>13.6</v>
      </c>
      <c r="J158" s="278">
        <v>38665</v>
      </c>
    </row>
    <row r="159" spans="4:10" hidden="1" x14ac:dyDescent="0.2">
      <c r="D159" s="252" t="s">
        <v>227</v>
      </c>
      <c r="E159" s="252" t="s">
        <v>235</v>
      </c>
      <c r="F159" s="252">
        <v>4</v>
      </c>
      <c r="G159" s="252">
        <v>162</v>
      </c>
      <c r="H159" s="252" t="s">
        <v>733</v>
      </c>
      <c r="I159" s="245">
        <v>11.7</v>
      </c>
      <c r="J159" s="278">
        <v>28195</v>
      </c>
    </row>
    <row r="160" spans="4:10" hidden="1" x14ac:dyDescent="0.2">
      <c r="D160" s="252" t="s">
        <v>227</v>
      </c>
      <c r="E160" s="252" t="s">
        <v>236</v>
      </c>
      <c r="F160" s="252">
        <v>4</v>
      </c>
      <c r="G160" s="252">
        <v>143</v>
      </c>
      <c r="H160" s="252" t="s">
        <v>735</v>
      </c>
      <c r="I160" s="245">
        <v>15.3</v>
      </c>
      <c r="J160" s="278">
        <v>32970</v>
      </c>
    </row>
    <row r="161" spans="4:10" hidden="1" x14ac:dyDescent="0.2">
      <c r="D161" s="252" t="s">
        <v>237</v>
      </c>
      <c r="E161" s="252" t="s">
        <v>238</v>
      </c>
      <c r="F161" s="252">
        <v>4</v>
      </c>
      <c r="G161" s="252">
        <v>155</v>
      </c>
      <c r="H161" s="252" t="s">
        <v>734</v>
      </c>
      <c r="I161" s="245">
        <v>12.5</v>
      </c>
      <c r="J161" s="278">
        <v>20485</v>
      </c>
    </row>
    <row r="162" spans="4:10" hidden="1" x14ac:dyDescent="0.2">
      <c r="D162" s="252" t="s">
        <v>237</v>
      </c>
      <c r="E162" s="252" t="s">
        <v>239</v>
      </c>
      <c r="F162" s="252">
        <v>4</v>
      </c>
      <c r="G162" s="252">
        <v>140</v>
      </c>
      <c r="H162" s="252" t="s">
        <v>735</v>
      </c>
      <c r="I162" s="245">
        <v>14.7</v>
      </c>
      <c r="J162" s="278">
        <v>26245</v>
      </c>
    </row>
    <row r="163" spans="4:10" hidden="1" x14ac:dyDescent="0.2">
      <c r="D163" s="252" t="s">
        <v>237</v>
      </c>
      <c r="E163" s="252" t="s">
        <v>240</v>
      </c>
      <c r="F163" s="252">
        <v>4</v>
      </c>
      <c r="G163" s="252">
        <v>180</v>
      </c>
      <c r="H163" s="252" t="s">
        <v>733</v>
      </c>
      <c r="I163" s="245">
        <v>11</v>
      </c>
      <c r="J163" s="278">
        <v>27545</v>
      </c>
    </row>
    <row r="164" spans="4:10" hidden="1" x14ac:dyDescent="0.2">
      <c r="D164" s="252" t="s">
        <v>237</v>
      </c>
      <c r="E164" s="252">
        <v>240</v>
      </c>
      <c r="F164" s="252">
        <v>4</v>
      </c>
      <c r="G164" s="252">
        <v>165</v>
      </c>
      <c r="H164" s="252" t="s">
        <v>734</v>
      </c>
      <c r="I164" s="245">
        <v>10.199999999999999</v>
      </c>
      <c r="J164" s="278">
        <v>37695</v>
      </c>
    </row>
    <row r="165" spans="4:10" hidden="1" x14ac:dyDescent="0.2">
      <c r="D165" s="252" t="s">
        <v>237</v>
      </c>
      <c r="E165" s="252" t="s">
        <v>241</v>
      </c>
      <c r="F165" s="252">
        <v>6</v>
      </c>
      <c r="G165" s="252">
        <v>145</v>
      </c>
      <c r="H165" s="252" t="s">
        <v>735</v>
      </c>
      <c r="I165" s="245">
        <v>10.4</v>
      </c>
      <c r="J165" s="278">
        <v>48895</v>
      </c>
    </row>
    <row r="166" spans="4:10" hidden="1" x14ac:dyDescent="0.2">
      <c r="D166" s="252" t="s">
        <v>237</v>
      </c>
      <c r="E166" s="252" t="s">
        <v>242</v>
      </c>
      <c r="F166" s="252">
        <v>4</v>
      </c>
      <c r="G166" s="252">
        <v>190</v>
      </c>
      <c r="H166" s="252" t="s">
        <v>734</v>
      </c>
      <c r="I166" s="245">
        <v>12.3</v>
      </c>
      <c r="J166" s="278">
        <v>45655</v>
      </c>
    </row>
    <row r="167" spans="4:10" hidden="1" x14ac:dyDescent="0.2">
      <c r="D167" s="252" t="s">
        <v>237</v>
      </c>
      <c r="E167" s="252" t="s">
        <v>243</v>
      </c>
      <c r="F167" s="252">
        <v>4</v>
      </c>
      <c r="G167" s="252">
        <v>175</v>
      </c>
      <c r="H167" s="252" t="s">
        <v>734</v>
      </c>
      <c r="I167" s="245">
        <v>9</v>
      </c>
      <c r="J167" s="278">
        <v>47995</v>
      </c>
    </row>
    <row r="168" spans="4:10" hidden="1" x14ac:dyDescent="0.2">
      <c r="D168" s="252" t="s">
        <v>237</v>
      </c>
      <c r="E168" s="252" t="s">
        <v>244</v>
      </c>
      <c r="F168" s="252">
        <v>6</v>
      </c>
      <c r="G168" s="252">
        <v>155</v>
      </c>
      <c r="H168" s="252" t="s">
        <v>735</v>
      </c>
      <c r="I168" s="245">
        <v>11.8</v>
      </c>
      <c r="J168" s="278">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Ordinary"/>
        <filter val="Super"/>
      </filters>
    </filterColumn>
  </autoFilter>
  <mergeCells count="2">
    <mergeCell ref="B6:D6"/>
    <mergeCell ref="B1:C1"/>
  </mergeCells>
  <hyperlinks>
    <hyperlink ref="B6:D6" location="TOC!A1" display="Go to TOC" xr:uid="{00000000-0004-0000-1A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86" t="s">
        <v>1047</v>
      </c>
      <c r="C1" s="386"/>
      <c r="D1" s="263" t="s">
        <v>612</v>
      </c>
    </row>
    <row r="2" spans="2:8" x14ac:dyDescent="0.2">
      <c r="B2" s="263" t="s">
        <v>1124</v>
      </c>
      <c r="C2" s="263"/>
      <c r="D2" s="337" t="str">
        <f>VLOOKUP(D$1,TabelContent[],COLUMN(TabelContent[Titel-EN]))</f>
        <v>Background color</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87" t="s">
        <v>1132</v>
      </c>
      <c r="C6" s="387"/>
      <c r="D6" s="387"/>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B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86" t="s">
        <v>1047</v>
      </c>
      <c r="C1" s="386"/>
      <c r="D1" s="263" t="s">
        <v>613</v>
      </c>
    </row>
    <row r="2" spans="2:8" x14ac:dyDescent="0.2">
      <c r="B2" s="263" t="s">
        <v>1124</v>
      </c>
      <c r="C2" s="263"/>
      <c r="D2" s="337" t="str">
        <f>VLOOKUP(D$1,TabelContent[],COLUMN(TabelContent[Titel-EN]))</f>
        <v>Percentage formatting</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87" t="s">
        <v>1132</v>
      </c>
      <c r="C6" s="387"/>
      <c r="D6" s="387"/>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C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86" t="s">
        <v>1047</v>
      </c>
      <c r="C1" s="386"/>
      <c r="D1" s="263" t="s">
        <v>614</v>
      </c>
    </row>
    <row r="2" spans="2:8" x14ac:dyDescent="0.2">
      <c r="B2" s="263" t="s">
        <v>1124</v>
      </c>
      <c r="C2" s="263"/>
      <c r="D2" s="337" t="str">
        <f>VLOOKUP(D$1,TabelContent[],COLUMN(TabelContent[Titel-EN]))</f>
        <v>Formatting cell A1</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87" t="s">
        <v>1132</v>
      </c>
      <c r="C6" s="387"/>
      <c r="D6" s="387"/>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D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86" t="s">
        <v>1047</v>
      </c>
      <c r="C1" s="386"/>
      <c r="D1" s="263" t="s">
        <v>615</v>
      </c>
    </row>
    <row r="2" spans="2:8" x14ac:dyDescent="0.2">
      <c r="B2" s="263" t="s">
        <v>1124</v>
      </c>
      <c r="C2" s="263"/>
      <c r="D2" s="337" t="str">
        <f>VLOOKUP(D$1,TabelContent[],COLUMN(TabelContent[Titel-EN]))</f>
        <v>Printing gridlines</v>
      </c>
    </row>
    <row r="3" spans="2:8" x14ac:dyDescent="0.2">
      <c r="B3" s="263" t="s">
        <v>1125</v>
      </c>
      <c r="C3" s="263"/>
      <c r="D3" s="337" t="str">
        <f>VLOOKUP(D$1,TabelContent[],COLUMN(TabelContent[Cat-EN]))</f>
        <v>Macro</v>
      </c>
    </row>
    <row r="4" spans="2:8" x14ac:dyDescent="0.2">
      <c r="B4" s="263" t="s">
        <v>1126</v>
      </c>
      <c r="C4" s="263"/>
      <c r="D4" s="337">
        <f>VLOOKUP(D$1,TabelContent[],COLUMN(TabelContent[Niveau]))</f>
        <v>2</v>
      </c>
    </row>
    <row r="5" spans="2:8" x14ac:dyDescent="0.2">
      <c r="B5" s="10"/>
      <c r="C5" s="10"/>
      <c r="D5" s="18"/>
      <c r="E5" s="10"/>
      <c r="F5" s="10"/>
      <c r="G5" s="10"/>
      <c r="H5" s="10"/>
    </row>
    <row r="6" spans="2:8" x14ac:dyDescent="0.2">
      <c r="B6" s="387" t="s">
        <v>1132</v>
      </c>
      <c r="C6" s="387"/>
      <c r="D6" s="387"/>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E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7"/>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7109375" style="4" customWidth="1"/>
    <col min="5" max="13" width="4.7109375" style="4" customWidth="1"/>
    <col min="14" max="14" width="5.28515625" style="4" bestFit="1" customWidth="1"/>
    <col min="15" max="16384" width="9.140625" style="4"/>
  </cols>
  <sheetData>
    <row r="1" spans="2:15" s="9" customFormat="1" x14ac:dyDescent="0.2">
      <c r="B1" s="386" t="s">
        <v>1047</v>
      </c>
      <c r="C1" s="386"/>
      <c r="D1" s="263" t="s">
        <v>617</v>
      </c>
    </row>
    <row r="2" spans="2:15" x14ac:dyDescent="0.2">
      <c r="B2" s="263" t="s">
        <v>1124</v>
      </c>
      <c r="C2" s="263"/>
      <c r="D2" s="337" t="str">
        <f>VLOOKUP(D$1,TabelContent[],COLUMN(TabelContent[Titel-EN]))</f>
        <v>Array addition</v>
      </c>
    </row>
    <row r="3" spans="2:15" x14ac:dyDescent="0.2">
      <c r="B3" s="263" t="s">
        <v>1125</v>
      </c>
      <c r="C3" s="263"/>
      <c r="D3" s="337" t="str">
        <f>VLOOKUP(D$1,TabelContent[],COLUMN(TabelContent[Cat-EN]))</f>
        <v>Array formula</v>
      </c>
    </row>
    <row r="4" spans="2:15" x14ac:dyDescent="0.2">
      <c r="B4" s="263" t="s">
        <v>1126</v>
      </c>
      <c r="C4" s="263"/>
      <c r="D4" s="337">
        <f>VLOOKUP(D$1,TabelContent[],COLUMN(TabelContent[Niveau]))</f>
        <v>2</v>
      </c>
    </row>
    <row r="5" spans="2:15" x14ac:dyDescent="0.2">
      <c r="B5" s="10"/>
      <c r="C5" s="10"/>
      <c r="D5" s="10"/>
      <c r="E5" s="10"/>
      <c r="F5" s="10"/>
      <c r="G5" s="10"/>
      <c r="H5" s="10"/>
      <c r="I5" s="10"/>
      <c r="J5" s="10"/>
      <c r="K5" s="10"/>
      <c r="L5" s="10"/>
      <c r="M5" s="10"/>
      <c r="N5" s="10"/>
    </row>
    <row r="6" spans="2:15" x14ac:dyDescent="0.2">
      <c r="B6" s="387" t="s">
        <v>1132</v>
      </c>
      <c r="C6" s="387"/>
      <c r="D6" s="387"/>
      <c r="E6" s="387"/>
      <c r="F6" s="387"/>
      <c r="G6" s="10"/>
      <c r="H6" s="10"/>
      <c r="I6" s="10"/>
      <c r="J6" s="10"/>
      <c r="K6" s="10"/>
      <c r="L6" s="10"/>
      <c r="M6" s="10"/>
      <c r="N6" s="10"/>
    </row>
    <row r="7" spans="2:15" x14ac:dyDescent="0.2">
      <c r="B7" s="10"/>
      <c r="C7" s="10"/>
      <c r="D7" s="10"/>
      <c r="E7" s="10"/>
      <c r="F7" s="10"/>
      <c r="G7" s="10"/>
      <c r="H7" s="10"/>
      <c r="I7" s="10"/>
      <c r="J7" s="10"/>
      <c r="K7" s="10"/>
      <c r="L7" s="10"/>
      <c r="M7" s="10"/>
      <c r="N7" s="10"/>
    </row>
    <row r="8" spans="2:15" x14ac:dyDescent="0.2">
      <c r="B8" s="10"/>
      <c r="D8" s="11">
        <v>1</v>
      </c>
      <c r="E8" s="11">
        <v>2</v>
      </c>
      <c r="F8" s="11"/>
      <c r="G8" s="11" t="s">
        <v>2</v>
      </c>
      <c r="H8" s="11"/>
      <c r="I8" s="11">
        <v>5</v>
      </c>
      <c r="J8" s="11">
        <v>6</v>
      </c>
      <c r="K8" s="11"/>
      <c r="L8" s="12" t="s">
        <v>3</v>
      </c>
      <c r="M8" s="10"/>
      <c r="N8" s="11">
        <f t="array" ref="N8:O9">D8:E9+I8:J9</f>
        <v>6</v>
      </c>
      <c r="O8" s="11">
        <v>8</v>
      </c>
    </row>
    <row r="9" spans="2:15" x14ac:dyDescent="0.2">
      <c r="B9" s="10"/>
      <c r="D9" s="11">
        <v>3</v>
      </c>
      <c r="E9" s="11">
        <v>4</v>
      </c>
      <c r="F9" s="11"/>
      <c r="G9" s="11"/>
      <c r="H9" s="11"/>
      <c r="I9" s="11">
        <v>7</v>
      </c>
      <c r="J9" s="11">
        <v>8</v>
      </c>
      <c r="K9" s="11"/>
      <c r="L9" s="11"/>
      <c r="M9" s="10"/>
      <c r="N9" s="11">
        <v>10</v>
      </c>
      <c r="O9" s="11">
        <v>12</v>
      </c>
    </row>
  </sheetData>
  <mergeCells count="2">
    <mergeCell ref="B6:F6"/>
    <mergeCell ref="B1:C1"/>
  </mergeCells>
  <hyperlinks>
    <hyperlink ref="B6:F6" location="TOC!A1" display="Go to TOC" xr:uid="{00000000-0004-0000-1F00-000000000000}"/>
  </hyperlink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7"/>
  <dimension ref="B1:O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8" width="10.140625" style="4" bestFit="1" customWidth="1"/>
    <col min="9" max="12" width="9.140625" style="4"/>
    <col min="13" max="15" width="3.7109375" style="4" customWidth="1"/>
    <col min="16" max="16384" width="9.140625" style="4"/>
  </cols>
  <sheetData>
    <row r="1" spans="2:15" s="9" customFormat="1" x14ac:dyDescent="0.2">
      <c r="B1" s="386" t="s">
        <v>1047</v>
      </c>
      <c r="C1" s="386"/>
      <c r="D1" s="263" t="s">
        <v>618</v>
      </c>
    </row>
    <row r="2" spans="2:15" x14ac:dyDescent="0.2">
      <c r="B2" s="263" t="s">
        <v>1124</v>
      </c>
      <c r="C2" s="263"/>
      <c r="D2" s="337" t="str">
        <f>VLOOKUP(D$1,TabelContent[],COLUMN(TabelContent[Titel-EN]))</f>
        <v>Failures per district</v>
      </c>
    </row>
    <row r="3" spans="2:15" x14ac:dyDescent="0.2">
      <c r="B3" s="263" t="s">
        <v>1125</v>
      </c>
      <c r="C3" s="263"/>
      <c r="D3" s="337" t="str">
        <f>VLOOKUP(D$1,TabelContent[],COLUMN(TabelContent[Cat-EN]))</f>
        <v>Array formula</v>
      </c>
    </row>
    <row r="4" spans="2:15" x14ac:dyDescent="0.2">
      <c r="B4" s="263" t="s">
        <v>1126</v>
      </c>
      <c r="C4" s="263"/>
      <c r="D4" s="337">
        <f>VLOOKUP(D$1,TabelContent[],COLUMN(TabelContent[Niveau]))</f>
        <v>3</v>
      </c>
    </row>
    <row r="5" spans="2:15" x14ac:dyDescent="0.2">
      <c r="B5" s="10"/>
      <c r="C5" s="10"/>
      <c r="D5" s="10"/>
      <c r="E5" s="10"/>
    </row>
    <row r="6" spans="2:15" x14ac:dyDescent="0.2">
      <c r="B6" s="387" t="s">
        <v>1132</v>
      </c>
      <c r="C6" s="387"/>
      <c r="D6" s="387"/>
      <c r="E6" s="387"/>
    </row>
    <row r="7" spans="2:15" x14ac:dyDescent="0.2">
      <c r="B7" s="10"/>
      <c r="C7" s="10"/>
      <c r="D7" s="10"/>
      <c r="E7" s="10"/>
    </row>
    <row r="8" spans="2:15" x14ac:dyDescent="0.2">
      <c r="D8" s="1" t="s">
        <v>828</v>
      </c>
      <c r="E8" s="1" t="s">
        <v>480</v>
      </c>
      <c r="F8" s="64" t="s">
        <v>481</v>
      </c>
      <c r="G8" s="64" t="s">
        <v>482</v>
      </c>
      <c r="H8" s="64" t="s">
        <v>827</v>
      </c>
    </row>
    <row r="9" spans="2:15" x14ac:dyDescent="0.2">
      <c r="D9" s="2">
        <v>40545</v>
      </c>
      <c r="E9" s="4" t="s">
        <v>684</v>
      </c>
      <c r="F9" s="3">
        <v>1</v>
      </c>
      <c r="G9" s="3">
        <v>1</v>
      </c>
      <c r="H9" s="3">
        <v>1</v>
      </c>
      <c r="K9" s="4" t="b">
        <f t="array" ref="K9:K18">E9:E18=E23</f>
        <v>1</v>
      </c>
      <c r="M9" s="234">
        <f t="array" ref="M9:O18">K9:K18*F9:H18</f>
        <v>1</v>
      </c>
      <c r="N9" s="234">
        <v>1</v>
      </c>
      <c r="O9" s="234">
        <v>1</v>
      </c>
    </row>
    <row r="10" spans="2:15" x14ac:dyDescent="0.2">
      <c r="D10" s="2">
        <v>40578</v>
      </c>
      <c r="E10" s="4" t="s">
        <v>449</v>
      </c>
      <c r="F10" s="3">
        <v>2</v>
      </c>
      <c r="G10" s="3">
        <v>4</v>
      </c>
      <c r="H10" s="3">
        <v>3</v>
      </c>
      <c r="K10" s="4" t="b">
        <v>0</v>
      </c>
      <c r="M10" s="234">
        <v>0</v>
      </c>
      <c r="N10" s="234">
        <v>0</v>
      </c>
      <c r="O10" s="234">
        <v>0</v>
      </c>
    </row>
    <row r="11" spans="2:15" x14ac:dyDescent="0.2">
      <c r="D11" s="2">
        <v>40579</v>
      </c>
      <c r="E11" s="4" t="s">
        <v>688</v>
      </c>
      <c r="F11" s="3">
        <v>3</v>
      </c>
      <c r="G11" s="3">
        <v>1</v>
      </c>
      <c r="H11" s="3">
        <v>7</v>
      </c>
      <c r="K11" s="4" t="b">
        <v>0</v>
      </c>
      <c r="M11" s="234">
        <v>0</v>
      </c>
      <c r="N11" s="234">
        <v>0</v>
      </c>
      <c r="O11" s="234">
        <v>0</v>
      </c>
    </row>
    <row r="12" spans="2:15" x14ac:dyDescent="0.2">
      <c r="D12" s="2">
        <v>40582</v>
      </c>
      <c r="E12" s="4" t="s">
        <v>686</v>
      </c>
      <c r="F12" s="3">
        <v>2</v>
      </c>
      <c r="G12" s="3">
        <v>4</v>
      </c>
      <c r="H12" s="3">
        <v>7</v>
      </c>
      <c r="K12" s="4" t="b">
        <v>0</v>
      </c>
      <c r="M12" s="234">
        <v>0</v>
      </c>
      <c r="N12" s="234">
        <v>0</v>
      </c>
      <c r="O12" s="234">
        <v>0</v>
      </c>
    </row>
    <row r="13" spans="2:15" x14ac:dyDescent="0.2">
      <c r="D13" s="2">
        <v>40586</v>
      </c>
      <c r="E13" s="4" t="s">
        <v>686</v>
      </c>
      <c r="F13" s="3">
        <v>4</v>
      </c>
      <c r="G13" s="3">
        <v>7</v>
      </c>
      <c r="H13" s="3">
        <v>3</v>
      </c>
      <c r="K13" s="4" t="b">
        <v>0</v>
      </c>
      <c r="M13" s="234">
        <v>0</v>
      </c>
      <c r="N13" s="234">
        <v>0</v>
      </c>
      <c r="O13" s="234">
        <v>0</v>
      </c>
    </row>
    <row r="14" spans="2:15" x14ac:dyDescent="0.2">
      <c r="D14" s="2">
        <v>40586</v>
      </c>
      <c r="E14" s="4" t="s">
        <v>449</v>
      </c>
      <c r="F14" s="3">
        <v>2</v>
      </c>
      <c r="G14" s="3">
        <v>1</v>
      </c>
      <c r="H14" s="3">
        <v>3</v>
      </c>
      <c r="K14" s="4" t="b">
        <v>0</v>
      </c>
      <c r="M14" s="234">
        <v>0</v>
      </c>
      <c r="N14" s="234">
        <v>0</v>
      </c>
      <c r="O14" s="234">
        <v>0</v>
      </c>
    </row>
    <row r="15" spans="2:15" x14ac:dyDescent="0.2">
      <c r="D15" s="2">
        <v>40588</v>
      </c>
      <c r="E15" s="4" t="s">
        <v>684</v>
      </c>
      <c r="F15" s="3">
        <v>4</v>
      </c>
      <c r="G15" s="3">
        <v>2</v>
      </c>
      <c r="H15" s="3">
        <v>1</v>
      </c>
      <c r="K15" s="4" t="b">
        <v>1</v>
      </c>
      <c r="M15" s="234">
        <v>4</v>
      </c>
      <c r="N15" s="234">
        <v>2</v>
      </c>
      <c r="O15" s="234">
        <v>1</v>
      </c>
    </row>
    <row r="16" spans="2:15" x14ac:dyDescent="0.2">
      <c r="D16" s="2">
        <v>40591</v>
      </c>
      <c r="E16" s="4" t="s">
        <v>688</v>
      </c>
      <c r="F16" s="3">
        <v>3</v>
      </c>
      <c r="G16" s="3">
        <v>2</v>
      </c>
      <c r="H16" s="3">
        <v>5</v>
      </c>
      <c r="K16" s="4" t="b">
        <v>0</v>
      </c>
      <c r="M16" s="234">
        <v>0</v>
      </c>
      <c r="N16" s="234">
        <v>0</v>
      </c>
      <c r="O16" s="234">
        <v>0</v>
      </c>
    </row>
    <row r="17" spans="4:15" x14ac:dyDescent="0.2">
      <c r="D17" s="2">
        <v>40592</v>
      </c>
      <c r="E17" s="4" t="s">
        <v>684</v>
      </c>
      <c r="F17" s="3">
        <v>1</v>
      </c>
      <c r="G17" s="3">
        <v>4</v>
      </c>
      <c r="H17" s="3">
        <v>6</v>
      </c>
      <c r="K17" s="4" t="b">
        <v>1</v>
      </c>
      <c r="M17" s="234">
        <v>1</v>
      </c>
      <c r="N17" s="234">
        <v>4</v>
      </c>
      <c r="O17" s="234">
        <v>6</v>
      </c>
    </row>
    <row r="18" spans="4:15" x14ac:dyDescent="0.2">
      <c r="D18" s="2">
        <v>40595</v>
      </c>
      <c r="E18" s="4" t="s">
        <v>688</v>
      </c>
      <c r="F18" s="3">
        <v>1</v>
      </c>
      <c r="G18" s="3">
        <v>1</v>
      </c>
      <c r="H18" s="3">
        <v>1</v>
      </c>
      <c r="K18" s="4" t="b">
        <v>0</v>
      </c>
      <c r="M18" s="234">
        <v>0</v>
      </c>
      <c r="N18" s="234">
        <v>0</v>
      </c>
      <c r="O18" s="234">
        <v>0</v>
      </c>
    </row>
    <row r="21" spans="4:15" x14ac:dyDescent="0.2">
      <c r="D21" s="1" t="s">
        <v>825</v>
      </c>
    </row>
    <row r="22" spans="4:15" x14ac:dyDescent="0.2">
      <c r="E22" s="1" t="s">
        <v>480</v>
      </c>
      <c r="F22" s="1" t="s">
        <v>826</v>
      </c>
    </row>
    <row r="23" spans="4:15" x14ac:dyDescent="0.2">
      <c r="E23" s="4" t="s">
        <v>684</v>
      </c>
      <c r="F23" s="4">
        <f t="array" ref="F23">SUM(($E$9:$E$18=E23)*($F$9:$H$18))</f>
        <v>21</v>
      </c>
    </row>
    <row r="24" spans="4:15" x14ac:dyDescent="0.2">
      <c r="E24" s="4" t="s">
        <v>686</v>
      </c>
      <c r="F24" s="4">
        <f t="array" ref="F24">SUM(($E$9:$E$18=E24)*($F$9:$H$18))</f>
        <v>27</v>
      </c>
    </row>
    <row r="25" spans="4:15" x14ac:dyDescent="0.2">
      <c r="E25" s="4" t="s">
        <v>688</v>
      </c>
      <c r="F25" s="4">
        <f t="array" ref="F25">SUM(($E$9:$E$18=E25)*($F$9:$H$18))</f>
        <v>24</v>
      </c>
    </row>
    <row r="26" spans="4:15" x14ac:dyDescent="0.2">
      <c r="E26" s="4" t="s">
        <v>449</v>
      </c>
      <c r="F26" s="4">
        <f t="array" ref="F26">SUM(($E$9:$E$18=E26)*($F$9:$H$18))</f>
        <v>15</v>
      </c>
    </row>
  </sheetData>
  <mergeCells count="2">
    <mergeCell ref="B6:E6"/>
    <mergeCell ref="B1:C1"/>
  </mergeCells>
  <hyperlinks>
    <hyperlink ref="B6:D6" location="sjabloon!A1" display="Ga naar Inhoudsopgave" xr:uid="{00000000-0004-0000-2000-000000000000}"/>
    <hyperlink ref="B6:E6" location="TOC!A1" display="Go to TOC" xr:uid="{00000000-0004-0000-2000-000001000000}"/>
  </hyperlinks>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2B5B8-8E73-443D-964C-67394BE441DE}">
  <dimension ref="A1:F12"/>
  <sheetViews>
    <sheetView workbookViewId="0">
      <selection activeCell="B6" sqref="B6"/>
    </sheetView>
  </sheetViews>
  <sheetFormatPr defaultRowHeight="15" x14ac:dyDescent="0.25"/>
  <cols>
    <col min="1" max="1" width="18.42578125" style="411" bestFit="1" customWidth="1"/>
    <col min="2" max="16384" width="9.140625" style="411"/>
  </cols>
  <sheetData>
    <row r="1" spans="1:6" x14ac:dyDescent="0.25">
      <c r="A1" s="411" t="s">
        <v>1315</v>
      </c>
      <c r="B1" s="411">
        <v>6</v>
      </c>
    </row>
    <row r="2" spans="1:6" x14ac:dyDescent="0.25">
      <c r="A2" s="411" t="s">
        <v>1316</v>
      </c>
      <c r="B2" s="411">
        <v>5</v>
      </c>
    </row>
    <row r="3" spans="1:6" x14ac:dyDescent="0.25">
      <c r="A3" s="411" t="s">
        <v>1317</v>
      </c>
      <c r="B3" s="411">
        <v>1</v>
      </c>
    </row>
    <row r="4" spans="1:6" x14ac:dyDescent="0.25">
      <c r="A4" s="411" t="s">
        <v>1318</v>
      </c>
      <c r="B4" s="411">
        <v>9</v>
      </c>
    </row>
    <row r="6" spans="1:6" x14ac:dyDescent="0.25">
      <c r="A6" s="411" t="s">
        <v>839</v>
      </c>
      <c r="B6" s="411">
        <f ca="1">AVERAGE(_xlfn.ANCHORARRAY(B7))</f>
        <v>5.5666666666666664</v>
      </c>
    </row>
    <row r="7" spans="1:6" x14ac:dyDescent="0.25">
      <c r="B7" s="411" cm="1">
        <f t="array" aca="1" ref="B7:F12" ca="1">_xlfn.RANDARRAY(B1,B2,B3,B4,TRUE)</f>
        <v>6</v>
      </c>
      <c r="C7" s="411">
        <f ca="1"/>
        <v>1</v>
      </c>
      <c r="D7" s="411">
        <f ca="1"/>
        <v>3</v>
      </c>
      <c r="E7" s="411">
        <f ca="1"/>
        <v>6</v>
      </c>
      <c r="F7" s="411">
        <f ca="1"/>
        <v>8</v>
      </c>
    </row>
    <row r="8" spans="1:6" x14ac:dyDescent="0.25">
      <c r="B8" s="411">
        <f ca="1"/>
        <v>9</v>
      </c>
      <c r="C8" s="411">
        <f ca="1"/>
        <v>3</v>
      </c>
      <c r="D8" s="411">
        <f ca="1"/>
        <v>7</v>
      </c>
      <c r="E8" s="411">
        <f ca="1"/>
        <v>7</v>
      </c>
      <c r="F8" s="411">
        <f ca="1"/>
        <v>4</v>
      </c>
    </row>
    <row r="9" spans="1:6" x14ac:dyDescent="0.25">
      <c r="B9" s="411">
        <f ca="1"/>
        <v>6</v>
      </c>
      <c r="C9" s="411">
        <f ca="1"/>
        <v>4</v>
      </c>
      <c r="D9" s="411">
        <f ca="1"/>
        <v>7</v>
      </c>
      <c r="E9" s="411">
        <f ca="1"/>
        <v>2</v>
      </c>
      <c r="F9" s="411">
        <f ca="1"/>
        <v>6</v>
      </c>
    </row>
    <row r="10" spans="1:6" x14ac:dyDescent="0.25">
      <c r="B10" s="411">
        <f ca="1"/>
        <v>9</v>
      </c>
      <c r="C10" s="411">
        <f ca="1"/>
        <v>6</v>
      </c>
      <c r="D10" s="411">
        <f ca="1"/>
        <v>6</v>
      </c>
      <c r="E10" s="411">
        <f ca="1"/>
        <v>4</v>
      </c>
      <c r="F10" s="411">
        <f ca="1"/>
        <v>8</v>
      </c>
    </row>
    <row r="11" spans="1:6" x14ac:dyDescent="0.25">
      <c r="B11" s="411">
        <f ca="1"/>
        <v>4</v>
      </c>
      <c r="C11" s="411">
        <f ca="1"/>
        <v>8</v>
      </c>
      <c r="D11" s="411">
        <f ca="1"/>
        <v>4</v>
      </c>
      <c r="E11" s="411">
        <f ca="1"/>
        <v>5</v>
      </c>
      <c r="F11" s="411">
        <f ca="1"/>
        <v>6</v>
      </c>
    </row>
    <row r="12" spans="1:6" x14ac:dyDescent="0.25">
      <c r="B12" s="411">
        <f ca="1"/>
        <v>6</v>
      </c>
      <c r="C12" s="411">
        <f ca="1"/>
        <v>1</v>
      </c>
      <c r="D12" s="411">
        <f ca="1"/>
        <v>8</v>
      </c>
      <c r="E12" s="411">
        <f ca="1"/>
        <v>5</v>
      </c>
      <c r="F12" s="411">
        <f ca="1"/>
        <v>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8542F-D8A0-46C2-9E44-BE08681A74B6}">
  <dimension ref="A1:E14"/>
  <sheetViews>
    <sheetView workbookViewId="0">
      <selection activeCell="D27" sqref="D27"/>
    </sheetView>
  </sheetViews>
  <sheetFormatPr defaultRowHeight="15" x14ac:dyDescent="0.25"/>
  <cols>
    <col min="1" max="1" width="15.7109375" style="411" bestFit="1" customWidth="1"/>
    <col min="2" max="2" width="10.42578125" style="411" bestFit="1" customWidth="1"/>
    <col min="3" max="3" width="9.140625" style="411"/>
    <col min="4" max="4" width="15.85546875" style="411" bestFit="1" customWidth="1"/>
    <col min="5" max="16384" width="9.140625" style="411"/>
  </cols>
  <sheetData>
    <row r="1" spans="1:5" x14ac:dyDescent="0.25">
      <c r="A1" s="411" t="s">
        <v>1319</v>
      </c>
      <c r="B1" s="412">
        <v>43466</v>
      </c>
      <c r="D1" s="411" t="s">
        <v>1320</v>
      </c>
      <c r="E1" s="413">
        <v>0.33333333333333331</v>
      </c>
    </row>
    <row r="2" spans="1:5" x14ac:dyDescent="0.25">
      <c r="A2" s="411" t="s">
        <v>1321</v>
      </c>
      <c r="B2" s="412">
        <v>44012</v>
      </c>
      <c r="D2" s="411" t="s">
        <v>1322</v>
      </c>
      <c r="E2" s="413">
        <v>0.70833333333333337</v>
      </c>
    </row>
    <row r="3" spans="1:5" x14ac:dyDescent="0.25">
      <c r="A3" s="411" t="s">
        <v>1323</v>
      </c>
      <c r="B3" s="411">
        <v>10</v>
      </c>
      <c r="D3" s="411" t="s">
        <v>1324</v>
      </c>
      <c r="E3" s="411">
        <v>10</v>
      </c>
    </row>
    <row r="5" spans="1:5" x14ac:dyDescent="0.25">
      <c r="B5" s="412" cm="1">
        <f t="array" aca="1" ref="B5:B14" ca="1">_xlfn.RANDARRAY(B3,1,B1,B2,TRUE)</f>
        <v>43872</v>
      </c>
      <c r="E5" s="413" cm="1">
        <f t="array" aca="1" ref="E5:E14" ca="1">_xlfn.RANDARRAY(E3,1,E1,E2,FALSE)</f>
        <v>0.52636244268542653</v>
      </c>
    </row>
    <row r="6" spans="1:5" x14ac:dyDescent="0.25">
      <c r="B6" s="412">
        <f ca="1"/>
        <v>43959</v>
      </c>
      <c r="E6" s="413">
        <f ca="1"/>
        <v>0.34950643475101995</v>
      </c>
    </row>
    <row r="7" spans="1:5" x14ac:dyDescent="0.25">
      <c r="B7" s="412">
        <f ca="1"/>
        <v>43925</v>
      </c>
      <c r="E7" s="413">
        <f ca="1"/>
        <v>0.3340820293337704</v>
      </c>
    </row>
    <row r="8" spans="1:5" x14ac:dyDescent="0.25">
      <c r="B8" s="412">
        <f ca="1"/>
        <v>43968</v>
      </c>
      <c r="E8" s="413">
        <f ca="1"/>
        <v>0.56620301420299002</v>
      </c>
    </row>
    <row r="9" spans="1:5" x14ac:dyDescent="0.25">
      <c r="B9" s="412">
        <f ca="1"/>
        <v>43853</v>
      </c>
      <c r="E9" s="413">
        <f ca="1"/>
        <v>0.504580567501833</v>
      </c>
    </row>
    <row r="10" spans="1:5" x14ac:dyDescent="0.25">
      <c r="B10" s="412">
        <f ca="1"/>
        <v>43567</v>
      </c>
      <c r="E10" s="413">
        <f ca="1"/>
        <v>0.61670494210866234</v>
      </c>
    </row>
    <row r="11" spans="1:5" x14ac:dyDescent="0.25">
      <c r="B11" s="412">
        <f ca="1"/>
        <v>43527</v>
      </c>
      <c r="E11" s="413">
        <f ca="1"/>
        <v>0.70136751334501501</v>
      </c>
    </row>
    <row r="12" spans="1:5" x14ac:dyDescent="0.25">
      <c r="B12" s="412">
        <f ca="1"/>
        <v>43920</v>
      </c>
      <c r="E12" s="413">
        <f ca="1"/>
        <v>0.38983952144904466</v>
      </c>
    </row>
    <row r="13" spans="1:5" x14ac:dyDescent="0.25">
      <c r="B13" s="412">
        <f ca="1"/>
        <v>43743</v>
      </c>
      <c r="E13" s="413">
        <f ca="1"/>
        <v>0.36540010411873947</v>
      </c>
    </row>
    <row r="14" spans="1:5" x14ac:dyDescent="0.25">
      <c r="B14" s="412">
        <f ca="1"/>
        <v>43569</v>
      </c>
      <c r="E14" s="413">
        <f ca="1"/>
        <v>0.48472809267950334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3A048-6CC8-4323-9581-FD22D3B14675}">
  <dimension ref="A1:M7"/>
  <sheetViews>
    <sheetView workbookViewId="0">
      <selection activeCell="L15" sqref="L15"/>
    </sheetView>
  </sheetViews>
  <sheetFormatPr defaultRowHeight="15" x14ac:dyDescent="0.25"/>
  <cols>
    <col min="1" max="1" width="16.7109375" style="417" customWidth="1"/>
    <col min="2" max="6" width="8.7109375" style="417" customWidth="1"/>
    <col min="7" max="7" width="9.140625" style="417"/>
    <col min="8" max="8" width="16.7109375" style="417" customWidth="1"/>
    <col min="9" max="13" width="8.7109375" style="417" customWidth="1"/>
    <col min="14" max="16384" width="9.140625" style="417"/>
  </cols>
  <sheetData>
    <row r="1" spans="1:13" x14ac:dyDescent="0.25">
      <c r="A1" s="414" t="s">
        <v>1325</v>
      </c>
      <c r="B1" s="415" t="s">
        <v>1326</v>
      </c>
      <c r="C1" s="416">
        <v>2000</v>
      </c>
      <c r="D1" s="416">
        <v>2005</v>
      </c>
      <c r="E1" s="416">
        <v>2010</v>
      </c>
      <c r="F1" s="416">
        <v>2015</v>
      </c>
      <c r="H1" s="414" t="s">
        <v>1325</v>
      </c>
      <c r="I1" s="415" t="s">
        <v>1326</v>
      </c>
      <c r="J1" s="417" cm="1">
        <f t="array" ref="J1:M7">_xlfn._xlws.SORT(C1:F7,1,-1,TRUE)</f>
        <v>2015</v>
      </c>
      <c r="K1" s="417">
        <v>2010</v>
      </c>
      <c r="L1" s="417">
        <v>2005</v>
      </c>
      <c r="M1" s="417">
        <v>2000</v>
      </c>
    </row>
    <row r="2" spans="1:13" x14ac:dyDescent="0.25">
      <c r="A2" s="414" t="s">
        <v>1327</v>
      </c>
      <c r="B2" s="414" t="s">
        <v>1328</v>
      </c>
      <c r="C2" s="418">
        <v>5247226</v>
      </c>
      <c r="D2" s="418">
        <v>5372650</v>
      </c>
      <c r="E2" s="418">
        <v>5566774</v>
      </c>
      <c r="F2" s="418">
        <v>5739297</v>
      </c>
      <c r="H2" s="414" t="s">
        <v>1327</v>
      </c>
      <c r="I2" s="414" t="s">
        <v>1328</v>
      </c>
      <c r="J2" s="417">
        <v>5739297</v>
      </c>
      <c r="K2" s="417">
        <v>5566774</v>
      </c>
      <c r="L2" s="417">
        <v>5372650</v>
      </c>
      <c r="M2" s="417">
        <v>5247226</v>
      </c>
    </row>
    <row r="3" spans="1:13" x14ac:dyDescent="0.25">
      <c r="A3" s="414" t="s">
        <v>1327</v>
      </c>
      <c r="B3" s="414" t="s">
        <v>1329</v>
      </c>
      <c r="C3" s="418">
        <v>5034820</v>
      </c>
      <c r="D3" s="418">
        <v>5174235</v>
      </c>
      <c r="E3" s="418">
        <v>5371961</v>
      </c>
      <c r="F3" s="418">
        <v>5548634</v>
      </c>
      <c r="H3" s="414" t="s">
        <v>1327</v>
      </c>
      <c r="I3" s="414" t="s">
        <v>1329</v>
      </c>
      <c r="J3" s="417">
        <v>5548634</v>
      </c>
      <c r="K3" s="417">
        <v>5371961</v>
      </c>
      <c r="L3" s="417">
        <v>5174235</v>
      </c>
      <c r="M3" s="417">
        <v>5034820</v>
      </c>
    </row>
    <row r="4" spans="1:13" x14ac:dyDescent="0.25">
      <c r="A4" s="414" t="s">
        <v>1330</v>
      </c>
      <c r="B4" s="414" t="s">
        <v>1328</v>
      </c>
      <c r="C4" s="418">
        <v>221319</v>
      </c>
      <c r="D4" s="418">
        <v>231913</v>
      </c>
      <c r="E4" s="418">
        <v>255593</v>
      </c>
      <c r="F4" s="418">
        <v>282300</v>
      </c>
      <c r="H4" s="414" t="s">
        <v>1330</v>
      </c>
      <c r="I4" s="414" t="s">
        <v>1328</v>
      </c>
      <c r="J4" s="417">
        <v>282300</v>
      </c>
      <c r="K4" s="417">
        <v>255593</v>
      </c>
      <c r="L4" s="417">
        <v>231913</v>
      </c>
      <c r="M4" s="417">
        <v>221319</v>
      </c>
    </row>
    <row r="5" spans="1:13" x14ac:dyDescent="0.25">
      <c r="A5" s="414" t="s">
        <v>1330</v>
      </c>
      <c r="B5" s="414" t="s">
        <v>1329</v>
      </c>
      <c r="C5" s="418">
        <v>214787</v>
      </c>
      <c r="D5" s="418">
        <v>225935</v>
      </c>
      <c r="E5" s="418">
        <v>252297</v>
      </c>
      <c r="F5" s="418">
        <v>284441</v>
      </c>
      <c r="H5" s="414" t="s">
        <v>1330</v>
      </c>
      <c r="I5" s="414" t="s">
        <v>1329</v>
      </c>
      <c r="J5" s="417">
        <v>284441</v>
      </c>
      <c r="K5" s="417">
        <v>252297</v>
      </c>
      <c r="L5" s="417">
        <v>225935</v>
      </c>
      <c r="M5" s="417">
        <v>214787</v>
      </c>
    </row>
    <row r="6" spans="1:13" x14ac:dyDescent="0.25">
      <c r="A6" s="414" t="s">
        <v>1331</v>
      </c>
      <c r="B6" s="414" t="s">
        <v>1328</v>
      </c>
      <c r="C6" s="418">
        <v>8037448</v>
      </c>
      <c r="D6" s="418">
        <v>8251078</v>
      </c>
      <c r="E6" s="418">
        <v>8398523</v>
      </c>
      <c r="F6" s="418">
        <v>8518105</v>
      </c>
      <c r="H6" s="414" t="s">
        <v>1331</v>
      </c>
      <c r="I6" s="414" t="s">
        <v>1328</v>
      </c>
      <c r="J6" s="417">
        <v>8518105</v>
      </c>
      <c r="K6" s="417">
        <v>8398523</v>
      </c>
      <c r="L6" s="417">
        <v>8251078</v>
      </c>
      <c r="M6" s="417">
        <v>8037448</v>
      </c>
    </row>
    <row r="7" spans="1:13" x14ac:dyDescent="0.25">
      <c r="A7" s="414" t="s">
        <v>1331</v>
      </c>
      <c r="B7" s="414" t="s">
        <v>1329</v>
      </c>
      <c r="C7" s="418">
        <v>7888740</v>
      </c>
      <c r="D7" s="418">
        <v>8116075</v>
      </c>
      <c r="E7" s="418">
        <v>8284404</v>
      </c>
      <c r="F7" s="418">
        <v>8420387</v>
      </c>
      <c r="H7" s="414" t="s">
        <v>1331</v>
      </c>
      <c r="I7" s="414" t="s">
        <v>1329</v>
      </c>
      <c r="J7" s="417">
        <v>8420387</v>
      </c>
      <c r="K7" s="417">
        <v>8284404</v>
      </c>
      <c r="L7" s="417">
        <v>8116075</v>
      </c>
      <c r="M7" s="417">
        <v>7888740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03144-3C6E-41D0-9884-C8E82899A211}">
  <dimension ref="A1:J10"/>
  <sheetViews>
    <sheetView tabSelected="1" workbookViewId="0">
      <selection activeCell="A12" sqref="A12"/>
    </sheetView>
  </sheetViews>
  <sheetFormatPr defaultRowHeight="15" x14ac:dyDescent="0.25"/>
  <cols>
    <col min="1" max="10" width="8.7109375" style="417" customWidth="1"/>
    <col min="11" max="16384" width="9.140625" style="417"/>
  </cols>
  <sheetData>
    <row r="1" spans="1:10" x14ac:dyDescent="0.25">
      <c r="A1" t="str" cm="1">
        <f t="array" ref="A1:J10">ROMAN(_xlfn.SEQUENCE(10,10))</f>
        <v>I</v>
      </c>
      <c r="B1" s="417" t="str">
        <v>II</v>
      </c>
      <c r="C1" s="417" t="str">
        <v>III</v>
      </c>
      <c r="D1" s="417" t="str">
        <v>IV</v>
      </c>
      <c r="E1" s="417" t="str">
        <v>V</v>
      </c>
      <c r="F1" s="417" t="str">
        <v>VI</v>
      </c>
      <c r="G1" s="417" t="str">
        <v>VII</v>
      </c>
      <c r="H1" s="417" t="str">
        <v>VIII</v>
      </c>
      <c r="I1" s="417" t="str">
        <v>IX</v>
      </c>
      <c r="J1" s="417" t="str">
        <v>X</v>
      </c>
    </row>
    <row r="2" spans="1:10" x14ac:dyDescent="0.25">
      <c r="A2" s="417" t="str">
        <v>XI</v>
      </c>
      <c r="B2" s="417" t="str">
        <v>XII</v>
      </c>
      <c r="C2" s="417" t="str">
        <v>XIII</v>
      </c>
      <c r="D2" s="417" t="str">
        <v>XIV</v>
      </c>
      <c r="E2" s="417" t="str">
        <v>XV</v>
      </c>
      <c r="F2" s="417" t="str">
        <v>XVI</v>
      </c>
      <c r="G2" s="417" t="str">
        <v>XVII</v>
      </c>
      <c r="H2" s="417" t="str">
        <v>XVIII</v>
      </c>
      <c r="I2" s="417" t="str">
        <v>XIX</v>
      </c>
      <c r="J2" s="417" t="str">
        <v>XX</v>
      </c>
    </row>
    <row r="3" spans="1:10" x14ac:dyDescent="0.25">
      <c r="A3" s="417" t="str">
        <v>XXI</v>
      </c>
      <c r="B3" s="417" t="str">
        <v>XXII</v>
      </c>
      <c r="C3" s="417" t="str">
        <v>XXIII</v>
      </c>
      <c r="D3" s="417" t="str">
        <v>XXIV</v>
      </c>
      <c r="E3" s="417" t="str">
        <v>XXV</v>
      </c>
      <c r="F3" s="417" t="str">
        <v>XXVI</v>
      </c>
      <c r="G3" s="417" t="str">
        <v>XXVII</v>
      </c>
      <c r="H3" s="417" t="str">
        <v>XXVIII</v>
      </c>
      <c r="I3" s="417" t="str">
        <v>XXIX</v>
      </c>
      <c r="J3" s="417" t="str">
        <v>XXX</v>
      </c>
    </row>
    <row r="4" spans="1:10" x14ac:dyDescent="0.25">
      <c r="A4" s="417" t="str">
        <v>XXXI</v>
      </c>
      <c r="B4" s="417" t="str">
        <v>XXXII</v>
      </c>
      <c r="C4" s="417" t="str">
        <v>XXXIII</v>
      </c>
      <c r="D4" s="417" t="str">
        <v>XXXIV</v>
      </c>
      <c r="E4" s="417" t="str">
        <v>XXXV</v>
      </c>
      <c r="F4" s="417" t="str">
        <v>XXXVI</v>
      </c>
      <c r="G4" s="417" t="str">
        <v>XXXVII</v>
      </c>
      <c r="H4" s="417" t="str">
        <v>XXXVIII</v>
      </c>
      <c r="I4" s="417" t="str">
        <v>XXXIX</v>
      </c>
      <c r="J4" s="417" t="str">
        <v>XL</v>
      </c>
    </row>
    <row r="5" spans="1:10" x14ac:dyDescent="0.25">
      <c r="A5" s="417" t="str">
        <v>XLI</v>
      </c>
      <c r="B5" s="417" t="str">
        <v>XLII</v>
      </c>
      <c r="C5" s="417" t="str">
        <v>XLIII</v>
      </c>
      <c r="D5" s="417" t="str">
        <v>XLIV</v>
      </c>
      <c r="E5" s="417" t="str">
        <v>XLV</v>
      </c>
      <c r="F5" s="417" t="str">
        <v>XLVI</v>
      </c>
      <c r="G5" s="417" t="str">
        <v>XLVII</v>
      </c>
      <c r="H5" s="417" t="str">
        <v>XLVIII</v>
      </c>
      <c r="I5" s="417" t="str">
        <v>XLIX</v>
      </c>
      <c r="J5" s="417" t="str">
        <v>L</v>
      </c>
    </row>
    <row r="6" spans="1:10" x14ac:dyDescent="0.25">
      <c r="A6" s="417" t="str">
        <v>LI</v>
      </c>
      <c r="B6" s="417" t="str">
        <v>LII</v>
      </c>
      <c r="C6" s="417" t="str">
        <v>LIII</v>
      </c>
      <c r="D6" s="417" t="str">
        <v>LIV</v>
      </c>
      <c r="E6" s="417" t="str">
        <v>LV</v>
      </c>
      <c r="F6" s="417" t="str">
        <v>LVI</v>
      </c>
      <c r="G6" s="417" t="str">
        <v>LVII</v>
      </c>
      <c r="H6" s="417" t="str">
        <v>LVIII</v>
      </c>
      <c r="I6" s="417" t="str">
        <v>LIX</v>
      </c>
      <c r="J6" s="417" t="str">
        <v>LX</v>
      </c>
    </row>
    <row r="7" spans="1:10" x14ac:dyDescent="0.25">
      <c r="A7" s="417" t="str">
        <v>LXI</v>
      </c>
      <c r="B7" s="417" t="str">
        <v>LXII</v>
      </c>
      <c r="C7" s="417" t="str">
        <v>LXIII</v>
      </c>
      <c r="D7" s="417" t="str">
        <v>LXIV</v>
      </c>
      <c r="E7" s="417" t="str">
        <v>LXV</v>
      </c>
      <c r="F7" s="417" t="str">
        <v>LXVI</v>
      </c>
      <c r="G7" s="417" t="str">
        <v>LXVII</v>
      </c>
      <c r="H7" s="417" t="str">
        <v>LXVIII</v>
      </c>
      <c r="I7" s="417" t="str">
        <v>LXIX</v>
      </c>
      <c r="J7" s="417" t="str">
        <v>LXX</v>
      </c>
    </row>
    <row r="8" spans="1:10" x14ac:dyDescent="0.25">
      <c r="A8" s="417" t="str">
        <v>LXXI</v>
      </c>
      <c r="B8" s="417" t="str">
        <v>LXXII</v>
      </c>
      <c r="C8" s="417" t="str">
        <v>LXXIII</v>
      </c>
      <c r="D8" s="417" t="str">
        <v>LXXIV</v>
      </c>
      <c r="E8" s="417" t="str">
        <v>LXXV</v>
      </c>
      <c r="F8" s="417" t="str">
        <v>LXXVI</v>
      </c>
      <c r="G8" s="417" t="str">
        <v>LXXVII</v>
      </c>
      <c r="H8" s="417" t="str">
        <v>LXXVIII</v>
      </c>
      <c r="I8" s="417" t="str">
        <v>LXXIX</v>
      </c>
      <c r="J8" s="417" t="str">
        <v>LXXX</v>
      </c>
    </row>
    <row r="9" spans="1:10" x14ac:dyDescent="0.25">
      <c r="A9" s="417" t="str">
        <v>LXXXI</v>
      </c>
      <c r="B9" s="417" t="str">
        <v>LXXXII</v>
      </c>
      <c r="C9" s="417" t="str">
        <v>LXXXIII</v>
      </c>
      <c r="D9" s="417" t="str">
        <v>LXXXIV</v>
      </c>
      <c r="E9" s="417" t="str">
        <v>LXXXV</v>
      </c>
      <c r="F9" s="417" t="str">
        <v>LXXXVI</v>
      </c>
      <c r="G9" s="417" t="str">
        <v>LXXXVII</v>
      </c>
      <c r="H9" s="417" t="str">
        <v>LXXXVIII</v>
      </c>
      <c r="I9" s="417" t="str">
        <v>LXXXIX</v>
      </c>
      <c r="J9" s="417" t="str">
        <v>XC</v>
      </c>
    </row>
    <row r="10" spans="1:10" x14ac:dyDescent="0.25">
      <c r="A10" s="417" t="str">
        <v>XCI</v>
      </c>
      <c r="B10" s="417" t="str">
        <v>XCII</v>
      </c>
      <c r="C10" s="417" t="str">
        <v>XCIII</v>
      </c>
      <c r="D10" s="417" t="str">
        <v>XCIV</v>
      </c>
      <c r="E10" s="417" t="str">
        <v>XCV</v>
      </c>
      <c r="F10" s="417" t="str">
        <v>XCVI</v>
      </c>
      <c r="G10" s="417" t="str">
        <v>XCVII</v>
      </c>
      <c r="H10" s="417" t="str">
        <v>XCVIII</v>
      </c>
      <c r="I10" s="417" t="str">
        <v>XCIX</v>
      </c>
      <c r="J10" s="417" t="str">
        <v>C</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8"/>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8.28515625" style="4" bestFit="1" customWidth="1"/>
    <col min="12" max="12" width="6.7109375" style="4" bestFit="1" customWidth="1"/>
    <col min="13" max="16384" width="9.140625" style="4"/>
  </cols>
  <sheetData>
    <row r="1" spans="2:12" s="9" customFormat="1" x14ac:dyDescent="0.2">
      <c r="B1" s="386" t="s">
        <v>1047</v>
      </c>
      <c r="C1" s="386"/>
      <c r="D1" s="263" t="s">
        <v>621</v>
      </c>
    </row>
    <row r="2" spans="2:12" x14ac:dyDescent="0.2">
      <c r="B2" s="263" t="s">
        <v>1124</v>
      </c>
      <c r="C2" s="263"/>
      <c r="D2" s="337" t="str">
        <f>VLOOKUP(D$1,TabelContent[],COLUMN(TabelContent[Titel-EN]))</f>
        <v>Height and weight</v>
      </c>
    </row>
    <row r="3" spans="2:12" x14ac:dyDescent="0.2">
      <c r="B3" s="263" t="s">
        <v>1125</v>
      </c>
      <c r="C3" s="263"/>
      <c r="D3" s="337" t="str">
        <f>VLOOKUP(D$1,TabelContent[],COLUMN(TabelContent[Cat-EN]))</f>
        <v>Data analysis</v>
      </c>
    </row>
    <row r="4" spans="2:12" x14ac:dyDescent="0.2">
      <c r="B4" s="263" t="s">
        <v>1126</v>
      </c>
      <c r="C4" s="263"/>
      <c r="D4" s="337">
        <f>VLOOKUP(D$1,TabelContent[],COLUMN(TabelContent[Niveau]))</f>
        <v>2</v>
      </c>
    </row>
    <row r="5" spans="2:12" x14ac:dyDescent="0.2">
      <c r="B5" s="10"/>
      <c r="C5" s="10"/>
      <c r="D5" s="10"/>
      <c r="E5" s="10"/>
    </row>
    <row r="6" spans="2:12" x14ac:dyDescent="0.2">
      <c r="B6" s="387" t="s">
        <v>1132</v>
      </c>
      <c r="C6" s="387"/>
      <c r="D6" s="387"/>
      <c r="E6" s="387"/>
    </row>
    <row r="7" spans="2:12" x14ac:dyDescent="0.2">
      <c r="B7" s="10"/>
      <c r="C7" s="10"/>
      <c r="D7" s="10"/>
      <c r="E7" s="10"/>
    </row>
    <row r="8" spans="2:12" x14ac:dyDescent="0.2">
      <c r="B8" s="10"/>
      <c r="D8" s="193" t="s">
        <v>980</v>
      </c>
      <c r="E8" s="193">
        <v>118</v>
      </c>
      <c r="F8" s="194">
        <v>120</v>
      </c>
      <c r="G8" s="194">
        <v>122</v>
      </c>
      <c r="H8" s="194">
        <v>124</v>
      </c>
      <c r="I8" s="194">
        <v>126</v>
      </c>
      <c r="K8" s="4" t="s">
        <v>982</v>
      </c>
      <c r="L8" s="4">
        <f>SLOPE(E9:I9,E8:I8)</f>
        <v>1.65</v>
      </c>
    </row>
    <row r="9" spans="2:12" x14ac:dyDescent="0.2">
      <c r="B9" s="10"/>
      <c r="D9" s="193" t="s">
        <v>981</v>
      </c>
      <c r="E9" s="193">
        <v>41</v>
      </c>
      <c r="F9" s="194">
        <v>46</v>
      </c>
      <c r="G9" s="194">
        <v>45</v>
      </c>
      <c r="H9" s="194">
        <v>55</v>
      </c>
      <c r="I9" s="194">
        <v>53</v>
      </c>
      <c r="K9" s="195" t="s">
        <v>983</v>
      </c>
      <c r="L9" s="4">
        <f>INTERCEPT(E9:I9,E8:I8)</f>
        <v>-153.29999999999998</v>
      </c>
    </row>
  </sheetData>
  <mergeCells count="2">
    <mergeCell ref="B6:E6"/>
    <mergeCell ref="B1:C1"/>
  </mergeCells>
  <hyperlinks>
    <hyperlink ref="B6:D6" location="sjabloon!A1" display="Ga naar Inhoudsopgave" xr:uid="{00000000-0004-0000-2100-000000000000}"/>
    <hyperlink ref="B6:E6" location="TOC!A1" display="Go to TOC" xr:uid="{00000000-0004-0000-2100-000001000000}"/>
  </hyperlinks>
  <pageMargins left="0.7" right="0.7" top="0.75" bottom="0.75" header="0.3" footer="0.3"/>
  <pageSetup paperSize="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9"/>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8.28515625" style="4" bestFit="1" customWidth="1"/>
    <col min="13" max="13" width="6.7109375" style="4" bestFit="1" customWidth="1"/>
    <col min="14" max="16384" width="9.140625" style="4"/>
  </cols>
  <sheetData>
    <row r="1" spans="2:13" s="9" customFormat="1" x14ac:dyDescent="0.2">
      <c r="B1" s="386" t="s">
        <v>1047</v>
      </c>
      <c r="C1" s="386"/>
      <c r="D1" s="263" t="s">
        <v>622</v>
      </c>
    </row>
    <row r="2" spans="2:13" x14ac:dyDescent="0.2">
      <c r="B2" s="263" t="s">
        <v>1124</v>
      </c>
      <c r="C2" s="263"/>
      <c r="D2" s="337" t="str">
        <f>VLOOKUP(D$1,TabelContent[],COLUMN(TabelContent[Titel-EN]))</f>
        <v>Study time and exam grade</v>
      </c>
    </row>
    <row r="3" spans="2:13" x14ac:dyDescent="0.2">
      <c r="B3" s="263" t="s">
        <v>1125</v>
      </c>
      <c r="C3" s="263"/>
      <c r="D3" s="337" t="str">
        <f>VLOOKUP(D$1,TabelContent[],COLUMN(TabelContent[Cat-EN]))</f>
        <v>Data analysis</v>
      </c>
    </row>
    <row r="4" spans="2:13" x14ac:dyDescent="0.2">
      <c r="B4" s="263" t="s">
        <v>1126</v>
      </c>
      <c r="C4" s="263"/>
      <c r="D4" s="337">
        <f>VLOOKUP(D$1,TabelContent[],COLUMN(TabelContent[Niveau]))</f>
        <v>2</v>
      </c>
    </row>
    <row r="5" spans="2:13" x14ac:dyDescent="0.2">
      <c r="B5" s="10"/>
      <c r="C5" s="10"/>
      <c r="D5" s="10"/>
      <c r="E5" s="10"/>
    </row>
    <row r="6" spans="2:13" x14ac:dyDescent="0.2">
      <c r="B6" s="387" t="s">
        <v>1132</v>
      </c>
      <c r="C6" s="387"/>
      <c r="D6" s="387"/>
      <c r="E6" s="387"/>
    </row>
    <row r="7" spans="2:13" x14ac:dyDescent="0.2">
      <c r="B7" s="10"/>
      <c r="C7" s="10"/>
      <c r="D7" s="10"/>
      <c r="E7" s="10"/>
    </row>
    <row r="8" spans="2:13" x14ac:dyDescent="0.2">
      <c r="B8" s="10"/>
      <c r="D8" s="193" t="s">
        <v>984</v>
      </c>
      <c r="E8" s="193">
        <v>8</v>
      </c>
      <c r="F8" s="194">
        <v>18</v>
      </c>
      <c r="G8" s="194">
        <v>20</v>
      </c>
      <c r="H8" s="194">
        <v>10</v>
      </c>
      <c r="I8" s="194">
        <v>12</v>
      </c>
      <c r="J8" s="194">
        <v>15</v>
      </c>
      <c r="L8" s="4" t="s">
        <v>982</v>
      </c>
      <c r="M8" s="4">
        <f>SLOPE(E9:J9,E8:J8)</f>
        <v>0.20382848392036751</v>
      </c>
    </row>
    <row r="9" spans="2:13" x14ac:dyDescent="0.2">
      <c r="B9" s="10"/>
      <c r="D9" s="193" t="s">
        <v>312</v>
      </c>
      <c r="E9" s="193">
        <v>5.5</v>
      </c>
      <c r="F9" s="194">
        <v>6.3</v>
      </c>
      <c r="G9" s="194">
        <v>7.8</v>
      </c>
      <c r="H9" s="194">
        <v>4.5</v>
      </c>
      <c r="I9" s="194">
        <v>6</v>
      </c>
      <c r="J9" s="194">
        <v>7</v>
      </c>
      <c r="L9" s="195" t="s">
        <v>983</v>
      </c>
      <c r="M9" s="4">
        <f>INTERCEPT(E9:J9,E8:J8)</f>
        <v>3.3637059724349161</v>
      </c>
    </row>
  </sheetData>
  <mergeCells count="2">
    <mergeCell ref="B6:E6"/>
    <mergeCell ref="B1:C1"/>
  </mergeCells>
  <hyperlinks>
    <hyperlink ref="B6:D6" location="sjabloon!A1" display="Ga naar Inhoudsopgave" xr:uid="{00000000-0004-0000-2200-000000000000}"/>
    <hyperlink ref="B6:E6" location="TOC!A1" display="Go to TOC" xr:uid="{00000000-0004-0000-2200-000001000000}"/>
  </hyperlinks>
  <pageMargins left="0.7" right="0.7" top="0.75" bottom="0.75" header="0.3" footer="0.3"/>
  <pageSetup paperSize="9"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0"/>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10.7109375" style="4" bestFit="1" customWidth="1"/>
    <col min="15" max="15" width="6.7109375" style="4" bestFit="1" customWidth="1"/>
    <col min="16" max="16384" width="9.140625" style="4"/>
  </cols>
  <sheetData>
    <row r="1" spans="2:15" s="9" customFormat="1" x14ac:dyDescent="0.2">
      <c r="B1" s="386" t="s">
        <v>1047</v>
      </c>
      <c r="C1" s="386"/>
      <c r="D1" s="263" t="s">
        <v>623</v>
      </c>
    </row>
    <row r="2" spans="2:15" x14ac:dyDescent="0.2">
      <c r="B2" s="263" t="s">
        <v>1124</v>
      </c>
      <c r="C2" s="263"/>
      <c r="D2" s="337" t="str">
        <f>VLOOKUP(D$1,TabelContent[],COLUMN(TabelContent[Titel-EN]))</f>
        <v>Shrinkage and temperature</v>
      </c>
    </row>
    <row r="3" spans="2:15" x14ac:dyDescent="0.2">
      <c r="B3" s="263" t="s">
        <v>1125</v>
      </c>
      <c r="C3" s="263"/>
      <c r="D3" s="337" t="str">
        <f>VLOOKUP(D$1,TabelContent[],COLUMN(TabelContent[Cat-EN]))</f>
        <v>Data analysis</v>
      </c>
    </row>
    <row r="4" spans="2:15" x14ac:dyDescent="0.2">
      <c r="B4" s="263" t="s">
        <v>1126</v>
      </c>
      <c r="C4" s="263"/>
      <c r="D4" s="337">
        <f>VLOOKUP(D$1,TabelContent[],COLUMN(TabelContent[Niveau]))</f>
        <v>2</v>
      </c>
    </row>
    <row r="5" spans="2:15" x14ac:dyDescent="0.2">
      <c r="B5" s="10"/>
      <c r="C5" s="10"/>
      <c r="D5" s="10"/>
      <c r="E5" s="10"/>
    </row>
    <row r="6" spans="2:15" x14ac:dyDescent="0.2">
      <c r="B6" s="387" t="s">
        <v>1132</v>
      </c>
      <c r="C6" s="387"/>
      <c r="D6" s="387"/>
      <c r="E6" s="387"/>
    </row>
    <row r="7" spans="2:15" x14ac:dyDescent="0.2">
      <c r="B7" s="10"/>
      <c r="C7" s="10"/>
      <c r="D7" s="10"/>
      <c r="E7" s="10"/>
    </row>
    <row r="8" spans="2:15" ht="14.25" x14ac:dyDescent="0.2">
      <c r="B8" s="10"/>
      <c r="D8" s="193" t="s">
        <v>619</v>
      </c>
      <c r="E8" s="193">
        <v>60</v>
      </c>
      <c r="F8" s="194">
        <v>70</v>
      </c>
      <c r="G8" s="194">
        <v>80</v>
      </c>
      <c r="H8" s="194">
        <v>90</v>
      </c>
      <c r="I8" s="194">
        <v>100</v>
      </c>
      <c r="J8" s="194">
        <v>75</v>
      </c>
      <c r="K8" s="194">
        <v>85</v>
      </c>
      <c r="L8" s="194">
        <v>100</v>
      </c>
      <c r="N8" s="4" t="s">
        <v>982</v>
      </c>
      <c r="O8" s="4">
        <f>SLOPE(E9:L9,E8:L8)</f>
        <v>7.964285714285714E-2</v>
      </c>
    </row>
    <row r="9" spans="2:15" x14ac:dyDescent="0.2">
      <c r="B9" s="10"/>
      <c r="D9" s="193" t="s">
        <v>985</v>
      </c>
      <c r="E9" s="193">
        <v>1.2</v>
      </c>
      <c r="F9" s="194">
        <v>1.9</v>
      </c>
      <c r="G9" s="194">
        <v>2.8</v>
      </c>
      <c r="H9" s="194">
        <v>3.8</v>
      </c>
      <c r="I9" s="194">
        <v>4.2</v>
      </c>
      <c r="J9" s="194">
        <v>2.6</v>
      </c>
      <c r="K9" s="194">
        <v>3.2</v>
      </c>
      <c r="L9" s="194">
        <v>4.5</v>
      </c>
      <c r="N9" s="195" t="s">
        <v>986</v>
      </c>
      <c r="O9" s="4">
        <f>INTERCEPT(E9:L9,E8:L8)</f>
        <v>-3.5455357142857138</v>
      </c>
    </row>
    <row r="12" spans="2:15" x14ac:dyDescent="0.2">
      <c r="D12" s="1" t="s">
        <v>987</v>
      </c>
    </row>
    <row r="13" spans="2:15" ht="14.25" x14ac:dyDescent="0.2">
      <c r="D13" s="195" t="s">
        <v>619</v>
      </c>
      <c r="E13" s="196">
        <v>65</v>
      </c>
    </row>
    <row r="14" spans="2:15" x14ac:dyDescent="0.2">
      <c r="D14" s="195" t="s">
        <v>985</v>
      </c>
      <c r="E14" s="197">
        <f>O8*E13+O9</f>
        <v>1.6312500000000001</v>
      </c>
    </row>
  </sheetData>
  <mergeCells count="2">
    <mergeCell ref="B6:E6"/>
    <mergeCell ref="B1:C1"/>
  </mergeCells>
  <hyperlinks>
    <hyperlink ref="B6:D6" location="sjabloon!A1" display="Ga naar Inhoudsopgave" xr:uid="{00000000-0004-0000-2300-000000000000}"/>
    <hyperlink ref="B6:E6" location="TOC!A1" display="Go to TOC" xr:uid="{00000000-0004-0000-2300-000001000000}"/>
  </hyperlinks>
  <pageMargins left="0.7" right="0.7" top="0.75" bottom="0.75" header="0.3" footer="0.3"/>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1"/>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10.7109375" style="4" bestFit="1" customWidth="1"/>
    <col min="14" max="14" width="6.7109375" style="4" bestFit="1" customWidth="1"/>
    <col min="15" max="16384" width="9.140625" style="4"/>
  </cols>
  <sheetData>
    <row r="1" spans="2:14" s="9" customFormat="1" x14ac:dyDescent="0.2">
      <c r="B1" s="386" t="s">
        <v>1047</v>
      </c>
      <c r="C1" s="386"/>
      <c r="D1" s="263" t="s">
        <v>624</v>
      </c>
    </row>
    <row r="2" spans="2:14" x14ac:dyDescent="0.2">
      <c r="B2" s="263" t="s">
        <v>1124</v>
      </c>
      <c r="C2" s="263"/>
      <c r="D2" s="337" t="str">
        <f>VLOOKUP(D$1,TabelContent[],COLUMN(TabelContent[Titel-EN]))</f>
        <v>Resistance and temperature</v>
      </c>
    </row>
    <row r="3" spans="2:14" x14ac:dyDescent="0.2">
      <c r="B3" s="263" t="s">
        <v>1125</v>
      </c>
      <c r="C3" s="263"/>
      <c r="D3" s="337" t="str">
        <f>VLOOKUP(D$1,TabelContent[],COLUMN(TabelContent[Cat-EN]))</f>
        <v>Data analysis</v>
      </c>
    </row>
    <row r="4" spans="2:14" x14ac:dyDescent="0.2">
      <c r="B4" s="263" t="s">
        <v>1126</v>
      </c>
      <c r="C4" s="263"/>
      <c r="D4" s="337">
        <f>VLOOKUP(D$1,TabelContent[],COLUMN(TabelContent[Niveau]))</f>
        <v>2</v>
      </c>
    </row>
    <row r="5" spans="2:14" x14ac:dyDescent="0.2">
      <c r="B5" s="10"/>
      <c r="C5" s="10"/>
      <c r="D5" s="10"/>
      <c r="E5" s="10"/>
    </row>
    <row r="6" spans="2:14" x14ac:dyDescent="0.2">
      <c r="B6" s="387" t="s">
        <v>1132</v>
      </c>
      <c r="C6" s="387"/>
      <c r="D6" s="387"/>
      <c r="E6" s="387"/>
    </row>
    <row r="7" spans="2:14" x14ac:dyDescent="0.2">
      <c r="B7" s="10"/>
      <c r="C7" s="10"/>
      <c r="D7" s="10"/>
      <c r="E7" s="10"/>
    </row>
    <row r="8" spans="2:14" ht="14.25" x14ac:dyDescent="0.2">
      <c r="B8" s="10"/>
      <c r="D8" s="193" t="s">
        <v>619</v>
      </c>
      <c r="E8" s="193">
        <v>-100</v>
      </c>
      <c r="F8" s="194">
        <v>-50</v>
      </c>
      <c r="G8" s="194">
        <v>0</v>
      </c>
      <c r="H8" s="194">
        <v>50</v>
      </c>
      <c r="I8" s="194">
        <v>100</v>
      </c>
      <c r="J8" s="194">
        <v>150</v>
      </c>
      <c r="K8" s="194">
        <v>200</v>
      </c>
      <c r="M8" s="4" t="s">
        <v>982</v>
      </c>
      <c r="N8" s="4">
        <f>SLOPE(E9:K9,E8:K8)</f>
        <v>7.857142857142857E-2</v>
      </c>
    </row>
    <row r="9" spans="2:14" x14ac:dyDescent="0.2">
      <c r="B9" s="10"/>
      <c r="D9" s="193" t="s">
        <v>988</v>
      </c>
      <c r="E9" s="193">
        <v>13</v>
      </c>
      <c r="F9" s="194">
        <v>18</v>
      </c>
      <c r="G9" s="194">
        <v>21</v>
      </c>
      <c r="H9" s="194">
        <v>25</v>
      </c>
      <c r="I9" s="194">
        <v>29</v>
      </c>
      <c r="J9" s="194">
        <v>33</v>
      </c>
      <c r="K9" s="194">
        <v>37</v>
      </c>
      <c r="M9" s="195" t="s">
        <v>986</v>
      </c>
      <c r="N9" s="4">
        <f>INTERCEPT(E9:K9,E8:K8)</f>
        <v>21.214285714285715</v>
      </c>
    </row>
    <row r="12" spans="2:14" x14ac:dyDescent="0.2">
      <c r="D12" s="1" t="s">
        <v>620</v>
      </c>
    </row>
    <row r="13" spans="2:14" ht="14.25" x14ac:dyDescent="0.2">
      <c r="D13" s="195" t="s">
        <v>619</v>
      </c>
      <c r="E13" s="196">
        <v>400</v>
      </c>
    </row>
    <row r="14" spans="2:14" x14ac:dyDescent="0.2">
      <c r="D14" s="195" t="s">
        <v>988</v>
      </c>
      <c r="E14" s="197">
        <f>N8*E13+N9</f>
        <v>52.642857142857139</v>
      </c>
    </row>
  </sheetData>
  <mergeCells count="2">
    <mergeCell ref="B6:E6"/>
    <mergeCell ref="B1:C1"/>
  </mergeCells>
  <hyperlinks>
    <hyperlink ref="B6:D6" location="sjabloon!A1" display="Ga naar Inhoudsopgave" xr:uid="{00000000-0004-0000-2400-000000000000}"/>
    <hyperlink ref="B6:E6" location="TOC!A1" display="Go to TOC" xr:uid="{00000000-0004-0000-2400-000001000000}"/>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2"/>
  <dimension ref="B1:P123"/>
  <sheetViews>
    <sheetView workbookViewId="0">
      <pane xSplit="1" ySplit="6" topLeftCell="B9" activePane="bottomRight" state="frozen"/>
      <selection pane="topRight" activeCell="B1" sqref="B1"/>
      <selection pane="bottomLeft" activeCell="A6" sqref="A6"/>
      <selection pane="bottomRight"/>
    </sheetView>
  </sheetViews>
  <sheetFormatPr defaultRowHeight="12.75" x14ac:dyDescent="0.2"/>
  <cols>
    <col min="1" max="2" width="3.7109375" style="9" customWidth="1"/>
    <col min="3" max="3" width="7.7109375" style="9" customWidth="1"/>
    <col min="4" max="4" width="11" style="9" bestFit="1" customWidth="1"/>
    <col min="5" max="5" width="9.28515625" style="9" bestFit="1" customWidth="1"/>
    <col min="6" max="6" width="20.5703125" style="9" bestFit="1" customWidth="1"/>
    <col min="7" max="7" width="13.5703125" style="9" bestFit="1" customWidth="1"/>
    <col min="8" max="8" width="9.28515625" style="9" bestFit="1" customWidth="1"/>
    <col min="9" max="9" width="12.85546875" style="9" bestFit="1" customWidth="1"/>
    <col min="10" max="10" width="10.7109375" style="9" bestFit="1" customWidth="1"/>
    <col min="11" max="11" width="9.140625" style="9"/>
    <col min="12" max="12" width="18.140625" style="9" bestFit="1" customWidth="1"/>
    <col min="13" max="16" width="13.140625" style="9" customWidth="1"/>
    <col min="17" max="16384" width="9.140625" style="9"/>
  </cols>
  <sheetData>
    <row r="1" spans="2:16" x14ac:dyDescent="0.2">
      <c r="B1" s="386" t="s">
        <v>1047</v>
      </c>
      <c r="C1" s="386"/>
      <c r="D1" s="263" t="s">
        <v>462</v>
      </c>
    </row>
    <row r="2" spans="2:16" x14ac:dyDescent="0.2">
      <c r="B2" s="263" t="s">
        <v>1124</v>
      </c>
      <c r="C2" s="263"/>
      <c r="D2" s="337" t="str">
        <f>VLOOKUP(D$1,TabelContent[],COLUMN(TabelContent[Titel-EN]))</f>
        <v>Salary averages</v>
      </c>
      <c r="E2" s="50"/>
      <c r="F2" s="50"/>
      <c r="G2" s="50"/>
      <c r="H2" s="50"/>
      <c r="I2" s="51"/>
      <c r="J2" s="52"/>
    </row>
    <row r="3" spans="2:16" x14ac:dyDescent="0.2">
      <c r="B3" s="263" t="s">
        <v>1125</v>
      </c>
      <c r="C3" s="263"/>
      <c r="D3" s="337" t="str">
        <f>VLOOKUP(D$1,TabelContent[],COLUMN(TabelContent[Cat-EN]))</f>
        <v>Pivot table</v>
      </c>
      <c r="E3" s="50"/>
      <c r="F3" s="50"/>
      <c r="G3" s="50"/>
      <c r="H3" s="50"/>
      <c r="I3" s="51"/>
      <c r="J3" s="52"/>
    </row>
    <row r="4" spans="2:16" x14ac:dyDescent="0.2">
      <c r="B4" s="263" t="s">
        <v>1126</v>
      </c>
      <c r="C4" s="263"/>
      <c r="D4" s="337">
        <f>VLOOKUP(D$1,TabelContent[],COLUMN(TabelContent[Niveau]))</f>
        <v>2</v>
      </c>
      <c r="E4" s="50"/>
      <c r="F4" s="50"/>
      <c r="G4" s="50"/>
      <c r="H4" s="50"/>
      <c r="I4" s="51"/>
      <c r="J4" s="52"/>
    </row>
    <row r="5" spans="2:16" x14ac:dyDescent="0.2">
      <c r="B5" s="50"/>
      <c r="C5" s="50"/>
      <c r="D5" s="50"/>
      <c r="E5" s="50"/>
      <c r="F5" s="50"/>
      <c r="G5" s="50"/>
      <c r="H5" s="50"/>
      <c r="I5" s="50"/>
      <c r="J5" s="50"/>
    </row>
    <row r="6" spans="2:16" x14ac:dyDescent="0.2">
      <c r="B6" s="387" t="s">
        <v>1132</v>
      </c>
      <c r="C6" s="387"/>
      <c r="D6" s="387"/>
      <c r="E6" s="388"/>
      <c r="F6" s="50"/>
      <c r="G6" s="50"/>
      <c r="H6" s="50"/>
      <c r="I6" s="50"/>
      <c r="J6" s="50"/>
    </row>
    <row r="7" spans="2:16" x14ac:dyDescent="0.2">
      <c r="B7" s="50"/>
      <c r="C7" s="50"/>
      <c r="D7" s="50"/>
      <c r="E7" s="50"/>
      <c r="F7" s="50"/>
      <c r="G7" s="50"/>
      <c r="H7" s="50"/>
      <c r="I7" s="50"/>
      <c r="J7" s="50"/>
    </row>
    <row r="8" spans="2:16" x14ac:dyDescent="0.2">
      <c r="B8" s="50"/>
      <c r="C8" s="50"/>
      <c r="D8" s="50"/>
      <c r="E8" s="50"/>
      <c r="F8" s="50"/>
      <c r="G8" s="50"/>
      <c r="H8" s="50"/>
      <c r="I8" s="50"/>
      <c r="J8" s="50"/>
    </row>
    <row r="9" spans="2:16" x14ac:dyDescent="0.2">
      <c r="B9" s="50"/>
      <c r="C9" s="98" t="s">
        <v>250</v>
      </c>
      <c r="D9" s="98" t="s">
        <v>661</v>
      </c>
      <c r="E9" s="98" t="s">
        <v>660</v>
      </c>
      <c r="F9" s="98" t="s">
        <v>662</v>
      </c>
      <c r="G9" s="98" t="s">
        <v>663</v>
      </c>
      <c r="H9" s="98" t="s">
        <v>664</v>
      </c>
      <c r="I9" s="98" t="s">
        <v>665</v>
      </c>
      <c r="J9" s="98" t="s">
        <v>666</v>
      </c>
    </row>
    <row r="10" spans="2:16" x14ac:dyDescent="0.2">
      <c r="B10" s="50"/>
      <c r="C10" s="9">
        <v>1975</v>
      </c>
      <c r="D10" s="9" t="s">
        <v>251</v>
      </c>
      <c r="E10" s="9" t="s">
        <v>252</v>
      </c>
      <c r="F10" s="9" t="s">
        <v>253</v>
      </c>
      <c r="G10" s="9" t="s">
        <v>254</v>
      </c>
      <c r="H10" s="9" t="s">
        <v>1165</v>
      </c>
      <c r="I10" s="284">
        <v>21887.95</v>
      </c>
      <c r="J10" s="2">
        <v>33365</v>
      </c>
    </row>
    <row r="11" spans="2:16" x14ac:dyDescent="0.2">
      <c r="B11" s="50"/>
      <c r="C11" s="9">
        <v>1976</v>
      </c>
      <c r="D11" s="9" t="s">
        <v>255</v>
      </c>
      <c r="E11" s="9" t="s">
        <v>256</v>
      </c>
      <c r="F11" s="9" t="s">
        <v>1166</v>
      </c>
      <c r="G11" s="9" t="s">
        <v>1167</v>
      </c>
      <c r="H11" s="9" t="s">
        <v>257</v>
      </c>
      <c r="I11" s="284">
        <v>23035.88</v>
      </c>
      <c r="J11" s="2">
        <v>33357</v>
      </c>
      <c r="L11" s="73" t="s">
        <v>668</v>
      </c>
      <c r="M11" s="73" t="s">
        <v>664</v>
      </c>
      <c r="N11"/>
      <c r="O11"/>
      <c r="P11"/>
    </row>
    <row r="12" spans="2:16" x14ac:dyDescent="0.2">
      <c r="B12" s="50"/>
      <c r="C12" s="9">
        <v>1168</v>
      </c>
      <c r="D12" s="9" t="s">
        <v>258</v>
      </c>
      <c r="E12" s="9" t="s">
        <v>259</v>
      </c>
      <c r="F12" s="9" t="s">
        <v>1166</v>
      </c>
      <c r="G12" s="9" t="s">
        <v>1167</v>
      </c>
      <c r="H12" s="9" t="s">
        <v>1168</v>
      </c>
      <c r="I12" s="284">
        <v>23035.88</v>
      </c>
      <c r="J12" s="2">
        <v>33338</v>
      </c>
      <c r="L12" s="73" t="s">
        <v>663</v>
      </c>
      <c r="M12" s="9" t="s">
        <v>1165</v>
      </c>
      <c r="N12" s="9" t="s">
        <v>257</v>
      </c>
      <c r="O12" s="9" t="s">
        <v>1168</v>
      </c>
      <c r="P12" s="9" t="s">
        <v>667</v>
      </c>
    </row>
    <row r="13" spans="2:16" x14ac:dyDescent="0.2">
      <c r="B13" s="50"/>
      <c r="C13" s="9">
        <v>1169</v>
      </c>
      <c r="D13" s="9" t="s">
        <v>260</v>
      </c>
      <c r="E13" s="9" t="s">
        <v>261</v>
      </c>
      <c r="F13" s="9" t="s">
        <v>1169</v>
      </c>
      <c r="G13" s="9" t="s">
        <v>1167</v>
      </c>
      <c r="H13" s="9" t="s">
        <v>1165</v>
      </c>
      <c r="I13" s="284">
        <v>34002.050000000003</v>
      </c>
      <c r="J13" s="2">
        <v>33890</v>
      </c>
      <c r="L13" s="9" t="s">
        <v>254</v>
      </c>
      <c r="M13" s="277">
        <v>27034.031999999999</v>
      </c>
      <c r="N13" s="277">
        <v>29263.571999999996</v>
      </c>
      <c r="O13" s="277">
        <v>35096.302500000005</v>
      </c>
      <c r="P13" s="277">
        <v>30133.802142857141</v>
      </c>
    </row>
    <row r="14" spans="2:16" x14ac:dyDescent="0.2">
      <c r="B14" s="50"/>
      <c r="C14" s="9">
        <v>1167</v>
      </c>
      <c r="D14" s="9" t="s">
        <v>262</v>
      </c>
      <c r="E14" s="9" t="s">
        <v>263</v>
      </c>
      <c r="F14" s="9" t="s">
        <v>1170</v>
      </c>
      <c r="G14" s="9" t="s">
        <v>264</v>
      </c>
      <c r="H14" s="9" t="s">
        <v>1165</v>
      </c>
      <c r="I14" s="284">
        <v>31913.88</v>
      </c>
      <c r="J14" s="2">
        <v>33346</v>
      </c>
      <c r="L14" s="9" t="s">
        <v>1171</v>
      </c>
      <c r="M14" s="277">
        <v>47504.259999999995</v>
      </c>
      <c r="N14" s="277">
        <v>47159.552000000003</v>
      </c>
      <c r="O14" s="277">
        <v>36615.623999999996</v>
      </c>
      <c r="P14" s="277">
        <v>43492.351428571426</v>
      </c>
    </row>
    <row r="15" spans="2:16" x14ac:dyDescent="0.2">
      <c r="B15" s="50"/>
      <c r="C15" s="9">
        <v>1931</v>
      </c>
      <c r="D15" s="9" t="s">
        <v>265</v>
      </c>
      <c r="E15" s="9" t="s">
        <v>266</v>
      </c>
      <c r="F15" s="9" t="s">
        <v>267</v>
      </c>
      <c r="G15" s="9" t="s">
        <v>254</v>
      </c>
      <c r="H15" s="9" t="s">
        <v>1165</v>
      </c>
      <c r="I15" s="284">
        <v>26101.439999999999</v>
      </c>
      <c r="J15" s="2">
        <v>32679</v>
      </c>
      <c r="L15" s="9" t="s">
        <v>1167</v>
      </c>
      <c r="M15" s="277">
        <v>51935.971666666672</v>
      </c>
      <c r="N15" s="277">
        <v>42005.904117647056</v>
      </c>
      <c r="O15" s="277">
        <v>43838.686666666676</v>
      </c>
      <c r="P15" s="277">
        <v>45448.689512195124</v>
      </c>
    </row>
    <row r="16" spans="2:16" x14ac:dyDescent="0.2">
      <c r="B16" s="50"/>
      <c r="C16" s="9">
        <v>1967</v>
      </c>
      <c r="D16" s="9" t="s">
        <v>268</v>
      </c>
      <c r="E16" s="9" t="s">
        <v>269</v>
      </c>
      <c r="F16" s="9" t="s">
        <v>1166</v>
      </c>
      <c r="G16" s="9" t="s">
        <v>1171</v>
      </c>
      <c r="H16" s="9" t="s">
        <v>1165</v>
      </c>
      <c r="I16" s="284">
        <v>23212.32</v>
      </c>
      <c r="J16" s="2">
        <v>33551</v>
      </c>
      <c r="L16" s="9" t="s">
        <v>1173</v>
      </c>
      <c r="M16" s="277">
        <v>28016.309999999998</v>
      </c>
      <c r="N16" s="277">
        <v>29512.455000000002</v>
      </c>
      <c r="O16" s="277">
        <v>32757.829999999998</v>
      </c>
      <c r="P16" s="277">
        <v>30168.416249999998</v>
      </c>
    </row>
    <row r="17" spans="2:16" x14ac:dyDescent="0.2">
      <c r="B17" s="50"/>
      <c r="C17" s="9">
        <v>1676</v>
      </c>
      <c r="D17" s="9" t="s">
        <v>270</v>
      </c>
      <c r="E17" s="9" t="s">
        <v>271</v>
      </c>
      <c r="F17" s="9" t="s">
        <v>1166</v>
      </c>
      <c r="G17" s="9" t="s">
        <v>1171</v>
      </c>
      <c r="H17" s="9" t="s">
        <v>1165</v>
      </c>
      <c r="I17" s="284">
        <v>23212.32</v>
      </c>
      <c r="J17" s="2">
        <v>29877</v>
      </c>
      <c r="L17" s="9" t="s">
        <v>264</v>
      </c>
      <c r="M17" s="277">
        <v>46289.205555555556</v>
      </c>
      <c r="N17" s="277">
        <v>47986.227272727272</v>
      </c>
      <c r="O17" s="277">
        <v>49715.956666666672</v>
      </c>
      <c r="P17" s="277">
        <v>47797.965000000004</v>
      </c>
    </row>
    <row r="18" spans="2:16" x14ac:dyDescent="0.2">
      <c r="B18" s="50"/>
      <c r="C18" s="9">
        <v>1075</v>
      </c>
      <c r="D18" s="9" t="s">
        <v>272</v>
      </c>
      <c r="E18" s="9" t="s">
        <v>273</v>
      </c>
      <c r="F18" s="9" t="s">
        <v>1172</v>
      </c>
      <c r="G18" s="9" t="s">
        <v>1173</v>
      </c>
      <c r="H18" s="9" t="s">
        <v>257</v>
      </c>
      <c r="I18" s="284">
        <v>23239.439999999999</v>
      </c>
      <c r="J18" s="2">
        <v>33823</v>
      </c>
      <c r="L18" s="9" t="s">
        <v>1177</v>
      </c>
      <c r="M18" s="277">
        <v>43852.346666666657</v>
      </c>
      <c r="N18" s="277">
        <v>48105.565999999999</v>
      </c>
      <c r="O18" s="277">
        <v>41231.893333333333</v>
      </c>
      <c r="P18" s="277">
        <v>45070.959090909091</v>
      </c>
    </row>
    <row r="19" spans="2:16" x14ac:dyDescent="0.2">
      <c r="B19" s="50"/>
      <c r="C19" s="9">
        <v>1966</v>
      </c>
      <c r="D19" s="9" t="s">
        <v>274</v>
      </c>
      <c r="E19" s="9" t="s">
        <v>275</v>
      </c>
      <c r="F19" s="9" t="s">
        <v>1172</v>
      </c>
      <c r="G19" s="9" t="s">
        <v>1173</v>
      </c>
      <c r="H19" s="9" t="s">
        <v>1168</v>
      </c>
      <c r="I19" s="284">
        <v>23239.439999999999</v>
      </c>
      <c r="J19" s="2">
        <v>33559</v>
      </c>
      <c r="L19" s="9" t="s">
        <v>667</v>
      </c>
      <c r="M19" s="277">
        <v>43906.32444444445</v>
      </c>
      <c r="N19" s="277">
        <v>42747.049555555539</v>
      </c>
      <c r="O19" s="277">
        <v>41508.863030303037</v>
      </c>
      <c r="P19" s="277">
        <v>42754.713947368415</v>
      </c>
    </row>
    <row r="20" spans="2:16" x14ac:dyDescent="0.2">
      <c r="B20" s="50"/>
      <c r="C20" s="9">
        <v>1816</v>
      </c>
      <c r="D20" s="9" t="s">
        <v>276</v>
      </c>
      <c r="E20" s="9" t="s">
        <v>277</v>
      </c>
      <c r="F20" s="9" t="s">
        <v>1169</v>
      </c>
      <c r="G20" s="9" t="s">
        <v>1167</v>
      </c>
      <c r="H20" s="9" t="s">
        <v>1168</v>
      </c>
      <c r="I20" s="284">
        <v>35480.400000000001</v>
      </c>
      <c r="J20" s="2">
        <v>33062</v>
      </c>
      <c r="L20"/>
      <c r="M20"/>
      <c r="N20"/>
    </row>
    <row r="21" spans="2:16" x14ac:dyDescent="0.2">
      <c r="B21" s="50"/>
      <c r="C21" s="9">
        <v>1814</v>
      </c>
      <c r="D21" s="9" t="s">
        <v>278</v>
      </c>
      <c r="E21" s="9" t="s">
        <v>279</v>
      </c>
      <c r="F21" s="9" t="s">
        <v>1174</v>
      </c>
      <c r="G21" s="9" t="s">
        <v>1167</v>
      </c>
      <c r="H21" s="9" t="s">
        <v>1168</v>
      </c>
      <c r="I21" s="284">
        <v>21303.599999999999</v>
      </c>
      <c r="J21" s="2">
        <v>32571</v>
      </c>
      <c r="L21"/>
      <c r="M21"/>
      <c r="N21"/>
    </row>
    <row r="22" spans="2:16" x14ac:dyDescent="0.2">
      <c r="B22" s="50"/>
      <c r="C22" s="9">
        <v>1968</v>
      </c>
      <c r="D22" s="9" t="s">
        <v>280</v>
      </c>
      <c r="E22" s="9" t="s">
        <v>281</v>
      </c>
      <c r="F22" s="9" t="s">
        <v>1175</v>
      </c>
      <c r="G22" s="9" t="s">
        <v>264</v>
      </c>
      <c r="H22" s="9" t="s">
        <v>1165</v>
      </c>
      <c r="I22" s="284">
        <v>35989.199999999997</v>
      </c>
      <c r="J22" s="2">
        <v>33970</v>
      </c>
      <c r="L22"/>
      <c r="M22"/>
      <c r="N22"/>
    </row>
    <row r="23" spans="2:16" x14ac:dyDescent="0.2">
      <c r="B23" s="50"/>
      <c r="C23" s="9">
        <v>1675</v>
      </c>
      <c r="D23" s="9" t="s">
        <v>282</v>
      </c>
      <c r="E23" s="9" t="s">
        <v>283</v>
      </c>
      <c r="F23" s="9" t="s">
        <v>1170</v>
      </c>
      <c r="G23" s="9" t="s">
        <v>264</v>
      </c>
      <c r="H23" s="9" t="s">
        <v>1165</v>
      </c>
      <c r="I23" s="284">
        <v>33301.440000000002</v>
      </c>
      <c r="J23" s="2">
        <v>29885</v>
      </c>
      <c r="L23"/>
      <c r="M23"/>
      <c r="N23"/>
    </row>
    <row r="24" spans="2:16" x14ac:dyDescent="0.2">
      <c r="B24" s="50"/>
      <c r="C24" s="9">
        <v>1677</v>
      </c>
      <c r="D24" s="9" t="s">
        <v>284</v>
      </c>
      <c r="E24" s="9" t="s">
        <v>285</v>
      </c>
      <c r="F24" s="9" t="s">
        <v>1176</v>
      </c>
      <c r="G24" s="9" t="s">
        <v>1177</v>
      </c>
      <c r="H24" s="9" t="s">
        <v>1168</v>
      </c>
      <c r="I24" s="284">
        <v>37895.519999999997</v>
      </c>
      <c r="J24" s="2">
        <v>32087</v>
      </c>
      <c r="L24"/>
      <c r="M24"/>
      <c r="N24"/>
    </row>
    <row r="25" spans="2:16" x14ac:dyDescent="0.2">
      <c r="B25" s="50"/>
      <c r="C25" s="9">
        <v>1793</v>
      </c>
      <c r="D25" s="9" t="s">
        <v>286</v>
      </c>
      <c r="E25" s="9" t="s">
        <v>287</v>
      </c>
      <c r="F25" s="9" t="s">
        <v>1166</v>
      </c>
      <c r="G25" s="9" t="s">
        <v>1171</v>
      </c>
      <c r="H25" s="9" t="s">
        <v>1168</v>
      </c>
      <c r="I25" s="284">
        <v>24179.5</v>
      </c>
      <c r="J25" s="2">
        <v>33223</v>
      </c>
      <c r="L25"/>
      <c r="M25"/>
      <c r="N25"/>
    </row>
    <row r="26" spans="2:16" x14ac:dyDescent="0.2">
      <c r="B26" s="50"/>
      <c r="C26" s="9">
        <v>1792</v>
      </c>
      <c r="D26" s="9" t="s">
        <v>288</v>
      </c>
      <c r="E26" s="9" t="s">
        <v>289</v>
      </c>
      <c r="F26" s="9" t="s">
        <v>1178</v>
      </c>
      <c r="G26" s="9" t="s">
        <v>1173</v>
      </c>
      <c r="H26" s="9" t="s">
        <v>1165</v>
      </c>
      <c r="I26" s="284">
        <v>28859.25</v>
      </c>
      <c r="J26" s="2">
        <v>33231</v>
      </c>
      <c r="L26"/>
      <c r="M26"/>
      <c r="N26"/>
    </row>
    <row r="27" spans="2:16" x14ac:dyDescent="0.2">
      <c r="B27" s="50"/>
      <c r="C27" s="9">
        <v>1794</v>
      </c>
      <c r="D27" s="9" t="s">
        <v>290</v>
      </c>
      <c r="E27" s="9" t="s">
        <v>291</v>
      </c>
      <c r="F27" s="9" t="s">
        <v>1175</v>
      </c>
      <c r="G27" s="9" t="s">
        <v>264</v>
      </c>
      <c r="H27" s="9" t="s">
        <v>1168</v>
      </c>
      <c r="I27" s="284">
        <v>37488.75</v>
      </c>
      <c r="J27" s="2">
        <v>31034</v>
      </c>
      <c r="L27"/>
      <c r="M27"/>
      <c r="N27"/>
    </row>
    <row r="28" spans="2:16" x14ac:dyDescent="0.2">
      <c r="B28" s="50"/>
      <c r="C28" s="9">
        <v>1426</v>
      </c>
      <c r="D28" s="9" t="s">
        <v>292</v>
      </c>
      <c r="E28" s="9" t="s">
        <v>261</v>
      </c>
      <c r="F28" s="9" t="s">
        <v>1170</v>
      </c>
      <c r="G28" s="9" t="s">
        <v>264</v>
      </c>
      <c r="H28" s="9" t="s">
        <v>1168</v>
      </c>
      <c r="I28" s="284">
        <v>34689</v>
      </c>
      <c r="J28" s="2">
        <v>28376</v>
      </c>
      <c r="L28"/>
      <c r="M28"/>
      <c r="N28"/>
    </row>
    <row r="29" spans="2:16" x14ac:dyDescent="0.2">
      <c r="B29" s="50"/>
      <c r="C29" s="9">
        <v>1530</v>
      </c>
      <c r="D29" s="9" t="s">
        <v>293</v>
      </c>
      <c r="E29" s="9" t="s">
        <v>294</v>
      </c>
      <c r="F29" s="9" t="s">
        <v>1166</v>
      </c>
      <c r="G29" s="9" t="s">
        <v>1171</v>
      </c>
      <c r="H29" s="9" t="s">
        <v>257</v>
      </c>
      <c r="I29" s="284">
        <v>25146.68</v>
      </c>
      <c r="J29" s="2">
        <v>33258</v>
      </c>
    </row>
    <row r="30" spans="2:16" x14ac:dyDescent="0.2">
      <c r="B30" s="50"/>
      <c r="C30" s="9">
        <v>1054</v>
      </c>
      <c r="D30" s="9" t="s">
        <v>295</v>
      </c>
      <c r="E30" s="9" t="s">
        <v>296</v>
      </c>
      <c r="F30" s="9" t="s">
        <v>1172</v>
      </c>
      <c r="G30" s="9" t="s">
        <v>1173</v>
      </c>
      <c r="H30" s="9" t="s">
        <v>1165</v>
      </c>
      <c r="I30" s="284">
        <v>25176.06</v>
      </c>
      <c r="J30" s="2">
        <v>33344</v>
      </c>
    </row>
    <row r="31" spans="2:16" x14ac:dyDescent="0.2">
      <c r="B31" s="50"/>
      <c r="C31" s="9">
        <v>1977</v>
      </c>
      <c r="D31" s="9" t="s">
        <v>297</v>
      </c>
      <c r="E31" s="9" t="s">
        <v>298</v>
      </c>
      <c r="F31" s="9" t="s">
        <v>1178</v>
      </c>
      <c r="G31" s="9" t="s">
        <v>1173</v>
      </c>
      <c r="H31" s="9" t="s">
        <v>1165</v>
      </c>
      <c r="I31" s="284">
        <v>30013.62</v>
      </c>
      <c r="J31" s="2">
        <v>29385</v>
      </c>
    </row>
    <row r="32" spans="2:16" x14ac:dyDescent="0.2">
      <c r="B32" s="50"/>
      <c r="C32" s="9">
        <v>1529</v>
      </c>
      <c r="D32" s="9" t="s">
        <v>299</v>
      </c>
      <c r="E32" s="9" t="s">
        <v>300</v>
      </c>
      <c r="F32" s="9" t="s">
        <v>1166</v>
      </c>
      <c r="G32" s="9" t="s">
        <v>1167</v>
      </c>
      <c r="H32" s="9" t="s">
        <v>257</v>
      </c>
      <c r="I32" s="284">
        <v>25146.68</v>
      </c>
      <c r="J32" s="2">
        <v>31805</v>
      </c>
    </row>
    <row r="33" spans="2:10" x14ac:dyDescent="0.2">
      <c r="B33" s="50"/>
      <c r="C33" s="9">
        <v>1978</v>
      </c>
      <c r="D33" s="9" t="s">
        <v>301</v>
      </c>
      <c r="E33" s="9" t="s">
        <v>302</v>
      </c>
      <c r="F33" s="9" t="s">
        <v>1179</v>
      </c>
      <c r="G33" s="9" t="s">
        <v>1167</v>
      </c>
      <c r="H33" s="9" t="s">
        <v>1168</v>
      </c>
      <c r="I33" s="284">
        <v>51878.84</v>
      </c>
      <c r="J33" s="2">
        <v>29377</v>
      </c>
    </row>
    <row r="34" spans="2:10" x14ac:dyDescent="0.2">
      <c r="B34" s="50"/>
      <c r="C34" s="9">
        <v>1055</v>
      </c>
      <c r="D34" s="9" t="s">
        <v>303</v>
      </c>
      <c r="E34" s="9" t="s">
        <v>304</v>
      </c>
      <c r="F34" s="9" t="s">
        <v>1166</v>
      </c>
      <c r="G34" s="9" t="s">
        <v>264</v>
      </c>
      <c r="H34" s="9" t="s">
        <v>1165</v>
      </c>
      <c r="I34" s="284">
        <v>26040.560000000001</v>
      </c>
      <c r="J34" s="2">
        <v>33336</v>
      </c>
    </row>
    <row r="35" spans="2:10" x14ac:dyDescent="0.2">
      <c r="B35" s="50"/>
      <c r="C35" s="9">
        <v>1531</v>
      </c>
      <c r="D35" s="9" t="s">
        <v>305</v>
      </c>
      <c r="E35" s="9" t="s">
        <v>306</v>
      </c>
      <c r="F35" s="9" t="s">
        <v>1176</v>
      </c>
      <c r="G35" s="9" t="s">
        <v>1177</v>
      </c>
      <c r="H35" s="9" t="s">
        <v>1165</v>
      </c>
      <c r="I35" s="284">
        <v>41053.480000000003</v>
      </c>
      <c r="J35" s="2">
        <v>31543</v>
      </c>
    </row>
    <row r="36" spans="2:10" x14ac:dyDescent="0.2">
      <c r="B36" s="50"/>
      <c r="C36" s="9">
        <v>1290</v>
      </c>
      <c r="D36" s="9" t="s">
        <v>307</v>
      </c>
      <c r="E36" s="9" t="s">
        <v>308</v>
      </c>
      <c r="F36" s="9" t="s">
        <v>1166</v>
      </c>
      <c r="G36" s="9" t="s">
        <v>1171</v>
      </c>
      <c r="H36" s="9" t="s">
        <v>1168</v>
      </c>
      <c r="I36" s="284">
        <v>26113.86</v>
      </c>
      <c r="J36" s="2">
        <v>31050</v>
      </c>
    </row>
    <row r="37" spans="2:10" x14ac:dyDescent="0.2">
      <c r="B37" s="50"/>
      <c r="C37" s="9">
        <v>1300</v>
      </c>
      <c r="D37" s="9" t="s">
        <v>309</v>
      </c>
      <c r="E37" s="9" t="s">
        <v>310</v>
      </c>
      <c r="F37" s="9" t="s">
        <v>267</v>
      </c>
      <c r="G37" s="9" t="s">
        <v>254</v>
      </c>
      <c r="H37" s="9" t="s">
        <v>257</v>
      </c>
      <c r="I37" s="284">
        <v>30451.68</v>
      </c>
      <c r="J37" s="2">
        <v>32855</v>
      </c>
    </row>
    <row r="38" spans="2:10" x14ac:dyDescent="0.2">
      <c r="B38" s="50"/>
      <c r="C38" s="9">
        <v>1152</v>
      </c>
      <c r="D38" s="9" t="s">
        <v>311</v>
      </c>
      <c r="E38" s="9" t="s">
        <v>312</v>
      </c>
      <c r="F38" s="9" t="s">
        <v>253</v>
      </c>
      <c r="G38" s="9" t="s">
        <v>254</v>
      </c>
      <c r="H38" s="9" t="s">
        <v>257</v>
      </c>
      <c r="I38" s="284">
        <v>26646.2</v>
      </c>
      <c r="J38" s="2">
        <v>32894</v>
      </c>
    </row>
    <row r="39" spans="2:10" x14ac:dyDescent="0.2">
      <c r="B39" s="50"/>
      <c r="C39" s="9">
        <v>1960</v>
      </c>
      <c r="D39" s="9" t="s">
        <v>313</v>
      </c>
      <c r="E39" s="9" t="s">
        <v>314</v>
      </c>
      <c r="F39" s="9" t="s">
        <v>1166</v>
      </c>
      <c r="G39" s="9" t="s">
        <v>254</v>
      </c>
      <c r="H39" s="9" t="s">
        <v>1165</v>
      </c>
      <c r="I39" s="284">
        <v>28043.68</v>
      </c>
      <c r="J39" s="2">
        <v>31729</v>
      </c>
    </row>
    <row r="40" spans="2:10" x14ac:dyDescent="0.2">
      <c r="B40" s="50"/>
      <c r="C40" s="9">
        <v>1153</v>
      </c>
      <c r="D40" s="9" t="s">
        <v>315</v>
      </c>
      <c r="E40" s="9" t="s">
        <v>316</v>
      </c>
      <c r="F40" s="9" t="s">
        <v>1166</v>
      </c>
      <c r="G40" s="9" t="s">
        <v>254</v>
      </c>
      <c r="H40" s="9" t="s">
        <v>257</v>
      </c>
      <c r="I40" s="284">
        <v>28043.68</v>
      </c>
      <c r="J40" s="2">
        <v>32886</v>
      </c>
    </row>
    <row r="41" spans="2:10" x14ac:dyDescent="0.2">
      <c r="B41" s="50"/>
      <c r="C41" s="9">
        <v>1961</v>
      </c>
      <c r="D41" s="9" t="s">
        <v>268</v>
      </c>
      <c r="E41" s="9" t="s">
        <v>317</v>
      </c>
      <c r="F41" s="9" t="s">
        <v>1166</v>
      </c>
      <c r="G41" s="9" t="s">
        <v>1171</v>
      </c>
      <c r="H41" s="9" t="s">
        <v>1168</v>
      </c>
      <c r="I41" s="284">
        <v>27081.040000000001</v>
      </c>
      <c r="J41" s="2">
        <v>31721</v>
      </c>
    </row>
    <row r="42" spans="2:10" x14ac:dyDescent="0.2">
      <c r="B42" s="50"/>
      <c r="C42" s="9">
        <v>1557</v>
      </c>
      <c r="D42" s="9" t="s">
        <v>318</v>
      </c>
      <c r="E42" s="9" t="s">
        <v>319</v>
      </c>
      <c r="F42" s="9" t="s">
        <v>1166</v>
      </c>
      <c r="G42" s="9" t="s">
        <v>1171</v>
      </c>
      <c r="H42" s="9" t="s">
        <v>1165</v>
      </c>
      <c r="I42" s="284">
        <v>27081.040000000001</v>
      </c>
      <c r="J42" s="2">
        <v>29908</v>
      </c>
    </row>
    <row r="43" spans="2:10" x14ac:dyDescent="0.2">
      <c r="B43" s="50"/>
      <c r="C43" s="9">
        <v>1723</v>
      </c>
      <c r="D43" s="9" t="s">
        <v>320</v>
      </c>
      <c r="E43" s="9" t="s">
        <v>321</v>
      </c>
      <c r="F43" s="9" t="s">
        <v>1180</v>
      </c>
      <c r="G43" s="9" t="s">
        <v>1167</v>
      </c>
      <c r="H43" s="9" t="s">
        <v>1168</v>
      </c>
      <c r="I43" s="284">
        <v>29362.2</v>
      </c>
      <c r="J43" s="2">
        <v>33091</v>
      </c>
    </row>
    <row r="44" spans="2:10" x14ac:dyDescent="0.2">
      <c r="B44" s="50"/>
      <c r="C44" s="9">
        <v>1556</v>
      </c>
      <c r="D44" s="9" t="s">
        <v>322</v>
      </c>
      <c r="E44" s="9" t="s">
        <v>323</v>
      </c>
      <c r="F44" s="9" t="s">
        <v>1180</v>
      </c>
      <c r="G44" s="9" t="s">
        <v>1167</v>
      </c>
      <c r="H44" s="9" t="s">
        <v>257</v>
      </c>
      <c r="I44" s="284">
        <v>29362.2</v>
      </c>
      <c r="J44" s="2">
        <v>29916</v>
      </c>
    </row>
    <row r="45" spans="2:10" x14ac:dyDescent="0.2">
      <c r="B45" s="50"/>
      <c r="C45" s="9">
        <v>1333</v>
      </c>
      <c r="D45" s="9" t="s">
        <v>324</v>
      </c>
      <c r="E45" s="9" t="s">
        <v>325</v>
      </c>
      <c r="F45" s="9" t="s">
        <v>1180</v>
      </c>
      <c r="G45" s="9" t="s">
        <v>1167</v>
      </c>
      <c r="H45" s="9" t="s">
        <v>1165</v>
      </c>
      <c r="I45" s="284">
        <v>29362.2</v>
      </c>
      <c r="J45" s="2">
        <v>32979</v>
      </c>
    </row>
    <row r="46" spans="2:10" x14ac:dyDescent="0.2">
      <c r="B46" s="50"/>
      <c r="C46" s="9">
        <v>1299</v>
      </c>
      <c r="D46" s="9" t="s">
        <v>326</v>
      </c>
      <c r="E46" s="9" t="s">
        <v>327</v>
      </c>
      <c r="F46" s="9" t="s">
        <v>1174</v>
      </c>
      <c r="G46" s="9" t="s">
        <v>1167</v>
      </c>
      <c r="H46" s="9" t="s">
        <v>1165</v>
      </c>
      <c r="I46" s="284">
        <v>24854.2</v>
      </c>
      <c r="J46" s="2">
        <v>32863</v>
      </c>
    </row>
    <row r="47" spans="2:10" x14ac:dyDescent="0.2">
      <c r="B47" s="50"/>
      <c r="C47" s="9">
        <v>1301</v>
      </c>
      <c r="D47" s="9" t="s">
        <v>328</v>
      </c>
      <c r="E47" s="9" t="s">
        <v>329</v>
      </c>
      <c r="F47" s="9" t="s">
        <v>1166</v>
      </c>
      <c r="G47" s="9" t="s">
        <v>264</v>
      </c>
      <c r="H47" s="9" t="s">
        <v>1168</v>
      </c>
      <c r="I47" s="284">
        <v>27081.040000000001</v>
      </c>
      <c r="J47" s="2">
        <v>30900</v>
      </c>
    </row>
    <row r="48" spans="2:10" x14ac:dyDescent="0.2">
      <c r="B48" s="50"/>
      <c r="C48" s="9">
        <v>1724</v>
      </c>
      <c r="D48" s="9" t="s">
        <v>330</v>
      </c>
      <c r="E48" s="9" t="s">
        <v>331</v>
      </c>
      <c r="F48" s="9" t="s">
        <v>1166</v>
      </c>
      <c r="G48" s="9" t="s">
        <v>264</v>
      </c>
      <c r="H48" s="9" t="s">
        <v>257</v>
      </c>
      <c r="I48" s="284">
        <v>28043.68</v>
      </c>
      <c r="J48" s="2">
        <v>33083</v>
      </c>
    </row>
    <row r="49" spans="2:10" x14ac:dyDescent="0.2">
      <c r="B49" s="50"/>
      <c r="C49" s="9">
        <v>1558</v>
      </c>
      <c r="D49" s="9" t="s">
        <v>332</v>
      </c>
      <c r="E49" s="9" t="s">
        <v>333</v>
      </c>
      <c r="F49" s="9" t="s">
        <v>1175</v>
      </c>
      <c r="G49" s="9" t="s">
        <v>264</v>
      </c>
      <c r="H49" s="9" t="s">
        <v>1165</v>
      </c>
      <c r="I49" s="284">
        <v>41987.4</v>
      </c>
      <c r="J49" s="2">
        <v>30240</v>
      </c>
    </row>
    <row r="50" spans="2:10" x14ac:dyDescent="0.2">
      <c r="B50" s="50"/>
      <c r="C50" s="9">
        <v>1041</v>
      </c>
      <c r="D50" s="9" t="s">
        <v>334</v>
      </c>
      <c r="E50" s="9" t="s">
        <v>335</v>
      </c>
      <c r="F50" s="9" t="s">
        <v>1166</v>
      </c>
      <c r="G50" s="9" t="s">
        <v>1177</v>
      </c>
      <c r="H50" s="9" t="s">
        <v>257</v>
      </c>
      <c r="I50" s="284">
        <v>28043.68</v>
      </c>
      <c r="J50" s="2">
        <v>33710</v>
      </c>
    </row>
    <row r="51" spans="2:10" x14ac:dyDescent="0.2">
      <c r="B51" s="50"/>
      <c r="C51" s="9">
        <v>1334</v>
      </c>
      <c r="D51" s="9" t="s">
        <v>336</v>
      </c>
      <c r="E51" s="9" t="s">
        <v>337</v>
      </c>
      <c r="F51" s="9" t="s">
        <v>1166</v>
      </c>
      <c r="G51" s="9" t="s">
        <v>1177</v>
      </c>
      <c r="H51" s="9" t="s">
        <v>1168</v>
      </c>
      <c r="I51" s="284">
        <v>28043.68</v>
      </c>
      <c r="J51" s="2">
        <v>32971</v>
      </c>
    </row>
    <row r="52" spans="2:10" x14ac:dyDescent="0.2">
      <c r="B52" s="50"/>
      <c r="C52" s="9">
        <v>1330</v>
      </c>
      <c r="D52" s="9" t="s">
        <v>338</v>
      </c>
      <c r="E52" s="9" t="s">
        <v>339</v>
      </c>
      <c r="F52" s="9" t="s">
        <v>267</v>
      </c>
      <c r="G52" s="9" t="s">
        <v>254</v>
      </c>
      <c r="H52" s="9" t="s">
        <v>1165</v>
      </c>
      <c r="I52" s="284">
        <v>31539.24</v>
      </c>
      <c r="J52" s="2">
        <v>32553</v>
      </c>
    </row>
    <row r="53" spans="2:10" x14ac:dyDescent="0.2">
      <c r="B53" s="50"/>
      <c r="C53" s="9">
        <v>1674</v>
      </c>
      <c r="D53" s="9" t="s">
        <v>340</v>
      </c>
      <c r="E53" s="9" t="s">
        <v>341</v>
      </c>
      <c r="F53" s="9" t="s">
        <v>253</v>
      </c>
      <c r="G53" s="9" t="s">
        <v>254</v>
      </c>
      <c r="H53" s="9" t="s">
        <v>1168</v>
      </c>
      <c r="I53" s="284">
        <v>27597.85</v>
      </c>
      <c r="J53" s="2">
        <v>33688</v>
      </c>
    </row>
    <row r="54" spans="2:10" x14ac:dyDescent="0.2">
      <c r="B54" s="50"/>
      <c r="C54" s="9">
        <v>1011</v>
      </c>
      <c r="D54" s="9" t="s">
        <v>342</v>
      </c>
      <c r="E54" s="9" t="s">
        <v>343</v>
      </c>
      <c r="F54" s="9" t="s">
        <v>253</v>
      </c>
      <c r="G54" s="9" t="s">
        <v>254</v>
      </c>
      <c r="H54" s="9" t="s">
        <v>1165</v>
      </c>
      <c r="I54" s="284">
        <v>27597.85</v>
      </c>
      <c r="J54" s="2">
        <v>31446</v>
      </c>
    </row>
    <row r="55" spans="2:10" x14ac:dyDescent="0.2">
      <c r="B55" s="50"/>
      <c r="C55" s="9">
        <v>1675</v>
      </c>
      <c r="D55" s="9" t="s">
        <v>344</v>
      </c>
      <c r="E55" s="9" t="s">
        <v>345</v>
      </c>
      <c r="F55" s="9" t="s">
        <v>1166</v>
      </c>
      <c r="G55" s="9" t="s">
        <v>254</v>
      </c>
      <c r="H55" s="9" t="s">
        <v>1168</v>
      </c>
      <c r="I55" s="284">
        <v>29045.24</v>
      </c>
      <c r="J55" s="2">
        <v>33680</v>
      </c>
    </row>
    <row r="56" spans="2:10" x14ac:dyDescent="0.2">
      <c r="B56" s="50"/>
      <c r="C56" s="9">
        <v>1012</v>
      </c>
      <c r="D56" s="9" t="s">
        <v>346</v>
      </c>
      <c r="E56" s="9" t="s">
        <v>347</v>
      </c>
      <c r="F56" s="9" t="s">
        <v>1181</v>
      </c>
      <c r="G56" s="9" t="s">
        <v>1167</v>
      </c>
      <c r="H56" s="9" t="s">
        <v>257</v>
      </c>
      <c r="I56" s="284">
        <v>43394.15</v>
      </c>
      <c r="J56" s="2">
        <v>31438</v>
      </c>
    </row>
    <row r="57" spans="2:10" x14ac:dyDescent="0.2">
      <c r="B57" s="50"/>
      <c r="C57" s="9">
        <v>1331</v>
      </c>
      <c r="D57" s="9" t="s">
        <v>348</v>
      </c>
      <c r="E57" s="9" t="s">
        <v>349</v>
      </c>
      <c r="F57" s="9" t="s">
        <v>1169</v>
      </c>
      <c r="G57" s="9" t="s">
        <v>1167</v>
      </c>
      <c r="H57" s="9" t="s">
        <v>257</v>
      </c>
      <c r="I57" s="284">
        <v>42872.15</v>
      </c>
      <c r="J57" s="2">
        <v>32639</v>
      </c>
    </row>
    <row r="58" spans="2:10" x14ac:dyDescent="0.2">
      <c r="B58" s="50"/>
      <c r="C58" s="9">
        <v>1310</v>
      </c>
      <c r="D58" s="9" t="s">
        <v>295</v>
      </c>
      <c r="E58" s="9" t="s">
        <v>350</v>
      </c>
      <c r="F58" s="9" t="s">
        <v>1180</v>
      </c>
      <c r="G58" s="9" t="s">
        <v>1167</v>
      </c>
      <c r="H58" s="9" t="s">
        <v>1168</v>
      </c>
      <c r="I58" s="284">
        <v>30410.85</v>
      </c>
      <c r="J58" s="2">
        <v>31689</v>
      </c>
    </row>
    <row r="59" spans="2:10" x14ac:dyDescent="0.2">
      <c r="B59" s="50"/>
      <c r="C59" s="9">
        <v>1329</v>
      </c>
      <c r="D59" s="9" t="s">
        <v>351</v>
      </c>
      <c r="E59" s="9" t="s">
        <v>352</v>
      </c>
      <c r="F59" s="9" t="s">
        <v>1180</v>
      </c>
      <c r="G59" s="9" t="s">
        <v>1167</v>
      </c>
      <c r="H59" s="9" t="s">
        <v>257</v>
      </c>
      <c r="I59" s="284">
        <v>30410.85</v>
      </c>
      <c r="J59" s="2">
        <v>32561</v>
      </c>
    </row>
    <row r="60" spans="2:10" x14ac:dyDescent="0.2">
      <c r="B60" s="50"/>
      <c r="C60" s="9">
        <v>1311</v>
      </c>
      <c r="D60" s="9" t="s">
        <v>353</v>
      </c>
      <c r="E60" s="9" t="s">
        <v>354</v>
      </c>
      <c r="F60" s="9" t="s">
        <v>1175</v>
      </c>
      <c r="G60" s="9" t="s">
        <v>264</v>
      </c>
      <c r="H60" s="9" t="s">
        <v>257</v>
      </c>
      <c r="I60" s="284">
        <v>43486.95</v>
      </c>
      <c r="J60" s="2">
        <v>31681</v>
      </c>
    </row>
    <row r="61" spans="2:10" x14ac:dyDescent="0.2">
      <c r="B61" s="50"/>
      <c r="C61" s="9">
        <v>1657</v>
      </c>
      <c r="D61" s="9" t="s">
        <v>355</v>
      </c>
      <c r="E61" s="9" t="s">
        <v>356</v>
      </c>
      <c r="F61" s="9" t="s">
        <v>267</v>
      </c>
      <c r="G61" s="9" t="s">
        <v>254</v>
      </c>
      <c r="H61" s="9" t="s">
        <v>257</v>
      </c>
      <c r="I61" s="284">
        <v>32626.799999999999</v>
      </c>
      <c r="J61" s="2">
        <v>32117</v>
      </c>
    </row>
    <row r="62" spans="2:10" x14ac:dyDescent="0.2">
      <c r="B62" s="50"/>
      <c r="C62" s="9">
        <v>1516</v>
      </c>
      <c r="D62" s="9" t="s">
        <v>357</v>
      </c>
      <c r="E62" s="9" t="s">
        <v>358</v>
      </c>
      <c r="F62" s="9" t="s">
        <v>253</v>
      </c>
      <c r="G62" s="9" t="s">
        <v>254</v>
      </c>
      <c r="H62" s="9" t="s">
        <v>257</v>
      </c>
      <c r="I62" s="284">
        <v>28549.5</v>
      </c>
      <c r="J62" s="2">
        <v>31112</v>
      </c>
    </row>
    <row r="63" spans="2:10" x14ac:dyDescent="0.2">
      <c r="B63" s="50"/>
      <c r="C63" s="9">
        <v>1517</v>
      </c>
      <c r="D63" s="9" t="s">
        <v>359</v>
      </c>
      <c r="E63" s="9" t="s">
        <v>323</v>
      </c>
      <c r="F63" s="9" t="s">
        <v>1182</v>
      </c>
      <c r="G63" s="9" t="s">
        <v>1167</v>
      </c>
      <c r="H63" s="9" t="s">
        <v>257</v>
      </c>
      <c r="I63" s="284">
        <v>62589.599999999999</v>
      </c>
      <c r="J63" s="2">
        <v>31104</v>
      </c>
    </row>
    <row r="64" spans="2:10" x14ac:dyDescent="0.2">
      <c r="B64" s="50"/>
      <c r="C64" s="9">
        <v>1658</v>
      </c>
      <c r="D64" s="9" t="s">
        <v>360</v>
      </c>
      <c r="E64" s="9" t="s">
        <v>361</v>
      </c>
      <c r="F64" s="9" t="s">
        <v>1169</v>
      </c>
      <c r="G64" s="9" t="s">
        <v>1167</v>
      </c>
      <c r="H64" s="9" t="s">
        <v>1165</v>
      </c>
      <c r="I64" s="284">
        <v>44350.5</v>
      </c>
      <c r="J64" s="2">
        <v>32300</v>
      </c>
    </row>
    <row r="65" spans="2:10" x14ac:dyDescent="0.2">
      <c r="B65" s="50"/>
      <c r="C65" s="9">
        <v>1518</v>
      </c>
      <c r="D65" s="9" t="s">
        <v>362</v>
      </c>
      <c r="E65" s="9" t="s">
        <v>363</v>
      </c>
      <c r="F65" s="9" t="s">
        <v>1169</v>
      </c>
      <c r="G65" s="9" t="s">
        <v>1167</v>
      </c>
      <c r="H65" s="9" t="s">
        <v>257</v>
      </c>
      <c r="I65" s="284">
        <v>44350.5</v>
      </c>
      <c r="J65" s="2">
        <v>33042</v>
      </c>
    </row>
    <row r="66" spans="2:10" x14ac:dyDescent="0.2">
      <c r="B66" s="50"/>
      <c r="C66" s="9">
        <v>1656</v>
      </c>
      <c r="D66" s="9" t="s">
        <v>364</v>
      </c>
      <c r="E66" s="9" t="s">
        <v>337</v>
      </c>
      <c r="F66" s="9" t="s">
        <v>1166</v>
      </c>
      <c r="G66" s="9" t="s">
        <v>264</v>
      </c>
      <c r="H66" s="9" t="s">
        <v>1165</v>
      </c>
      <c r="I66" s="284">
        <v>29015.4</v>
      </c>
      <c r="J66" s="2">
        <v>32125</v>
      </c>
    </row>
    <row r="67" spans="2:10" x14ac:dyDescent="0.2">
      <c r="B67" s="50"/>
      <c r="C67" s="9">
        <v>1079</v>
      </c>
      <c r="D67" s="9" t="s">
        <v>365</v>
      </c>
      <c r="E67" s="9" t="s">
        <v>350</v>
      </c>
      <c r="F67" s="9" t="s">
        <v>1166</v>
      </c>
      <c r="G67" s="9" t="s">
        <v>1171</v>
      </c>
      <c r="H67" s="9" t="s">
        <v>257</v>
      </c>
      <c r="I67" s="284">
        <v>29982.58</v>
      </c>
      <c r="J67" s="2">
        <v>31495</v>
      </c>
    </row>
    <row r="68" spans="2:10" x14ac:dyDescent="0.2">
      <c r="B68" s="50"/>
      <c r="C68" s="9">
        <v>1758</v>
      </c>
      <c r="D68" s="9" t="s">
        <v>366</v>
      </c>
      <c r="E68" s="9" t="s">
        <v>367</v>
      </c>
      <c r="F68" s="9" t="s">
        <v>1178</v>
      </c>
      <c r="G68" s="9" t="s">
        <v>1173</v>
      </c>
      <c r="H68" s="9" t="s">
        <v>257</v>
      </c>
      <c r="I68" s="284">
        <v>35785.47</v>
      </c>
      <c r="J68" s="2">
        <v>30028</v>
      </c>
    </row>
    <row r="69" spans="2:10" x14ac:dyDescent="0.2">
      <c r="B69" s="50"/>
      <c r="C69" s="9">
        <v>1673</v>
      </c>
      <c r="D69" s="9" t="s">
        <v>368</v>
      </c>
      <c r="E69" s="9" t="s">
        <v>308</v>
      </c>
      <c r="F69" s="9" t="s">
        <v>1166</v>
      </c>
      <c r="G69" s="9" t="s">
        <v>1167</v>
      </c>
      <c r="H69" s="9" t="s">
        <v>1165</v>
      </c>
      <c r="I69" s="284">
        <v>29982.58</v>
      </c>
      <c r="J69" s="2">
        <v>32979</v>
      </c>
    </row>
    <row r="70" spans="2:10" x14ac:dyDescent="0.2">
      <c r="B70" s="50"/>
      <c r="C70" s="9">
        <v>1509</v>
      </c>
      <c r="D70" s="9" t="s">
        <v>369</v>
      </c>
      <c r="E70" s="9" t="s">
        <v>370</v>
      </c>
      <c r="F70" s="9" t="s">
        <v>1166</v>
      </c>
      <c r="G70" s="9" t="s">
        <v>1167</v>
      </c>
      <c r="H70" s="9" t="s">
        <v>1168</v>
      </c>
      <c r="I70" s="284">
        <v>29982.58</v>
      </c>
      <c r="J70" s="2">
        <v>31217</v>
      </c>
    </row>
    <row r="71" spans="2:10" x14ac:dyDescent="0.2">
      <c r="B71" s="50"/>
      <c r="C71" s="9">
        <v>1759</v>
      </c>
      <c r="D71" s="9" t="s">
        <v>371</v>
      </c>
      <c r="E71" s="9" t="s">
        <v>372</v>
      </c>
      <c r="F71" s="9" t="s">
        <v>1179</v>
      </c>
      <c r="G71" s="9" t="s">
        <v>1167</v>
      </c>
      <c r="H71" s="9" t="s">
        <v>257</v>
      </c>
      <c r="I71" s="284">
        <v>61855.54</v>
      </c>
      <c r="J71" s="2">
        <v>30020</v>
      </c>
    </row>
    <row r="72" spans="2:10" x14ac:dyDescent="0.2">
      <c r="B72" s="50"/>
      <c r="C72" s="9">
        <v>1510</v>
      </c>
      <c r="D72" s="9" t="s">
        <v>373</v>
      </c>
      <c r="E72" s="9" t="s">
        <v>374</v>
      </c>
      <c r="F72" s="9" t="s">
        <v>1181</v>
      </c>
      <c r="G72" s="9" t="s">
        <v>1167</v>
      </c>
      <c r="H72" s="9" t="s">
        <v>1165</v>
      </c>
      <c r="I72" s="284">
        <v>46386.85</v>
      </c>
      <c r="J72" s="2">
        <v>31209</v>
      </c>
    </row>
    <row r="73" spans="2:10" x14ac:dyDescent="0.2">
      <c r="B73" s="50"/>
      <c r="C73" s="9">
        <v>1078</v>
      </c>
      <c r="D73" s="9" t="s">
        <v>375</v>
      </c>
      <c r="E73" s="9" t="s">
        <v>376</v>
      </c>
      <c r="F73" s="9" t="s">
        <v>1166</v>
      </c>
      <c r="G73" s="9" t="s">
        <v>264</v>
      </c>
      <c r="H73" s="9" t="s">
        <v>257</v>
      </c>
      <c r="I73" s="284">
        <v>29982.58</v>
      </c>
      <c r="J73" s="2">
        <v>31503</v>
      </c>
    </row>
    <row r="74" spans="2:10" x14ac:dyDescent="0.2">
      <c r="B74" s="50"/>
      <c r="C74" s="9">
        <v>1285</v>
      </c>
      <c r="D74" s="9" t="s">
        <v>377</v>
      </c>
      <c r="E74" s="9" t="s">
        <v>378</v>
      </c>
      <c r="F74" s="9" t="s">
        <v>1182</v>
      </c>
      <c r="G74" s="9" t="s">
        <v>264</v>
      </c>
      <c r="H74" s="9" t="s">
        <v>257</v>
      </c>
      <c r="I74" s="284">
        <v>77179.149999999994</v>
      </c>
      <c r="J74" s="2">
        <v>31043</v>
      </c>
    </row>
    <row r="75" spans="2:10" x14ac:dyDescent="0.2">
      <c r="B75" s="50"/>
      <c r="C75" s="9">
        <v>1284</v>
      </c>
      <c r="D75" s="9" t="s">
        <v>379</v>
      </c>
      <c r="E75" s="9" t="s">
        <v>341</v>
      </c>
      <c r="F75" s="9" t="s">
        <v>1175</v>
      </c>
      <c r="G75" s="9" t="s">
        <v>264</v>
      </c>
      <c r="H75" s="9" t="s">
        <v>1168</v>
      </c>
      <c r="I75" s="284">
        <v>46486.05</v>
      </c>
      <c r="J75" s="2">
        <v>31051</v>
      </c>
    </row>
    <row r="76" spans="2:10" x14ac:dyDescent="0.2">
      <c r="B76" s="50"/>
      <c r="C76" s="9">
        <v>1674</v>
      </c>
      <c r="D76" s="9" t="s">
        <v>262</v>
      </c>
      <c r="E76" s="9" t="s">
        <v>380</v>
      </c>
      <c r="F76" s="9" t="s">
        <v>1166</v>
      </c>
      <c r="G76" s="9" t="s">
        <v>1177</v>
      </c>
      <c r="H76" s="9" t="s">
        <v>1165</v>
      </c>
      <c r="I76" s="284">
        <v>31048.36</v>
      </c>
      <c r="J76" s="2">
        <v>32971</v>
      </c>
    </row>
    <row r="77" spans="2:10" x14ac:dyDescent="0.2">
      <c r="B77" s="50"/>
      <c r="C77" s="9">
        <v>1067</v>
      </c>
      <c r="D77" s="9" t="s">
        <v>381</v>
      </c>
      <c r="E77" s="9" t="s">
        <v>382</v>
      </c>
      <c r="F77" s="9" t="s">
        <v>1178</v>
      </c>
      <c r="G77" s="9" t="s">
        <v>1173</v>
      </c>
      <c r="H77" s="9" t="s">
        <v>1168</v>
      </c>
      <c r="I77" s="284">
        <v>36939.839999999997</v>
      </c>
      <c r="J77" s="2">
        <v>32040</v>
      </c>
    </row>
    <row r="78" spans="2:10" x14ac:dyDescent="0.2">
      <c r="B78" s="50"/>
      <c r="C78" s="9">
        <v>1068</v>
      </c>
      <c r="D78" s="9" t="s">
        <v>383</v>
      </c>
      <c r="E78" s="9" t="s">
        <v>384</v>
      </c>
      <c r="F78" s="9" t="s">
        <v>1181</v>
      </c>
      <c r="G78" s="9" t="s">
        <v>1167</v>
      </c>
      <c r="H78" s="9" t="s">
        <v>257</v>
      </c>
      <c r="I78" s="284">
        <v>47883.199999999997</v>
      </c>
      <c r="J78" s="2">
        <v>32032</v>
      </c>
    </row>
    <row r="79" spans="2:10" x14ac:dyDescent="0.2">
      <c r="B79" s="50"/>
      <c r="C79" s="9">
        <v>1922</v>
      </c>
      <c r="D79" s="9" t="s">
        <v>295</v>
      </c>
      <c r="E79" s="9" t="s">
        <v>385</v>
      </c>
      <c r="F79" s="9" t="s">
        <v>1174</v>
      </c>
      <c r="G79" s="9" t="s">
        <v>1167</v>
      </c>
      <c r="H79" s="9" t="s">
        <v>257</v>
      </c>
      <c r="I79" s="284">
        <v>28404.799999999999</v>
      </c>
      <c r="J79" s="2">
        <v>31751</v>
      </c>
    </row>
    <row r="80" spans="2:10" x14ac:dyDescent="0.2">
      <c r="B80" s="50"/>
      <c r="C80" s="9">
        <v>1923</v>
      </c>
      <c r="D80" s="9" t="s">
        <v>4</v>
      </c>
      <c r="E80" s="9" t="s">
        <v>386</v>
      </c>
      <c r="F80" s="9" t="s">
        <v>1175</v>
      </c>
      <c r="G80" s="9" t="s">
        <v>264</v>
      </c>
      <c r="H80" s="9" t="s">
        <v>1168</v>
      </c>
      <c r="I80" s="284">
        <v>47985.599999999999</v>
      </c>
      <c r="J80" s="2">
        <v>31743</v>
      </c>
    </row>
    <row r="81" spans="2:10" x14ac:dyDescent="0.2">
      <c r="B81" s="50"/>
      <c r="C81" s="9">
        <v>1573</v>
      </c>
      <c r="D81" s="9" t="s">
        <v>387</v>
      </c>
      <c r="E81" s="9" t="s">
        <v>388</v>
      </c>
      <c r="F81" s="9" t="s">
        <v>267</v>
      </c>
      <c r="G81" s="9" t="s">
        <v>254</v>
      </c>
      <c r="H81" s="9" t="s">
        <v>1168</v>
      </c>
      <c r="I81" s="284">
        <v>35889.480000000003</v>
      </c>
      <c r="J81" s="2">
        <v>32331</v>
      </c>
    </row>
    <row r="82" spans="2:10" x14ac:dyDescent="0.2">
      <c r="B82" s="50"/>
      <c r="C82" s="9">
        <v>1695</v>
      </c>
      <c r="D82" s="9" t="s">
        <v>389</v>
      </c>
      <c r="E82" s="9" t="s">
        <v>378</v>
      </c>
      <c r="F82" s="9" t="s">
        <v>1178</v>
      </c>
      <c r="G82" s="9" t="s">
        <v>1173</v>
      </c>
      <c r="H82" s="9" t="s">
        <v>1168</v>
      </c>
      <c r="I82" s="284">
        <v>38094.21</v>
      </c>
      <c r="J82" s="2">
        <v>30975</v>
      </c>
    </row>
    <row r="83" spans="2:10" x14ac:dyDescent="0.2">
      <c r="B83" s="50"/>
      <c r="C83" s="9">
        <v>1360</v>
      </c>
      <c r="D83" s="9" t="s">
        <v>390</v>
      </c>
      <c r="E83" s="9" t="s">
        <v>391</v>
      </c>
      <c r="F83" s="9" t="s">
        <v>1166</v>
      </c>
      <c r="G83" s="9" t="s">
        <v>1167</v>
      </c>
      <c r="H83" s="9" t="s">
        <v>1165</v>
      </c>
      <c r="I83" s="284">
        <v>33051.480000000003</v>
      </c>
      <c r="J83" s="2">
        <v>32356</v>
      </c>
    </row>
    <row r="84" spans="2:10" x14ac:dyDescent="0.2">
      <c r="B84" s="50"/>
      <c r="C84" s="9">
        <v>1574</v>
      </c>
      <c r="D84" s="9" t="s">
        <v>392</v>
      </c>
      <c r="E84" s="9" t="s">
        <v>393</v>
      </c>
      <c r="F84" s="9" t="s">
        <v>1183</v>
      </c>
      <c r="G84" s="9" t="s">
        <v>1167</v>
      </c>
      <c r="H84" s="9" t="s">
        <v>1168</v>
      </c>
      <c r="I84" s="284">
        <v>50651.37</v>
      </c>
      <c r="J84" s="2">
        <v>31452</v>
      </c>
    </row>
    <row r="85" spans="2:10" x14ac:dyDescent="0.2">
      <c r="B85" s="50"/>
      <c r="C85" s="9">
        <v>1977</v>
      </c>
      <c r="D85" s="9" t="s">
        <v>394</v>
      </c>
      <c r="E85" s="9" t="s">
        <v>395</v>
      </c>
      <c r="F85" s="9" t="s">
        <v>1169</v>
      </c>
      <c r="G85" s="9" t="s">
        <v>1167</v>
      </c>
      <c r="H85" s="9" t="s">
        <v>1168</v>
      </c>
      <c r="I85" s="284">
        <v>48785.55</v>
      </c>
      <c r="J85" s="2">
        <v>33490</v>
      </c>
    </row>
    <row r="86" spans="2:10" x14ac:dyDescent="0.2">
      <c r="B86" s="50"/>
      <c r="C86" s="9">
        <v>1572</v>
      </c>
      <c r="D86" s="9" t="s">
        <v>396</v>
      </c>
      <c r="E86" s="9" t="s">
        <v>397</v>
      </c>
      <c r="F86" s="9" t="s">
        <v>1180</v>
      </c>
      <c r="G86" s="9" t="s">
        <v>1167</v>
      </c>
      <c r="H86" s="9" t="s">
        <v>257</v>
      </c>
      <c r="I86" s="284">
        <v>34605.449999999997</v>
      </c>
      <c r="J86" s="2">
        <v>32339</v>
      </c>
    </row>
    <row r="87" spans="2:10" x14ac:dyDescent="0.2">
      <c r="B87" s="50"/>
      <c r="C87" s="9">
        <v>1906</v>
      </c>
      <c r="D87" s="9" t="s">
        <v>398</v>
      </c>
      <c r="E87" s="9" t="s">
        <v>399</v>
      </c>
      <c r="F87" s="9" t="s">
        <v>1166</v>
      </c>
      <c r="G87" s="9" t="s">
        <v>264</v>
      </c>
      <c r="H87" s="9" t="s">
        <v>257</v>
      </c>
      <c r="I87" s="284">
        <v>31916.94</v>
      </c>
      <c r="J87" s="2">
        <v>32779</v>
      </c>
    </row>
    <row r="88" spans="2:10" x14ac:dyDescent="0.2">
      <c r="B88" s="50"/>
      <c r="C88" s="9">
        <v>1907</v>
      </c>
      <c r="D88" s="9" t="s">
        <v>400</v>
      </c>
      <c r="E88" s="9" t="s">
        <v>401</v>
      </c>
      <c r="F88" s="9" t="s">
        <v>1166</v>
      </c>
      <c r="G88" s="9" t="s">
        <v>264</v>
      </c>
      <c r="H88" s="9" t="s">
        <v>257</v>
      </c>
      <c r="I88" s="284">
        <v>33051.480000000003</v>
      </c>
      <c r="J88" s="2">
        <v>32771</v>
      </c>
    </row>
    <row r="89" spans="2:10" x14ac:dyDescent="0.2">
      <c r="B89" s="50"/>
      <c r="C89" s="9">
        <v>1359</v>
      </c>
      <c r="D89" s="9" t="s">
        <v>402</v>
      </c>
      <c r="E89" s="9" t="s">
        <v>281</v>
      </c>
      <c r="F89" s="9" t="s">
        <v>1175</v>
      </c>
      <c r="G89" s="9" t="s">
        <v>264</v>
      </c>
      <c r="H89" s="9" t="s">
        <v>257</v>
      </c>
      <c r="I89" s="284">
        <v>49485.15</v>
      </c>
      <c r="J89" s="2">
        <v>33094</v>
      </c>
    </row>
    <row r="90" spans="2:10" x14ac:dyDescent="0.2">
      <c r="B90" s="50"/>
      <c r="C90" s="9">
        <v>1361</v>
      </c>
      <c r="D90" s="9" t="s">
        <v>403</v>
      </c>
      <c r="E90" s="9" t="s">
        <v>404</v>
      </c>
      <c r="F90" s="9" t="s">
        <v>1180</v>
      </c>
      <c r="G90" s="9" t="s">
        <v>1177</v>
      </c>
      <c r="H90" s="9" t="s">
        <v>257</v>
      </c>
      <c r="I90" s="284">
        <v>34605.449999999997</v>
      </c>
      <c r="J90" s="2">
        <v>32346</v>
      </c>
    </row>
    <row r="91" spans="2:10" x14ac:dyDescent="0.2">
      <c r="B91" s="50"/>
      <c r="C91" s="9">
        <v>1368</v>
      </c>
      <c r="D91" s="9" t="s">
        <v>405</v>
      </c>
      <c r="E91" s="9" t="s">
        <v>406</v>
      </c>
      <c r="F91" s="9" t="s">
        <v>1166</v>
      </c>
      <c r="G91" s="9" t="s">
        <v>1171</v>
      </c>
      <c r="H91" s="9" t="s">
        <v>1168</v>
      </c>
      <c r="I91" s="284">
        <v>32884.120000000003</v>
      </c>
      <c r="J91" s="2">
        <v>30386</v>
      </c>
    </row>
    <row r="92" spans="2:10" x14ac:dyDescent="0.2">
      <c r="B92" s="50"/>
      <c r="C92" s="9">
        <v>1815</v>
      </c>
      <c r="D92" s="9" t="s">
        <v>407</v>
      </c>
      <c r="E92" s="9" t="s">
        <v>408</v>
      </c>
      <c r="F92" s="9" t="s">
        <v>1182</v>
      </c>
      <c r="G92" s="9" t="s">
        <v>1167</v>
      </c>
      <c r="H92" s="9" t="s">
        <v>1165</v>
      </c>
      <c r="I92" s="284">
        <v>70934.880000000005</v>
      </c>
      <c r="J92" s="2">
        <v>29276</v>
      </c>
    </row>
    <row r="93" spans="2:10" x14ac:dyDescent="0.2">
      <c r="B93" s="50"/>
      <c r="C93" s="9">
        <v>1369</v>
      </c>
      <c r="D93" s="9" t="s">
        <v>409</v>
      </c>
      <c r="E93" s="9" t="s">
        <v>327</v>
      </c>
      <c r="F93" s="9" t="s">
        <v>1184</v>
      </c>
      <c r="G93" s="9" t="s">
        <v>1177</v>
      </c>
      <c r="H93" s="9" t="s">
        <v>1168</v>
      </c>
      <c r="I93" s="284">
        <v>57756.480000000003</v>
      </c>
      <c r="J93" s="2">
        <v>30378</v>
      </c>
    </row>
    <row r="94" spans="2:10" x14ac:dyDescent="0.2">
      <c r="B94" s="50"/>
      <c r="C94" s="9">
        <v>1370</v>
      </c>
      <c r="D94" s="9" t="s">
        <v>410</v>
      </c>
      <c r="E94" s="9" t="s">
        <v>411</v>
      </c>
      <c r="F94" s="9" t="s">
        <v>1176</v>
      </c>
      <c r="G94" s="9" t="s">
        <v>1177</v>
      </c>
      <c r="H94" s="9" t="s">
        <v>257</v>
      </c>
      <c r="I94" s="284">
        <v>53685.32</v>
      </c>
      <c r="J94" s="2">
        <v>32108</v>
      </c>
    </row>
    <row r="95" spans="2:10" x14ac:dyDescent="0.2">
      <c r="B95" s="50"/>
      <c r="C95" s="9">
        <v>1908</v>
      </c>
      <c r="D95" s="9" t="s">
        <v>412</v>
      </c>
      <c r="E95" s="9" t="s">
        <v>413</v>
      </c>
      <c r="F95" s="9" t="s">
        <v>414</v>
      </c>
      <c r="G95" s="9" t="s">
        <v>1171</v>
      </c>
      <c r="H95" s="9" t="s">
        <v>1168</v>
      </c>
      <c r="I95" s="284">
        <v>72819.600000000006</v>
      </c>
      <c r="J95" s="2">
        <v>30817</v>
      </c>
    </row>
    <row r="96" spans="2:10" x14ac:dyDescent="0.2">
      <c r="B96" s="50"/>
      <c r="C96" s="9">
        <v>1428</v>
      </c>
      <c r="D96" s="9" t="s">
        <v>415</v>
      </c>
      <c r="E96" s="9" t="s">
        <v>416</v>
      </c>
      <c r="F96" s="9" t="s">
        <v>1183</v>
      </c>
      <c r="G96" s="9" t="s">
        <v>1167</v>
      </c>
      <c r="H96" s="9" t="s">
        <v>257</v>
      </c>
      <c r="I96" s="284">
        <v>53721.15</v>
      </c>
      <c r="J96" s="2">
        <v>31728</v>
      </c>
    </row>
    <row r="97" spans="2:10" x14ac:dyDescent="0.2">
      <c r="B97" s="50"/>
      <c r="C97" s="9">
        <v>1352</v>
      </c>
      <c r="D97" s="9" t="s">
        <v>417</v>
      </c>
      <c r="E97" s="9" t="s">
        <v>418</v>
      </c>
      <c r="F97" s="9" t="s">
        <v>1174</v>
      </c>
      <c r="G97" s="9" t="s">
        <v>1167</v>
      </c>
      <c r="H97" s="9" t="s">
        <v>257</v>
      </c>
      <c r="I97" s="284">
        <v>31067.75</v>
      </c>
      <c r="J97" s="2">
        <v>30212</v>
      </c>
    </row>
    <row r="98" spans="2:10" x14ac:dyDescent="0.2">
      <c r="B98" s="50"/>
      <c r="C98" s="9">
        <v>1353</v>
      </c>
      <c r="D98" s="9" t="s">
        <v>419</v>
      </c>
      <c r="E98" s="9" t="s">
        <v>420</v>
      </c>
      <c r="F98" s="9" t="s">
        <v>1184</v>
      </c>
      <c r="G98" s="9" t="s">
        <v>1177</v>
      </c>
      <c r="H98" s="9" t="s">
        <v>257</v>
      </c>
      <c r="I98" s="284">
        <v>59455.199999999997</v>
      </c>
      <c r="J98" s="2">
        <v>30204</v>
      </c>
    </row>
    <row r="99" spans="2:10" x14ac:dyDescent="0.2">
      <c r="B99" s="50"/>
      <c r="C99" s="9">
        <v>1427</v>
      </c>
      <c r="D99" s="9" t="s">
        <v>421</v>
      </c>
      <c r="E99" s="9" t="s">
        <v>422</v>
      </c>
      <c r="F99" s="9" t="s">
        <v>1184</v>
      </c>
      <c r="G99" s="9" t="s">
        <v>1177</v>
      </c>
      <c r="H99" s="9" t="s">
        <v>1165</v>
      </c>
      <c r="I99" s="284">
        <v>59455.199999999997</v>
      </c>
      <c r="J99" s="2">
        <v>28368</v>
      </c>
    </row>
    <row r="100" spans="2:10" x14ac:dyDescent="0.2">
      <c r="B100" s="50"/>
      <c r="C100" s="9">
        <v>1291</v>
      </c>
      <c r="D100" s="9" t="s">
        <v>423</v>
      </c>
      <c r="E100" s="9" t="s">
        <v>424</v>
      </c>
      <c r="F100" s="9" t="s">
        <v>1166</v>
      </c>
      <c r="G100" s="9" t="s">
        <v>1171</v>
      </c>
      <c r="H100" s="9" t="s">
        <v>257</v>
      </c>
      <c r="I100" s="284">
        <v>35785.660000000003</v>
      </c>
      <c r="J100" s="2">
        <v>31042</v>
      </c>
    </row>
    <row r="101" spans="2:10" x14ac:dyDescent="0.2">
      <c r="B101" s="50"/>
      <c r="C101" s="9">
        <v>1292</v>
      </c>
      <c r="D101" s="9" t="s">
        <v>425</v>
      </c>
      <c r="E101" s="9" t="s">
        <v>426</v>
      </c>
      <c r="F101" s="9" t="s">
        <v>1170</v>
      </c>
      <c r="G101" s="9" t="s">
        <v>264</v>
      </c>
      <c r="H101" s="9" t="s">
        <v>257</v>
      </c>
      <c r="I101" s="284">
        <v>51339.72</v>
      </c>
      <c r="J101" s="2">
        <v>32101</v>
      </c>
    </row>
    <row r="102" spans="2:10" x14ac:dyDescent="0.2">
      <c r="B102" s="50"/>
      <c r="C102" s="9">
        <v>1725</v>
      </c>
      <c r="D102" s="9" t="s">
        <v>427</v>
      </c>
      <c r="E102" s="9" t="s">
        <v>316</v>
      </c>
      <c r="F102" s="9" t="s">
        <v>414</v>
      </c>
      <c r="G102" s="9" t="s">
        <v>1171</v>
      </c>
      <c r="H102" s="9" t="s">
        <v>257</v>
      </c>
      <c r="I102" s="284">
        <v>79061.279999999999</v>
      </c>
      <c r="J102" s="2">
        <v>28533</v>
      </c>
    </row>
    <row r="103" spans="2:10" x14ac:dyDescent="0.2">
      <c r="B103" s="50"/>
      <c r="C103" s="9">
        <v>1302</v>
      </c>
      <c r="D103" s="9" t="s">
        <v>428</v>
      </c>
      <c r="E103" s="9" t="s">
        <v>388</v>
      </c>
      <c r="F103" s="9" t="s">
        <v>1182</v>
      </c>
      <c r="G103" s="9" t="s">
        <v>1167</v>
      </c>
      <c r="H103" s="9" t="s">
        <v>1168</v>
      </c>
      <c r="I103" s="284">
        <v>79280.160000000003</v>
      </c>
      <c r="J103" s="2">
        <v>30892</v>
      </c>
    </row>
    <row r="104" spans="2:10" x14ac:dyDescent="0.2">
      <c r="B104" s="50"/>
      <c r="C104" s="9">
        <v>1301</v>
      </c>
      <c r="D104" s="9" t="s">
        <v>429</v>
      </c>
      <c r="E104" s="9" t="s">
        <v>430</v>
      </c>
      <c r="F104" s="9" t="s">
        <v>1183</v>
      </c>
      <c r="G104" s="9" t="s">
        <v>1167</v>
      </c>
      <c r="H104" s="9" t="s">
        <v>257</v>
      </c>
      <c r="I104" s="284">
        <v>58325.82</v>
      </c>
      <c r="J104" s="2">
        <v>31421</v>
      </c>
    </row>
    <row r="105" spans="2:10" x14ac:dyDescent="0.2">
      <c r="B105" s="50"/>
      <c r="C105" s="9">
        <v>1154</v>
      </c>
      <c r="D105" s="9" t="s">
        <v>431</v>
      </c>
      <c r="E105" s="9" t="s">
        <v>432</v>
      </c>
      <c r="F105" s="9" t="s">
        <v>1169</v>
      </c>
      <c r="G105" s="9" t="s">
        <v>1167</v>
      </c>
      <c r="H105" s="9" t="s">
        <v>1165</v>
      </c>
      <c r="I105" s="284">
        <v>56177.3</v>
      </c>
      <c r="J105" s="2">
        <v>31965</v>
      </c>
    </row>
    <row r="106" spans="2:10" x14ac:dyDescent="0.2">
      <c r="B106" s="50"/>
      <c r="C106" s="9">
        <v>1303</v>
      </c>
      <c r="D106" s="9" t="s">
        <v>433</v>
      </c>
      <c r="E106" s="9" t="s">
        <v>434</v>
      </c>
      <c r="F106" s="9" t="s">
        <v>1169</v>
      </c>
      <c r="G106" s="9" t="s">
        <v>1167</v>
      </c>
      <c r="H106" s="9" t="s">
        <v>257</v>
      </c>
      <c r="I106" s="284">
        <v>56177.3</v>
      </c>
      <c r="J106" s="2">
        <v>32205</v>
      </c>
    </row>
    <row r="107" spans="2:10" x14ac:dyDescent="0.2">
      <c r="B107" s="50"/>
      <c r="C107" s="9">
        <v>1294</v>
      </c>
      <c r="D107" s="9" t="s">
        <v>435</v>
      </c>
      <c r="E107" s="9" t="s">
        <v>335</v>
      </c>
      <c r="F107" s="9" t="s">
        <v>1181</v>
      </c>
      <c r="G107" s="9" t="s">
        <v>1167</v>
      </c>
      <c r="H107" s="9" t="s">
        <v>1168</v>
      </c>
      <c r="I107" s="284">
        <v>58357.65</v>
      </c>
      <c r="J107" s="2">
        <v>30931</v>
      </c>
    </row>
    <row r="108" spans="2:10" x14ac:dyDescent="0.2">
      <c r="B108" s="50"/>
      <c r="C108" s="9">
        <v>1293</v>
      </c>
      <c r="D108" s="9" t="s">
        <v>436</v>
      </c>
      <c r="E108" s="9" t="s">
        <v>437</v>
      </c>
      <c r="F108" s="9" t="s">
        <v>1180</v>
      </c>
      <c r="G108" s="9" t="s">
        <v>1167</v>
      </c>
      <c r="H108" s="9" t="s">
        <v>257</v>
      </c>
      <c r="I108" s="284">
        <v>40897.35</v>
      </c>
      <c r="J108" s="2">
        <v>30939</v>
      </c>
    </row>
    <row r="109" spans="2:10" x14ac:dyDescent="0.2">
      <c r="B109" s="50"/>
      <c r="C109" s="9">
        <v>1725</v>
      </c>
      <c r="D109" s="9" t="s">
        <v>438</v>
      </c>
      <c r="E109" s="9" t="s">
        <v>337</v>
      </c>
      <c r="F109" s="9" t="s">
        <v>1182</v>
      </c>
      <c r="G109" s="9" t="s">
        <v>264</v>
      </c>
      <c r="H109" s="9" t="s">
        <v>1165</v>
      </c>
      <c r="I109" s="284">
        <v>97096.35</v>
      </c>
      <c r="J109" s="2">
        <v>28523</v>
      </c>
    </row>
    <row r="110" spans="2:10" x14ac:dyDescent="0.2">
      <c r="B110" s="50"/>
      <c r="C110" s="9">
        <v>1724</v>
      </c>
      <c r="D110" s="9" t="s">
        <v>439</v>
      </c>
      <c r="E110" s="9" t="s">
        <v>312</v>
      </c>
      <c r="F110" s="9" t="s">
        <v>1175</v>
      </c>
      <c r="G110" s="9" t="s">
        <v>264</v>
      </c>
      <c r="H110" s="9" t="s">
        <v>257</v>
      </c>
      <c r="I110" s="284">
        <v>58482.45</v>
      </c>
      <c r="J110" s="2">
        <v>28531</v>
      </c>
    </row>
    <row r="111" spans="2:10" x14ac:dyDescent="0.2">
      <c r="B111" s="50"/>
      <c r="C111" s="9">
        <v>1080</v>
      </c>
      <c r="D111" s="9" t="s">
        <v>440</v>
      </c>
      <c r="E111" s="9" t="s">
        <v>441</v>
      </c>
      <c r="F111" s="9" t="s">
        <v>1176</v>
      </c>
      <c r="G111" s="9" t="s">
        <v>1177</v>
      </c>
      <c r="H111" s="9" t="s">
        <v>257</v>
      </c>
      <c r="I111" s="284">
        <v>64738.18</v>
      </c>
      <c r="J111" s="2">
        <v>32445</v>
      </c>
    </row>
    <row r="112" spans="2:10" x14ac:dyDescent="0.2">
      <c r="B112" s="50"/>
      <c r="C112" s="9">
        <v>1968</v>
      </c>
      <c r="D112" s="9" t="s">
        <v>442</v>
      </c>
      <c r="E112" s="9" t="s">
        <v>443</v>
      </c>
      <c r="F112" s="9" t="s">
        <v>1185</v>
      </c>
      <c r="G112" s="9" t="s">
        <v>1171</v>
      </c>
      <c r="H112" s="9" t="s">
        <v>257</v>
      </c>
      <c r="I112" s="284">
        <v>65821.56</v>
      </c>
      <c r="J112" s="2">
        <v>30046</v>
      </c>
    </row>
    <row r="113" spans="2:10" x14ac:dyDescent="0.2">
      <c r="B113" s="50"/>
      <c r="C113" s="9">
        <v>1950</v>
      </c>
      <c r="D113" s="9" t="s">
        <v>444</v>
      </c>
      <c r="E113" s="9" t="s">
        <v>445</v>
      </c>
      <c r="F113" s="9" t="s">
        <v>1182</v>
      </c>
      <c r="G113" s="9" t="s">
        <v>264</v>
      </c>
      <c r="H113" s="9" t="s">
        <v>1168</v>
      </c>
      <c r="I113" s="284">
        <v>104565.3</v>
      </c>
      <c r="J113" s="2">
        <v>29863</v>
      </c>
    </row>
    <row r="114" spans="2:10" x14ac:dyDescent="0.2">
      <c r="B114" s="50"/>
      <c r="C114" s="9">
        <v>1949</v>
      </c>
      <c r="D114" s="9" t="s">
        <v>446</v>
      </c>
      <c r="E114" s="9" t="s">
        <v>447</v>
      </c>
      <c r="F114" s="9" t="s">
        <v>1175</v>
      </c>
      <c r="G114" s="9" t="s">
        <v>264</v>
      </c>
      <c r="H114" s="9" t="s">
        <v>1165</v>
      </c>
      <c r="I114" s="284">
        <v>62981.1</v>
      </c>
      <c r="J114" s="2">
        <v>29871</v>
      </c>
    </row>
    <row r="115" spans="2:10" x14ac:dyDescent="0.2">
      <c r="B115" s="50"/>
      <c r="C115" s="9">
        <v>1967</v>
      </c>
      <c r="D115" s="9" t="s">
        <v>448</v>
      </c>
      <c r="E115" s="9" t="s">
        <v>291</v>
      </c>
      <c r="F115" s="9" t="s">
        <v>1170</v>
      </c>
      <c r="G115" s="9" t="s">
        <v>264</v>
      </c>
      <c r="H115" s="9" t="s">
        <v>1165</v>
      </c>
      <c r="I115" s="284">
        <v>58277.52</v>
      </c>
      <c r="J115" s="2">
        <v>30054</v>
      </c>
    </row>
    <row r="116" spans="2:10" x14ac:dyDescent="0.2">
      <c r="B116" s="50"/>
      <c r="C116" s="9">
        <v>1969</v>
      </c>
      <c r="D116" s="9" t="s">
        <v>449</v>
      </c>
      <c r="E116" s="9" t="s">
        <v>450</v>
      </c>
      <c r="F116" s="9" t="s">
        <v>1170</v>
      </c>
      <c r="G116" s="9" t="s">
        <v>264</v>
      </c>
      <c r="H116" s="9" t="s">
        <v>257</v>
      </c>
      <c r="I116" s="284">
        <v>58277.52</v>
      </c>
      <c r="J116" s="2">
        <v>32612</v>
      </c>
    </row>
    <row r="117" spans="2:10" x14ac:dyDescent="0.2">
      <c r="B117" s="50"/>
      <c r="C117" s="9">
        <v>1932</v>
      </c>
      <c r="D117" s="9" t="s">
        <v>451</v>
      </c>
      <c r="E117" s="9" t="s">
        <v>350</v>
      </c>
      <c r="F117" s="9" t="s">
        <v>267</v>
      </c>
      <c r="G117" s="9" t="s">
        <v>254</v>
      </c>
      <c r="H117" s="9" t="s">
        <v>1168</v>
      </c>
      <c r="I117" s="284">
        <v>47852.639999999999</v>
      </c>
      <c r="J117" s="2">
        <v>32671</v>
      </c>
    </row>
    <row r="118" spans="2:10" x14ac:dyDescent="0.2">
      <c r="B118" s="50"/>
      <c r="C118" s="9">
        <v>1933</v>
      </c>
      <c r="D118" s="9" t="s">
        <v>452</v>
      </c>
      <c r="E118" s="9" t="s">
        <v>277</v>
      </c>
      <c r="F118" s="9" t="s">
        <v>1183</v>
      </c>
      <c r="G118" s="9" t="s">
        <v>1167</v>
      </c>
      <c r="H118" s="9" t="s">
        <v>1168</v>
      </c>
      <c r="I118" s="284">
        <v>67535.16</v>
      </c>
      <c r="J118" s="2">
        <v>30689</v>
      </c>
    </row>
    <row r="119" spans="2:10" x14ac:dyDescent="0.2">
      <c r="B119" s="50"/>
      <c r="C119" s="9">
        <v>1354</v>
      </c>
      <c r="D119" s="9" t="s">
        <v>453</v>
      </c>
      <c r="E119" s="9" t="s">
        <v>454</v>
      </c>
      <c r="F119" s="9" t="s">
        <v>1183</v>
      </c>
      <c r="G119" s="9" t="s">
        <v>1167</v>
      </c>
      <c r="H119" s="9" t="s">
        <v>1165</v>
      </c>
      <c r="I119" s="284">
        <v>69070.05</v>
      </c>
      <c r="J119" s="2">
        <v>31538</v>
      </c>
    </row>
    <row r="120" spans="2:10" x14ac:dyDescent="0.2">
      <c r="B120" s="50"/>
      <c r="C120" s="9">
        <v>1962</v>
      </c>
      <c r="D120" s="9" t="s">
        <v>455</v>
      </c>
      <c r="E120" s="9" t="s">
        <v>456</v>
      </c>
      <c r="F120" s="9" t="s">
        <v>1170</v>
      </c>
      <c r="G120" s="9" t="s">
        <v>264</v>
      </c>
      <c r="H120" s="9" t="s">
        <v>257</v>
      </c>
      <c r="I120" s="284">
        <v>66602.880000000005</v>
      </c>
      <c r="J120" s="2">
        <v>32072</v>
      </c>
    </row>
    <row r="121" spans="2:10" x14ac:dyDescent="0.2">
      <c r="B121" s="50"/>
      <c r="C121" s="9">
        <v>1076</v>
      </c>
      <c r="D121" s="9" t="s">
        <v>457</v>
      </c>
      <c r="E121" s="9" t="s">
        <v>458</v>
      </c>
      <c r="F121" s="9" t="s">
        <v>1179</v>
      </c>
      <c r="G121" s="9" t="s">
        <v>1167</v>
      </c>
      <c r="H121" s="9" t="s">
        <v>1165</v>
      </c>
      <c r="I121" s="284">
        <v>105753.02</v>
      </c>
      <c r="J121" s="2">
        <v>29066</v>
      </c>
    </row>
    <row r="122" spans="2:10" x14ac:dyDescent="0.2">
      <c r="B122" s="50"/>
      <c r="C122" s="9">
        <v>1696</v>
      </c>
      <c r="D122" s="9" t="s">
        <v>260</v>
      </c>
      <c r="E122" s="9" t="s">
        <v>459</v>
      </c>
      <c r="F122" s="9" t="s">
        <v>1181</v>
      </c>
      <c r="G122" s="9" t="s">
        <v>1167</v>
      </c>
      <c r="H122" s="9" t="s">
        <v>1165</v>
      </c>
      <c r="I122" s="284">
        <v>79306.55</v>
      </c>
      <c r="J122" s="2">
        <v>30967</v>
      </c>
    </row>
    <row r="123" spans="2:10" x14ac:dyDescent="0.2">
      <c r="B123" s="50"/>
      <c r="C123" s="9">
        <v>1056</v>
      </c>
      <c r="D123" s="9" t="s">
        <v>460</v>
      </c>
      <c r="E123" s="9" t="s">
        <v>461</v>
      </c>
      <c r="F123" s="9" t="s">
        <v>414</v>
      </c>
      <c r="G123" s="9" t="s">
        <v>1171</v>
      </c>
      <c r="H123" s="9" t="s">
        <v>1165</v>
      </c>
      <c r="I123" s="284">
        <v>116511.36</v>
      </c>
      <c r="J123" s="2">
        <v>29153</v>
      </c>
    </row>
  </sheetData>
  <mergeCells count="2">
    <mergeCell ref="B6:E6"/>
    <mergeCell ref="B1:C1"/>
  </mergeCells>
  <hyperlinks>
    <hyperlink ref="B6:D6" location="Inhoud!A1" display="Ga naar Inhoudsopgave" xr:uid="{00000000-0004-0000-2500-000000000000}"/>
    <hyperlink ref="B6:E6" location="TOC!A1" display="Go to TOC" xr:uid="{00000000-0004-0000-2500-000001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Blad30"/>
  <dimension ref="B1:J7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7" width="11.28515625" style="4" customWidth="1"/>
    <col min="8" max="8" width="13.140625" style="4" customWidth="1"/>
    <col min="9" max="16384" width="9.140625" style="4"/>
  </cols>
  <sheetData>
    <row r="1" spans="2:10" s="9" customFormat="1" x14ac:dyDescent="0.2">
      <c r="B1" s="386" t="s">
        <v>1047</v>
      </c>
      <c r="C1" s="386"/>
      <c r="D1" s="263" t="s">
        <v>464</v>
      </c>
    </row>
    <row r="2" spans="2:10" x14ac:dyDescent="0.2">
      <c r="B2" s="263" t="s">
        <v>1124</v>
      </c>
      <c r="C2" s="263"/>
      <c r="D2" s="337" t="str">
        <f>VLOOKUP(D$1,TabelContent[],COLUMN(TabelContent[Titel-EN]))</f>
        <v>Salary totals</v>
      </c>
      <c r="E2" s="10"/>
      <c r="F2" s="10"/>
      <c r="G2" s="10"/>
      <c r="H2" s="10"/>
      <c r="I2" s="10"/>
    </row>
    <row r="3" spans="2:10" x14ac:dyDescent="0.2">
      <c r="B3" s="263" t="s">
        <v>1125</v>
      </c>
      <c r="C3" s="263"/>
      <c r="D3" s="337" t="str">
        <f>VLOOKUP(D$1,TabelContent[],COLUMN(TabelContent[Cat-EN]))</f>
        <v>Pivot table</v>
      </c>
      <c r="E3" s="10"/>
      <c r="F3" s="10"/>
      <c r="G3" s="10"/>
      <c r="H3" s="10"/>
      <c r="I3" s="10"/>
    </row>
    <row r="4" spans="2:10" x14ac:dyDescent="0.2">
      <c r="B4" s="263" t="s">
        <v>1126</v>
      </c>
      <c r="C4" s="263"/>
      <c r="D4" s="337">
        <f>VLOOKUP(D$1,TabelContent[],COLUMN(TabelContent[Niveau]))</f>
        <v>2</v>
      </c>
      <c r="E4" s="10"/>
      <c r="F4" s="10"/>
      <c r="G4" s="10"/>
      <c r="H4" s="10"/>
      <c r="I4" s="10"/>
    </row>
    <row r="5" spans="2:10" x14ac:dyDescent="0.2">
      <c r="B5" s="10"/>
      <c r="C5" s="10"/>
      <c r="D5" s="10"/>
      <c r="E5" s="10"/>
      <c r="F5" s="10"/>
      <c r="G5" s="10"/>
      <c r="H5" s="10"/>
      <c r="I5" s="10"/>
    </row>
    <row r="6" spans="2:10" x14ac:dyDescent="0.2">
      <c r="B6" s="387" t="s">
        <v>1132</v>
      </c>
      <c r="C6" s="387"/>
      <c r="D6" s="387"/>
      <c r="E6" s="10"/>
      <c r="F6" s="10"/>
      <c r="G6" s="10"/>
      <c r="H6" s="10"/>
      <c r="I6" s="10"/>
    </row>
    <row r="7" spans="2:10" x14ac:dyDescent="0.2">
      <c r="B7" s="10"/>
      <c r="C7" s="10"/>
      <c r="D7" s="73" t="s">
        <v>663</v>
      </c>
      <c r="E7" s="9" t="s">
        <v>264</v>
      </c>
      <c r="F7" s="10"/>
      <c r="G7" s="10"/>
      <c r="H7" s="10"/>
      <c r="I7" s="10"/>
    </row>
    <row r="8" spans="2:10" x14ac:dyDescent="0.2">
      <c r="B8" s="10"/>
      <c r="C8" s="10"/>
      <c r="D8"/>
      <c r="E8"/>
      <c r="F8"/>
      <c r="G8"/>
      <c r="H8"/>
      <c r="I8"/>
      <c r="J8"/>
    </row>
    <row r="9" spans="2:10" x14ac:dyDescent="0.2">
      <c r="B9" s="10"/>
      <c r="C9" s="10"/>
      <c r="D9" s="73" t="s">
        <v>670</v>
      </c>
      <c r="E9" s="73" t="s">
        <v>664</v>
      </c>
      <c r="F9"/>
      <c r="G9"/>
      <c r="H9"/>
      <c r="I9"/>
      <c r="J9"/>
    </row>
    <row r="10" spans="2:10" x14ac:dyDescent="0.2">
      <c r="B10" s="10"/>
      <c r="C10" s="10"/>
      <c r="D10" s="73" t="s">
        <v>662</v>
      </c>
      <c r="E10" s="9" t="s">
        <v>1165</v>
      </c>
      <c r="F10" s="9" t="s">
        <v>257</v>
      </c>
      <c r="G10" s="9" t="s">
        <v>1168</v>
      </c>
      <c r="H10" s="9" t="s">
        <v>667</v>
      </c>
      <c r="I10"/>
      <c r="J10"/>
    </row>
    <row r="11" spans="2:10" x14ac:dyDescent="0.2">
      <c r="B11" s="10"/>
      <c r="C11" s="10"/>
      <c r="D11" s="9" t="s">
        <v>1166</v>
      </c>
      <c r="E11" s="286">
        <v>55055.960000000006</v>
      </c>
      <c r="F11" s="286">
        <v>122994.68</v>
      </c>
      <c r="G11" s="286">
        <v>27081.040000000001</v>
      </c>
      <c r="H11" s="286">
        <v>205131.68000000002</v>
      </c>
      <c r="I11"/>
      <c r="J11"/>
    </row>
    <row r="12" spans="2:10" x14ac:dyDescent="0.2">
      <c r="B12" s="10"/>
      <c r="C12" s="10"/>
      <c r="D12" s="9" t="s">
        <v>1175</v>
      </c>
      <c r="E12" s="286">
        <v>140957.69999999998</v>
      </c>
      <c r="F12" s="286">
        <v>151454.54999999999</v>
      </c>
      <c r="G12" s="286">
        <v>131960.4</v>
      </c>
      <c r="H12" s="286">
        <v>424372.65</v>
      </c>
      <c r="I12"/>
      <c r="J12"/>
    </row>
    <row r="13" spans="2:10" x14ac:dyDescent="0.2">
      <c r="B13" s="10"/>
      <c r="C13" s="10"/>
      <c r="D13" s="9" t="s">
        <v>1170</v>
      </c>
      <c r="E13" s="286">
        <v>123492.84</v>
      </c>
      <c r="F13" s="286">
        <v>176220.12</v>
      </c>
      <c r="G13" s="286">
        <v>34689</v>
      </c>
      <c r="H13" s="286">
        <v>334401.95999999996</v>
      </c>
      <c r="I13" s="10"/>
    </row>
    <row r="14" spans="2:10" x14ac:dyDescent="0.2">
      <c r="B14" s="10"/>
      <c r="C14" s="10"/>
      <c r="D14" s="9" t="s">
        <v>1182</v>
      </c>
      <c r="E14" s="286">
        <v>97096.35</v>
      </c>
      <c r="F14" s="286">
        <v>77179.149999999994</v>
      </c>
      <c r="G14" s="286">
        <v>104565.3</v>
      </c>
      <c r="H14" s="286">
        <v>278840.8</v>
      </c>
      <c r="I14" s="10"/>
    </row>
    <row r="15" spans="2:10" x14ac:dyDescent="0.2">
      <c r="B15" s="10"/>
      <c r="C15" s="10"/>
      <c r="D15" s="9" t="s">
        <v>667</v>
      </c>
      <c r="E15" s="286">
        <v>416602.85</v>
      </c>
      <c r="F15" s="286">
        <v>527848.5</v>
      </c>
      <c r="G15" s="286">
        <v>298295.74</v>
      </c>
      <c r="H15" s="286">
        <v>1242747.0900000001</v>
      </c>
      <c r="I15" s="10"/>
    </row>
    <row r="16" spans="2:10" x14ac:dyDescent="0.2">
      <c r="B16" s="10"/>
      <c r="C16" s="10"/>
      <c r="D16"/>
      <c r="E16"/>
      <c r="F16"/>
      <c r="G16"/>
      <c r="H16"/>
      <c r="I16" s="10"/>
    </row>
    <row r="17" spans="2:9" x14ac:dyDescent="0.2">
      <c r="B17" s="10"/>
      <c r="C17" s="10"/>
      <c r="D17"/>
      <c r="E17"/>
      <c r="F17"/>
      <c r="G17"/>
      <c r="H17"/>
      <c r="I17" s="10"/>
    </row>
    <row r="18" spans="2:9" x14ac:dyDescent="0.2">
      <c r="B18" s="10"/>
      <c r="C18" s="10"/>
      <c r="D18"/>
      <c r="E18"/>
      <c r="F18"/>
      <c r="G18"/>
      <c r="H18"/>
      <c r="I18" s="10"/>
    </row>
    <row r="19" spans="2:9" x14ac:dyDescent="0.2">
      <c r="B19" s="10"/>
      <c r="C19" s="10"/>
      <c r="D19"/>
      <c r="E19"/>
      <c r="F19"/>
      <c r="G19"/>
      <c r="H19"/>
      <c r="I19" s="10"/>
    </row>
    <row r="20" spans="2:9" x14ac:dyDescent="0.2">
      <c r="B20" s="10"/>
      <c r="C20" s="10"/>
      <c r="D20"/>
      <c r="E20"/>
      <c r="F20"/>
      <c r="G20"/>
      <c r="H20"/>
      <c r="I20" s="10"/>
    </row>
    <row r="21" spans="2:9" x14ac:dyDescent="0.2">
      <c r="B21" s="10"/>
      <c r="C21" s="10"/>
      <c r="D21"/>
      <c r="E21"/>
      <c r="F21"/>
      <c r="G21"/>
      <c r="H21"/>
      <c r="I21" s="10"/>
    </row>
    <row r="22" spans="2:9" x14ac:dyDescent="0.2">
      <c r="B22" s="10"/>
      <c r="C22" s="10"/>
      <c r="D22"/>
      <c r="E22"/>
      <c r="F22"/>
      <c r="G22"/>
      <c r="H22"/>
      <c r="I22" s="10"/>
    </row>
    <row r="23" spans="2:9" x14ac:dyDescent="0.2">
      <c r="B23" s="10"/>
      <c r="C23" s="10"/>
      <c r="D23"/>
      <c r="E23"/>
      <c r="F23"/>
      <c r="G23"/>
      <c r="H23"/>
      <c r="I23" s="10"/>
    </row>
    <row r="24" spans="2:9" x14ac:dyDescent="0.2">
      <c r="B24" s="10"/>
      <c r="C24" s="10"/>
      <c r="D24"/>
      <c r="E24"/>
      <c r="F24"/>
      <c r="G24"/>
      <c r="H24"/>
      <c r="I24" s="10"/>
    </row>
    <row r="25" spans="2:9" x14ac:dyDescent="0.2">
      <c r="B25" s="10"/>
      <c r="C25" s="10"/>
      <c r="D25"/>
      <c r="E25"/>
      <c r="F25"/>
      <c r="G25"/>
      <c r="H25"/>
      <c r="I25" s="10"/>
    </row>
    <row r="26" spans="2:9" x14ac:dyDescent="0.2">
      <c r="B26" s="10"/>
      <c r="C26" s="10"/>
      <c r="D26"/>
      <c r="E26"/>
      <c r="F26"/>
      <c r="G26"/>
      <c r="H26"/>
      <c r="I26" s="10"/>
    </row>
    <row r="27" spans="2:9" x14ac:dyDescent="0.2">
      <c r="B27" s="10"/>
      <c r="C27" s="10"/>
      <c r="D27"/>
      <c r="E27"/>
      <c r="F27"/>
      <c r="G27"/>
      <c r="H27"/>
      <c r="I27" s="10"/>
    </row>
    <row r="28" spans="2:9" x14ac:dyDescent="0.2">
      <c r="B28" s="10"/>
      <c r="C28" s="10"/>
      <c r="D28"/>
      <c r="E28"/>
      <c r="F28"/>
      <c r="G28"/>
      <c r="H28"/>
      <c r="I28" s="10"/>
    </row>
    <row r="29" spans="2:9" x14ac:dyDescent="0.2">
      <c r="B29" s="10"/>
      <c r="C29" s="10"/>
      <c r="D29"/>
      <c r="E29"/>
      <c r="F29"/>
      <c r="G29"/>
      <c r="H29"/>
      <c r="I29" s="10"/>
    </row>
    <row r="30" spans="2:9" x14ac:dyDescent="0.2">
      <c r="B30" s="10"/>
      <c r="C30" s="10"/>
      <c r="D30" s="10"/>
      <c r="E30" s="10"/>
      <c r="F30" s="10"/>
      <c r="G30" s="10"/>
      <c r="H30" s="10"/>
      <c r="I30" s="10"/>
    </row>
    <row r="31" spans="2:9" x14ac:dyDescent="0.2">
      <c r="B31" s="10"/>
      <c r="C31" s="10"/>
      <c r="D31" s="10"/>
      <c r="E31" s="10"/>
      <c r="F31" s="10"/>
      <c r="G31" s="10"/>
      <c r="H31" s="10"/>
      <c r="I31" s="10"/>
    </row>
    <row r="32" spans="2:9" x14ac:dyDescent="0.2">
      <c r="B32" s="10"/>
      <c r="C32" s="10"/>
      <c r="D32" s="10"/>
      <c r="E32" s="10"/>
      <c r="F32" s="10"/>
      <c r="G32" s="10"/>
      <c r="H32" s="10"/>
      <c r="I32" s="10"/>
    </row>
    <row r="33" spans="2:9" x14ac:dyDescent="0.2">
      <c r="B33" s="10"/>
      <c r="C33" s="10"/>
      <c r="D33" s="10"/>
      <c r="E33" s="10"/>
      <c r="F33" s="10"/>
      <c r="G33" s="10"/>
      <c r="H33" s="10"/>
      <c r="I33" s="10"/>
    </row>
    <row r="34" spans="2:9" x14ac:dyDescent="0.2">
      <c r="B34" s="10"/>
      <c r="C34" s="10"/>
      <c r="D34" s="10"/>
      <c r="E34" s="10"/>
      <c r="F34" s="10"/>
      <c r="G34" s="10"/>
      <c r="H34" s="10"/>
      <c r="I34" s="10"/>
    </row>
    <row r="35" spans="2:9" x14ac:dyDescent="0.2">
      <c r="B35" s="10"/>
      <c r="C35" s="10"/>
      <c r="D35" s="10"/>
      <c r="E35" s="10"/>
      <c r="F35" s="10"/>
      <c r="G35" s="10"/>
      <c r="H35" s="10"/>
      <c r="I35" s="10"/>
    </row>
    <row r="36" spans="2:9" x14ac:dyDescent="0.2">
      <c r="B36" s="10"/>
      <c r="C36" s="10"/>
      <c r="D36" s="10"/>
      <c r="E36" s="10"/>
      <c r="F36" s="10"/>
      <c r="G36" s="10"/>
      <c r="H36" s="10"/>
      <c r="I36" s="10"/>
    </row>
    <row r="37" spans="2:9" x14ac:dyDescent="0.2">
      <c r="B37" s="10"/>
      <c r="C37" s="10"/>
      <c r="D37" s="10"/>
      <c r="E37" s="10"/>
      <c r="F37" s="10"/>
      <c r="G37" s="10"/>
      <c r="H37" s="10"/>
      <c r="I37" s="10"/>
    </row>
    <row r="38" spans="2:9" x14ac:dyDescent="0.2">
      <c r="B38" s="10"/>
      <c r="C38" s="10"/>
      <c r="D38" s="10"/>
      <c r="E38" s="10"/>
      <c r="F38" s="10"/>
      <c r="G38" s="10"/>
      <c r="H38" s="10"/>
      <c r="I38" s="10"/>
    </row>
    <row r="39" spans="2:9" x14ac:dyDescent="0.2">
      <c r="B39" s="10"/>
      <c r="C39" s="10"/>
      <c r="D39" s="10"/>
      <c r="E39" s="10"/>
      <c r="F39" s="10"/>
      <c r="G39" s="10"/>
      <c r="H39" s="10"/>
      <c r="I39" s="10"/>
    </row>
    <row r="40" spans="2:9" x14ac:dyDescent="0.2">
      <c r="B40" s="10"/>
      <c r="C40" s="10"/>
      <c r="D40" s="10"/>
      <c r="E40" s="10"/>
      <c r="F40" s="10"/>
      <c r="G40" s="10"/>
      <c r="H40" s="10"/>
      <c r="I40" s="10"/>
    </row>
    <row r="41" spans="2:9" x14ac:dyDescent="0.2">
      <c r="B41" s="10"/>
      <c r="C41" s="10"/>
      <c r="D41" s="10"/>
      <c r="E41" s="10"/>
      <c r="F41" s="10"/>
      <c r="G41" s="10"/>
      <c r="H41" s="10"/>
      <c r="I41" s="10"/>
    </row>
    <row r="42" spans="2:9" x14ac:dyDescent="0.2">
      <c r="B42" s="10"/>
      <c r="C42" s="10"/>
      <c r="D42" s="10"/>
      <c r="E42" s="10"/>
      <c r="F42" s="10"/>
      <c r="G42" s="10"/>
      <c r="H42" s="10"/>
      <c r="I42" s="10"/>
    </row>
    <row r="43" spans="2:9" x14ac:dyDescent="0.2">
      <c r="B43" s="10"/>
      <c r="C43" s="10"/>
      <c r="D43" s="10"/>
      <c r="E43" s="10"/>
      <c r="F43" s="10"/>
      <c r="G43" s="10"/>
      <c r="H43" s="10"/>
      <c r="I43" s="10"/>
    </row>
    <row r="44" spans="2:9" x14ac:dyDescent="0.2">
      <c r="B44" s="10"/>
      <c r="C44" s="10"/>
      <c r="D44" s="10"/>
      <c r="E44" s="10"/>
      <c r="F44" s="10"/>
      <c r="G44" s="10"/>
      <c r="H44" s="10"/>
      <c r="I44" s="10"/>
    </row>
    <row r="45" spans="2:9" x14ac:dyDescent="0.2">
      <c r="B45" s="10"/>
      <c r="C45" s="10"/>
      <c r="D45" s="10"/>
      <c r="E45" s="10"/>
      <c r="F45" s="10"/>
      <c r="G45" s="10"/>
      <c r="H45" s="10"/>
      <c r="I45" s="10"/>
    </row>
    <row r="46" spans="2:9" x14ac:dyDescent="0.2">
      <c r="B46" s="10"/>
      <c r="C46" s="10"/>
      <c r="D46" s="10"/>
      <c r="E46" s="10"/>
      <c r="F46" s="10"/>
      <c r="G46" s="10"/>
      <c r="H46" s="10"/>
      <c r="I46" s="10"/>
    </row>
    <row r="47" spans="2:9" x14ac:dyDescent="0.2">
      <c r="B47" s="10"/>
      <c r="C47" s="10"/>
      <c r="D47" s="10"/>
      <c r="E47" s="10"/>
      <c r="F47" s="10"/>
      <c r="G47" s="10"/>
      <c r="H47" s="10"/>
      <c r="I47" s="10"/>
    </row>
    <row r="48" spans="2:9" x14ac:dyDescent="0.2">
      <c r="B48" s="10"/>
      <c r="C48" s="10"/>
      <c r="D48" s="10"/>
      <c r="E48" s="10"/>
      <c r="F48" s="10"/>
      <c r="G48" s="10"/>
      <c r="H48" s="10"/>
      <c r="I48" s="10"/>
    </row>
    <row r="49" spans="2:9" x14ac:dyDescent="0.2">
      <c r="B49" s="10"/>
      <c r="C49" s="10"/>
      <c r="D49" s="10"/>
      <c r="E49" s="10"/>
      <c r="F49" s="10"/>
      <c r="G49" s="10"/>
      <c r="H49" s="10"/>
      <c r="I49" s="10"/>
    </row>
    <row r="50" spans="2:9" x14ac:dyDescent="0.2">
      <c r="B50" s="10"/>
      <c r="C50" s="10"/>
      <c r="D50" s="10"/>
      <c r="E50" s="10"/>
      <c r="F50" s="10"/>
      <c r="G50" s="10"/>
      <c r="H50" s="10"/>
      <c r="I50" s="10"/>
    </row>
    <row r="51" spans="2:9" x14ac:dyDescent="0.2">
      <c r="B51" s="10"/>
      <c r="C51" s="10"/>
      <c r="D51" s="10"/>
      <c r="E51" s="10"/>
      <c r="F51" s="10"/>
      <c r="G51" s="10"/>
      <c r="H51" s="10"/>
      <c r="I51" s="10"/>
    </row>
    <row r="52" spans="2:9" x14ac:dyDescent="0.2">
      <c r="B52" s="10"/>
      <c r="C52" s="10"/>
      <c r="D52" s="10"/>
      <c r="E52" s="10"/>
      <c r="F52" s="10"/>
      <c r="G52" s="10"/>
      <c r="H52" s="10"/>
      <c r="I52" s="10"/>
    </row>
    <row r="53" spans="2:9" x14ac:dyDescent="0.2">
      <c r="B53" s="10"/>
      <c r="C53" s="10"/>
      <c r="D53" s="10"/>
      <c r="E53" s="10"/>
      <c r="F53" s="10"/>
      <c r="G53" s="10"/>
      <c r="H53" s="10"/>
      <c r="I53" s="10"/>
    </row>
    <row r="54" spans="2:9" x14ac:dyDescent="0.2">
      <c r="B54" s="10"/>
      <c r="C54" s="10"/>
      <c r="D54" s="10"/>
      <c r="E54" s="10"/>
      <c r="F54" s="10"/>
      <c r="G54" s="10"/>
      <c r="H54" s="10"/>
      <c r="I54" s="10"/>
    </row>
    <row r="55" spans="2:9" x14ac:dyDescent="0.2">
      <c r="B55" s="10"/>
      <c r="C55" s="10"/>
      <c r="D55" s="10"/>
      <c r="E55" s="10"/>
      <c r="F55" s="10"/>
      <c r="G55" s="10"/>
      <c r="H55" s="10"/>
      <c r="I55" s="10"/>
    </row>
    <row r="56" spans="2:9" x14ac:dyDescent="0.2">
      <c r="B56" s="10"/>
      <c r="C56" s="10"/>
      <c r="D56" s="10"/>
      <c r="E56" s="10"/>
      <c r="F56" s="10"/>
      <c r="G56" s="10"/>
      <c r="H56" s="10"/>
      <c r="I56" s="10"/>
    </row>
    <row r="57" spans="2:9" x14ac:dyDescent="0.2">
      <c r="B57" s="10"/>
      <c r="C57" s="10"/>
      <c r="D57" s="10"/>
      <c r="E57" s="10"/>
      <c r="F57" s="10"/>
      <c r="G57" s="10"/>
      <c r="H57" s="10"/>
      <c r="I57" s="10"/>
    </row>
    <row r="58" spans="2:9" x14ac:dyDescent="0.2">
      <c r="B58" s="10"/>
      <c r="C58" s="10"/>
      <c r="D58" s="10"/>
      <c r="E58" s="10"/>
      <c r="F58" s="10"/>
      <c r="G58" s="10"/>
      <c r="H58" s="10"/>
      <c r="I58" s="10"/>
    </row>
    <row r="59" spans="2:9" x14ac:dyDescent="0.2">
      <c r="B59" s="10"/>
      <c r="C59" s="10"/>
      <c r="D59" s="10"/>
      <c r="E59" s="10"/>
      <c r="F59" s="10"/>
      <c r="G59" s="10"/>
      <c r="H59" s="10"/>
      <c r="I59" s="10"/>
    </row>
    <row r="60" spans="2:9" x14ac:dyDescent="0.2">
      <c r="B60" s="10"/>
      <c r="C60" s="10"/>
      <c r="D60" s="10"/>
      <c r="E60" s="10"/>
      <c r="F60" s="10"/>
      <c r="G60" s="10"/>
      <c r="H60" s="10"/>
      <c r="I60" s="10"/>
    </row>
    <row r="61" spans="2:9" x14ac:dyDescent="0.2">
      <c r="B61" s="10"/>
      <c r="C61" s="10"/>
      <c r="D61" s="10"/>
      <c r="E61" s="10"/>
      <c r="F61" s="10"/>
      <c r="G61" s="10"/>
      <c r="H61" s="10"/>
      <c r="I61" s="10"/>
    </row>
    <row r="62" spans="2:9" x14ac:dyDescent="0.2">
      <c r="B62" s="10"/>
      <c r="C62" s="10"/>
      <c r="D62" s="10"/>
      <c r="E62" s="10"/>
      <c r="F62" s="10"/>
      <c r="G62" s="10"/>
      <c r="H62" s="10"/>
      <c r="I62" s="10"/>
    </row>
    <row r="63" spans="2:9" x14ac:dyDescent="0.2">
      <c r="B63" s="10"/>
      <c r="C63" s="10"/>
      <c r="D63" s="10"/>
      <c r="E63" s="10"/>
      <c r="F63" s="10"/>
      <c r="G63" s="10"/>
      <c r="H63" s="10"/>
      <c r="I63" s="10"/>
    </row>
    <row r="64" spans="2:9" x14ac:dyDescent="0.2">
      <c r="B64" s="10"/>
      <c r="C64" s="10"/>
      <c r="D64" s="10"/>
      <c r="E64" s="10"/>
      <c r="F64" s="10"/>
      <c r="G64" s="10"/>
      <c r="H64" s="10"/>
      <c r="I64" s="10"/>
    </row>
    <row r="65" spans="2:9" x14ac:dyDescent="0.2">
      <c r="B65" s="10"/>
      <c r="C65" s="10"/>
      <c r="D65" s="10"/>
      <c r="E65" s="10"/>
      <c r="F65" s="10"/>
      <c r="G65" s="10"/>
      <c r="H65" s="10"/>
      <c r="I65" s="10"/>
    </row>
    <row r="66" spans="2:9" x14ac:dyDescent="0.2">
      <c r="B66" s="10"/>
      <c r="C66" s="10"/>
      <c r="D66" s="10"/>
      <c r="E66" s="10"/>
      <c r="F66" s="10"/>
      <c r="G66" s="10"/>
      <c r="H66" s="10"/>
      <c r="I66" s="10"/>
    </row>
    <row r="67" spans="2:9" x14ac:dyDescent="0.2">
      <c r="B67" s="10"/>
      <c r="C67" s="10"/>
      <c r="D67" s="10"/>
      <c r="E67" s="10"/>
      <c r="F67" s="10"/>
      <c r="G67" s="10"/>
      <c r="H67" s="10"/>
      <c r="I67" s="10"/>
    </row>
    <row r="68" spans="2:9" x14ac:dyDescent="0.2">
      <c r="B68" s="10"/>
      <c r="C68" s="10"/>
      <c r="D68" s="10"/>
      <c r="E68" s="10"/>
      <c r="F68" s="10"/>
      <c r="G68" s="10"/>
      <c r="H68" s="10"/>
      <c r="I68" s="10"/>
    </row>
    <row r="69" spans="2:9" x14ac:dyDescent="0.2">
      <c r="B69" s="10"/>
      <c r="C69" s="10"/>
      <c r="D69" s="10"/>
      <c r="E69" s="10"/>
      <c r="F69" s="10"/>
      <c r="G69" s="10"/>
      <c r="H69" s="10"/>
      <c r="I69" s="10"/>
    </row>
    <row r="70" spans="2:9" x14ac:dyDescent="0.2">
      <c r="B70" s="10"/>
      <c r="C70" s="10"/>
      <c r="D70" s="10"/>
      <c r="E70" s="10"/>
      <c r="F70" s="10"/>
      <c r="G70" s="10"/>
      <c r="H70" s="10"/>
      <c r="I70" s="10"/>
    </row>
    <row r="71" spans="2:9" x14ac:dyDescent="0.2">
      <c r="B71" s="10"/>
      <c r="C71" s="10"/>
      <c r="D71" s="10"/>
      <c r="E71" s="10"/>
      <c r="F71" s="10"/>
      <c r="G71" s="10"/>
      <c r="H71" s="10"/>
      <c r="I71" s="10"/>
    </row>
    <row r="72" spans="2:9" x14ac:dyDescent="0.2">
      <c r="B72" s="10"/>
      <c r="C72" s="10"/>
      <c r="D72" s="10"/>
      <c r="E72" s="10"/>
      <c r="F72" s="10"/>
      <c r="G72" s="10"/>
      <c r="H72" s="10"/>
      <c r="I72" s="10"/>
    </row>
    <row r="73" spans="2:9" x14ac:dyDescent="0.2">
      <c r="B73" s="10"/>
      <c r="C73" s="10"/>
      <c r="D73" s="10"/>
      <c r="E73" s="10"/>
      <c r="F73" s="10"/>
      <c r="G73" s="10"/>
      <c r="H73" s="10"/>
      <c r="I73" s="10"/>
    </row>
    <row r="74" spans="2:9" x14ac:dyDescent="0.2">
      <c r="B74" s="10"/>
      <c r="C74" s="10"/>
      <c r="D74" s="10"/>
      <c r="E74" s="10"/>
      <c r="F74" s="10"/>
      <c r="G74" s="10"/>
      <c r="H74" s="10"/>
      <c r="I74" s="10"/>
    </row>
    <row r="75" spans="2:9" x14ac:dyDescent="0.2">
      <c r="B75" s="10"/>
      <c r="C75" s="10"/>
      <c r="D75" s="10"/>
      <c r="E75" s="10"/>
      <c r="F75" s="10"/>
      <c r="G75" s="10"/>
      <c r="H75" s="10"/>
      <c r="I75" s="10"/>
    </row>
    <row r="76" spans="2:9" x14ac:dyDescent="0.2">
      <c r="B76" s="10"/>
      <c r="C76" s="10"/>
      <c r="D76" s="10"/>
      <c r="E76" s="10"/>
      <c r="F76" s="10"/>
      <c r="G76" s="10"/>
      <c r="H76" s="10"/>
      <c r="I76" s="10"/>
    </row>
    <row r="77" spans="2:9" x14ac:dyDescent="0.2">
      <c r="B77" s="10"/>
      <c r="C77" s="10"/>
      <c r="D77" s="10"/>
      <c r="E77" s="10"/>
      <c r="F77" s="10"/>
      <c r="G77" s="10"/>
      <c r="H77" s="10"/>
      <c r="I77" s="10"/>
    </row>
    <row r="78" spans="2:9" x14ac:dyDescent="0.2">
      <c r="B78" s="10"/>
      <c r="C78" s="10"/>
      <c r="D78" s="10"/>
      <c r="E78" s="10"/>
      <c r="F78" s="10"/>
      <c r="G78" s="10"/>
      <c r="H78" s="10"/>
      <c r="I78" s="10"/>
    </row>
    <row r="79" spans="2:9" x14ac:dyDescent="0.2">
      <c r="B79" s="10"/>
      <c r="C79" s="10"/>
      <c r="D79" s="10"/>
      <c r="E79" s="10"/>
      <c r="F79" s="10"/>
      <c r="G79" s="10"/>
      <c r="H79" s="10"/>
      <c r="I79" s="10"/>
    </row>
  </sheetData>
  <mergeCells count="2">
    <mergeCell ref="B6:D6"/>
    <mergeCell ref="B1:C1"/>
  </mergeCells>
  <hyperlinks>
    <hyperlink ref="B6:D6" location="TOC!A1" display="Go to TOC" xr:uid="{00000000-0004-0000-2600-000000000000}"/>
  </hyperlinks>
  <pageMargins left="0.7" right="0.7" top="0.75" bottom="0.75" header="0.3" footer="0.3"/>
  <pageSetup paperSize="9" orientation="landscape"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7.42578125" style="4" customWidth="1"/>
    <col min="5" max="5" width="11.140625" style="4" customWidth="1"/>
    <col min="6" max="6" width="10.5703125" style="4" bestFit="1" customWidth="1"/>
    <col min="7" max="7" width="11.140625" style="4" bestFit="1" customWidth="1"/>
    <col min="8" max="8" width="11.5703125" style="4" bestFit="1" customWidth="1"/>
    <col min="9" max="9" width="9" style="4" customWidth="1"/>
    <col min="10" max="10" width="24" style="4" customWidth="1"/>
    <col min="11" max="13" width="10.140625" style="4" customWidth="1"/>
    <col min="14" max="14" width="11.57031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s="9" customFormat="1" x14ac:dyDescent="0.2">
      <c r="B1" s="386" t="s">
        <v>1047</v>
      </c>
      <c r="C1" s="386"/>
      <c r="D1" s="263" t="s">
        <v>495</v>
      </c>
    </row>
    <row r="2" spans="2:152" x14ac:dyDescent="0.2">
      <c r="B2" s="263" t="s">
        <v>1124</v>
      </c>
      <c r="C2" s="263"/>
      <c r="D2" s="337" t="str">
        <f>VLOOKUP(D$1,TabelContent[],COLUMN(TabelContent[Titel-EN]))</f>
        <v>Turnover, travel expenses and commission</v>
      </c>
      <c r="E2" s="71"/>
      <c r="F2" s="72"/>
      <c r="G2" s="72"/>
      <c r="H2" s="72"/>
    </row>
    <row r="3" spans="2:152" x14ac:dyDescent="0.2">
      <c r="B3" s="263" t="s">
        <v>1125</v>
      </c>
      <c r="C3" s="263"/>
      <c r="D3" s="337" t="str">
        <f>VLOOKUP(D$1,TabelContent[],COLUMN(TabelContent[Cat-EN]))</f>
        <v>Pivot table</v>
      </c>
      <c r="E3" s="71"/>
      <c r="F3" s="72"/>
      <c r="G3" s="72"/>
      <c r="H3" s="72"/>
    </row>
    <row r="4" spans="2:152" x14ac:dyDescent="0.2">
      <c r="B4" s="263" t="s">
        <v>1126</v>
      </c>
      <c r="C4" s="263"/>
      <c r="D4" s="337">
        <f>VLOOKUP(D$1,TabelContent[],COLUMN(TabelContent[Niveau]))</f>
        <v>3</v>
      </c>
      <c r="E4" s="71"/>
      <c r="F4" s="72"/>
      <c r="G4" s="72"/>
      <c r="H4" s="72"/>
    </row>
    <row r="5" spans="2:152" x14ac:dyDescent="0.2">
      <c r="B5" s="10"/>
      <c r="C5" s="10"/>
      <c r="D5" s="10"/>
      <c r="E5" s="10"/>
    </row>
    <row r="6" spans="2:152" x14ac:dyDescent="0.2">
      <c r="B6" s="387" t="s">
        <v>1132</v>
      </c>
      <c r="C6" s="387"/>
      <c r="D6" s="387"/>
      <c r="E6" s="387"/>
    </row>
    <row r="7" spans="2:152" x14ac:dyDescent="0.2">
      <c r="B7" s="10"/>
      <c r="C7" s="10"/>
      <c r="D7" s="10"/>
      <c r="E7" s="10"/>
    </row>
    <row r="8" spans="2:152" x14ac:dyDescent="0.2">
      <c r="B8" s="10"/>
      <c r="C8" s="1" t="s">
        <v>671</v>
      </c>
      <c r="D8" s="1" t="s">
        <v>672</v>
      </c>
      <c r="E8" s="1" t="s">
        <v>673</v>
      </c>
      <c r="F8" s="64" t="s">
        <v>674</v>
      </c>
      <c r="G8" s="64" t="s">
        <v>675</v>
      </c>
      <c r="H8" s="64" t="s">
        <v>676</v>
      </c>
    </row>
    <row r="9" spans="2:152" x14ac:dyDescent="0.2">
      <c r="B9" s="10"/>
      <c r="C9" s="71" t="s">
        <v>683</v>
      </c>
      <c r="D9" s="71" t="s">
        <v>684</v>
      </c>
      <c r="E9" s="71" t="s">
        <v>4</v>
      </c>
      <c r="F9" s="287">
        <v>3423</v>
      </c>
      <c r="G9" s="287">
        <v>337</v>
      </c>
      <c r="H9" s="287">
        <v>104</v>
      </c>
      <c r="J9" s="73" t="s">
        <v>672</v>
      </c>
      <c r="K9" s="9" t="s">
        <v>669</v>
      </c>
    </row>
    <row r="10" spans="2:152" x14ac:dyDescent="0.2">
      <c r="C10" s="71" t="s">
        <v>685</v>
      </c>
      <c r="D10" s="71" t="s">
        <v>684</v>
      </c>
      <c r="E10" s="71" t="s">
        <v>5</v>
      </c>
      <c r="F10" s="287">
        <v>2203</v>
      </c>
      <c r="G10" s="287">
        <v>323</v>
      </c>
      <c r="H10" s="287">
        <v>284</v>
      </c>
    </row>
    <row r="11" spans="2:152" x14ac:dyDescent="0.2">
      <c r="C11" s="71" t="s">
        <v>685</v>
      </c>
      <c r="D11" s="71" t="s">
        <v>686</v>
      </c>
      <c r="E11" s="71" t="s">
        <v>5</v>
      </c>
      <c r="F11" s="287">
        <v>3236</v>
      </c>
      <c r="G11" s="287">
        <v>219</v>
      </c>
      <c r="H11" s="287">
        <v>226</v>
      </c>
      <c r="J11"/>
      <c r="K11" s="73" t="s">
        <v>671</v>
      </c>
      <c r="L11"/>
      <c r="M11"/>
      <c r="N11"/>
      <c r="O11"/>
      <c r="P11"/>
      <c r="Q11"/>
      <c r="R11"/>
      <c r="S11"/>
      <c r="T11"/>
      <c r="U11"/>
      <c r="V11"/>
    </row>
    <row r="12" spans="2:152" x14ac:dyDescent="0.2">
      <c r="C12" s="71" t="s">
        <v>685</v>
      </c>
      <c r="D12" s="71" t="s">
        <v>449</v>
      </c>
      <c r="E12" s="71" t="s">
        <v>5</v>
      </c>
      <c r="F12" s="287">
        <v>761</v>
      </c>
      <c r="G12" s="287">
        <v>381</v>
      </c>
      <c r="H12" s="287">
        <v>281</v>
      </c>
      <c r="I12"/>
      <c r="J12" s="73" t="s">
        <v>673</v>
      </c>
      <c r="K12" s="236" t="s">
        <v>683</v>
      </c>
      <c r="L12" s="236" t="s">
        <v>685</v>
      </c>
      <c r="M12" s="236" t="s">
        <v>687</v>
      </c>
      <c r="N12" s="236" t="s">
        <v>667</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71" t="s">
        <v>687</v>
      </c>
      <c r="D13" s="71" t="s">
        <v>686</v>
      </c>
      <c r="E13" s="71" t="s">
        <v>5</v>
      </c>
      <c r="F13" s="287">
        <v>4117</v>
      </c>
      <c r="G13" s="287">
        <v>226</v>
      </c>
      <c r="H13" s="287">
        <v>208</v>
      </c>
      <c r="I13"/>
      <c r="J13" s="203" t="s">
        <v>4</v>
      </c>
      <c r="K13" s="286"/>
      <c r="L13" s="286"/>
      <c r="M13" s="286"/>
      <c r="N13" s="286"/>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71" t="s">
        <v>687</v>
      </c>
      <c r="D14" s="71" t="s">
        <v>688</v>
      </c>
      <c r="E14" s="71" t="s">
        <v>5</v>
      </c>
      <c r="F14" s="287">
        <v>4524</v>
      </c>
      <c r="G14" s="287">
        <v>349</v>
      </c>
      <c r="H14" s="287">
        <v>233</v>
      </c>
      <c r="I14"/>
      <c r="J14" s="207" t="s">
        <v>677</v>
      </c>
      <c r="K14" s="286">
        <v>43570</v>
      </c>
      <c r="L14" s="286">
        <v>43375</v>
      </c>
      <c r="M14" s="286">
        <v>37650</v>
      </c>
      <c r="N14" s="286">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71" t="s">
        <v>687</v>
      </c>
      <c r="D15" s="71" t="s">
        <v>686</v>
      </c>
      <c r="E15" s="71" t="s">
        <v>5</v>
      </c>
      <c r="F15" s="287">
        <v>1546</v>
      </c>
      <c r="G15" s="287">
        <v>229</v>
      </c>
      <c r="H15" s="287">
        <v>246</v>
      </c>
      <c r="I15"/>
      <c r="J15" s="207" t="s">
        <v>678</v>
      </c>
      <c r="K15" s="286">
        <v>5438</v>
      </c>
      <c r="L15" s="286">
        <v>5365</v>
      </c>
      <c r="M15" s="286">
        <v>4090</v>
      </c>
      <c r="N15" s="286">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71" t="s">
        <v>687</v>
      </c>
      <c r="D16" s="71" t="s">
        <v>686</v>
      </c>
      <c r="E16" s="71" t="s">
        <v>4</v>
      </c>
      <c r="F16" s="287">
        <v>1516</v>
      </c>
      <c r="G16" s="287">
        <v>226</v>
      </c>
      <c r="H16" s="287">
        <v>58</v>
      </c>
      <c r="I16"/>
      <c r="J16" s="207" t="s">
        <v>681</v>
      </c>
      <c r="K16" s="286">
        <v>2639</v>
      </c>
      <c r="L16" s="286">
        <v>3186</v>
      </c>
      <c r="M16" s="286">
        <v>3062</v>
      </c>
      <c r="N16" s="286">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71" t="s">
        <v>685</v>
      </c>
      <c r="D17" s="71" t="s">
        <v>449</v>
      </c>
      <c r="E17" s="71" t="s">
        <v>4</v>
      </c>
      <c r="F17" s="287">
        <v>3641</v>
      </c>
      <c r="G17" s="287">
        <v>461</v>
      </c>
      <c r="H17" s="287">
        <v>255</v>
      </c>
      <c r="I17"/>
      <c r="J17" s="203" t="s">
        <v>5</v>
      </c>
      <c r="K17" s="286"/>
      <c r="L17" s="286"/>
      <c r="M17" s="286"/>
      <c r="N17" s="286"/>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71" t="s">
        <v>685</v>
      </c>
      <c r="D18" s="71" t="s">
        <v>688</v>
      </c>
      <c r="E18" s="71" t="s">
        <v>4</v>
      </c>
      <c r="F18" s="287">
        <v>3431</v>
      </c>
      <c r="G18" s="287">
        <v>471</v>
      </c>
      <c r="H18" s="287">
        <v>270</v>
      </c>
      <c r="J18" s="207" t="s">
        <v>677</v>
      </c>
      <c r="K18" s="286">
        <v>38717</v>
      </c>
      <c r="L18" s="286">
        <v>38277</v>
      </c>
      <c r="M18" s="286">
        <v>43089</v>
      </c>
      <c r="N18" s="286">
        <v>120083</v>
      </c>
    </row>
    <row r="19" spans="3:152" x14ac:dyDescent="0.2">
      <c r="C19" s="71" t="s">
        <v>683</v>
      </c>
      <c r="D19" s="71" t="s">
        <v>688</v>
      </c>
      <c r="E19" s="71" t="s">
        <v>4</v>
      </c>
      <c r="F19" s="287">
        <v>4388</v>
      </c>
      <c r="G19" s="287">
        <v>310</v>
      </c>
      <c r="H19" s="287">
        <v>102</v>
      </c>
      <c r="J19" s="207" t="s">
        <v>678</v>
      </c>
      <c r="K19" s="286">
        <v>4745</v>
      </c>
      <c r="L19" s="286">
        <v>4224</v>
      </c>
      <c r="M19" s="286">
        <v>4267</v>
      </c>
      <c r="N19" s="286">
        <v>13236</v>
      </c>
    </row>
    <row r="20" spans="3:152" x14ac:dyDescent="0.2">
      <c r="C20" s="71" t="s">
        <v>683</v>
      </c>
      <c r="D20" s="71" t="s">
        <v>684</v>
      </c>
      <c r="E20" s="71" t="s">
        <v>5</v>
      </c>
      <c r="F20" s="287">
        <v>2198</v>
      </c>
      <c r="G20" s="287">
        <v>289</v>
      </c>
      <c r="H20" s="287">
        <v>156</v>
      </c>
      <c r="J20" s="207" t="s">
        <v>681</v>
      </c>
      <c r="K20" s="286">
        <v>3199</v>
      </c>
      <c r="L20" s="286">
        <v>2260</v>
      </c>
      <c r="M20" s="286">
        <v>2797</v>
      </c>
      <c r="N20" s="286">
        <v>8256</v>
      </c>
    </row>
    <row r="21" spans="3:152" x14ac:dyDescent="0.2">
      <c r="C21" s="71" t="s">
        <v>683</v>
      </c>
      <c r="D21" s="71" t="s">
        <v>449</v>
      </c>
      <c r="E21" s="71" t="s">
        <v>4</v>
      </c>
      <c r="F21" s="287">
        <v>2118</v>
      </c>
      <c r="G21" s="287">
        <v>408</v>
      </c>
      <c r="H21" s="287">
        <v>-34</v>
      </c>
      <c r="J21" s="203" t="s">
        <v>679</v>
      </c>
      <c r="K21" s="286">
        <v>82287</v>
      </c>
      <c r="L21" s="286">
        <v>81652</v>
      </c>
      <c r="M21" s="286">
        <v>80739</v>
      </c>
      <c r="N21" s="286">
        <v>244678</v>
      </c>
    </row>
    <row r="22" spans="3:152" x14ac:dyDescent="0.2">
      <c r="C22" s="71" t="s">
        <v>685</v>
      </c>
      <c r="D22" s="71" t="s">
        <v>449</v>
      </c>
      <c r="E22" s="71" t="s">
        <v>4</v>
      </c>
      <c r="F22" s="287">
        <v>2094</v>
      </c>
      <c r="G22" s="287">
        <v>424</v>
      </c>
      <c r="H22" s="287">
        <v>174</v>
      </c>
      <c r="J22" s="203" t="s">
        <v>680</v>
      </c>
      <c r="K22" s="286">
        <v>10183</v>
      </c>
      <c r="L22" s="286">
        <v>9589</v>
      </c>
      <c r="M22" s="286">
        <v>8357</v>
      </c>
      <c r="N22" s="286">
        <v>28129</v>
      </c>
    </row>
    <row r="23" spans="3:152" x14ac:dyDescent="0.2">
      <c r="C23" s="71" t="s">
        <v>685</v>
      </c>
      <c r="D23" s="71" t="s">
        <v>686</v>
      </c>
      <c r="E23" s="71" t="s">
        <v>5</v>
      </c>
      <c r="F23" s="287">
        <v>5828</v>
      </c>
      <c r="G23" s="287">
        <v>374</v>
      </c>
      <c r="H23" s="287">
        <v>157</v>
      </c>
      <c r="J23" s="203" t="s">
        <v>682</v>
      </c>
      <c r="K23" s="286">
        <v>5838</v>
      </c>
      <c r="L23" s="286">
        <v>5446</v>
      </c>
      <c r="M23" s="286">
        <v>5859</v>
      </c>
      <c r="N23" s="286">
        <v>17143</v>
      </c>
    </row>
    <row r="24" spans="3:152" x14ac:dyDescent="0.2">
      <c r="C24" s="71" t="s">
        <v>683</v>
      </c>
      <c r="D24" s="71" t="s">
        <v>449</v>
      </c>
      <c r="E24" s="71" t="s">
        <v>5</v>
      </c>
      <c r="F24" s="287">
        <v>1135</v>
      </c>
      <c r="G24" s="287">
        <v>316</v>
      </c>
      <c r="H24" s="287">
        <v>189</v>
      </c>
      <c r="J24"/>
      <c r="K24"/>
      <c r="L24"/>
    </row>
    <row r="25" spans="3:152" x14ac:dyDescent="0.2">
      <c r="C25" s="71" t="s">
        <v>687</v>
      </c>
      <c r="D25" s="71" t="s">
        <v>449</v>
      </c>
      <c r="E25" s="71" t="s">
        <v>5</v>
      </c>
      <c r="F25" s="287">
        <v>3303</v>
      </c>
      <c r="G25" s="287">
        <v>401</v>
      </c>
      <c r="H25" s="287">
        <v>115</v>
      </c>
      <c r="J25"/>
      <c r="K25"/>
      <c r="L25"/>
    </row>
    <row r="26" spans="3:152" x14ac:dyDescent="0.2">
      <c r="C26" s="71" t="s">
        <v>683</v>
      </c>
      <c r="D26" s="71" t="s">
        <v>684</v>
      </c>
      <c r="E26" s="71" t="s">
        <v>4</v>
      </c>
      <c r="F26" s="287">
        <v>3946</v>
      </c>
      <c r="G26" s="287">
        <v>318</v>
      </c>
      <c r="H26" s="287">
        <v>341</v>
      </c>
      <c r="J26"/>
      <c r="K26"/>
      <c r="L26"/>
    </row>
    <row r="27" spans="3:152" x14ac:dyDescent="0.2">
      <c r="C27" s="71" t="s">
        <v>687</v>
      </c>
      <c r="D27" s="71" t="s">
        <v>686</v>
      </c>
      <c r="E27" s="71" t="s">
        <v>4</v>
      </c>
      <c r="F27" s="287">
        <v>1710</v>
      </c>
      <c r="G27" s="287">
        <v>261</v>
      </c>
      <c r="H27" s="287">
        <v>159</v>
      </c>
      <c r="J27"/>
      <c r="K27"/>
      <c r="L27"/>
    </row>
    <row r="28" spans="3:152" x14ac:dyDescent="0.2">
      <c r="C28" s="71" t="s">
        <v>687</v>
      </c>
      <c r="D28" s="71" t="s">
        <v>688</v>
      </c>
      <c r="E28" s="71" t="s">
        <v>4</v>
      </c>
      <c r="F28" s="287">
        <v>3766</v>
      </c>
      <c r="G28" s="287">
        <v>268</v>
      </c>
      <c r="H28" s="287">
        <v>212</v>
      </c>
      <c r="J28"/>
      <c r="K28"/>
      <c r="L28"/>
    </row>
    <row r="29" spans="3:152" x14ac:dyDescent="0.2">
      <c r="C29" s="71" t="s">
        <v>685</v>
      </c>
      <c r="D29" s="71" t="s">
        <v>684</v>
      </c>
      <c r="E29" s="71" t="s">
        <v>5</v>
      </c>
      <c r="F29" s="287">
        <v>2832</v>
      </c>
      <c r="G29" s="287">
        <v>336</v>
      </c>
      <c r="H29" s="287">
        <v>229</v>
      </c>
    </row>
    <row r="30" spans="3:152" x14ac:dyDescent="0.2">
      <c r="C30" s="71" t="s">
        <v>687</v>
      </c>
      <c r="D30" s="71" t="s">
        <v>449</v>
      </c>
      <c r="E30" s="71" t="s">
        <v>4</v>
      </c>
      <c r="F30" s="287">
        <v>2908</v>
      </c>
      <c r="G30" s="287">
        <v>450</v>
      </c>
      <c r="H30" s="287">
        <v>207</v>
      </c>
    </row>
    <row r="31" spans="3:152" x14ac:dyDescent="0.2">
      <c r="C31" s="71" t="s">
        <v>683</v>
      </c>
      <c r="D31" s="71" t="s">
        <v>449</v>
      </c>
      <c r="E31" s="71" t="s">
        <v>5</v>
      </c>
      <c r="F31" s="287">
        <v>1739</v>
      </c>
      <c r="G31" s="287">
        <v>418</v>
      </c>
      <c r="H31" s="287">
        <v>125</v>
      </c>
    </row>
    <row r="32" spans="3:152" x14ac:dyDescent="0.2">
      <c r="C32" s="71" t="s">
        <v>685</v>
      </c>
      <c r="D32" s="71" t="s">
        <v>688</v>
      </c>
      <c r="E32" s="71" t="s">
        <v>5</v>
      </c>
      <c r="F32" s="287">
        <v>2728</v>
      </c>
      <c r="G32" s="287">
        <v>227</v>
      </c>
      <c r="H32" s="287">
        <v>71</v>
      </c>
    </row>
    <row r="33" spans="3:8" x14ac:dyDescent="0.2">
      <c r="C33" s="71" t="s">
        <v>683</v>
      </c>
      <c r="D33" s="71" t="s">
        <v>688</v>
      </c>
      <c r="E33" s="71" t="s">
        <v>5</v>
      </c>
      <c r="F33" s="287">
        <v>2954</v>
      </c>
      <c r="G33" s="287">
        <v>300</v>
      </c>
      <c r="H33" s="287">
        <v>137</v>
      </c>
    </row>
    <row r="34" spans="3:8" x14ac:dyDescent="0.2">
      <c r="C34" s="71" t="s">
        <v>685</v>
      </c>
      <c r="D34" s="71" t="s">
        <v>688</v>
      </c>
      <c r="E34" s="71" t="s">
        <v>4</v>
      </c>
      <c r="F34" s="287">
        <v>2091</v>
      </c>
      <c r="G34" s="287">
        <v>446</v>
      </c>
      <c r="H34" s="287">
        <v>176</v>
      </c>
    </row>
    <row r="35" spans="3:8" x14ac:dyDescent="0.2">
      <c r="C35" s="71" t="s">
        <v>687</v>
      </c>
      <c r="D35" s="71" t="s">
        <v>688</v>
      </c>
      <c r="E35" s="71" t="s">
        <v>4</v>
      </c>
      <c r="F35" s="287">
        <v>2747</v>
      </c>
      <c r="G35" s="287">
        <v>344</v>
      </c>
      <c r="H35" s="287">
        <v>189</v>
      </c>
    </row>
    <row r="36" spans="3:8" x14ac:dyDescent="0.2">
      <c r="C36" s="71" t="s">
        <v>683</v>
      </c>
      <c r="D36" s="71" t="s">
        <v>686</v>
      </c>
      <c r="E36" s="71" t="s">
        <v>5</v>
      </c>
      <c r="F36" s="287">
        <v>2447</v>
      </c>
      <c r="G36" s="287">
        <v>271</v>
      </c>
      <c r="H36" s="287">
        <v>133</v>
      </c>
    </row>
    <row r="37" spans="3:8" x14ac:dyDescent="0.2">
      <c r="C37" s="71" t="s">
        <v>685</v>
      </c>
      <c r="D37" s="71" t="s">
        <v>449</v>
      </c>
      <c r="E37" s="71" t="s">
        <v>4</v>
      </c>
      <c r="F37" s="287">
        <v>2250</v>
      </c>
      <c r="G37" s="287">
        <v>374</v>
      </c>
      <c r="H37" s="287">
        <v>248</v>
      </c>
    </row>
    <row r="38" spans="3:8" x14ac:dyDescent="0.2">
      <c r="C38" s="71" t="s">
        <v>685</v>
      </c>
      <c r="D38" s="71" t="s">
        <v>684</v>
      </c>
      <c r="E38" s="71" t="s">
        <v>5</v>
      </c>
      <c r="F38" s="287">
        <v>2722</v>
      </c>
      <c r="G38" s="287">
        <v>226</v>
      </c>
      <c r="H38" s="287">
        <v>83</v>
      </c>
    </row>
    <row r="39" spans="3:8" x14ac:dyDescent="0.2">
      <c r="C39" s="71" t="s">
        <v>685</v>
      </c>
      <c r="D39" s="71" t="s">
        <v>686</v>
      </c>
      <c r="E39" s="71" t="s">
        <v>5</v>
      </c>
      <c r="F39" s="287">
        <v>3169</v>
      </c>
      <c r="G39" s="287">
        <v>333</v>
      </c>
      <c r="H39" s="287">
        <v>165</v>
      </c>
    </row>
    <row r="40" spans="3:8" x14ac:dyDescent="0.2">
      <c r="C40" s="71" t="s">
        <v>685</v>
      </c>
      <c r="D40" s="71" t="s">
        <v>686</v>
      </c>
      <c r="E40" s="71" t="s">
        <v>4</v>
      </c>
      <c r="F40" s="287">
        <v>2089</v>
      </c>
      <c r="G40" s="287">
        <v>170</v>
      </c>
      <c r="H40" s="287">
        <v>389</v>
      </c>
    </row>
    <row r="41" spans="3:8" x14ac:dyDescent="0.2">
      <c r="C41" s="71" t="s">
        <v>685</v>
      </c>
      <c r="D41" s="71" t="s">
        <v>684</v>
      </c>
      <c r="E41" s="71" t="s">
        <v>4</v>
      </c>
      <c r="F41" s="287">
        <v>3895</v>
      </c>
      <c r="G41" s="287">
        <v>156</v>
      </c>
      <c r="H41" s="287">
        <v>152</v>
      </c>
    </row>
    <row r="42" spans="3:8" x14ac:dyDescent="0.2">
      <c r="C42" s="71" t="s">
        <v>685</v>
      </c>
      <c r="D42" s="71" t="s">
        <v>684</v>
      </c>
      <c r="E42" s="71" t="s">
        <v>4</v>
      </c>
      <c r="F42" s="287">
        <v>3393</v>
      </c>
      <c r="G42" s="287">
        <v>336</v>
      </c>
      <c r="H42" s="287">
        <v>271</v>
      </c>
    </row>
    <row r="43" spans="3:8" x14ac:dyDescent="0.2">
      <c r="C43" s="71" t="s">
        <v>687</v>
      </c>
      <c r="D43" s="71" t="s">
        <v>684</v>
      </c>
      <c r="E43" s="71" t="s">
        <v>5</v>
      </c>
      <c r="F43" s="287">
        <v>3315</v>
      </c>
      <c r="G43" s="287">
        <v>220</v>
      </c>
      <c r="H43" s="287">
        <v>193</v>
      </c>
    </row>
    <row r="44" spans="3:8" x14ac:dyDescent="0.2">
      <c r="C44" s="71" t="s">
        <v>683</v>
      </c>
      <c r="D44" s="71" t="s">
        <v>686</v>
      </c>
      <c r="E44" s="71" t="s">
        <v>4</v>
      </c>
      <c r="F44" s="287">
        <v>2213</v>
      </c>
      <c r="G44" s="287">
        <v>272</v>
      </c>
      <c r="H44" s="287">
        <v>147</v>
      </c>
    </row>
    <row r="45" spans="3:8" x14ac:dyDescent="0.2">
      <c r="C45" s="71" t="s">
        <v>687</v>
      </c>
      <c r="D45" s="71" t="s">
        <v>684</v>
      </c>
      <c r="E45" s="71" t="s">
        <v>4</v>
      </c>
      <c r="F45" s="287">
        <v>2207</v>
      </c>
      <c r="G45" s="287">
        <v>301</v>
      </c>
      <c r="H45" s="287">
        <v>211</v>
      </c>
    </row>
    <row r="46" spans="3:8" x14ac:dyDescent="0.2">
      <c r="C46" s="71" t="s">
        <v>687</v>
      </c>
      <c r="D46" s="71" t="s">
        <v>686</v>
      </c>
      <c r="E46" s="71" t="s">
        <v>5</v>
      </c>
      <c r="F46" s="287">
        <v>4055</v>
      </c>
      <c r="G46" s="287">
        <v>360</v>
      </c>
      <c r="H46" s="287">
        <v>199</v>
      </c>
    </row>
    <row r="47" spans="3:8" x14ac:dyDescent="0.2">
      <c r="C47" s="71" t="s">
        <v>685</v>
      </c>
      <c r="D47" s="71" t="s">
        <v>449</v>
      </c>
      <c r="E47" s="71" t="s">
        <v>4</v>
      </c>
      <c r="F47" s="287">
        <v>4946</v>
      </c>
      <c r="G47" s="287">
        <v>181</v>
      </c>
      <c r="H47" s="287">
        <v>115</v>
      </c>
    </row>
    <row r="48" spans="3:8" x14ac:dyDescent="0.2">
      <c r="C48" s="71" t="s">
        <v>685</v>
      </c>
      <c r="D48" s="71" t="s">
        <v>686</v>
      </c>
      <c r="E48" s="71" t="s">
        <v>4</v>
      </c>
      <c r="F48" s="287">
        <v>3076</v>
      </c>
      <c r="G48" s="287">
        <v>426</v>
      </c>
      <c r="H48" s="287">
        <v>120</v>
      </c>
    </row>
    <row r="49" spans="3:8" x14ac:dyDescent="0.2">
      <c r="C49" s="71" t="s">
        <v>683</v>
      </c>
      <c r="D49" s="71" t="s">
        <v>688</v>
      </c>
      <c r="E49" s="71" t="s">
        <v>4</v>
      </c>
      <c r="F49" s="287">
        <v>2573</v>
      </c>
      <c r="G49" s="287">
        <v>276</v>
      </c>
      <c r="H49" s="287">
        <v>228</v>
      </c>
    </row>
    <row r="50" spans="3:8" x14ac:dyDescent="0.2">
      <c r="C50" s="71" t="s">
        <v>687</v>
      </c>
      <c r="D50" s="71" t="s">
        <v>688</v>
      </c>
      <c r="E50" s="71" t="s">
        <v>5</v>
      </c>
      <c r="F50" s="287">
        <v>1752</v>
      </c>
      <c r="G50" s="287">
        <v>369</v>
      </c>
      <c r="H50" s="287">
        <v>213</v>
      </c>
    </row>
    <row r="51" spans="3:8" x14ac:dyDescent="0.2">
      <c r="C51" s="71" t="s">
        <v>685</v>
      </c>
      <c r="D51" s="71" t="s">
        <v>686</v>
      </c>
      <c r="E51" s="71" t="s">
        <v>4</v>
      </c>
      <c r="F51" s="287">
        <v>3183</v>
      </c>
      <c r="G51" s="287">
        <v>379</v>
      </c>
      <c r="H51" s="287">
        <v>220</v>
      </c>
    </row>
    <row r="52" spans="3:8" x14ac:dyDescent="0.2">
      <c r="C52" s="71" t="s">
        <v>683</v>
      </c>
      <c r="D52" s="71" t="s">
        <v>688</v>
      </c>
      <c r="E52" s="71" t="s">
        <v>5</v>
      </c>
      <c r="F52" s="287">
        <v>3532</v>
      </c>
      <c r="G52" s="287">
        <v>300</v>
      </c>
      <c r="H52" s="287">
        <v>219</v>
      </c>
    </row>
    <row r="53" spans="3:8" x14ac:dyDescent="0.2">
      <c r="C53" s="71" t="s">
        <v>683</v>
      </c>
      <c r="D53" s="71" t="s">
        <v>688</v>
      </c>
      <c r="E53" s="71" t="s">
        <v>5</v>
      </c>
      <c r="F53" s="287">
        <v>3639</v>
      </c>
      <c r="G53" s="287">
        <v>291</v>
      </c>
      <c r="H53" s="287">
        <v>202</v>
      </c>
    </row>
    <row r="54" spans="3:8" x14ac:dyDescent="0.2">
      <c r="C54" s="71" t="s">
        <v>687</v>
      </c>
      <c r="D54" s="71" t="s">
        <v>688</v>
      </c>
      <c r="E54" s="71" t="s">
        <v>4</v>
      </c>
      <c r="F54" s="287">
        <v>2661</v>
      </c>
      <c r="G54" s="287">
        <v>224</v>
      </c>
      <c r="H54" s="287">
        <v>344</v>
      </c>
    </row>
    <row r="55" spans="3:8" x14ac:dyDescent="0.2">
      <c r="C55" s="71" t="s">
        <v>685</v>
      </c>
      <c r="D55" s="71" t="s">
        <v>684</v>
      </c>
      <c r="E55" s="71" t="s">
        <v>4</v>
      </c>
      <c r="F55" s="287">
        <v>1186</v>
      </c>
      <c r="G55" s="287">
        <v>508</v>
      </c>
      <c r="H55" s="287">
        <v>150</v>
      </c>
    </row>
    <row r="56" spans="3:8" x14ac:dyDescent="0.2">
      <c r="C56" s="71" t="s">
        <v>687</v>
      </c>
      <c r="D56" s="71" t="s">
        <v>688</v>
      </c>
      <c r="E56" s="71" t="s">
        <v>4</v>
      </c>
      <c r="F56" s="287">
        <v>3208</v>
      </c>
      <c r="G56" s="287">
        <v>512</v>
      </c>
      <c r="H56" s="287">
        <v>318</v>
      </c>
    </row>
    <row r="57" spans="3:8" x14ac:dyDescent="0.2">
      <c r="C57" s="71" t="s">
        <v>685</v>
      </c>
      <c r="D57" s="71" t="s">
        <v>688</v>
      </c>
      <c r="E57" s="71" t="s">
        <v>5</v>
      </c>
      <c r="F57" s="287">
        <v>2816</v>
      </c>
      <c r="G57" s="287">
        <v>480</v>
      </c>
      <c r="H57" s="287">
        <v>289</v>
      </c>
    </row>
    <row r="58" spans="3:8" x14ac:dyDescent="0.2">
      <c r="C58" s="71" t="s">
        <v>683</v>
      </c>
      <c r="D58" s="71" t="s">
        <v>688</v>
      </c>
      <c r="E58" s="71" t="s">
        <v>5</v>
      </c>
      <c r="F58" s="287">
        <v>1895</v>
      </c>
      <c r="G58" s="287">
        <v>209</v>
      </c>
      <c r="H58" s="287">
        <v>178</v>
      </c>
    </row>
    <row r="59" spans="3:8" x14ac:dyDescent="0.2">
      <c r="C59" s="71" t="s">
        <v>685</v>
      </c>
      <c r="D59" s="71" t="s">
        <v>686</v>
      </c>
      <c r="E59" s="71" t="s">
        <v>5</v>
      </c>
      <c r="F59" s="287">
        <v>1854</v>
      </c>
      <c r="G59" s="287">
        <v>400</v>
      </c>
      <c r="H59" s="287">
        <v>62</v>
      </c>
    </row>
    <row r="60" spans="3:8" x14ac:dyDescent="0.2">
      <c r="C60" s="71" t="s">
        <v>687</v>
      </c>
      <c r="D60" s="71" t="s">
        <v>684</v>
      </c>
      <c r="E60" s="71" t="s">
        <v>4</v>
      </c>
      <c r="F60" s="287">
        <v>3472</v>
      </c>
      <c r="G60" s="287">
        <v>139</v>
      </c>
      <c r="H60" s="287">
        <v>304</v>
      </c>
    </row>
    <row r="61" spans="3:8" x14ac:dyDescent="0.2">
      <c r="C61" s="71" t="s">
        <v>685</v>
      </c>
      <c r="D61" s="71" t="s">
        <v>449</v>
      </c>
      <c r="E61" s="71" t="s">
        <v>5</v>
      </c>
      <c r="F61" s="287">
        <v>3696</v>
      </c>
      <c r="G61" s="287">
        <v>395</v>
      </c>
      <c r="H61" s="287">
        <v>194</v>
      </c>
    </row>
    <row r="62" spans="3:8" x14ac:dyDescent="0.2">
      <c r="C62" s="71" t="s">
        <v>687</v>
      </c>
      <c r="D62" s="71" t="s">
        <v>684</v>
      </c>
      <c r="E62" s="71" t="s">
        <v>5</v>
      </c>
      <c r="F62" s="287">
        <v>2999</v>
      </c>
      <c r="G62" s="287">
        <v>349</v>
      </c>
      <c r="H62" s="287">
        <v>95</v>
      </c>
    </row>
    <row r="63" spans="3:8" x14ac:dyDescent="0.2">
      <c r="C63" s="71" t="s">
        <v>685</v>
      </c>
      <c r="D63" s="71" t="s">
        <v>688</v>
      </c>
      <c r="E63" s="71" t="s">
        <v>4</v>
      </c>
      <c r="F63" s="287">
        <v>2485</v>
      </c>
      <c r="G63" s="287">
        <v>374</v>
      </c>
      <c r="H63" s="287">
        <v>202</v>
      </c>
    </row>
    <row r="64" spans="3:8" x14ac:dyDescent="0.2">
      <c r="C64" s="71" t="s">
        <v>687</v>
      </c>
      <c r="D64" s="71" t="s">
        <v>449</v>
      </c>
      <c r="E64" s="71" t="s">
        <v>5</v>
      </c>
      <c r="F64" s="287">
        <v>1614</v>
      </c>
      <c r="G64" s="287">
        <v>282</v>
      </c>
      <c r="H64" s="287">
        <v>98</v>
      </c>
    </row>
    <row r="65" spans="3:8" x14ac:dyDescent="0.2">
      <c r="C65" s="71" t="s">
        <v>685</v>
      </c>
      <c r="D65" s="71" t="s">
        <v>688</v>
      </c>
      <c r="E65" s="71" t="s">
        <v>5</v>
      </c>
      <c r="F65" s="287">
        <v>2518</v>
      </c>
      <c r="G65" s="287">
        <v>187</v>
      </c>
      <c r="H65" s="287">
        <v>113</v>
      </c>
    </row>
    <row r="66" spans="3:8" x14ac:dyDescent="0.2">
      <c r="C66" s="71" t="s">
        <v>685</v>
      </c>
      <c r="D66" s="71" t="s">
        <v>686</v>
      </c>
      <c r="E66" s="71" t="s">
        <v>4</v>
      </c>
      <c r="F66" s="287">
        <v>3611</v>
      </c>
      <c r="G66" s="287">
        <v>275</v>
      </c>
      <c r="H66" s="287">
        <v>188</v>
      </c>
    </row>
    <row r="67" spans="3:8" x14ac:dyDescent="0.2">
      <c r="C67" s="71" t="s">
        <v>683</v>
      </c>
      <c r="D67" s="71" t="s">
        <v>688</v>
      </c>
      <c r="E67" s="71" t="s">
        <v>4</v>
      </c>
      <c r="F67" s="287">
        <v>2452</v>
      </c>
      <c r="G67" s="287">
        <v>402</v>
      </c>
      <c r="H67" s="287">
        <v>289</v>
      </c>
    </row>
    <row r="68" spans="3:8" x14ac:dyDescent="0.2">
      <c r="C68" s="71" t="s">
        <v>683</v>
      </c>
      <c r="D68" s="71" t="s">
        <v>686</v>
      </c>
      <c r="E68" s="71" t="s">
        <v>5</v>
      </c>
      <c r="F68" s="287">
        <v>3886</v>
      </c>
      <c r="G68" s="287">
        <v>156</v>
      </c>
      <c r="H68" s="287">
        <v>146</v>
      </c>
    </row>
    <row r="69" spans="3:8" x14ac:dyDescent="0.2">
      <c r="C69" s="71" t="s">
        <v>683</v>
      </c>
      <c r="D69" s="71" t="s">
        <v>449</v>
      </c>
      <c r="E69" s="71" t="s">
        <v>4</v>
      </c>
      <c r="F69" s="287">
        <v>2103</v>
      </c>
      <c r="G69" s="287">
        <v>288</v>
      </c>
      <c r="H69" s="287">
        <v>95</v>
      </c>
    </row>
    <row r="70" spans="3:8" x14ac:dyDescent="0.2">
      <c r="C70" s="71" t="s">
        <v>687</v>
      </c>
      <c r="D70" s="71" t="s">
        <v>684</v>
      </c>
      <c r="E70" s="71" t="s">
        <v>5</v>
      </c>
      <c r="F70" s="287">
        <v>4140</v>
      </c>
      <c r="G70" s="287">
        <v>193</v>
      </c>
      <c r="H70" s="287">
        <v>218</v>
      </c>
    </row>
    <row r="71" spans="3:8" x14ac:dyDescent="0.2">
      <c r="C71" s="71" t="s">
        <v>687</v>
      </c>
      <c r="D71" s="71" t="s">
        <v>686</v>
      </c>
      <c r="E71" s="71" t="s">
        <v>4</v>
      </c>
      <c r="F71" s="287">
        <v>2455</v>
      </c>
      <c r="G71" s="287">
        <v>178</v>
      </c>
      <c r="H71" s="287">
        <v>95</v>
      </c>
    </row>
    <row r="72" spans="3:8" x14ac:dyDescent="0.2">
      <c r="C72" s="71" t="s">
        <v>683</v>
      </c>
      <c r="D72" s="71" t="s">
        <v>449</v>
      </c>
      <c r="E72" s="71" t="s">
        <v>4</v>
      </c>
      <c r="F72" s="287">
        <v>2407</v>
      </c>
      <c r="G72" s="287">
        <v>200</v>
      </c>
      <c r="H72" s="287">
        <v>178</v>
      </c>
    </row>
    <row r="73" spans="3:8" x14ac:dyDescent="0.2">
      <c r="C73" s="71" t="s">
        <v>687</v>
      </c>
      <c r="D73" s="71" t="s">
        <v>449</v>
      </c>
      <c r="E73" s="71" t="s">
        <v>5</v>
      </c>
      <c r="F73" s="287">
        <v>2698</v>
      </c>
      <c r="G73" s="287">
        <v>209</v>
      </c>
      <c r="H73" s="287">
        <v>175</v>
      </c>
    </row>
    <row r="74" spans="3:8" x14ac:dyDescent="0.2">
      <c r="C74" s="71" t="s">
        <v>683</v>
      </c>
      <c r="D74" s="71" t="s">
        <v>686</v>
      </c>
      <c r="E74" s="71" t="s">
        <v>4</v>
      </c>
      <c r="F74" s="287">
        <v>4635</v>
      </c>
      <c r="G74" s="287">
        <v>423</v>
      </c>
      <c r="H74" s="287">
        <v>165</v>
      </c>
    </row>
    <row r="75" spans="3:8" x14ac:dyDescent="0.2">
      <c r="C75" s="71" t="s">
        <v>683</v>
      </c>
      <c r="D75" s="71" t="s">
        <v>684</v>
      </c>
      <c r="E75" s="71" t="s">
        <v>5</v>
      </c>
      <c r="F75" s="287">
        <v>2261</v>
      </c>
      <c r="G75" s="287">
        <v>373</v>
      </c>
      <c r="H75" s="287">
        <v>363</v>
      </c>
    </row>
    <row r="76" spans="3:8" x14ac:dyDescent="0.2">
      <c r="C76" s="71" t="s">
        <v>683</v>
      </c>
      <c r="D76" s="71" t="s">
        <v>688</v>
      </c>
      <c r="E76" s="71" t="s">
        <v>4</v>
      </c>
      <c r="F76" s="287">
        <v>2520</v>
      </c>
      <c r="G76" s="287">
        <v>319</v>
      </c>
      <c r="H76" s="287">
        <v>103</v>
      </c>
    </row>
    <row r="77" spans="3:8" x14ac:dyDescent="0.2">
      <c r="C77" s="71" t="s">
        <v>687</v>
      </c>
      <c r="D77" s="71" t="s">
        <v>684</v>
      </c>
      <c r="E77" s="71" t="s">
        <v>5</v>
      </c>
      <c r="F77" s="287">
        <v>2491</v>
      </c>
      <c r="G77" s="287">
        <v>421</v>
      </c>
      <c r="H77" s="287">
        <v>249</v>
      </c>
    </row>
    <row r="78" spans="3:8" x14ac:dyDescent="0.2">
      <c r="C78" s="71" t="s">
        <v>683</v>
      </c>
      <c r="D78" s="71" t="s">
        <v>449</v>
      </c>
      <c r="E78" s="71" t="s">
        <v>4</v>
      </c>
      <c r="F78" s="287">
        <v>2910</v>
      </c>
      <c r="G78" s="287">
        <v>382</v>
      </c>
      <c r="H78" s="287">
        <v>196</v>
      </c>
    </row>
    <row r="79" spans="3:8" x14ac:dyDescent="0.2">
      <c r="C79" s="71" t="s">
        <v>687</v>
      </c>
      <c r="D79" s="71" t="s">
        <v>684</v>
      </c>
      <c r="E79" s="71" t="s">
        <v>4</v>
      </c>
      <c r="F79" s="287">
        <v>2962</v>
      </c>
      <c r="G79" s="287">
        <v>282</v>
      </c>
      <c r="H79" s="287">
        <v>146</v>
      </c>
    </row>
    <row r="80" spans="3:8" x14ac:dyDescent="0.2">
      <c r="C80" s="71" t="s">
        <v>687</v>
      </c>
      <c r="D80" s="71" t="s">
        <v>684</v>
      </c>
      <c r="E80" s="71" t="s">
        <v>4</v>
      </c>
      <c r="F80" s="287">
        <v>2576</v>
      </c>
      <c r="G80" s="287">
        <v>264</v>
      </c>
      <c r="H80" s="287">
        <v>289</v>
      </c>
    </row>
    <row r="81" spans="3:8" x14ac:dyDescent="0.2">
      <c r="C81" s="71" t="s">
        <v>685</v>
      </c>
      <c r="D81" s="71" t="s">
        <v>684</v>
      </c>
      <c r="E81" s="71" t="s">
        <v>4</v>
      </c>
      <c r="F81" s="287">
        <v>2004</v>
      </c>
      <c r="G81" s="287">
        <v>384</v>
      </c>
      <c r="H81" s="287">
        <v>256</v>
      </c>
    </row>
    <row r="82" spans="3:8" x14ac:dyDescent="0.2">
      <c r="C82" s="71" t="s">
        <v>683</v>
      </c>
      <c r="D82" s="71" t="s">
        <v>686</v>
      </c>
      <c r="E82" s="71" t="s">
        <v>4</v>
      </c>
      <c r="F82" s="287">
        <v>2374</v>
      </c>
      <c r="G82" s="287">
        <v>234</v>
      </c>
      <c r="H82" s="287">
        <v>196</v>
      </c>
    </row>
    <row r="83" spans="3:8" x14ac:dyDescent="0.2">
      <c r="C83" s="71" t="s">
        <v>683</v>
      </c>
      <c r="D83" s="71" t="s">
        <v>449</v>
      </c>
      <c r="E83" s="71" t="s">
        <v>5</v>
      </c>
      <c r="F83" s="287">
        <v>2233</v>
      </c>
      <c r="G83" s="287">
        <v>307</v>
      </c>
      <c r="H83" s="287">
        <v>273</v>
      </c>
    </row>
    <row r="84" spans="3:8" x14ac:dyDescent="0.2">
      <c r="C84" s="71" t="s">
        <v>687</v>
      </c>
      <c r="D84" s="71" t="s">
        <v>449</v>
      </c>
      <c r="E84" s="71" t="s">
        <v>4</v>
      </c>
      <c r="F84" s="287">
        <v>2635</v>
      </c>
      <c r="G84" s="287">
        <v>326</v>
      </c>
      <c r="H84" s="287">
        <v>219</v>
      </c>
    </row>
    <row r="85" spans="3:8" x14ac:dyDescent="0.2">
      <c r="C85" s="71" t="s">
        <v>683</v>
      </c>
      <c r="D85" s="71" t="s">
        <v>684</v>
      </c>
      <c r="E85" s="71" t="s">
        <v>4</v>
      </c>
      <c r="F85" s="287">
        <v>842</v>
      </c>
      <c r="G85" s="287">
        <v>513</v>
      </c>
      <c r="H85" s="287">
        <v>179</v>
      </c>
    </row>
    <row r="86" spans="3:8" x14ac:dyDescent="0.2">
      <c r="C86" s="71" t="s">
        <v>683</v>
      </c>
      <c r="D86" s="71" t="s">
        <v>449</v>
      </c>
      <c r="E86" s="71" t="s">
        <v>5</v>
      </c>
      <c r="F86" s="287">
        <v>3240</v>
      </c>
      <c r="G86" s="287">
        <v>204</v>
      </c>
      <c r="H86" s="287">
        <v>221</v>
      </c>
    </row>
    <row r="87" spans="3:8" x14ac:dyDescent="0.2">
      <c r="C87" s="71" t="s">
        <v>683</v>
      </c>
      <c r="D87" s="71" t="s">
        <v>686</v>
      </c>
      <c r="E87" s="71" t="s">
        <v>4</v>
      </c>
      <c r="F87" s="287">
        <v>2368</v>
      </c>
      <c r="G87" s="287">
        <v>378</v>
      </c>
      <c r="H87" s="287">
        <v>195</v>
      </c>
    </row>
    <row r="88" spans="3:8" x14ac:dyDescent="0.2">
      <c r="C88" s="71" t="s">
        <v>683</v>
      </c>
      <c r="D88" s="71" t="s">
        <v>684</v>
      </c>
      <c r="E88" s="71" t="s">
        <v>5</v>
      </c>
      <c r="F88" s="287">
        <v>1189</v>
      </c>
      <c r="G88" s="287">
        <v>298</v>
      </c>
      <c r="H88" s="287">
        <v>177</v>
      </c>
    </row>
    <row r="89" spans="3:8" x14ac:dyDescent="0.2">
      <c r="C89" s="71" t="s">
        <v>685</v>
      </c>
      <c r="D89" s="71" t="s">
        <v>684</v>
      </c>
      <c r="E89" s="71" t="s">
        <v>5</v>
      </c>
      <c r="F89" s="287">
        <v>3914</v>
      </c>
      <c r="G89" s="287">
        <v>343</v>
      </c>
      <c r="H89" s="287">
        <v>106</v>
      </c>
    </row>
    <row r="90" spans="3:8" x14ac:dyDescent="0.2">
      <c r="C90" s="71" t="s">
        <v>687</v>
      </c>
      <c r="D90" s="71" t="s">
        <v>449</v>
      </c>
      <c r="E90" s="71" t="s">
        <v>4</v>
      </c>
      <c r="F90" s="287">
        <v>2827</v>
      </c>
      <c r="G90" s="287">
        <v>315</v>
      </c>
      <c r="H90" s="287">
        <v>311</v>
      </c>
    </row>
    <row r="91" spans="3:8" x14ac:dyDescent="0.2">
      <c r="C91" s="71" t="s">
        <v>683</v>
      </c>
      <c r="D91" s="71" t="s">
        <v>684</v>
      </c>
      <c r="E91" s="71" t="s">
        <v>5</v>
      </c>
      <c r="F91" s="287">
        <v>2067</v>
      </c>
      <c r="G91" s="287">
        <v>294</v>
      </c>
      <c r="H91" s="287">
        <v>222</v>
      </c>
    </row>
    <row r="92" spans="3:8" x14ac:dyDescent="0.2">
      <c r="C92" s="71" t="s">
        <v>687</v>
      </c>
      <c r="D92" s="71" t="s">
        <v>686</v>
      </c>
      <c r="E92" s="71" t="s">
        <v>5</v>
      </c>
      <c r="F92" s="287">
        <v>3965</v>
      </c>
      <c r="G92" s="287">
        <v>345</v>
      </c>
      <c r="H92" s="287">
        <v>249</v>
      </c>
    </row>
    <row r="93" spans="3:8" x14ac:dyDescent="0.2">
      <c r="C93" s="71" t="s">
        <v>683</v>
      </c>
      <c r="D93" s="71" t="s">
        <v>686</v>
      </c>
      <c r="E93" s="71" t="s">
        <v>5</v>
      </c>
      <c r="F93" s="287">
        <v>2418</v>
      </c>
      <c r="G93" s="287">
        <v>264</v>
      </c>
      <c r="H93" s="287">
        <v>286</v>
      </c>
    </row>
    <row r="94" spans="3:8" x14ac:dyDescent="0.2">
      <c r="C94" s="71" t="s">
        <v>687</v>
      </c>
      <c r="D94" s="71" t="s">
        <v>688</v>
      </c>
      <c r="E94" s="71" t="s">
        <v>5</v>
      </c>
      <c r="F94" s="287">
        <v>2570</v>
      </c>
      <c r="G94" s="287">
        <v>314</v>
      </c>
      <c r="H94" s="287">
        <v>306</v>
      </c>
    </row>
    <row r="95" spans="3:8" x14ac:dyDescent="0.2">
      <c r="C95" s="71" t="s">
        <v>683</v>
      </c>
      <c r="D95" s="71" t="s">
        <v>684</v>
      </c>
      <c r="E95" s="71" t="s">
        <v>4</v>
      </c>
      <c r="F95" s="287">
        <v>2298</v>
      </c>
      <c r="G95" s="287">
        <v>378</v>
      </c>
      <c r="H95" s="287">
        <v>155</v>
      </c>
    </row>
    <row r="96" spans="3:8" x14ac:dyDescent="0.2">
      <c r="C96" s="71" t="s">
        <v>683</v>
      </c>
      <c r="D96" s="71" t="s">
        <v>686</v>
      </c>
      <c r="E96" s="71" t="s">
        <v>5</v>
      </c>
      <c r="F96" s="287">
        <v>1884</v>
      </c>
      <c r="G96" s="287">
        <v>455</v>
      </c>
      <c r="H96" s="287">
        <v>172</v>
      </c>
    </row>
  </sheetData>
  <mergeCells count="2">
    <mergeCell ref="B6:E6"/>
    <mergeCell ref="B1:C1"/>
  </mergeCells>
  <hyperlinks>
    <hyperlink ref="B6:D6" location="sjabloon!A1" display="Ga naar Inhoudsopgave" xr:uid="{00000000-0004-0000-2700-000000000000}"/>
    <hyperlink ref="B6:E6" location="TOC!A1" display="Go to TOC" xr:uid="{00000000-0004-0000-2700-000001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Blad32"/>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3.42578125" style="4" customWidth="1"/>
    <col min="9" max="10" width="9.85546875" style="4" customWidth="1"/>
    <col min="11" max="11" width="11.5703125" style="4" customWidth="1"/>
    <col min="12" max="16384" width="9.140625" style="4"/>
  </cols>
  <sheetData>
    <row r="1" spans="2:14" s="9" customFormat="1" x14ac:dyDescent="0.2">
      <c r="B1" s="386" t="s">
        <v>1047</v>
      </c>
      <c r="C1" s="386"/>
      <c r="D1" s="263" t="s">
        <v>496</v>
      </c>
    </row>
    <row r="2" spans="2:14" x14ac:dyDescent="0.2">
      <c r="B2" s="263" t="s">
        <v>1124</v>
      </c>
      <c r="C2" s="263"/>
      <c r="D2" s="337" t="str">
        <f>VLOOKUP(D$1,TabelContent[],COLUMN(TabelContent[Titel-EN]))</f>
        <v>Average rating</v>
      </c>
    </row>
    <row r="3" spans="2:14" x14ac:dyDescent="0.2">
      <c r="B3" s="263" t="s">
        <v>1125</v>
      </c>
      <c r="C3" s="263"/>
      <c r="D3" s="337" t="str">
        <f>VLOOKUP(D$1,TabelContent[],COLUMN(TabelContent[Cat-EN]))</f>
        <v>Pivot table</v>
      </c>
    </row>
    <row r="4" spans="2:14" x14ac:dyDescent="0.2">
      <c r="B4" s="263" t="s">
        <v>1126</v>
      </c>
      <c r="C4" s="263"/>
      <c r="D4" s="337">
        <f>VLOOKUP(D$1,TabelContent[],COLUMN(TabelContent[Niveau]))</f>
        <v>2</v>
      </c>
    </row>
    <row r="5" spans="2:14" x14ac:dyDescent="0.2">
      <c r="B5" s="10"/>
      <c r="C5" s="10"/>
      <c r="D5" s="10"/>
      <c r="E5" s="10"/>
    </row>
    <row r="6" spans="2:14" x14ac:dyDescent="0.2">
      <c r="B6" s="387" t="s">
        <v>1132</v>
      </c>
      <c r="C6" s="387"/>
      <c r="D6" s="387"/>
      <c r="E6" s="387"/>
    </row>
    <row r="7" spans="2:14" x14ac:dyDescent="0.2">
      <c r="B7" s="10"/>
      <c r="C7" s="10"/>
      <c r="D7" s="10"/>
      <c r="E7" s="10"/>
    </row>
    <row r="8" spans="2:14" x14ac:dyDescent="0.2">
      <c r="B8" s="10"/>
      <c r="C8" s="17" t="s">
        <v>690</v>
      </c>
      <c r="D8" s="17" t="s">
        <v>691</v>
      </c>
      <c r="E8" s="17" t="s">
        <v>744</v>
      </c>
      <c r="F8" s="65" t="s">
        <v>692</v>
      </c>
    </row>
    <row r="9" spans="2:14" x14ac:dyDescent="0.2">
      <c r="B9" s="10"/>
      <c r="C9" s="10" t="s">
        <v>498</v>
      </c>
      <c r="D9" s="10" t="s">
        <v>499</v>
      </c>
      <c r="E9" s="10" t="s">
        <v>689</v>
      </c>
      <c r="F9" s="4">
        <v>5</v>
      </c>
    </row>
    <row r="10" spans="2:14" x14ac:dyDescent="0.2">
      <c r="B10" s="10"/>
      <c r="C10" s="10" t="s">
        <v>498</v>
      </c>
      <c r="D10" s="10" t="s">
        <v>500</v>
      </c>
      <c r="E10" s="10" t="s">
        <v>689</v>
      </c>
      <c r="F10" s="4">
        <v>6</v>
      </c>
    </row>
    <row r="11" spans="2:14" x14ac:dyDescent="0.2">
      <c r="B11" s="10"/>
      <c r="C11" s="10" t="s">
        <v>498</v>
      </c>
      <c r="D11" s="10" t="s">
        <v>501</v>
      </c>
      <c r="E11" s="10" t="s">
        <v>502</v>
      </c>
      <c r="F11" s="4">
        <v>7</v>
      </c>
      <c r="H11" s="73" t="s">
        <v>693</v>
      </c>
      <c r="I11" s="73" t="s">
        <v>744</v>
      </c>
      <c r="J11"/>
      <c r="K11"/>
      <c r="L11"/>
      <c r="M11"/>
      <c r="N11"/>
    </row>
    <row r="12" spans="2:14" x14ac:dyDescent="0.2">
      <c r="B12" s="10"/>
      <c r="C12" s="10" t="s">
        <v>498</v>
      </c>
      <c r="D12" s="10" t="s">
        <v>31</v>
      </c>
      <c r="E12" s="10" t="s">
        <v>502</v>
      </c>
      <c r="F12" s="4">
        <v>5</v>
      </c>
      <c r="H12" s="73" t="s">
        <v>690</v>
      </c>
      <c r="I12" s="9" t="s">
        <v>689</v>
      </c>
      <c r="J12" s="9" t="s">
        <v>502</v>
      </c>
      <c r="K12" s="9" t="s">
        <v>667</v>
      </c>
      <c r="L12"/>
      <c r="M12"/>
      <c r="N12"/>
    </row>
    <row r="13" spans="2:14" x14ac:dyDescent="0.2">
      <c r="B13" s="10"/>
      <c r="C13" s="10" t="s">
        <v>498</v>
      </c>
      <c r="D13" s="10" t="s">
        <v>503</v>
      </c>
      <c r="E13" s="10" t="s">
        <v>689</v>
      </c>
      <c r="F13" s="4">
        <v>7</v>
      </c>
      <c r="H13" s="236" t="s">
        <v>498</v>
      </c>
      <c r="I13" s="74">
        <v>6.75</v>
      </c>
      <c r="J13" s="74">
        <v>6</v>
      </c>
      <c r="K13" s="74">
        <v>6.5</v>
      </c>
      <c r="L13"/>
      <c r="M13"/>
      <c r="N13"/>
    </row>
    <row r="14" spans="2:14" x14ac:dyDescent="0.2">
      <c r="B14" s="10"/>
      <c r="C14" s="10" t="s">
        <v>498</v>
      </c>
      <c r="D14" s="10" t="s">
        <v>504</v>
      </c>
      <c r="E14" s="10" t="s">
        <v>689</v>
      </c>
      <c r="F14" s="4">
        <v>9</v>
      </c>
      <c r="H14" s="236" t="s">
        <v>505</v>
      </c>
      <c r="I14" s="74">
        <v>6.5</v>
      </c>
      <c r="J14" s="74">
        <v>6.333333333333333</v>
      </c>
      <c r="K14" s="74">
        <v>6.4</v>
      </c>
      <c r="L14"/>
      <c r="M14"/>
      <c r="N14"/>
    </row>
    <row r="15" spans="2:14" x14ac:dyDescent="0.2">
      <c r="B15" s="10"/>
      <c r="C15" s="10" t="s">
        <v>505</v>
      </c>
      <c r="D15" s="10" t="s">
        <v>506</v>
      </c>
      <c r="E15" s="10" t="s">
        <v>689</v>
      </c>
      <c r="F15" s="4">
        <v>6</v>
      </c>
      <c r="H15" s="236" t="s">
        <v>667</v>
      </c>
      <c r="I15" s="74">
        <v>6.666666666666667</v>
      </c>
      <c r="J15" s="74">
        <v>6.2</v>
      </c>
      <c r="K15" s="74">
        <v>6.4545454545454541</v>
      </c>
      <c r="L15"/>
      <c r="M15"/>
      <c r="N15"/>
    </row>
    <row r="16" spans="2:14" x14ac:dyDescent="0.2">
      <c r="C16" s="4" t="s">
        <v>505</v>
      </c>
      <c r="D16" s="4" t="s">
        <v>507</v>
      </c>
      <c r="E16" s="4" t="s">
        <v>502</v>
      </c>
      <c r="F16" s="4">
        <v>6</v>
      </c>
      <c r="H16"/>
      <c r="I16"/>
      <c r="J16"/>
      <c r="K16"/>
      <c r="L16"/>
      <c r="M16"/>
      <c r="N16"/>
    </row>
    <row r="17" spans="3:14" x14ac:dyDescent="0.2">
      <c r="C17" s="4" t="s">
        <v>505</v>
      </c>
      <c r="D17" s="4" t="s">
        <v>508</v>
      </c>
      <c r="E17" s="4" t="s">
        <v>689</v>
      </c>
      <c r="F17" s="4">
        <v>7</v>
      </c>
      <c r="H17"/>
      <c r="I17"/>
      <c r="J17"/>
      <c r="K17"/>
      <c r="L17"/>
      <c r="M17"/>
      <c r="N17"/>
    </row>
    <row r="18" spans="3:14" x14ac:dyDescent="0.2">
      <c r="C18" s="4" t="s">
        <v>505</v>
      </c>
      <c r="D18" s="4" t="s">
        <v>509</v>
      </c>
      <c r="E18" s="4" t="s">
        <v>502</v>
      </c>
      <c r="F18" s="4">
        <v>8</v>
      </c>
      <c r="H18"/>
      <c r="I18"/>
      <c r="J18"/>
      <c r="K18"/>
      <c r="L18"/>
      <c r="M18"/>
      <c r="N18"/>
    </row>
    <row r="19" spans="3:14" x14ac:dyDescent="0.2">
      <c r="C19" s="4" t="s">
        <v>505</v>
      </c>
      <c r="D19" s="4" t="s">
        <v>510</v>
      </c>
      <c r="E19" s="4" t="s">
        <v>502</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c r="K25"/>
    </row>
    <row r="26" spans="3:14" x14ac:dyDescent="0.2">
      <c r="H26"/>
      <c r="I26"/>
      <c r="J26"/>
    </row>
    <row r="27" spans="3:14" x14ac:dyDescent="0.2">
      <c r="H27"/>
      <c r="I27"/>
      <c r="J27"/>
    </row>
    <row r="28" spans="3:14" x14ac:dyDescent="0.2">
      <c r="H28"/>
      <c r="I28"/>
      <c r="J28"/>
    </row>
  </sheetData>
  <mergeCells count="2">
    <mergeCell ref="B6:E6"/>
    <mergeCell ref="B1:C1"/>
  </mergeCells>
  <hyperlinks>
    <hyperlink ref="B6:D6" location="sjabloon!A1" display="Ga naar Inhoudsopgave" xr:uid="{00000000-0004-0000-2800-000000000000}"/>
    <hyperlink ref="B6:E6" location="TOC!A1" display="Go to TOC" xr:uid="{00000000-0004-0000-28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33"/>
  <dimension ref="B1:I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12.42578125" style="245" bestFit="1" customWidth="1"/>
    <col min="5" max="5" width="10.5703125" style="245" bestFit="1" customWidth="1"/>
    <col min="6" max="6" width="6.42578125" style="245" bestFit="1" customWidth="1"/>
    <col min="7" max="7" width="9.140625" style="245"/>
    <col min="8" max="8" width="11.5703125" style="245" customWidth="1"/>
    <col min="9" max="9" width="10.5703125" style="245" bestFit="1" customWidth="1"/>
    <col min="10" max="16384" width="9.140625" style="245"/>
  </cols>
  <sheetData>
    <row r="1" spans="2:9" x14ac:dyDescent="0.2">
      <c r="B1" s="386" t="s">
        <v>1047</v>
      </c>
      <c r="C1" s="386"/>
      <c r="D1" s="263" t="s">
        <v>497</v>
      </c>
    </row>
    <row r="2" spans="2:9" x14ac:dyDescent="0.2">
      <c r="B2" s="263" t="s">
        <v>1124</v>
      </c>
      <c r="C2" s="263"/>
      <c r="D2" s="337" t="str">
        <f>VLOOKUP(D$1,TabelContent[],COLUMN(TabelContent[Titel-EN]))</f>
        <v>Frequency distribution figures</v>
      </c>
    </row>
    <row r="3" spans="2:9" x14ac:dyDescent="0.2">
      <c r="B3" s="263" t="s">
        <v>1125</v>
      </c>
      <c r="C3" s="263"/>
      <c r="D3" s="337" t="str">
        <f>VLOOKUP(D$1,TabelContent[],COLUMN(TabelContent[Cat-EN]))</f>
        <v>Pivot table</v>
      </c>
    </row>
    <row r="4" spans="2:9" x14ac:dyDescent="0.2">
      <c r="B4" s="263" t="s">
        <v>1126</v>
      </c>
      <c r="C4" s="263"/>
      <c r="D4" s="337">
        <f>VLOOKUP(D$1,TabelContent[],COLUMN(TabelContent[Niveau]))</f>
        <v>2</v>
      </c>
    </row>
    <row r="5" spans="2:9" x14ac:dyDescent="0.2">
      <c r="B5" s="249"/>
      <c r="C5" s="249"/>
      <c r="D5" s="249"/>
      <c r="E5" s="249"/>
    </row>
    <row r="6" spans="2:9" x14ac:dyDescent="0.2">
      <c r="B6" s="396" t="s">
        <v>1132</v>
      </c>
      <c r="C6" s="396"/>
      <c r="D6" s="396"/>
      <c r="E6" s="396"/>
    </row>
    <row r="7" spans="2:9" x14ac:dyDescent="0.2">
      <c r="B7" s="249"/>
      <c r="C7" s="249"/>
      <c r="D7" s="249"/>
      <c r="E7" s="249"/>
    </row>
    <row r="8" spans="2:9" x14ac:dyDescent="0.2">
      <c r="B8" s="249"/>
      <c r="D8" s="250" t="s">
        <v>694</v>
      </c>
      <c r="E8" s="250" t="s">
        <v>695</v>
      </c>
      <c r="F8" s="250" t="s">
        <v>312</v>
      </c>
    </row>
    <row r="9" spans="2:9" x14ac:dyDescent="0.2">
      <c r="B9" s="249"/>
      <c r="D9" s="249" t="s">
        <v>29</v>
      </c>
      <c r="E9" s="249" t="s">
        <v>30</v>
      </c>
      <c r="F9" s="249">
        <v>3</v>
      </c>
      <c r="H9" s="251" t="s">
        <v>312</v>
      </c>
      <c r="I9" s="245" t="s">
        <v>727</v>
      </c>
    </row>
    <row r="10" spans="2:9" x14ac:dyDescent="0.2">
      <c r="B10" s="249"/>
      <c r="D10" s="249" t="s">
        <v>31</v>
      </c>
      <c r="E10" s="249" t="s">
        <v>32</v>
      </c>
      <c r="F10" s="249">
        <v>6</v>
      </c>
      <c r="H10" s="252">
        <v>3</v>
      </c>
      <c r="I10" s="245">
        <v>1</v>
      </c>
    </row>
    <row r="11" spans="2:9" x14ac:dyDescent="0.2">
      <c r="B11" s="249"/>
      <c r="D11" s="249" t="s">
        <v>33</v>
      </c>
      <c r="E11" s="249" t="s">
        <v>34</v>
      </c>
      <c r="F11" s="249">
        <v>4</v>
      </c>
      <c r="H11" s="252">
        <v>4</v>
      </c>
      <c r="I11" s="245">
        <v>2</v>
      </c>
    </row>
    <row r="12" spans="2:9" x14ac:dyDescent="0.2">
      <c r="B12" s="249"/>
      <c r="D12" s="249" t="s">
        <v>35</v>
      </c>
      <c r="E12" s="249" t="s">
        <v>36</v>
      </c>
      <c r="F12" s="249">
        <v>6</v>
      </c>
      <c r="H12" s="252">
        <v>6</v>
      </c>
      <c r="I12" s="245">
        <v>3</v>
      </c>
    </row>
    <row r="13" spans="2:9" x14ac:dyDescent="0.2">
      <c r="B13" s="249"/>
      <c r="D13" s="249" t="s">
        <v>37</v>
      </c>
      <c r="E13" s="249" t="s">
        <v>38</v>
      </c>
      <c r="F13" s="249">
        <v>7</v>
      </c>
      <c r="H13" s="252">
        <v>7</v>
      </c>
      <c r="I13" s="245">
        <v>2</v>
      </c>
    </row>
    <row r="14" spans="2:9" x14ac:dyDescent="0.2">
      <c r="B14" s="249"/>
      <c r="D14" s="249" t="s">
        <v>39</v>
      </c>
      <c r="E14" s="249" t="s">
        <v>40</v>
      </c>
      <c r="F14" s="249">
        <v>6</v>
      </c>
      <c r="H14" s="252">
        <v>9</v>
      </c>
      <c r="I14" s="245">
        <v>1</v>
      </c>
    </row>
    <row r="15" spans="2:9" x14ac:dyDescent="0.2">
      <c r="B15" s="249"/>
      <c r="D15" s="249" t="s">
        <v>41</v>
      </c>
      <c r="E15" s="249" t="s">
        <v>42</v>
      </c>
      <c r="F15" s="249">
        <v>7</v>
      </c>
      <c r="H15" s="252" t="s">
        <v>667</v>
      </c>
      <c r="I15" s="245">
        <v>9</v>
      </c>
    </row>
    <row r="16" spans="2:9" x14ac:dyDescent="0.2">
      <c r="D16" s="245" t="s">
        <v>47</v>
      </c>
      <c r="E16" s="245" t="s">
        <v>511</v>
      </c>
      <c r="F16" s="245">
        <v>9</v>
      </c>
    </row>
    <row r="17" spans="4:6" x14ac:dyDescent="0.2">
      <c r="D17" s="245" t="s">
        <v>51</v>
      </c>
      <c r="E17" s="245" t="s">
        <v>512</v>
      </c>
      <c r="F17" s="245">
        <v>4</v>
      </c>
    </row>
  </sheetData>
  <mergeCells count="2">
    <mergeCell ref="B6:E6"/>
    <mergeCell ref="B1:C1"/>
  </mergeCells>
  <hyperlinks>
    <hyperlink ref="B6:D6" location="sjabloon!A1" display="Ga naar Inhoudsopgave" xr:uid="{00000000-0004-0000-2900-000000000000}"/>
    <hyperlink ref="B6:E6" location="TOC!A1" display="Go to TOC" xr:uid="{00000000-0004-0000-29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6.140625" style="4" customWidth="1"/>
    <col min="6" max="6" width="8" style="4" bestFit="1" customWidth="1"/>
    <col min="7" max="7" width="8.5703125" style="4" customWidth="1"/>
    <col min="8" max="8" width="9.140625" style="4"/>
    <col min="9" max="9" width="14.28515625" style="4" customWidth="1"/>
    <col min="10" max="13" width="10.140625" style="4" customWidth="1"/>
    <col min="14" max="14" width="11.5703125" style="4" customWidth="1"/>
    <col min="15" max="16384" width="9.140625" style="4"/>
  </cols>
  <sheetData>
    <row r="1" spans="2:14" s="9" customFormat="1" x14ac:dyDescent="0.2">
      <c r="B1" s="386" t="s">
        <v>1047</v>
      </c>
      <c r="C1" s="386"/>
      <c r="D1" s="263" t="s">
        <v>513</v>
      </c>
    </row>
    <row r="2" spans="2:14" x14ac:dyDescent="0.2">
      <c r="B2" s="263" t="s">
        <v>1124</v>
      </c>
      <c r="C2" s="263"/>
      <c r="D2" s="337" t="str">
        <f>VLOOKUP(D$1,TabelContent[],COLUMN(TabelContent[Titel-EN]))</f>
        <v>Clothing sales by region</v>
      </c>
    </row>
    <row r="3" spans="2:14" x14ac:dyDescent="0.2">
      <c r="B3" s="263" t="s">
        <v>1125</v>
      </c>
      <c r="C3" s="263"/>
      <c r="D3" s="337" t="str">
        <f>VLOOKUP(D$1,TabelContent[],COLUMN(TabelContent[Cat-EN]))</f>
        <v>Pivot table</v>
      </c>
    </row>
    <row r="4" spans="2:14" x14ac:dyDescent="0.2">
      <c r="B4" s="263" t="s">
        <v>1126</v>
      </c>
      <c r="C4" s="263"/>
      <c r="D4" s="337">
        <f>VLOOKUP(D$1,TabelContent[],COLUMN(TabelContent[Niveau]))</f>
        <v>2</v>
      </c>
    </row>
    <row r="5" spans="2:14" x14ac:dyDescent="0.2">
      <c r="B5" s="10"/>
      <c r="C5" s="10"/>
      <c r="D5" s="10"/>
      <c r="E5" s="10"/>
    </row>
    <row r="6" spans="2:14" x14ac:dyDescent="0.2">
      <c r="B6" s="387" t="s">
        <v>1132</v>
      </c>
      <c r="C6" s="387"/>
      <c r="D6" s="387"/>
      <c r="E6" s="387"/>
    </row>
    <row r="7" spans="2:14" s="77" customFormat="1" ht="11.25" x14ac:dyDescent="0.15">
      <c r="B7" s="42"/>
      <c r="C7" s="42"/>
      <c r="D7" s="42"/>
      <c r="E7" s="42"/>
    </row>
    <row r="8" spans="2:14" s="77" customFormat="1" x14ac:dyDescent="0.2">
      <c r="D8" s="1" t="s">
        <v>60</v>
      </c>
      <c r="E8" s="1" t="s">
        <v>652</v>
      </c>
      <c r="F8" s="1" t="s">
        <v>674</v>
      </c>
      <c r="G8" s="1" t="s">
        <v>672</v>
      </c>
    </row>
    <row r="9" spans="2:14" s="77" customFormat="1" x14ac:dyDescent="0.2">
      <c r="D9" s="4" t="s">
        <v>696</v>
      </c>
      <c r="E9" s="223">
        <v>2009</v>
      </c>
      <c r="F9" s="288">
        <v>7700</v>
      </c>
      <c r="G9" s="4" t="s">
        <v>684</v>
      </c>
    </row>
    <row r="10" spans="2:14" s="77" customFormat="1" x14ac:dyDescent="0.2">
      <c r="D10" s="4" t="s">
        <v>696</v>
      </c>
      <c r="E10" s="223">
        <v>2009</v>
      </c>
      <c r="F10" s="288">
        <v>2970</v>
      </c>
      <c r="G10" s="4" t="s">
        <v>686</v>
      </c>
      <c r="I10" s="73" t="s">
        <v>677</v>
      </c>
      <c r="J10"/>
      <c r="K10"/>
      <c r="L10"/>
      <c r="M10"/>
      <c r="N10"/>
    </row>
    <row r="11" spans="2:14" s="77" customFormat="1" x14ac:dyDescent="0.2">
      <c r="D11" s="4" t="s">
        <v>696</v>
      </c>
      <c r="E11" s="223">
        <v>2009</v>
      </c>
      <c r="F11" s="288">
        <v>8180</v>
      </c>
      <c r="G11" s="4" t="s">
        <v>688</v>
      </c>
      <c r="I11"/>
      <c r="J11" s="236" t="s">
        <v>686</v>
      </c>
      <c r="K11" s="236" t="s">
        <v>684</v>
      </c>
      <c r="L11" s="236" t="s">
        <v>688</v>
      </c>
      <c r="M11" s="236" t="s">
        <v>449</v>
      </c>
      <c r="N11" s="236" t="s">
        <v>667</v>
      </c>
    </row>
    <row r="12" spans="2:14" s="77" customFormat="1" x14ac:dyDescent="0.2">
      <c r="D12" s="4" t="s">
        <v>696</v>
      </c>
      <c r="E12" s="223">
        <v>2009</v>
      </c>
      <c r="F12" s="288">
        <v>4460</v>
      </c>
      <c r="G12" s="4" t="s">
        <v>449</v>
      </c>
      <c r="I12" s="222">
        <v>2009</v>
      </c>
      <c r="J12" s="286"/>
      <c r="K12" s="286"/>
      <c r="L12" s="286"/>
      <c r="M12" s="286"/>
      <c r="N12" s="286"/>
    </row>
    <row r="13" spans="2:14" s="77" customFormat="1" x14ac:dyDescent="0.2">
      <c r="D13" s="4" t="s">
        <v>697</v>
      </c>
      <c r="E13" s="223">
        <v>2009</v>
      </c>
      <c r="F13" s="288">
        <v>2910</v>
      </c>
      <c r="G13" s="4" t="s">
        <v>684</v>
      </c>
      <c r="I13" s="285" t="s">
        <v>697</v>
      </c>
      <c r="J13" s="286">
        <v>4940</v>
      </c>
      <c r="K13" s="286">
        <v>2910</v>
      </c>
      <c r="L13" s="286">
        <v>2750</v>
      </c>
      <c r="M13" s="286">
        <v>460</v>
      </c>
      <c r="N13" s="286">
        <v>11060</v>
      </c>
    </row>
    <row r="14" spans="2:14" s="77" customFormat="1" x14ac:dyDescent="0.2">
      <c r="D14" s="4" t="s">
        <v>697</v>
      </c>
      <c r="E14" s="223">
        <v>2009</v>
      </c>
      <c r="F14" s="288">
        <v>4940</v>
      </c>
      <c r="G14" s="4" t="s">
        <v>686</v>
      </c>
      <c r="I14" s="285" t="s">
        <v>696</v>
      </c>
      <c r="J14" s="286">
        <v>2970</v>
      </c>
      <c r="K14" s="286">
        <v>7700</v>
      </c>
      <c r="L14" s="286">
        <v>8180</v>
      </c>
      <c r="M14" s="286">
        <v>4460</v>
      </c>
      <c r="N14" s="286">
        <v>23310</v>
      </c>
    </row>
    <row r="15" spans="2:14" s="77" customFormat="1" x14ac:dyDescent="0.2">
      <c r="D15" s="4" t="s">
        <v>697</v>
      </c>
      <c r="E15" s="223">
        <v>2009</v>
      </c>
      <c r="F15" s="288">
        <v>2750</v>
      </c>
      <c r="G15" s="4" t="s">
        <v>688</v>
      </c>
      <c r="I15" s="222">
        <v>2010</v>
      </c>
      <c r="J15" s="286"/>
      <c r="K15" s="286"/>
      <c r="L15" s="286"/>
      <c r="M15" s="286"/>
      <c r="N15" s="286"/>
    </row>
    <row r="16" spans="2:14" s="77" customFormat="1" x14ac:dyDescent="0.2">
      <c r="D16" s="4" t="s">
        <v>697</v>
      </c>
      <c r="E16" s="223">
        <v>2009</v>
      </c>
      <c r="F16" s="288">
        <v>460</v>
      </c>
      <c r="G16" s="4" t="s">
        <v>449</v>
      </c>
      <c r="I16" s="285" t="s">
        <v>697</v>
      </c>
      <c r="J16" s="286">
        <v>5590</v>
      </c>
      <c r="K16" s="286">
        <v>3650</v>
      </c>
      <c r="L16" s="286">
        <v>7630</v>
      </c>
      <c r="M16" s="286">
        <v>4890</v>
      </c>
      <c r="N16" s="286">
        <v>21760</v>
      </c>
    </row>
    <row r="17" spans="4:14" s="77" customFormat="1" x14ac:dyDescent="0.2">
      <c r="D17" s="4" t="s">
        <v>696</v>
      </c>
      <c r="E17" s="223">
        <v>2010</v>
      </c>
      <c r="F17" s="288">
        <v>810</v>
      </c>
      <c r="G17" s="4" t="s">
        <v>684</v>
      </c>
      <c r="I17" s="285" t="s">
        <v>696</v>
      </c>
      <c r="J17" s="286">
        <v>8770</v>
      </c>
      <c r="K17" s="286">
        <v>810</v>
      </c>
      <c r="L17" s="286">
        <v>2760</v>
      </c>
      <c r="M17" s="286">
        <v>7060</v>
      </c>
      <c r="N17" s="286">
        <v>19400</v>
      </c>
    </row>
    <row r="18" spans="4:14" s="77" customFormat="1" x14ac:dyDescent="0.2">
      <c r="D18" s="4" t="s">
        <v>696</v>
      </c>
      <c r="E18" s="223">
        <v>2010</v>
      </c>
      <c r="F18" s="288">
        <v>8770</v>
      </c>
      <c r="G18" s="4" t="s">
        <v>686</v>
      </c>
      <c r="I18" s="203" t="s">
        <v>667</v>
      </c>
      <c r="J18" s="286">
        <v>22270</v>
      </c>
      <c r="K18" s="286">
        <v>15070</v>
      </c>
      <c r="L18" s="286">
        <v>21320</v>
      </c>
      <c r="M18" s="286">
        <v>16870</v>
      </c>
      <c r="N18" s="286">
        <v>75530</v>
      </c>
    </row>
    <row r="19" spans="4:14" s="77" customFormat="1" x14ac:dyDescent="0.2">
      <c r="D19" s="4" t="s">
        <v>696</v>
      </c>
      <c r="E19" s="223">
        <v>2010</v>
      </c>
      <c r="F19" s="288">
        <v>2760</v>
      </c>
      <c r="G19" s="4" t="s">
        <v>688</v>
      </c>
      <c r="I19"/>
      <c r="J19"/>
      <c r="K19"/>
    </row>
    <row r="20" spans="4:14" s="77" customFormat="1" x14ac:dyDescent="0.2">
      <c r="D20" s="4" t="s">
        <v>696</v>
      </c>
      <c r="E20" s="223">
        <v>2010</v>
      </c>
      <c r="F20" s="288">
        <v>7060</v>
      </c>
      <c r="G20" s="4" t="s">
        <v>449</v>
      </c>
      <c r="I20"/>
      <c r="J20"/>
      <c r="K20"/>
    </row>
    <row r="21" spans="4:14" s="77" customFormat="1" x14ac:dyDescent="0.2">
      <c r="D21" s="4" t="s">
        <v>697</v>
      </c>
      <c r="E21" s="223">
        <v>2010</v>
      </c>
      <c r="F21" s="288">
        <v>3650</v>
      </c>
      <c r="G21" s="4" t="s">
        <v>684</v>
      </c>
      <c r="I21"/>
      <c r="J21"/>
      <c r="K21"/>
    </row>
    <row r="22" spans="4:14" s="77" customFormat="1" x14ac:dyDescent="0.2">
      <c r="D22" s="4" t="s">
        <v>697</v>
      </c>
      <c r="E22" s="223">
        <v>2010</v>
      </c>
      <c r="F22" s="288">
        <v>5590</v>
      </c>
      <c r="G22" s="4" t="s">
        <v>686</v>
      </c>
      <c r="I22"/>
      <c r="J22"/>
      <c r="K22"/>
    </row>
    <row r="23" spans="4:14" s="77" customFormat="1" x14ac:dyDescent="0.2">
      <c r="D23" s="4" t="s">
        <v>697</v>
      </c>
      <c r="E23" s="223">
        <v>2010</v>
      </c>
      <c r="F23" s="288">
        <v>7630</v>
      </c>
      <c r="G23" s="4" t="s">
        <v>688</v>
      </c>
      <c r="I23"/>
      <c r="J23"/>
      <c r="K23"/>
    </row>
    <row r="24" spans="4:14" s="77" customFormat="1" x14ac:dyDescent="0.2">
      <c r="D24" s="4" t="s">
        <v>697</v>
      </c>
      <c r="E24" s="223">
        <v>2010</v>
      </c>
      <c r="F24" s="288">
        <v>4890</v>
      </c>
      <c r="G24" s="4" t="s">
        <v>449</v>
      </c>
      <c r="I24"/>
      <c r="J24"/>
      <c r="K24"/>
    </row>
    <row r="25" spans="4:14" s="77" customFormat="1" x14ac:dyDescent="0.2">
      <c r="I25"/>
      <c r="J25"/>
      <c r="K25"/>
    </row>
    <row r="26" spans="4:14" x14ac:dyDescent="0.2">
      <c r="I26"/>
      <c r="J26"/>
      <c r="K26"/>
    </row>
    <row r="27" spans="4:14" x14ac:dyDescent="0.2">
      <c r="I27"/>
      <c r="J27"/>
      <c r="K27"/>
    </row>
  </sheetData>
  <mergeCells count="2">
    <mergeCell ref="B6:E6"/>
    <mergeCell ref="B1:C1"/>
  </mergeCells>
  <hyperlinks>
    <hyperlink ref="B6:D6" location="sjabloon!A1" display="Ga naar Inhoudsopgave" xr:uid="{00000000-0004-0000-2A00-000000000000}"/>
    <hyperlink ref="B6:E6" location="TOC!A1" display="Go to TOC" xr:uid="{00000000-0004-0000-2A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5"/>
  <dimension ref="B1:L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8.140625" style="245" customWidth="1"/>
    <col min="5" max="5" width="7.140625" style="245" bestFit="1" customWidth="1"/>
    <col min="6" max="6" width="9.28515625" style="245" customWidth="1"/>
    <col min="7" max="7" width="9.140625" style="245"/>
    <col min="8" max="8" width="16.28515625" style="245" customWidth="1"/>
    <col min="9" max="9" width="9.85546875" style="245" customWidth="1"/>
    <col min="10" max="11" width="10" style="245" customWidth="1"/>
    <col min="12" max="12" width="11.5703125" style="245" customWidth="1"/>
    <col min="13" max="16384" width="9.140625" style="245"/>
  </cols>
  <sheetData>
    <row r="1" spans="2:12" x14ac:dyDescent="0.2">
      <c r="B1" s="386" t="s">
        <v>1047</v>
      </c>
      <c r="C1" s="386"/>
      <c r="D1" s="263" t="s">
        <v>514</v>
      </c>
    </row>
    <row r="2" spans="2:12" x14ac:dyDescent="0.2">
      <c r="B2" s="263" t="s">
        <v>1124</v>
      </c>
      <c r="C2" s="263"/>
      <c r="D2" s="337" t="str">
        <f>VLOOKUP(D$1,TabelContent[],COLUMN(TabelContent[Titel-EN]))</f>
        <v>Shop opening hours</v>
      </c>
    </row>
    <row r="3" spans="2:12" x14ac:dyDescent="0.2">
      <c r="B3" s="263" t="s">
        <v>1125</v>
      </c>
      <c r="C3" s="263"/>
      <c r="D3" s="337" t="str">
        <f>VLOOKUP(D$1,TabelContent[],COLUMN(TabelContent[Cat-EN]))</f>
        <v>Pivot table</v>
      </c>
    </row>
    <row r="4" spans="2:12" x14ac:dyDescent="0.2">
      <c r="B4" s="263" t="s">
        <v>1126</v>
      </c>
      <c r="C4" s="263"/>
      <c r="D4" s="337">
        <f>VLOOKUP(D$1,TabelContent[],COLUMN(TabelContent[Niveau]))</f>
        <v>2</v>
      </c>
    </row>
    <row r="5" spans="2:12" x14ac:dyDescent="0.2">
      <c r="B5" s="249"/>
      <c r="C5" s="249"/>
      <c r="D5" s="249"/>
      <c r="E5" s="249"/>
    </row>
    <row r="6" spans="2:12" x14ac:dyDescent="0.2">
      <c r="B6" s="396" t="s">
        <v>1132</v>
      </c>
      <c r="C6" s="396"/>
      <c r="D6" s="396"/>
      <c r="E6" s="396"/>
    </row>
    <row r="7" spans="2:12" x14ac:dyDescent="0.2">
      <c r="B7" s="249"/>
      <c r="C7" s="249"/>
      <c r="D7" s="249"/>
      <c r="E7" s="249"/>
    </row>
    <row r="8" spans="2:12" x14ac:dyDescent="0.2">
      <c r="B8" s="253"/>
      <c r="C8" s="254" t="s">
        <v>702</v>
      </c>
      <c r="D8" s="254" t="s">
        <v>744</v>
      </c>
      <c r="E8" s="254" t="s">
        <v>698</v>
      </c>
      <c r="F8" s="254" t="s">
        <v>699</v>
      </c>
    </row>
    <row r="9" spans="2:12" x14ac:dyDescent="0.2">
      <c r="B9" s="253"/>
      <c r="C9" s="245">
        <v>1</v>
      </c>
      <c r="D9" s="245" t="s">
        <v>502</v>
      </c>
      <c r="E9" s="245" t="s">
        <v>703</v>
      </c>
      <c r="F9" s="245" t="s">
        <v>700</v>
      </c>
    </row>
    <row r="10" spans="2:12" x14ac:dyDescent="0.2">
      <c r="B10" s="253"/>
      <c r="C10" s="245">
        <v>2</v>
      </c>
      <c r="D10" s="245" t="s">
        <v>689</v>
      </c>
      <c r="E10" s="245" t="s">
        <v>704</v>
      </c>
      <c r="F10" s="245" t="s">
        <v>701</v>
      </c>
    </row>
    <row r="11" spans="2:12" x14ac:dyDescent="0.2">
      <c r="B11" s="253"/>
      <c r="C11" s="245">
        <v>3</v>
      </c>
      <c r="D11" s="245" t="s">
        <v>689</v>
      </c>
      <c r="E11" s="245" t="s">
        <v>703</v>
      </c>
      <c r="F11" s="245" t="s">
        <v>700</v>
      </c>
      <c r="H11" s="251" t="s">
        <v>706</v>
      </c>
      <c r="J11" s="251" t="s">
        <v>699</v>
      </c>
    </row>
    <row r="12" spans="2:12" x14ac:dyDescent="0.2">
      <c r="B12" s="253"/>
      <c r="C12" s="245">
        <v>4</v>
      </c>
      <c r="D12" s="245" t="s">
        <v>502</v>
      </c>
      <c r="E12" s="245" t="s">
        <v>704</v>
      </c>
      <c r="F12" s="245" t="s">
        <v>701</v>
      </c>
      <c r="H12" s="251" t="s">
        <v>698</v>
      </c>
      <c r="I12" s="251" t="s">
        <v>744</v>
      </c>
      <c r="J12" s="245" t="s">
        <v>700</v>
      </c>
      <c r="K12" s="245" t="s">
        <v>701</v>
      </c>
      <c r="L12" s="245" t="s">
        <v>667</v>
      </c>
    </row>
    <row r="13" spans="2:12" x14ac:dyDescent="0.2">
      <c r="B13" s="253"/>
      <c r="C13" s="245">
        <v>5</v>
      </c>
      <c r="D13" s="245" t="s">
        <v>689</v>
      </c>
      <c r="E13" s="245" t="s">
        <v>704</v>
      </c>
      <c r="F13" s="245" t="s">
        <v>701</v>
      </c>
      <c r="H13" s="245" t="s">
        <v>703</v>
      </c>
      <c r="I13" s="245" t="s">
        <v>689</v>
      </c>
      <c r="J13" s="245">
        <v>3</v>
      </c>
      <c r="K13" s="245">
        <v>1</v>
      </c>
      <c r="L13" s="245">
        <v>4</v>
      </c>
    </row>
    <row r="14" spans="2:12" x14ac:dyDescent="0.2">
      <c r="B14" s="253"/>
      <c r="C14" s="245">
        <v>6</v>
      </c>
      <c r="D14" s="245" t="s">
        <v>502</v>
      </c>
      <c r="E14" s="245" t="s">
        <v>704</v>
      </c>
      <c r="F14" s="245" t="s">
        <v>700</v>
      </c>
      <c r="I14" s="245" t="s">
        <v>502</v>
      </c>
      <c r="J14" s="245">
        <v>1</v>
      </c>
      <c r="K14" s="245">
        <v>2</v>
      </c>
      <c r="L14" s="245">
        <v>3</v>
      </c>
    </row>
    <row r="15" spans="2:12" x14ac:dyDescent="0.2">
      <c r="B15" s="253"/>
      <c r="C15" s="245">
        <v>7</v>
      </c>
      <c r="D15" s="245" t="s">
        <v>689</v>
      </c>
      <c r="E15" s="245" t="s">
        <v>705</v>
      </c>
      <c r="F15" s="245" t="s">
        <v>701</v>
      </c>
      <c r="H15" s="245" t="s">
        <v>704</v>
      </c>
      <c r="I15" s="245" t="s">
        <v>689</v>
      </c>
      <c r="J15" s="245">
        <v>1</v>
      </c>
      <c r="K15" s="245">
        <v>2</v>
      </c>
      <c r="L15" s="245">
        <v>3</v>
      </c>
    </row>
    <row r="16" spans="2:12" x14ac:dyDescent="0.2">
      <c r="B16" s="255"/>
      <c r="C16" s="245">
        <v>8</v>
      </c>
      <c r="D16" s="245" t="s">
        <v>502</v>
      </c>
      <c r="E16" s="245" t="s">
        <v>703</v>
      </c>
      <c r="F16" s="245" t="s">
        <v>701</v>
      </c>
      <c r="I16" s="245" t="s">
        <v>502</v>
      </c>
      <c r="J16" s="245">
        <v>1</v>
      </c>
      <c r="K16" s="245">
        <v>1</v>
      </c>
      <c r="L16" s="245">
        <v>2</v>
      </c>
    </row>
    <row r="17" spans="2:12" x14ac:dyDescent="0.2">
      <c r="B17" s="255"/>
      <c r="C17" s="245">
        <v>9</v>
      </c>
      <c r="D17" s="245" t="s">
        <v>502</v>
      </c>
      <c r="E17" s="245" t="s">
        <v>705</v>
      </c>
      <c r="F17" s="245" t="s">
        <v>700</v>
      </c>
      <c r="H17" s="245" t="s">
        <v>705</v>
      </c>
      <c r="I17" s="245" t="s">
        <v>689</v>
      </c>
      <c r="J17" s="245">
        <v>2</v>
      </c>
      <c r="K17" s="245">
        <v>1</v>
      </c>
      <c r="L17" s="245">
        <v>3</v>
      </c>
    </row>
    <row r="18" spans="2:12" x14ac:dyDescent="0.2">
      <c r="B18" s="255"/>
      <c r="C18" s="245">
        <v>10</v>
      </c>
      <c r="D18" s="245" t="s">
        <v>502</v>
      </c>
      <c r="E18" s="245" t="s">
        <v>705</v>
      </c>
      <c r="F18" s="245" t="s">
        <v>700</v>
      </c>
      <c r="I18" s="245" t="s">
        <v>502</v>
      </c>
      <c r="J18" s="245">
        <v>2</v>
      </c>
      <c r="K18" s="245">
        <v>1</v>
      </c>
      <c r="L18" s="245">
        <v>3</v>
      </c>
    </row>
    <row r="19" spans="2:12" x14ac:dyDescent="0.2">
      <c r="B19" s="255"/>
      <c r="C19" s="245">
        <v>11</v>
      </c>
      <c r="D19" s="245" t="s">
        <v>689</v>
      </c>
      <c r="E19" s="245" t="s">
        <v>704</v>
      </c>
      <c r="F19" s="245" t="s">
        <v>700</v>
      </c>
      <c r="H19" s="245" t="s">
        <v>667</v>
      </c>
      <c r="J19" s="245">
        <v>10</v>
      </c>
      <c r="K19" s="245">
        <v>8</v>
      </c>
      <c r="L19" s="245">
        <v>18</v>
      </c>
    </row>
    <row r="20" spans="2:12" x14ac:dyDescent="0.2">
      <c r="B20" s="255"/>
      <c r="C20" s="245">
        <v>12</v>
      </c>
      <c r="D20" s="245" t="s">
        <v>502</v>
      </c>
      <c r="E20" s="245" t="s">
        <v>703</v>
      </c>
      <c r="F20" s="245" t="s">
        <v>701</v>
      </c>
    </row>
    <row r="21" spans="2:12" x14ac:dyDescent="0.2">
      <c r="B21" s="255"/>
      <c r="C21" s="245">
        <v>13</v>
      </c>
      <c r="D21" s="245" t="s">
        <v>689</v>
      </c>
      <c r="E21" s="245" t="s">
        <v>705</v>
      </c>
      <c r="F21" s="245" t="s">
        <v>700</v>
      </c>
    </row>
    <row r="22" spans="2:12" x14ac:dyDescent="0.2">
      <c r="B22" s="255"/>
      <c r="C22" s="245">
        <v>14</v>
      </c>
      <c r="D22" s="245" t="s">
        <v>689</v>
      </c>
      <c r="E22" s="245" t="s">
        <v>705</v>
      </c>
      <c r="F22" s="245" t="s">
        <v>700</v>
      </c>
    </row>
    <row r="23" spans="2:12" x14ac:dyDescent="0.2">
      <c r="B23" s="255"/>
      <c r="C23" s="245">
        <v>15</v>
      </c>
      <c r="D23" s="245" t="s">
        <v>689</v>
      </c>
      <c r="E23" s="245" t="s">
        <v>703</v>
      </c>
      <c r="F23" s="245" t="s">
        <v>700</v>
      </c>
    </row>
    <row r="24" spans="2:12" x14ac:dyDescent="0.2">
      <c r="B24" s="255"/>
      <c r="C24" s="245">
        <v>16</v>
      </c>
      <c r="D24" s="245" t="s">
        <v>502</v>
      </c>
      <c r="E24" s="245" t="s">
        <v>705</v>
      </c>
      <c r="F24" s="245" t="s">
        <v>701</v>
      </c>
    </row>
    <row r="25" spans="2:12" x14ac:dyDescent="0.2">
      <c r="B25" s="255"/>
      <c r="C25" s="245">
        <v>17</v>
      </c>
      <c r="D25" s="245" t="s">
        <v>689</v>
      </c>
      <c r="E25" s="245" t="s">
        <v>703</v>
      </c>
      <c r="F25" s="245" t="s">
        <v>701</v>
      </c>
    </row>
    <row r="26" spans="2:12" x14ac:dyDescent="0.2">
      <c r="B26" s="255"/>
      <c r="C26" s="245">
        <v>18</v>
      </c>
      <c r="D26" s="245" t="s">
        <v>689</v>
      </c>
      <c r="E26" s="245" t="s">
        <v>703</v>
      </c>
      <c r="F26" s="245" t="s">
        <v>700</v>
      </c>
    </row>
  </sheetData>
  <mergeCells count="2">
    <mergeCell ref="B6:E6"/>
    <mergeCell ref="B1:C1"/>
  </mergeCells>
  <hyperlinks>
    <hyperlink ref="B6:D6" location="sjabloon!A1" display="Ga naar Inhoudsopgave" xr:uid="{00000000-0004-0000-2B00-000000000000}"/>
    <hyperlink ref="B6:E6" location="TOC!A1" display="Go to TOC" xr:uid="{00000000-0004-0000-2B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5" width="11" style="4" bestFit="1" customWidth="1"/>
    <col min="6" max="6" width="8.5703125" style="4" bestFit="1" customWidth="1"/>
    <col min="7" max="7" width="9.140625" style="4"/>
    <col min="8" max="8" width="14.42578125" style="4" customWidth="1"/>
    <col min="9" max="9" width="19.7109375" style="4" customWidth="1"/>
    <col min="10" max="10" width="17.28515625" style="4" customWidth="1"/>
    <col min="11" max="16384" width="9.140625" style="4"/>
  </cols>
  <sheetData>
    <row r="1" spans="2:14" s="9" customFormat="1" x14ac:dyDescent="0.2">
      <c r="B1" s="386" t="s">
        <v>1047</v>
      </c>
      <c r="C1" s="386"/>
      <c r="D1" s="263" t="s">
        <v>515</v>
      </c>
    </row>
    <row r="2" spans="2:14" x14ac:dyDescent="0.2">
      <c r="B2" s="263" t="s">
        <v>1124</v>
      </c>
      <c r="C2" s="263"/>
      <c r="D2" s="337" t="str">
        <f>VLOOKUP(D$1,TabelContent[],COLUMN(TabelContent[Titel-EN]))</f>
        <v>Own home and average value</v>
      </c>
    </row>
    <row r="3" spans="2:14" x14ac:dyDescent="0.2">
      <c r="B3" s="263" t="s">
        <v>1125</v>
      </c>
      <c r="C3" s="263"/>
      <c r="D3" s="337" t="str">
        <f>VLOOKUP(D$1,TabelContent[],COLUMN(TabelContent[Cat-EN]))</f>
        <v>Pivot table</v>
      </c>
    </row>
    <row r="4" spans="2:14" x14ac:dyDescent="0.2">
      <c r="B4" s="263" t="s">
        <v>1126</v>
      </c>
      <c r="C4" s="263"/>
      <c r="D4" s="337">
        <f>VLOOKUP(D$1,TabelContent[],COLUMN(TabelContent[Niveau]))</f>
        <v>3</v>
      </c>
    </row>
    <row r="5" spans="2:14" x14ac:dyDescent="0.2">
      <c r="B5" s="10"/>
      <c r="C5" s="10"/>
      <c r="D5" s="10"/>
      <c r="E5" s="10"/>
    </row>
    <row r="6" spans="2:14" x14ac:dyDescent="0.2">
      <c r="B6" s="387" t="s">
        <v>1132</v>
      </c>
      <c r="C6" s="387"/>
      <c r="D6" s="387"/>
      <c r="E6" s="387"/>
    </row>
    <row r="7" spans="2:14" x14ac:dyDescent="0.2">
      <c r="B7" s="10"/>
      <c r="C7" s="10"/>
      <c r="D7" s="10"/>
      <c r="E7" s="10"/>
    </row>
    <row r="8" spans="2:14" x14ac:dyDescent="0.2">
      <c r="B8" s="10"/>
      <c r="C8" s="250" t="s">
        <v>691</v>
      </c>
      <c r="D8" s="250" t="s">
        <v>707</v>
      </c>
      <c r="E8" s="250" t="s">
        <v>989</v>
      </c>
      <c r="F8" s="226" t="s">
        <v>708</v>
      </c>
    </row>
    <row r="9" spans="2:14" x14ac:dyDescent="0.2">
      <c r="B9" s="10"/>
      <c r="C9" s="249" t="s">
        <v>516</v>
      </c>
      <c r="D9" s="246">
        <v>10</v>
      </c>
      <c r="E9" s="246" t="s">
        <v>701</v>
      </c>
      <c r="F9" s="290">
        <v>200000</v>
      </c>
      <c r="H9" s="73" t="s">
        <v>989</v>
      </c>
      <c r="I9" s="9" t="s">
        <v>701</v>
      </c>
    </row>
    <row r="10" spans="2:14" x14ac:dyDescent="0.2">
      <c r="B10" s="10"/>
      <c r="C10" s="249" t="s">
        <v>517</v>
      </c>
      <c r="D10" s="246">
        <v>10</v>
      </c>
      <c r="E10" s="246" t="s">
        <v>701</v>
      </c>
      <c r="F10" s="290">
        <v>230000</v>
      </c>
    </row>
    <row r="11" spans="2:14" x14ac:dyDescent="0.2">
      <c r="B11" s="10"/>
      <c r="C11" s="249" t="s">
        <v>518</v>
      </c>
      <c r="D11" s="246">
        <v>12</v>
      </c>
      <c r="E11" s="246" t="s">
        <v>700</v>
      </c>
      <c r="F11" s="290"/>
      <c r="H11"/>
      <c r="I11" s="73" t="s">
        <v>991</v>
      </c>
      <c r="J11"/>
      <c r="K11"/>
      <c r="L11"/>
      <c r="M11"/>
      <c r="N11"/>
    </row>
    <row r="12" spans="2:14" x14ac:dyDescent="0.2">
      <c r="B12" s="10"/>
      <c r="C12" s="249" t="s">
        <v>519</v>
      </c>
      <c r="D12" s="246">
        <v>12</v>
      </c>
      <c r="E12" s="246" t="s">
        <v>700</v>
      </c>
      <c r="F12" s="290"/>
      <c r="H12" s="73" t="s">
        <v>707</v>
      </c>
      <c r="I12" s="9" t="s">
        <v>990</v>
      </c>
      <c r="J12" s="9" t="s">
        <v>709</v>
      </c>
      <c r="K12"/>
      <c r="L12"/>
      <c r="M12"/>
      <c r="N12"/>
    </row>
    <row r="13" spans="2:14" x14ac:dyDescent="0.2">
      <c r="B13" s="10"/>
      <c r="C13" s="249" t="s">
        <v>520</v>
      </c>
      <c r="D13" s="246">
        <v>11</v>
      </c>
      <c r="E13" s="246" t="s">
        <v>701</v>
      </c>
      <c r="F13" s="290">
        <v>200000</v>
      </c>
      <c r="H13" s="245">
        <v>9</v>
      </c>
      <c r="I13" s="245">
        <v>1</v>
      </c>
      <c r="J13" s="289">
        <v>300000</v>
      </c>
      <c r="K13"/>
      <c r="L13"/>
      <c r="M13"/>
      <c r="N13"/>
    </row>
    <row r="14" spans="2:14" x14ac:dyDescent="0.2">
      <c r="B14" s="10"/>
      <c r="C14" s="249" t="s">
        <v>521</v>
      </c>
      <c r="D14" s="246">
        <v>9</v>
      </c>
      <c r="E14" s="246" t="s">
        <v>701</v>
      </c>
      <c r="F14" s="290">
        <v>300000</v>
      </c>
      <c r="H14" s="245">
        <v>10</v>
      </c>
      <c r="I14" s="245">
        <v>2</v>
      </c>
      <c r="J14" s="289">
        <v>215000</v>
      </c>
      <c r="K14"/>
      <c r="L14"/>
      <c r="M14"/>
      <c r="N14"/>
    </row>
    <row r="15" spans="2:14" x14ac:dyDescent="0.2">
      <c r="B15" s="10"/>
      <c r="C15" s="249" t="s">
        <v>522</v>
      </c>
      <c r="D15" s="246">
        <v>14</v>
      </c>
      <c r="E15" s="246" t="s">
        <v>700</v>
      </c>
      <c r="F15" s="290"/>
      <c r="H15" s="245">
        <v>11</v>
      </c>
      <c r="I15" s="245">
        <v>2</v>
      </c>
      <c r="J15" s="289">
        <v>200000</v>
      </c>
      <c r="K15"/>
      <c r="L15"/>
      <c r="M15"/>
      <c r="N15"/>
    </row>
    <row r="16" spans="2:14" x14ac:dyDescent="0.2">
      <c r="C16" s="245" t="s">
        <v>523</v>
      </c>
      <c r="D16" s="247">
        <v>9</v>
      </c>
      <c r="E16" s="247" t="s">
        <v>700</v>
      </c>
      <c r="F16" s="290"/>
      <c r="H16" s="245">
        <v>12</v>
      </c>
      <c r="I16" s="245">
        <v>2</v>
      </c>
      <c r="J16" s="289">
        <v>245000</v>
      </c>
      <c r="K16"/>
      <c r="L16"/>
      <c r="M16"/>
      <c r="N16"/>
    </row>
    <row r="17" spans="3:14" x14ac:dyDescent="0.2">
      <c r="C17" s="245" t="s">
        <v>524</v>
      </c>
      <c r="D17" s="247">
        <v>10</v>
      </c>
      <c r="E17" s="247" t="s">
        <v>700</v>
      </c>
      <c r="F17" s="290"/>
      <c r="H17" s="245">
        <v>13</v>
      </c>
      <c r="I17" s="245">
        <v>1</v>
      </c>
      <c r="J17" s="289">
        <v>140000</v>
      </c>
      <c r="K17"/>
      <c r="L17"/>
      <c r="M17"/>
      <c r="N17"/>
    </row>
    <row r="18" spans="3:14" x14ac:dyDescent="0.2">
      <c r="C18" s="245" t="s">
        <v>501</v>
      </c>
      <c r="D18" s="247">
        <v>14</v>
      </c>
      <c r="E18" s="247" t="s">
        <v>701</v>
      </c>
      <c r="F18" s="290">
        <v>180000</v>
      </c>
      <c r="H18" s="245">
        <v>14</v>
      </c>
      <c r="I18" s="245">
        <v>2</v>
      </c>
      <c r="J18" s="289">
        <v>175000</v>
      </c>
      <c r="K18"/>
      <c r="L18"/>
      <c r="M18"/>
      <c r="N18"/>
    </row>
    <row r="19" spans="3:14" x14ac:dyDescent="0.2">
      <c r="C19" s="245" t="s">
        <v>525</v>
      </c>
      <c r="D19" s="247">
        <v>12</v>
      </c>
      <c r="E19" s="247" t="s">
        <v>701</v>
      </c>
      <c r="F19" s="290">
        <v>250000</v>
      </c>
      <c r="H19" s="245">
        <v>15</v>
      </c>
      <c r="I19" s="245">
        <v>1</v>
      </c>
      <c r="J19" s="289">
        <v>350000</v>
      </c>
      <c r="K19"/>
      <c r="L19"/>
      <c r="M19"/>
      <c r="N19"/>
    </row>
    <row r="20" spans="3:14" x14ac:dyDescent="0.2">
      <c r="C20" s="245" t="s">
        <v>526</v>
      </c>
      <c r="D20" s="247">
        <v>12</v>
      </c>
      <c r="E20" s="247" t="s">
        <v>701</v>
      </c>
      <c r="F20" s="290">
        <v>240000</v>
      </c>
      <c r="H20" s="236" t="s">
        <v>667</v>
      </c>
      <c r="I20" s="245">
        <v>11</v>
      </c>
      <c r="J20" s="289">
        <v>223636.36363636365</v>
      </c>
      <c r="K20"/>
      <c r="L20"/>
      <c r="M20"/>
      <c r="N20"/>
    </row>
    <row r="21" spans="3:14" x14ac:dyDescent="0.2">
      <c r="C21" s="245" t="s">
        <v>527</v>
      </c>
      <c r="D21" s="247">
        <v>11</v>
      </c>
      <c r="E21" s="247" t="s">
        <v>701</v>
      </c>
      <c r="F21" s="290">
        <v>200000</v>
      </c>
      <c r="H21"/>
      <c r="I21"/>
      <c r="J21"/>
      <c r="K21"/>
      <c r="L21"/>
      <c r="M21"/>
      <c r="N21"/>
    </row>
    <row r="22" spans="3:14" x14ac:dyDescent="0.2">
      <c r="C22" s="245" t="s">
        <v>55</v>
      </c>
      <c r="D22" s="247">
        <v>13</v>
      </c>
      <c r="E22" s="247" t="s">
        <v>701</v>
      </c>
      <c r="F22" s="290">
        <v>140000</v>
      </c>
      <c r="H22"/>
      <c r="I22"/>
      <c r="J22"/>
      <c r="K22"/>
      <c r="L22"/>
      <c r="M22"/>
      <c r="N22"/>
    </row>
    <row r="23" spans="3:14" x14ac:dyDescent="0.2">
      <c r="C23" s="245" t="s">
        <v>528</v>
      </c>
      <c r="D23" s="247">
        <v>14</v>
      </c>
      <c r="E23" s="247" t="s">
        <v>701</v>
      </c>
      <c r="F23" s="290">
        <v>170000</v>
      </c>
      <c r="H23"/>
      <c r="I23"/>
      <c r="J23"/>
      <c r="K23"/>
      <c r="L23"/>
      <c r="M23"/>
      <c r="N23"/>
    </row>
    <row r="24" spans="3:14" x14ac:dyDescent="0.2">
      <c r="C24" s="245" t="s">
        <v>46</v>
      </c>
      <c r="D24" s="247">
        <v>15</v>
      </c>
      <c r="E24" s="247" t="s">
        <v>701</v>
      </c>
      <c r="F24" s="290">
        <v>350000</v>
      </c>
      <c r="H24"/>
      <c r="I24"/>
      <c r="J24"/>
      <c r="K24"/>
      <c r="L24"/>
      <c r="M24"/>
      <c r="N24"/>
    </row>
    <row r="25" spans="3:14" x14ac:dyDescent="0.2">
      <c r="C25" s="245" t="s">
        <v>529</v>
      </c>
      <c r="D25" s="247">
        <v>11</v>
      </c>
      <c r="E25" s="247" t="s">
        <v>700</v>
      </c>
      <c r="F25" s="290"/>
      <c r="H25"/>
      <c r="I25"/>
      <c r="J25"/>
    </row>
    <row r="26" spans="3:14" x14ac:dyDescent="0.2">
      <c r="H26"/>
      <c r="I26"/>
      <c r="J26"/>
    </row>
    <row r="27" spans="3:14" x14ac:dyDescent="0.2">
      <c r="H27"/>
      <c r="I27"/>
      <c r="J27"/>
    </row>
    <row r="28" spans="3:14" x14ac:dyDescent="0.2">
      <c r="H28"/>
      <c r="I28"/>
      <c r="J28"/>
    </row>
  </sheetData>
  <mergeCells count="2">
    <mergeCell ref="B6:E6"/>
    <mergeCell ref="B1:C1"/>
  </mergeCells>
  <hyperlinks>
    <hyperlink ref="B6:D6" location="sjabloon!A1" display="Ga naar Inhoudsopgave" xr:uid="{00000000-0004-0000-2C00-000000000000}"/>
    <hyperlink ref="B6:E6" location="TOC!A1" display="Go to TOC" xr:uid="{00000000-0004-0000-2C00-000001000000}"/>
  </hyperlinks>
  <pageMargins left="0.7" right="0.7" top="0.75" bottom="0.75" header="0.3" footer="0.3"/>
  <pageSetup paperSize="9" orientation="landscape"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6.28515625" style="4" customWidth="1"/>
    <col min="6" max="6" width="8.85546875" style="4" bestFit="1" customWidth="1"/>
    <col min="7" max="8" width="5" style="4" customWidth="1"/>
    <col min="9" max="9" width="8.85546875" style="4" bestFit="1" customWidth="1"/>
    <col min="10" max="10" width="9.140625" style="4"/>
    <col min="11" max="11" width="19.85546875" style="4" customWidth="1"/>
    <col min="12" max="12" width="6" style="4" customWidth="1"/>
    <col min="13" max="16384" width="9.140625" style="4"/>
  </cols>
  <sheetData>
    <row r="1" spans="2:13" s="9" customFormat="1" x14ac:dyDescent="0.2">
      <c r="B1" s="386" t="s">
        <v>1047</v>
      </c>
      <c r="C1" s="386"/>
      <c r="D1" s="263" t="s">
        <v>531</v>
      </c>
    </row>
    <row r="2" spans="2:13" x14ac:dyDescent="0.2">
      <c r="B2" s="263" t="s">
        <v>1124</v>
      </c>
      <c r="C2" s="263"/>
      <c r="D2" s="337" t="str">
        <f>VLOOKUP(D$1,TabelContent[],COLUMN(TabelContent[Titel-EN]))</f>
        <v>Transport research</v>
      </c>
    </row>
    <row r="3" spans="2:13" x14ac:dyDescent="0.2">
      <c r="B3" s="263" t="s">
        <v>1125</v>
      </c>
      <c r="C3" s="263"/>
      <c r="D3" s="337" t="str">
        <f>VLOOKUP(D$1,TabelContent[],COLUMN(TabelContent[Cat-EN]))</f>
        <v>Pivot table</v>
      </c>
    </row>
    <row r="4" spans="2:13" x14ac:dyDescent="0.2">
      <c r="B4" s="263" t="s">
        <v>1126</v>
      </c>
      <c r="C4" s="263"/>
      <c r="D4" s="337">
        <f>VLOOKUP(D$1,TabelContent[],COLUMN(TabelContent[Niveau]))</f>
        <v>3</v>
      </c>
    </row>
    <row r="5" spans="2:13" x14ac:dyDescent="0.2">
      <c r="B5" s="10"/>
      <c r="C5" s="10"/>
      <c r="D5" s="10"/>
      <c r="E5" s="10"/>
    </row>
    <row r="6" spans="2:13" x14ac:dyDescent="0.2">
      <c r="B6" s="387" t="s">
        <v>1132</v>
      </c>
      <c r="C6" s="387"/>
      <c r="D6" s="387"/>
      <c r="E6" s="387"/>
    </row>
    <row r="7" spans="2:13" x14ac:dyDescent="0.2">
      <c r="B7" s="10"/>
      <c r="C7" s="10"/>
      <c r="D7" s="10"/>
      <c r="E7" s="10"/>
    </row>
    <row r="8" spans="2:13" ht="25.5" x14ac:dyDescent="0.2">
      <c r="B8" s="10"/>
      <c r="D8" s="225" t="s">
        <v>710</v>
      </c>
      <c r="E8" s="225" t="s">
        <v>711</v>
      </c>
      <c r="F8" s="225" t="s">
        <v>712</v>
      </c>
      <c r="G8" s="227" t="s">
        <v>713</v>
      </c>
      <c r="H8" s="227" t="s">
        <v>714</v>
      </c>
      <c r="I8" s="227" t="s">
        <v>715</v>
      </c>
    </row>
    <row r="9" spans="2:13" x14ac:dyDescent="0.2">
      <c r="B9" s="10"/>
      <c r="D9" s="224" t="s">
        <v>701</v>
      </c>
      <c r="E9" s="224" t="s">
        <v>700</v>
      </c>
      <c r="F9" s="249">
        <v>4</v>
      </c>
      <c r="G9" s="245"/>
      <c r="H9" s="245">
        <v>20</v>
      </c>
      <c r="I9" s="221" t="str">
        <f>IF(F9&gt;15,"yes","no")</f>
        <v>no</v>
      </c>
      <c r="K9" s="73" t="s">
        <v>710</v>
      </c>
      <c r="L9" s="236" t="s">
        <v>701</v>
      </c>
    </row>
    <row r="10" spans="2:13" x14ac:dyDescent="0.2">
      <c r="B10" s="10"/>
      <c r="D10" s="224" t="s">
        <v>701</v>
      </c>
      <c r="E10" s="224" t="s">
        <v>701</v>
      </c>
      <c r="F10" s="249">
        <v>4</v>
      </c>
      <c r="G10" s="245">
        <v>14</v>
      </c>
      <c r="H10" s="245">
        <v>25</v>
      </c>
      <c r="I10" s="221" t="str">
        <f t="shared" ref="I10:I23" si="0">IF(F10&gt;15,"yes","no")</f>
        <v>no</v>
      </c>
      <c r="K10" s="73" t="s">
        <v>711</v>
      </c>
      <c r="L10" s="236" t="s">
        <v>701</v>
      </c>
    </row>
    <row r="11" spans="2:13" x14ac:dyDescent="0.2">
      <c r="B11" s="10"/>
      <c r="D11" s="224" t="s">
        <v>700</v>
      </c>
      <c r="E11" s="224" t="s">
        <v>700</v>
      </c>
      <c r="F11" s="249">
        <v>14</v>
      </c>
      <c r="G11" s="245"/>
      <c r="H11" s="245">
        <v>35</v>
      </c>
      <c r="I11" s="221" t="str">
        <f t="shared" si="0"/>
        <v>no</v>
      </c>
      <c r="K11" s="73" t="s">
        <v>715</v>
      </c>
      <c r="L11" s="236" t="s">
        <v>701</v>
      </c>
    </row>
    <row r="12" spans="2:13" x14ac:dyDescent="0.2">
      <c r="B12" s="10"/>
      <c r="D12" s="224" t="s">
        <v>700</v>
      </c>
      <c r="E12" s="224" t="s">
        <v>701</v>
      </c>
      <c r="F12" s="249">
        <v>10</v>
      </c>
      <c r="G12" s="245">
        <v>4</v>
      </c>
      <c r="H12" s="245">
        <v>45</v>
      </c>
      <c r="I12" s="221" t="str">
        <f t="shared" si="0"/>
        <v>no</v>
      </c>
    </row>
    <row r="13" spans="2:13" x14ac:dyDescent="0.2">
      <c r="B13" s="10"/>
      <c r="D13" s="224" t="s">
        <v>701</v>
      </c>
      <c r="E13" s="224" t="s">
        <v>701</v>
      </c>
      <c r="F13" s="249">
        <v>24</v>
      </c>
      <c r="G13" s="245">
        <v>18</v>
      </c>
      <c r="H13" s="245">
        <v>55</v>
      </c>
      <c r="I13" s="221" t="str">
        <f t="shared" si="0"/>
        <v>yes</v>
      </c>
      <c r="K13" t="s">
        <v>716</v>
      </c>
      <c r="L13"/>
      <c r="M13"/>
    </row>
    <row r="14" spans="2:13" x14ac:dyDescent="0.2">
      <c r="B14" s="10"/>
      <c r="D14" s="224" t="s">
        <v>701</v>
      </c>
      <c r="E14" s="224" t="s">
        <v>700</v>
      </c>
      <c r="F14" s="249">
        <v>34</v>
      </c>
      <c r="G14" s="245"/>
      <c r="H14" s="245">
        <v>6</v>
      </c>
      <c r="I14" s="221" t="str">
        <f t="shared" si="0"/>
        <v>yes</v>
      </c>
      <c r="K14" s="245">
        <v>28.5</v>
      </c>
      <c r="L14"/>
      <c r="M14"/>
    </row>
    <row r="15" spans="2:13" x14ac:dyDescent="0.2">
      <c r="B15" s="10"/>
      <c r="D15" s="224" t="s">
        <v>701</v>
      </c>
      <c r="E15" s="224" t="s">
        <v>701</v>
      </c>
      <c r="F15" s="249">
        <v>55</v>
      </c>
      <c r="G15" s="245">
        <v>66</v>
      </c>
      <c r="H15" s="245">
        <v>55</v>
      </c>
      <c r="I15" s="221" t="str">
        <f t="shared" si="0"/>
        <v>yes</v>
      </c>
      <c r="K15"/>
      <c r="L15"/>
      <c r="M15"/>
    </row>
    <row r="16" spans="2:13" x14ac:dyDescent="0.2">
      <c r="D16" s="221" t="s">
        <v>700</v>
      </c>
      <c r="E16" s="221" t="s">
        <v>701</v>
      </c>
      <c r="F16" s="245">
        <v>44</v>
      </c>
      <c r="G16" s="245">
        <v>22</v>
      </c>
      <c r="H16" s="245">
        <v>5</v>
      </c>
      <c r="I16" s="221" t="str">
        <f t="shared" si="0"/>
        <v>yes</v>
      </c>
      <c r="K16"/>
      <c r="L16"/>
      <c r="M16"/>
    </row>
    <row r="17" spans="4:13" x14ac:dyDescent="0.2">
      <c r="D17" s="221" t="s">
        <v>700</v>
      </c>
      <c r="E17" s="221" t="s">
        <v>700</v>
      </c>
      <c r="F17" s="245">
        <v>54</v>
      </c>
      <c r="G17" s="245"/>
      <c r="H17" s="245">
        <v>95</v>
      </c>
      <c r="I17" s="221" t="str">
        <f t="shared" si="0"/>
        <v>yes</v>
      </c>
      <c r="K17"/>
      <c r="L17"/>
      <c r="M17"/>
    </row>
    <row r="18" spans="4:13" x14ac:dyDescent="0.2">
      <c r="D18" s="221" t="s">
        <v>701</v>
      </c>
      <c r="E18" s="221" t="s">
        <v>701</v>
      </c>
      <c r="F18" s="245">
        <v>66</v>
      </c>
      <c r="G18" s="245">
        <v>4</v>
      </c>
      <c r="H18" s="245">
        <v>33</v>
      </c>
      <c r="I18" s="221" t="str">
        <f t="shared" si="0"/>
        <v>yes</v>
      </c>
      <c r="K18"/>
      <c r="L18"/>
      <c r="M18"/>
    </row>
    <row r="19" spans="4:13" x14ac:dyDescent="0.2">
      <c r="D19" s="221" t="s">
        <v>701</v>
      </c>
      <c r="E19" s="221" t="s">
        <v>701</v>
      </c>
      <c r="F19" s="245">
        <v>64</v>
      </c>
      <c r="G19" s="245">
        <v>26</v>
      </c>
      <c r="H19" s="245">
        <v>45</v>
      </c>
      <c r="I19" s="221" t="str">
        <f t="shared" si="0"/>
        <v>yes</v>
      </c>
      <c r="K19"/>
      <c r="L19"/>
      <c r="M19"/>
    </row>
    <row r="20" spans="4:13" x14ac:dyDescent="0.2">
      <c r="D20" s="221" t="s">
        <v>701</v>
      </c>
      <c r="E20" s="221" t="s">
        <v>700</v>
      </c>
      <c r="F20" s="245">
        <v>74</v>
      </c>
      <c r="G20" s="245"/>
      <c r="H20" s="245">
        <v>57</v>
      </c>
      <c r="I20" s="221" t="str">
        <f t="shared" si="0"/>
        <v>yes</v>
      </c>
      <c r="K20"/>
      <c r="L20"/>
      <c r="M20"/>
    </row>
    <row r="21" spans="4:13" x14ac:dyDescent="0.2">
      <c r="D21" s="221" t="s">
        <v>700</v>
      </c>
      <c r="E21" s="221" t="s">
        <v>701</v>
      </c>
      <c r="F21" s="245">
        <v>66</v>
      </c>
      <c r="G21" s="245">
        <v>44</v>
      </c>
      <c r="H21" s="245">
        <v>69</v>
      </c>
      <c r="I21" s="221" t="str">
        <f t="shared" si="0"/>
        <v>yes</v>
      </c>
      <c r="K21"/>
      <c r="L21"/>
      <c r="M21"/>
    </row>
    <row r="22" spans="4:13" x14ac:dyDescent="0.2">
      <c r="D22" s="221" t="s">
        <v>700</v>
      </c>
      <c r="E22" s="221" t="s">
        <v>701</v>
      </c>
      <c r="F22" s="245">
        <v>84</v>
      </c>
      <c r="G22" s="245">
        <v>44</v>
      </c>
      <c r="H22" s="245">
        <v>81</v>
      </c>
      <c r="I22" s="221" t="str">
        <f t="shared" si="0"/>
        <v>yes</v>
      </c>
      <c r="K22"/>
      <c r="L22"/>
      <c r="M22"/>
    </row>
    <row r="23" spans="4:13" x14ac:dyDescent="0.2">
      <c r="D23" s="221" t="s">
        <v>701</v>
      </c>
      <c r="E23" s="221" t="s">
        <v>700</v>
      </c>
      <c r="F23" s="245">
        <v>94</v>
      </c>
      <c r="G23" s="245"/>
      <c r="H23" s="245">
        <v>93</v>
      </c>
      <c r="I23" s="221" t="str">
        <f t="shared" si="0"/>
        <v>yes</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2">
    <mergeCell ref="B6:E6"/>
    <mergeCell ref="B1:C1"/>
  </mergeCells>
  <hyperlinks>
    <hyperlink ref="B6:D6" location="sjabloon!A1" display="Ga naar Inhoudsopgave" xr:uid="{00000000-0004-0000-2D00-000000000000}"/>
    <hyperlink ref="B6:E6" location="TOC!A1" display="Go to TOC" xr:uid="{00000000-0004-0000-2D00-000001000000}"/>
  </hyperlinks>
  <pageMargins left="0.7" right="0.7" top="0.75" bottom="0.75" header="0.3" footer="0.3"/>
  <pageSetup paperSize="9" orientation="landscape"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8"/>
  <dimension ref="B1:O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7109375" style="4" bestFit="1" customWidth="1"/>
    <col min="6" max="6" width="7.140625" style="4" bestFit="1" customWidth="1"/>
    <col min="7" max="7" width="9.7109375" style="267" customWidth="1"/>
    <col min="8" max="8" width="9.140625" style="4"/>
    <col min="9" max="9" width="10.85546875" style="4" customWidth="1"/>
    <col min="10" max="12" width="13.42578125" style="4" customWidth="1"/>
    <col min="13" max="13" width="10.42578125" style="4" customWidth="1"/>
    <col min="14" max="16384" width="9.140625" style="4"/>
  </cols>
  <sheetData>
    <row r="1" spans="2:15" s="9" customFormat="1" x14ac:dyDescent="0.2">
      <c r="B1" s="386" t="s">
        <v>1047</v>
      </c>
      <c r="C1" s="386"/>
      <c r="D1" s="263" t="s">
        <v>532</v>
      </c>
      <c r="G1" s="267"/>
    </row>
    <row r="2" spans="2:15" s="77" customFormat="1" x14ac:dyDescent="0.2">
      <c r="B2" s="263" t="s">
        <v>1124</v>
      </c>
      <c r="C2" s="263"/>
      <c r="D2" s="337" t="str">
        <f>VLOOKUP(D$1,TabelContent[],COLUMN(TabelContent[Titel-EN]))</f>
        <v>Coffee yield per region</v>
      </c>
      <c r="F2" s="78"/>
      <c r="G2" s="268"/>
    </row>
    <row r="3" spans="2:15" s="77" customFormat="1" x14ac:dyDescent="0.2">
      <c r="B3" s="263" t="s">
        <v>1125</v>
      </c>
      <c r="C3" s="263"/>
      <c r="D3" s="337" t="str">
        <f>VLOOKUP(D$1,TabelContent[],COLUMN(TabelContent[Cat-EN]))</f>
        <v>Pivot table</v>
      </c>
      <c r="F3" s="78"/>
      <c r="G3" s="268"/>
    </row>
    <row r="4" spans="2:15" s="77" customFormat="1" x14ac:dyDescent="0.2">
      <c r="B4" s="263" t="s">
        <v>1126</v>
      </c>
      <c r="C4" s="263"/>
      <c r="D4" s="337">
        <f>VLOOKUP(D$1,TabelContent[],COLUMN(TabelContent[Niveau]))</f>
        <v>2</v>
      </c>
      <c r="F4" s="78"/>
      <c r="G4" s="268"/>
    </row>
    <row r="5" spans="2:15" x14ac:dyDescent="0.2">
      <c r="B5" s="10"/>
      <c r="C5" s="10"/>
      <c r="D5" s="10"/>
      <c r="E5" s="10"/>
    </row>
    <row r="6" spans="2:15" x14ac:dyDescent="0.2">
      <c r="B6" s="387" t="s">
        <v>1132</v>
      </c>
      <c r="C6" s="387"/>
      <c r="D6" s="387"/>
      <c r="E6" s="387"/>
    </row>
    <row r="7" spans="2:15" x14ac:dyDescent="0.2">
      <c r="B7" s="249"/>
      <c r="C7" s="249"/>
      <c r="D7" s="249"/>
      <c r="E7" s="249"/>
      <c r="F7" s="245"/>
    </row>
    <row r="8" spans="2:15" s="77" customFormat="1" ht="11.25" x14ac:dyDescent="0.15">
      <c r="B8" s="253"/>
      <c r="C8" s="255"/>
      <c r="D8" s="266" t="s">
        <v>717</v>
      </c>
      <c r="E8" s="266" t="s">
        <v>671</v>
      </c>
      <c r="F8" s="266" t="s">
        <v>672</v>
      </c>
      <c r="G8" s="269" t="s">
        <v>718</v>
      </c>
    </row>
    <row r="9" spans="2:15" s="77" customFormat="1" ht="11.25" x14ac:dyDescent="0.15">
      <c r="B9" s="253"/>
      <c r="C9" s="255"/>
      <c r="D9" s="255" t="s">
        <v>719</v>
      </c>
      <c r="E9" s="255" t="s">
        <v>720</v>
      </c>
      <c r="F9" s="255" t="s">
        <v>684</v>
      </c>
      <c r="G9" s="268">
        <v>43200</v>
      </c>
      <c r="I9" s="80"/>
      <c r="J9" s="80"/>
      <c r="K9" s="80"/>
      <c r="L9" s="80"/>
      <c r="M9" s="80"/>
    </row>
    <row r="10" spans="2:15" s="77" customFormat="1" ht="11.25" x14ac:dyDescent="0.15">
      <c r="B10" s="253"/>
      <c r="C10" s="255"/>
      <c r="D10" s="255" t="s">
        <v>719</v>
      </c>
      <c r="E10" s="255" t="s">
        <v>721</v>
      </c>
      <c r="F10" s="255" t="s">
        <v>684</v>
      </c>
      <c r="G10" s="268">
        <v>45000</v>
      </c>
      <c r="I10" s="229" t="s">
        <v>672</v>
      </c>
      <c r="J10" s="230" t="s">
        <v>684</v>
      </c>
      <c r="K10" s="80"/>
      <c r="L10" s="80"/>
      <c r="M10" s="80"/>
    </row>
    <row r="11" spans="2:15" s="77" customFormat="1" ht="11.25" x14ac:dyDescent="0.15">
      <c r="B11" s="253"/>
      <c r="C11" s="255"/>
      <c r="D11" s="255" t="s">
        <v>719</v>
      </c>
      <c r="E11" s="255" t="s">
        <v>687</v>
      </c>
      <c r="F11" s="255" t="s">
        <v>684</v>
      </c>
      <c r="G11" s="268">
        <v>35280</v>
      </c>
      <c r="I11" s="80"/>
      <c r="J11" s="80"/>
      <c r="K11" s="80"/>
      <c r="L11" s="80"/>
      <c r="M11" s="80"/>
    </row>
    <row r="12" spans="2:15" s="77" customFormat="1" x14ac:dyDescent="0.2">
      <c r="B12" s="253"/>
      <c r="C12" s="255"/>
      <c r="D12" s="255" t="s">
        <v>719</v>
      </c>
      <c r="E12" s="255" t="s">
        <v>530</v>
      </c>
      <c r="F12" s="255" t="s">
        <v>684</v>
      </c>
      <c r="G12" s="268">
        <v>39600</v>
      </c>
      <c r="I12" s="229" t="s">
        <v>726</v>
      </c>
      <c r="J12" s="229" t="s">
        <v>717</v>
      </c>
      <c r="K12" s="228"/>
      <c r="L12" s="228"/>
      <c r="M12" s="228"/>
      <c r="N12"/>
      <c r="O12"/>
    </row>
    <row r="13" spans="2:15" s="77" customFormat="1" x14ac:dyDescent="0.2">
      <c r="B13" s="253"/>
      <c r="C13" s="255"/>
      <c r="D13" s="255" t="s">
        <v>719</v>
      </c>
      <c r="E13" s="255" t="s">
        <v>722</v>
      </c>
      <c r="F13" s="255" t="s">
        <v>684</v>
      </c>
      <c r="G13" s="268">
        <v>39960</v>
      </c>
      <c r="I13" s="229" t="s">
        <v>671</v>
      </c>
      <c r="J13" s="230" t="s">
        <v>719</v>
      </c>
      <c r="K13" s="230" t="s">
        <v>725</v>
      </c>
      <c r="L13" s="230" t="s">
        <v>724</v>
      </c>
      <c r="M13" s="230" t="s">
        <v>667</v>
      </c>
      <c r="N13"/>
      <c r="O13"/>
    </row>
    <row r="14" spans="2:15" s="77" customFormat="1" x14ac:dyDescent="0.2">
      <c r="B14" s="253"/>
      <c r="C14" s="255"/>
      <c r="D14" s="255" t="s">
        <v>719</v>
      </c>
      <c r="E14" s="255" t="s">
        <v>723</v>
      </c>
      <c r="F14" s="255" t="s">
        <v>684</v>
      </c>
      <c r="G14" s="268">
        <v>39600</v>
      </c>
      <c r="I14" s="230" t="s">
        <v>720</v>
      </c>
      <c r="J14" s="270">
        <v>43200</v>
      </c>
      <c r="K14" s="270">
        <v>50700</v>
      </c>
      <c r="L14" s="270">
        <v>35000</v>
      </c>
      <c r="M14" s="270">
        <v>128900</v>
      </c>
      <c r="N14"/>
      <c r="O14"/>
    </row>
    <row r="15" spans="2:15" s="77" customFormat="1" x14ac:dyDescent="0.2">
      <c r="B15" s="253"/>
      <c r="C15" s="255"/>
      <c r="D15" s="255" t="s">
        <v>719</v>
      </c>
      <c r="E15" s="255" t="s">
        <v>720</v>
      </c>
      <c r="F15" s="255" t="s">
        <v>686</v>
      </c>
      <c r="G15" s="268">
        <v>39600</v>
      </c>
      <c r="I15" s="230" t="s">
        <v>721</v>
      </c>
      <c r="J15" s="270">
        <v>45000</v>
      </c>
      <c r="K15" s="270">
        <v>52900</v>
      </c>
      <c r="L15" s="270">
        <v>35500</v>
      </c>
      <c r="M15" s="270">
        <v>133400</v>
      </c>
      <c r="N15"/>
      <c r="O15"/>
    </row>
    <row r="16" spans="2:15" s="77" customFormat="1" x14ac:dyDescent="0.2">
      <c r="B16" s="255"/>
      <c r="C16" s="255"/>
      <c r="D16" s="255" t="s">
        <v>719</v>
      </c>
      <c r="E16" s="255" t="s">
        <v>721</v>
      </c>
      <c r="F16" s="255" t="s">
        <v>686</v>
      </c>
      <c r="G16" s="268">
        <v>42300</v>
      </c>
      <c r="I16" s="230" t="s">
        <v>687</v>
      </c>
      <c r="J16" s="270">
        <v>35280</v>
      </c>
      <c r="K16" s="270">
        <v>41200</v>
      </c>
      <c r="L16" s="270">
        <v>36900</v>
      </c>
      <c r="M16" s="270">
        <v>113380</v>
      </c>
      <c r="N16"/>
      <c r="O16"/>
    </row>
    <row r="17" spans="2:15" s="77" customFormat="1" x14ac:dyDescent="0.2">
      <c r="B17" s="255"/>
      <c r="C17" s="255"/>
      <c r="D17" s="255" t="s">
        <v>719</v>
      </c>
      <c r="E17" s="255" t="s">
        <v>687</v>
      </c>
      <c r="F17" s="255" t="s">
        <v>686</v>
      </c>
      <c r="G17" s="268">
        <v>42300</v>
      </c>
      <c r="I17" s="230" t="s">
        <v>530</v>
      </c>
      <c r="J17" s="270">
        <v>39600</v>
      </c>
      <c r="K17" s="270">
        <v>46400</v>
      </c>
      <c r="L17" s="270">
        <v>36100</v>
      </c>
      <c r="M17" s="270">
        <v>122100</v>
      </c>
      <c r="N17"/>
      <c r="O17"/>
    </row>
    <row r="18" spans="2:15" s="77" customFormat="1" x14ac:dyDescent="0.2">
      <c r="B18" s="255"/>
      <c r="C18" s="255"/>
      <c r="D18" s="255" t="s">
        <v>719</v>
      </c>
      <c r="E18" s="255" t="s">
        <v>530</v>
      </c>
      <c r="F18" s="255" t="s">
        <v>686</v>
      </c>
      <c r="G18" s="268">
        <v>42750</v>
      </c>
      <c r="I18" s="230" t="s">
        <v>722</v>
      </c>
      <c r="J18" s="270">
        <v>39960</v>
      </c>
      <c r="K18" s="270">
        <v>46900</v>
      </c>
      <c r="L18" s="270">
        <v>36400</v>
      </c>
      <c r="M18" s="270">
        <v>123260</v>
      </c>
      <c r="N18"/>
      <c r="O18"/>
    </row>
    <row r="19" spans="2:15" s="77" customFormat="1" x14ac:dyDescent="0.2">
      <c r="B19" s="255"/>
      <c r="C19" s="255"/>
      <c r="D19" s="255" t="s">
        <v>719</v>
      </c>
      <c r="E19" s="255" t="s">
        <v>722</v>
      </c>
      <c r="F19" s="255" t="s">
        <v>686</v>
      </c>
      <c r="G19" s="268">
        <v>43650</v>
      </c>
      <c r="I19" s="230" t="s">
        <v>723</v>
      </c>
      <c r="J19" s="270">
        <v>39600</v>
      </c>
      <c r="K19" s="270">
        <v>46400</v>
      </c>
      <c r="L19" s="270">
        <v>36100</v>
      </c>
      <c r="M19" s="270">
        <v>122100</v>
      </c>
      <c r="N19"/>
      <c r="O19"/>
    </row>
    <row r="20" spans="2:15" s="77" customFormat="1" x14ac:dyDescent="0.2">
      <c r="B20" s="255"/>
      <c r="C20" s="255"/>
      <c r="D20" s="255" t="s">
        <v>719</v>
      </c>
      <c r="E20" s="255" t="s">
        <v>723</v>
      </c>
      <c r="F20" s="255" t="s">
        <v>686</v>
      </c>
      <c r="G20" s="268">
        <v>44550</v>
      </c>
      <c r="I20" s="230" t="s">
        <v>667</v>
      </c>
      <c r="J20" s="270">
        <v>242640</v>
      </c>
      <c r="K20" s="270">
        <v>284500</v>
      </c>
      <c r="L20" s="270">
        <v>216000</v>
      </c>
      <c r="M20" s="270">
        <v>743140</v>
      </c>
      <c r="N20"/>
      <c r="O20"/>
    </row>
    <row r="21" spans="2:15" s="77" customFormat="1" x14ac:dyDescent="0.2">
      <c r="B21" s="255"/>
      <c r="C21" s="255"/>
      <c r="D21" s="255" t="s">
        <v>719</v>
      </c>
      <c r="E21" s="255" t="s">
        <v>720</v>
      </c>
      <c r="F21" s="255" t="s">
        <v>688</v>
      </c>
      <c r="G21" s="268">
        <v>39600</v>
      </c>
      <c r="I21"/>
      <c r="J21"/>
      <c r="K21"/>
      <c r="L21"/>
      <c r="M21"/>
      <c r="N21"/>
      <c r="O21"/>
    </row>
    <row r="22" spans="2:15" s="77" customFormat="1" x14ac:dyDescent="0.2">
      <c r="B22" s="255"/>
      <c r="C22" s="255"/>
      <c r="D22" s="255" t="s">
        <v>719</v>
      </c>
      <c r="E22" s="255" t="s">
        <v>721</v>
      </c>
      <c r="F22" s="255" t="s">
        <v>688</v>
      </c>
      <c r="G22" s="268">
        <v>42300</v>
      </c>
      <c r="I22"/>
      <c r="J22"/>
      <c r="K22"/>
      <c r="L22"/>
      <c r="M22"/>
      <c r="N22"/>
      <c r="O22"/>
    </row>
    <row r="23" spans="2:15" s="77" customFormat="1" x14ac:dyDescent="0.2">
      <c r="B23" s="255"/>
      <c r="C23" s="255"/>
      <c r="D23" s="255" t="s">
        <v>719</v>
      </c>
      <c r="E23" s="255" t="s">
        <v>687</v>
      </c>
      <c r="F23" s="255" t="s">
        <v>688</v>
      </c>
      <c r="G23" s="268">
        <v>42300</v>
      </c>
      <c r="I23"/>
      <c r="J23"/>
      <c r="K23"/>
      <c r="L23"/>
      <c r="M23"/>
      <c r="N23"/>
      <c r="O23"/>
    </row>
    <row r="24" spans="2:15" s="77" customFormat="1" x14ac:dyDescent="0.2">
      <c r="B24" s="255"/>
      <c r="C24" s="255"/>
      <c r="D24" s="255" t="s">
        <v>719</v>
      </c>
      <c r="E24" s="255" t="s">
        <v>530</v>
      </c>
      <c r="F24" s="255" t="s">
        <v>688</v>
      </c>
      <c r="G24" s="268">
        <v>42750</v>
      </c>
      <c r="I24"/>
      <c r="J24"/>
      <c r="K24"/>
      <c r="L24"/>
      <c r="M24"/>
      <c r="N24"/>
      <c r="O24"/>
    </row>
    <row r="25" spans="2:15" s="77" customFormat="1" x14ac:dyDescent="0.2">
      <c r="B25" s="255"/>
      <c r="C25" s="255"/>
      <c r="D25" s="255" t="s">
        <v>719</v>
      </c>
      <c r="E25" s="255" t="s">
        <v>722</v>
      </c>
      <c r="F25" s="255" t="s">
        <v>688</v>
      </c>
      <c r="G25" s="268">
        <v>43650</v>
      </c>
      <c r="I25"/>
      <c r="J25"/>
      <c r="K25"/>
      <c r="L25"/>
      <c r="M25"/>
      <c r="N25"/>
      <c r="O25"/>
    </row>
    <row r="26" spans="2:15" s="77" customFormat="1" x14ac:dyDescent="0.2">
      <c r="B26" s="255"/>
      <c r="C26" s="255"/>
      <c r="D26" s="255" t="s">
        <v>719</v>
      </c>
      <c r="E26" s="255" t="s">
        <v>723</v>
      </c>
      <c r="F26" s="255" t="s">
        <v>688</v>
      </c>
      <c r="G26" s="268">
        <v>44550</v>
      </c>
      <c r="I26"/>
      <c r="J26"/>
      <c r="K26"/>
      <c r="L26"/>
      <c r="M26"/>
    </row>
    <row r="27" spans="2:15" s="77" customFormat="1" ht="11.25" x14ac:dyDescent="0.15">
      <c r="B27" s="255"/>
      <c r="C27" s="255"/>
      <c r="D27" s="255" t="s">
        <v>719</v>
      </c>
      <c r="E27" s="255" t="s">
        <v>720</v>
      </c>
      <c r="F27" s="255" t="s">
        <v>449</v>
      </c>
      <c r="G27" s="268">
        <v>41280</v>
      </c>
    </row>
    <row r="28" spans="2:15" s="77" customFormat="1" ht="11.25" x14ac:dyDescent="0.15">
      <c r="B28" s="255"/>
      <c r="C28" s="255"/>
      <c r="D28" s="255" t="s">
        <v>719</v>
      </c>
      <c r="E28" s="255" t="s">
        <v>721</v>
      </c>
      <c r="F28" s="255" t="s">
        <v>449</v>
      </c>
      <c r="G28" s="268">
        <v>41760</v>
      </c>
    </row>
    <row r="29" spans="2:15" s="77" customFormat="1" ht="11.25" x14ac:dyDescent="0.15">
      <c r="B29" s="255"/>
      <c r="C29" s="255"/>
      <c r="D29" s="255" t="s">
        <v>719</v>
      </c>
      <c r="E29" s="255" t="s">
        <v>687</v>
      </c>
      <c r="F29" s="255" t="s">
        <v>449</v>
      </c>
      <c r="G29" s="268">
        <v>39360</v>
      </c>
    </row>
    <row r="30" spans="2:15" s="77" customFormat="1" ht="11.25" x14ac:dyDescent="0.15">
      <c r="B30" s="255"/>
      <c r="C30" s="255"/>
      <c r="D30" s="255" t="s">
        <v>719</v>
      </c>
      <c r="E30" s="255" t="s">
        <v>530</v>
      </c>
      <c r="F30" s="255" t="s">
        <v>449</v>
      </c>
      <c r="G30" s="268">
        <v>40900</v>
      </c>
    </row>
    <row r="31" spans="2:15" s="77" customFormat="1" ht="11.25" x14ac:dyDescent="0.15">
      <c r="B31" s="255"/>
      <c r="C31" s="255"/>
      <c r="D31" s="255" t="s">
        <v>719</v>
      </c>
      <c r="E31" s="255" t="s">
        <v>722</v>
      </c>
      <c r="F31" s="255" t="s">
        <v>449</v>
      </c>
      <c r="G31" s="268">
        <v>42000</v>
      </c>
    </row>
    <row r="32" spans="2:15" s="77" customFormat="1" ht="11.25" x14ac:dyDescent="0.15">
      <c r="B32" s="255"/>
      <c r="C32" s="255"/>
      <c r="D32" s="255" t="s">
        <v>719</v>
      </c>
      <c r="E32" s="255" t="s">
        <v>723</v>
      </c>
      <c r="F32" s="255" t="s">
        <v>449</v>
      </c>
      <c r="G32" s="268">
        <v>43500</v>
      </c>
    </row>
    <row r="33" spans="2:7" s="77" customFormat="1" ht="11.25" x14ac:dyDescent="0.15">
      <c r="B33" s="255"/>
      <c r="C33" s="255"/>
      <c r="D33" s="255" t="s">
        <v>724</v>
      </c>
      <c r="E33" s="255" t="s">
        <v>720</v>
      </c>
      <c r="F33" s="255" t="s">
        <v>684</v>
      </c>
      <c r="G33" s="268">
        <v>35000</v>
      </c>
    </row>
    <row r="34" spans="2:7" s="77" customFormat="1" ht="11.25" x14ac:dyDescent="0.15">
      <c r="B34" s="255"/>
      <c r="C34" s="255"/>
      <c r="D34" s="255" t="s">
        <v>724</v>
      </c>
      <c r="E34" s="255" t="s">
        <v>721</v>
      </c>
      <c r="F34" s="255" t="s">
        <v>684</v>
      </c>
      <c r="G34" s="268">
        <v>35500</v>
      </c>
    </row>
    <row r="35" spans="2:7" s="77" customFormat="1" ht="11.25" x14ac:dyDescent="0.15">
      <c r="B35" s="255"/>
      <c r="C35" s="255"/>
      <c r="D35" s="255" t="s">
        <v>724</v>
      </c>
      <c r="E35" s="255" t="s">
        <v>687</v>
      </c>
      <c r="F35" s="255" t="s">
        <v>684</v>
      </c>
      <c r="G35" s="268">
        <v>36900</v>
      </c>
    </row>
    <row r="36" spans="2:7" s="77" customFormat="1" ht="11.25" x14ac:dyDescent="0.15">
      <c r="B36" s="255"/>
      <c r="C36" s="255"/>
      <c r="D36" s="255" t="s">
        <v>724</v>
      </c>
      <c r="E36" s="255" t="s">
        <v>530</v>
      </c>
      <c r="F36" s="255" t="s">
        <v>684</v>
      </c>
      <c r="G36" s="268">
        <v>36100</v>
      </c>
    </row>
    <row r="37" spans="2:7" s="77" customFormat="1" ht="11.25" x14ac:dyDescent="0.15">
      <c r="B37" s="255"/>
      <c r="C37" s="255"/>
      <c r="D37" s="255" t="s">
        <v>724</v>
      </c>
      <c r="E37" s="255" t="s">
        <v>722</v>
      </c>
      <c r="F37" s="255" t="s">
        <v>684</v>
      </c>
      <c r="G37" s="268">
        <v>36400</v>
      </c>
    </row>
    <row r="38" spans="2:7" s="77" customFormat="1" ht="11.25" x14ac:dyDescent="0.15">
      <c r="B38" s="255"/>
      <c r="C38" s="255"/>
      <c r="D38" s="255" t="s">
        <v>724</v>
      </c>
      <c r="E38" s="255" t="s">
        <v>723</v>
      </c>
      <c r="F38" s="255" t="s">
        <v>684</v>
      </c>
      <c r="G38" s="268">
        <v>36100</v>
      </c>
    </row>
    <row r="39" spans="2:7" s="77" customFormat="1" ht="11.25" x14ac:dyDescent="0.15">
      <c r="B39" s="255"/>
      <c r="C39" s="255"/>
      <c r="D39" s="255" t="s">
        <v>724</v>
      </c>
      <c r="E39" s="255" t="s">
        <v>720</v>
      </c>
      <c r="F39" s="255" t="s">
        <v>686</v>
      </c>
      <c r="G39" s="268">
        <v>22100</v>
      </c>
    </row>
    <row r="40" spans="2:7" s="77" customFormat="1" ht="11.25" x14ac:dyDescent="0.15">
      <c r="B40" s="255"/>
      <c r="C40" s="255"/>
      <c r="D40" s="255" t="s">
        <v>724</v>
      </c>
      <c r="E40" s="255" t="s">
        <v>721</v>
      </c>
      <c r="F40" s="255" t="s">
        <v>686</v>
      </c>
      <c r="G40" s="268">
        <v>24300</v>
      </c>
    </row>
    <row r="41" spans="2:7" s="77" customFormat="1" ht="11.25" x14ac:dyDescent="0.15">
      <c r="B41" s="255"/>
      <c r="C41" s="255"/>
      <c r="D41" s="255" t="s">
        <v>724</v>
      </c>
      <c r="E41" s="255" t="s">
        <v>687</v>
      </c>
      <c r="F41" s="255" t="s">
        <v>686</v>
      </c>
      <c r="G41" s="268">
        <v>24300</v>
      </c>
    </row>
    <row r="42" spans="2:7" s="77" customFormat="1" ht="11.25" x14ac:dyDescent="0.15">
      <c r="B42" s="255"/>
      <c r="C42" s="255"/>
      <c r="D42" s="255" t="s">
        <v>724</v>
      </c>
      <c r="E42" s="255" t="s">
        <v>530</v>
      </c>
      <c r="F42" s="255" t="s">
        <v>686</v>
      </c>
      <c r="G42" s="268">
        <v>24600</v>
      </c>
    </row>
    <row r="43" spans="2:7" s="77" customFormat="1" ht="11.25" x14ac:dyDescent="0.15">
      <c r="B43" s="255"/>
      <c r="C43" s="255"/>
      <c r="D43" s="255" t="s">
        <v>724</v>
      </c>
      <c r="E43" s="255" t="s">
        <v>722</v>
      </c>
      <c r="F43" s="255" t="s">
        <v>686</v>
      </c>
      <c r="G43" s="268">
        <v>25400</v>
      </c>
    </row>
    <row r="44" spans="2:7" s="77" customFormat="1" ht="11.25" x14ac:dyDescent="0.15">
      <c r="B44" s="255"/>
      <c r="C44" s="255"/>
      <c r="D44" s="255" t="s">
        <v>724</v>
      </c>
      <c r="E44" s="255" t="s">
        <v>723</v>
      </c>
      <c r="F44" s="255" t="s">
        <v>686</v>
      </c>
      <c r="G44" s="268">
        <v>23100</v>
      </c>
    </row>
    <row r="45" spans="2:7" s="77" customFormat="1" ht="11.25" x14ac:dyDescent="0.15">
      <c r="B45" s="255"/>
      <c r="C45" s="255"/>
      <c r="D45" s="255" t="s">
        <v>724</v>
      </c>
      <c r="E45" s="255" t="s">
        <v>720</v>
      </c>
      <c r="F45" s="255" t="s">
        <v>688</v>
      </c>
      <c r="G45" s="268">
        <v>26200</v>
      </c>
    </row>
    <row r="46" spans="2:7" s="77" customFormat="1" ht="11.25" x14ac:dyDescent="0.15">
      <c r="B46" s="255"/>
      <c r="C46" s="255"/>
      <c r="D46" s="255" t="s">
        <v>724</v>
      </c>
      <c r="E46" s="255" t="s">
        <v>721</v>
      </c>
      <c r="F46" s="255" t="s">
        <v>688</v>
      </c>
      <c r="G46" s="268">
        <v>24500</v>
      </c>
    </row>
    <row r="47" spans="2:7" s="77" customFormat="1" ht="11.25" x14ac:dyDescent="0.15">
      <c r="B47" s="255"/>
      <c r="C47" s="255"/>
      <c r="D47" s="255" t="s">
        <v>724</v>
      </c>
      <c r="E47" s="255" t="s">
        <v>687</v>
      </c>
      <c r="F47" s="255" t="s">
        <v>688</v>
      </c>
      <c r="G47" s="268">
        <v>24300</v>
      </c>
    </row>
    <row r="48" spans="2:7" s="77" customFormat="1" ht="11.25" x14ac:dyDescent="0.15">
      <c r="B48" s="255"/>
      <c r="C48" s="255"/>
      <c r="D48" s="255" t="s">
        <v>724</v>
      </c>
      <c r="E48" s="255" t="s">
        <v>530</v>
      </c>
      <c r="F48" s="255" t="s">
        <v>688</v>
      </c>
      <c r="G48" s="268">
        <v>24800</v>
      </c>
    </row>
    <row r="49" spans="2:7" s="77" customFormat="1" ht="11.25" x14ac:dyDescent="0.15">
      <c r="B49" s="255"/>
      <c r="C49" s="255"/>
      <c r="D49" s="255" t="s">
        <v>724</v>
      </c>
      <c r="E49" s="255" t="s">
        <v>722</v>
      </c>
      <c r="F49" s="255" t="s">
        <v>688</v>
      </c>
      <c r="G49" s="268">
        <v>25400</v>
      </c>
    </row>
    <row r="50" spans="2:7" s="77" customFormat="1" ht="11.25" x14ac:dyDescent="0.15">
      <c r="B50" s="255"/>
      <c r="C50" s="255"/>
      <c r="D50" s="255" t="s">
        <v>724</v>
      </c>
      <c r="E50" s="255" t="s">
        <v>723</v>
      </c>
      <c r="F50" s="255" t="s">
        <v>688</v>
      </c>
      <c r="G50" s="268">
        <v>26100</v>
      </c>
    </row>
    <row r="51" spans="2:7" s="77" customFormat="1" ht="11.25" x14ac:dyDescent="0.15">
      <c r="B51" s="255"/>
      <c r="C51" s="255"/>
      <c r="D51" s="255" t="s">
        <v>724</v>
      </c>
      <c r="E51" s="255" t="s">
        <v>720</v>
      </c>
      <c r="F51" s="255" t="s">
        <v>449</v>
      </c>
      <c r="G51" s="268">
        <v>23400</v>
      </c>
    </row>
    <row r="52" spans="2:7" s="77" customFormat="1" ht="11.25" x14ac:dyDescent="0.15">
      <c r="B52" s="255"/>
      <c r="C52" s="255"/>
      <c r="D52" s="255" t="s">
        <v>724</v>
      </c>
      <c r="E52" s="255" t="s">
        <v>721</v>
      </c>
      <c r="F52" s="255" t="s">
        <v>449</v>
      </c>
      <c r="G52" s="268">
        <v>23800</v>
      </c>
    </row>
    <row r="53" spans="2:7" s="77" customFormat="1" ht="11.25" x14ac:dyDescent="0.15">
      <c r="B53" s="255"/>
      <c r="C53" s="255"/>
      <c r="D53" s="255" t="s">
        <v>724</v>
      </c>
      <c r="E53" s="255" t="s">
        <v>687</v>
      </c>
      <c r="F53" s="255" t="s">
        <v>449</v>
      </c>
      <c r="G53" s="268">
        <v>23900</v>
      </c>
    </row>
    <row r="54" spans="2:7" s="77" customFormat="1" ht="11.25" x14ac:dyDescent="0.15">
      <c r="B54" s="255"/>
      <c r="C54" s="255"/>
      <c r="D54" s="255" t="s">
        <v>724</v>
      </c>
      <c r="E54" s="255" t="s">
        <v>530</v>
      </c>
      <c r="F54" s="255" t="s">
        <v>449</v>
      </c>
      <c r="G54" s="268">
        <v>23100</v>
      </c>
    </row>
    <row r="55" spans="2:7" s="77" customFormat="1" ht="11.25" x14ac:dyDescent="0.15">
      <c r="B55" s="255"/>
      <c r="C55" s="255"/>
      <c r="D55" s="255" t="s">
        <v>724</v>
      </c>
      <c r="E55" s="255" t="s">
        <v>722</v>
      </c>
      <c r="F55" s="255" t="s">
        <v>449</v>
      </c>
      <c r="G55" s="268">
        <v>24000</v>
      </c>
    </row>
    <row r="56" spans="2:7" s="77" customFormat="1" ht="11.25" x14ac:dyDescent="0.15">
      <c r="B56" s="255"/>
      <c r="C56" s="255"/>
      <c r="D56" s="255" t="s">
        <v>724</v>
      </c>
      <c r="E56" s="255" t="s">
        <v>723</v>
      </c>
      <c r="F56" s="255" t="s">
        <v>449</v>
      </c>
      <c r="G56" s="268">
        <v>23200</v>
      </c>
    </row>
    <row r="57" spans="2:7" s="77" customFormat="1" ht="11.25" x14ac:dyDescent="0.15">
      <c r="B57" s="255"/>
      <c r="C57" s="255"/>
      <c r="D57" s="255" t="s">
        <v>725</v>
      </c>
      <c r="E57" s="255" t="s">
        <v>720</v>
      </c>
      <c r="F57" s="255" t="s">
        <v>684</v>
      </c>
      <c r="G57" s="268">
        <v>50700</v>
      </c>
    </row>
    <row r="58" spans="2:7" s="77" customFormat="1" ht="11.25" x14ac:dyDescent="0.15">
      <c r="B58" s="255"/>
      <c r="C58" s="255"/>
      <c r="D58" s="255" t="s">
        <v>725</v>
      </c>
      <c r="E58" s="255" t="s">
        <v>721</v>
      </c>
      <c r="F58" s="255" t="s">
        <v>684</v>
      </c>
      <c r="G58" s="268">
        <v>52900</v>
      </c>
    </row>
    <row r="59" spans="2:7" s="77" customFormat="1" ht="11.25" x14ac:dyDescent="0.15">
      <c r="B59" s="255"/>
      <c r="C59" s="255"/>
      <c r="D59" s="255" t="s">
        <v>725</v>
      </c>
      <c r="E59" s="255" t="s">
        <v>687</v>
      </c>
      <c r="F59" s="255" t="s">
        <v>684</v>
      </c>
      <c r="G59" s="268">
        <v>41200</v>
      </c>
    </row>
    <row r="60" spans="2:7" s="77" customFormat="1" ht="11.25" x14ac:dyDescent="0.15">
      <c r="B60" s="255"/>
      <c r="C60" s="255"/>
      <c r="D60" s="255" t="s">
        <v>725</v>
      </c>
      <c r="E60" s="255" t="s">
        <v>530</v>
      </c>
      <c r="F60" s="255" t="s">
        <v>684</v>
      </c>
      <c r="G60" s="268">
        <v>46400</v>
      </c>
    </row>
    <row r="61" spans="2:7" s="77" customFormat="1" ht="11.25" x14ac:dyDescent="0.15">
      <c r="B61" s="255"/>
      <c r="C61" s="255"/>
      <c r="D61" s="255" t="s">
        <v>725</v>
      </c>
      <c r="E61" s="255" t="s">
        <v>722</v>
      </c>
      <c r="F61" s="255" t="s">
        <v>684</v>
      </c>
      <c r="G61" s="268">
        <v>46900</v>
      </c>
    </row>
    <row r="62" spans="2:7" s="77" customFormat="1" ht="11.25" x14ac:dyDescent="0.15">
      <c r="B62" s="255"/>
      <c r="C62" s="255"/>
      <c r="D62" s="255" t="s">
        <v>725</v>
      </c>
      <c r="E62" s="255" t="s">
        <v>723</v>
      </c>
      <c r="F62" s="255" t="s">
        <v>684</v>
      </c>
      <c r="G62" s="268">
        <v>46400</v>
      </c>
    </row>
    <row r="63" spans="2:7" s="77" customFormat="1" ht="11.25" x14ac:dyDescent="0.15">
      <c r="B63" s="255"/>
      <c r="C63" s="255"/>
      <c r="D63" s="255" t="s">
        <v>725</v>
      </c>
      <c r="E63" s="255" t="s">
        <v>720</v>
      </c>
      <c r="F63" s="255" t="s">
        <v>686</v>
      </c>
      <c r="G63" s="268">
        <v>46400</v>
      </c>
    </row>
    <row r="64" spans="2:7" s="77" customFormat="1" ht="11.25" x14ac:dyDescent="0.15">
      <c r="B64" s="255"/>
      <c r="C64" s="255"/>
      <c r="D64" s="255" t="s">
        <v>725</v>
      </c>
      <c r="E64" s="255" t="s">
        <v>721</v>
      </c>
      <c r="F64" s="255" t="s">
        <v>686</v>
      </c>
      <c r="G64" s="268">
        <v>49700</v>
      </c>
    </row>
    <row r="65" spans="2:7" s="77" customFormat="1" ht="11.25" x14ac:dyDescent="0.15">
      <c r="B65" s="255"/>
      <c r="C65" s="255"/>
      <c r="D65" s="255" t="s">
        <v>725</v>
      </c>
      <c r="E65" s="255" t="s">
        <v>687</v>
      </c>
      <c r="F65" s="255" t="s">
        <v>686</v>
      </c>
      <c r="G65" s="268">
        <v>49700</v>
      </c>
    </row>
    <row r="66" spans="2:7" s="77" customFormat="1" ht="11.25" x14ac:dyDescent="0.15">
      <c r="B66" s="255"/>
      <c r="C66" s="255"/>
      <c r="D66" s="255" t="s">
        <v>725</v>
      </c>
      <c r="E66" s="255" t="s">
        <v>530</v>
      </c>
      <c r="F66" s="255" t="s">
        <v>686</v>
      </c>
      <c r="G66" s="268">
        <v>50200</v>
      </c>
    </row>
    <row r="67" spans="2:7" s="77" customFormat="1" ht="11.25" x14ac:dyDescent="0.15">
      <c r="B67" s="255"/>
      <c r="C67" s="255"/>
      <c r="D67" s="255" t="s">
        <v>725</v>
      </c>
      <c r="E67" s="255" t="s">
        <v>722</v>
      </c>
      <c r="F67" s="255" t="s">
        <v>686</v>
      </c>
      <c r="G67" s="268">
        <v>51300</v>
      </c>
    </row>
    <row r="68" spans="2:7" s="77" customFormat="1" ht="11.25" x14ac:dyDescent="0.15">
      <c r="B68" s="255"/>
      <c r="C68" s="255"/>
      <c r="D68" s="255" t="s">
        <v>725</v>
      </c>
      <c r="E68" s="255" t="s">
        <v>723</v>
      </c>
      <c r="F68" s="255" t="s">
        <v>686</v>
      </c>
      <c r="G68" s="268">
        <v>52400</v>
      </c>
    </row>
    <row r="69" spans="2:7" s="77" customFormat="1" ht="11.25" x14ac:dyDescent="0.15">
      <c r="B69" s="255"/>
      <c r="C69" s="255"/>
      <c r="D69" s="255" t="s">
        <v>725</v>
      </c>
      <c r="E69" s="255" t="s">
        <v>720</v>
      </c>
      <c r="F69" s="255" t="s">
        <v>688</v>
      </c>
      <c r="G69" s="268">
        <v>46400</v>
      </c>
    </row>
    <row r="70" spans="2:7" s="77" customFormat="1" ht="11.25" x14ac:dyDescent="0.15">
      <c r="B70" s="255"/>
      <c r="C70" s="255"/>
      <c r="D70" s="255" t="s">
        <v>725</v>
      </c>
      <c r="E70" s="255" t="s">
        <v>721</v>
      </c>
      <c r="F70" s="255" t="s">
        <v>688</v>
      </c>
      <c r="G70" s="268">
        <v>49700</v>
      </c>
    </row>
    <row r="71" spans="2:7" s="77" customFormat="1" ht="11.25" x14ac:dyDescent="0.15">
      <c r="B71" s="255"/>
      <c r="C71" s="255"/>
      <c r="D71" s="255" t="s">
        <v>725</v>
      </c>
      <c r="E71" s="255" t="s">
        <v>687</v>
      </c>
      <c r="F71" s="255" t="s">
        <v>688</v>
      </c>
      <c r="G71" s="268">
        <v>49700</v>
      </c>
    </row>
    <row r="72" spans="2:7" s="77" customFormat="1" ht="11.25" x14ac:dyDescent="0.15">
      <c r="B72" s="255"/>
      <c r="C72" s="255"/>
      <c r="D72" s="255" t="s">
        <v>725</v>
      </c>
      <c r="E72" s="255" t="s">
        <v>530</v>
      </c>
      <c r="F72" s="255" t="s">
        <v>688</v>
      </c>
      <c r="G72" s="268">
        <v>50200</v>
      </c>
    </row>
    <row r="73" spans="2:7" s="77" customFormat="1" ht="11.25" x14ac:dyDescent="0.15">
      <c r="B73" s="255"/>
      <c r="C73" s="255"/>
      <c r="D73" s="255" t="s">
        <v>725</v>
      </c>
      <c r="E73" s="255" t="s">
        <v>722</v>
      </c>
      <c r="F73" s="255" t="s">
        <v>688</v>
      </c>
      <c r="G73" s="268">
        <v>51300</v>
      </c>
    </row>
    <row r="74" spans="2:7" s="77" customFormat="1" ht="11.25" x14ac:dyDescent="0.15">
      <c r="B74" s="255"/>
      <c r="C74" s="255"/>
      <c r="D74" s="255" t="s">
        <v>725</v>
      </c>
      <c r="E74" s="255" t="s">
        <v>723</v>
      </c>
      <c r="F74" s="255" t="s">
        <v>688</v>
      </c>
      <c r="G74" s="268">
        <v>52400</v>
      </c>
    </row>
    <row r="75" spans="2:7" s="77" customFormat="1" ht="11.25" x14ac:dyDescent="0.15">
      <c r="B75" s="255"/>
      <c r="C75" s="255"/>
      <c r="D75" s="255" t="s">
        <v>725</v>
      </c>
      <c r="E75" s="255" t="s">
        <v>720</v>
      </c>
      <c r="F75" s="255" t="s">
        <v>449</v>
      </c>
      <c r="G75" s="268">
        <v>48400</v>
      </c>
    </row>
    <row r="76" spans="2:7" s="77" customFormat="1" ht="11.25" x14ac:dyDescent="0.15">
      <c r="B76" s="255"/>
      <c r="C76" s="255"/>
      <c r="D76" s="255" t="s">
        <v>725</v>
      </c>
      <c r="E76" s="255" t="s">
        <v>721</v>
      </c>
      <c r="F76" s="255" t="s">
        <v>449</v>
      </c>
      <c r="G76" s="268">
        <v>49000</v>
      </c>
    </row>
    <row r="77" spans="2:7" s="77" customFormat="1" ht="11.25" x14ac:dyDescent="0.15">
      <c r="B77" s="255"/>
      <c r="C77" s="255"/>
      <c r="D77" s="255" t="s">
        <v>725</v>
      </c>
      <c r="E77" s="255" t="s">
        <v>687</v>
      </c>
      <c r="F77" s="255" t="s">
        <v>449</v>
      </c>
      <c r="G77" s="268">
        <v>46100</v>
      </c>
    </row>
    <row r="78" spans="2:7" s="77" customFormat="1" ht="11.25" x14ac:dyDescent="0.15">
      <c r="B78" s="255"/>
      <c r="C78" s="255"/>
      <c r="D78" s="255" t="s">
        <v>725</v>
      </c>
      <c r="E78" s="255" t="s">
        <v>530</v>
      </c>
      <c r="F78" s="255" t="s">
        <v>449</v>
      </c>
      <c r="G78" s="268">
        <v>48000</v>
      </c>
    </row>
    <row r="79" spans="2:7" s="77" customFormat="1" ht="11.25" x14ac:dyDescent="0.15">
      <c r="B79" s="255"/>
      <c r="C79" s="255"/>
      <c r="D79" s="255" t="s">
        <v>725</v>
      </c>
      <c r="E79" s="255" t="s">
        <v>722</v>
      </c>
      <c r="F79" s="255" t="s">
        <v>449</v>
      </c>
      <c r="G79" s="268">
        <v>49300</v>
      </c>
    </row>
    <row r="80" spans="2:7" s="77" customFormat="1" ht="11.25" x14ac:dyDescent="0.15">
      <c r="B80" s="255"/>
      <c r="C80" s="255"/>
      <c r="D80" s="255" t="s">
        <v>725</v>
      </c>
      <c r="E80" s="255" t="s">
        <v>723</v>
      </c>
      <c r="F80" s="255" t="s">
        <v>449</v>
      </c>
      <c r="G80" s="268">
        <v>51100</v>
      </c>
    </row>
  </sheetData>
  <mergeCells count="2">
    <mergeCell ref="B6:E6"/>
    <mergeCell ref="B1:C1"/>
  </mergeCells>
  <hyperlinks>
    <hyperlink ref="B6:D6" location="sjabloon!A1" display="Ga naar Inhoudsopgave" xr:uid="{00000000-0004-0000-2E00-000000000000}"/>
    <hyperlink ref="B6:E6" location="TOC!A1" display="Go to TOC" xr:uid="{00000000-0004-0000-2E00-000001000000}"/>
  </hyperlinks>
  <pageMargins left="0.7" right="0.7" top="0.75" bottom="0.75" header="0.3" footer="0.3"/>
  <pageSetup paperSize="9" orientation="landscape"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9"/>
  <dimension ref="B1:O16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245" customWidth="1"/>
    <col min="3" max="3" width="10.7109375" style="245" bestFit="1" customWidth="1"/>
    <col min="4" max="4" width="12.7109375" style="245" bestFit="1" customWidth="1"/>
    <col min="5" max="5" width="8.42578125" style="245" bestFit="1" customWidth="1"/>
    <col min="6" max="6" width="10.7109375" style="245" bestFit="1" customWidth="1"/>
    <col min="7" max="7" width="8" style="245" bestFit="1" customWidth="1"/>
    <col min="8" max="8" width="13.140625" style="245" bestFit="1" customWidth="1"/>
    <col min="9" max="9" width="9.28515625" style="245" bestFit="1" customWidth="1"/>
    <col min="10" max="10" width="9.140625" style="245"/>
    <col min="11" max="11" width="22.28515625" style="245" customWidth="1"/>
    <col min="12" max="12" width="6.85546875" style="245" customWidth="1"/>
    <col min="13" max="13" width="9" style="245" customWidth="1"/>
    <col min="14" max="15" width="6.42578125" style="245" customWidth="1"/>
    <col min="16" max="16" width="13.140625" style="245" customWidth="1"/>
    <col min="17" max="17" width="12.42578125" style="245" customWidth="1"/>
    <col min="18" max="18" width="19.5703125" style="245" customWidth="1"/>
    <col min="19" max="19" width="19" style="245" customWidth="1"/>
    <col min="20" max="16384" width="9.140625" style="245"/>
  </cols>
  <sheetData>
    <row r="1" spans="2:15" x14ac:dyDescent="0.2">
      <c r="B1" s="386" t="s">
        <v>1047</v>
      </c>
      <c r="C1" s="386"/>
      <c r="D1" s="263" t="s">
        <v>533</v>
      </c>
    </row>
    <row r="2" spans="2:15" x14ac:dyDescent="0.2">
      <c r="B2" s="263" t="s">
        <v>1124</v>
      </c>
      <c r="C2" s="263"/>
      <c r="D2" s="337" t="str">
        <f>VLOOKUP(D$1,TabelContent[],COLUMN(TabelContent[Titel-EN]))</f>
        <v>Fuel consumption cars</v>
      </c>
      <c r="E2" s="247"/>
      <c r="F2" s="247"/>
      <c r="G2" s="247"/>
      <c r="I2" s="256"/>
    </row>
    <row r="3" spans="2:15" x14ac:dyDescent="0.2">
      <c r="B3" s="263" t="s">
        <v>1125</v>
      </c>
      <c r="C3" s="263"/>
      <c r="D3" s="337" t="str">
        <f>VLOOKUP(D$1,TabelContent[],COLUMN(TabelContent[Cat-EN]))</f>
        <v>Pivot table</v>
      </c>
      <c r="E3" s="247"/>
      <c r="F3" s="247"/>
      <c r="G3" s="247"/>
      <c r="I3" s="256"/>
    </row>
    <row r="4" spans="2:15" x14ac:dyDescent="0.2">
      <c r="B4" s="263" t="s">
        <v>1126</v>
      </c>
      <c r="C4" s="263"/>
      <c r="D4" s="337">
        <f>VLOOKUP(D$1,TabelContent[],COLUMN(TabelContent[Niveau]))</f>
        <v>2</v>
      </c>
      <c r="E4" s="247"/>
      <c r="F4" s="247"/>
      <c r="G4" s="247"/>
      <c r="I4" s="256"/>
    </row>
    <row r="5" spans="2:15" x14ac:dyDescent="0.2">
      <c r="B5" s="249"/>
      <c r="C5" s="249"/>
      <c r="D5" s="249"/>
      <c r="E5" s="249"/>
    </row>
    <row r="6" spans="2:15" x14ac:dyDescent="0.2">
      <c r="B6" s="396" t="s">
        <v>1132</v>
      </c>
      <c r="C6" s="396"/>
      <c r="D6" s="396"/>
      <c r="E6" s="396"/>
    </row>
    <row r="7" spans="2:15" x14ac:dyDescent="0.2">
      <c r="B7" s="249"/>
      <c r="C7" s="249"/>
      <c r="D7" s="249"/>
      <c r="E7" s="249"/>
    </row>
    <row r="8" spans="2:15" x14ac:dyDescent="0.2">
      <c r="B8" s="249"/>
      <c r="C8" s="257" t="s">
        <v>728</v>
      </c>
      <c r="D8" s="257" t="s">
        <v>60</v>
      </c>
      <c r="E8" s="258" t="s">
        <v>61</v>
      </c>
      <c r="F8" s="258" t="s">
        <v>729</v>
      </c>
      <c r="G8" s="258" t="s">
        <v>730</v>
      </c>
      <c r="H8" s="258" t="s">
        <v>731</v>
      </c>
      <c r="I8" s="258" t="s">
        <v>732</v>
      </c>
    </row>
    <row r="9" spans="2:15" x14ac:dyDescent="0.2">
      <c r="B9" s="249"/>
      <c r="C9" s="252" t="s">
        <v>62</v>
      </c>
      <c r="D9" s="252" t="s">
        <v>63</v>
      </c>
      <c r="E9" s="247">
        <v>4</v>
      </c>
      <c r="F9" s="247">
        <v>170</v>
      </c>
      <c r="G9" s="252" t="s">
        <v>734</v>
      </c>
      <c r="H9" s="245">
        <v>12.2</v>
      </c>
      <c r="I9" s="259">
        <v>19990</v>
      </c>
    </row>
    <row r="10" spans="2:15" x14ac:dyDescent="0.2">
      <c r="B10" s="249"/>
      <c r="C10" s="252" t="s">
        <v>62</v>
      </c>
      <c r="D10" s="252" t="s">
        <v>64</v>
      </c>
      <c r="E10" s="247">
        <v>4</v>
      </c>
      <c r="F10" s="247">
        <v>190</v>
      </c>
      <c r="G10" s="252" t="s">
        <v>734</v>
      </c>
      <c r="H10" s="245">
        <v>10</v>
      </c>
      <c r="I10" s="259">
        <v>33645</v>
      </c>
    </row>
    <row r="11" spans="2:15" x14ac:dyDescent="0.2">
      <c r="B11" s="249"/>
      <c r="C11" s="252" t="s">
        <v>62</v>
      </c>
      <c r="D11" s="252" t="s">
        <v>65</v>
      </c>
      <c r="E11" s="247">
        <v>4</v>
      </c>
      <c r="F11" s="247">
        <v>175</v>
      </c>
      <c r="G11" s="252" t="s">
        <v>735</v>
      </c>
      <c r="H11" s="245">
        <v>12.9</v>
      </c>
      <c r="I11" s="259">
        <v>45040</v>
      </c>
      <c r="L11" s="251" t="s">
        <v>730</v>
      </c>
      <c r="O11"/>
    </row>
    <row r="12" spans="2:15" x14ac:dyDescent="0.2">
      <c r="B12" s="249"/>
      <c r="C12" s="252" t="s">
        <v>62</v>
      </c>
      <c r="D12" s="252" t="s">
        <v>67</v>
      </c>
      <c r="E12" s="247">
        <v>4</v>
      </c>
      <c r="F12" s="247">
        <v>190</v>
      </c>
      <c r="G12" s="252" t="s">
        <v>734</v>
      </c>
      <c r="H12" s="245">
        <v>10.1</v>
      </c>
      <c r="I12" s="259">
        <v>45725</v>
      </c>
      <c r="K12" s="251" t="s">
        <v>728</v>
      </c>
      <c r="L12" s="245" t="s">
        <v>735</v>
      </c>
      <c r="M12" s="245" t="s">
        <v>733</v>
      </c>
      <c r="N12" s="245" t="s">
        <v>734</v>
      </c>
      <c r="O12"/>
    </row>
    <row r="13" spans="2:15" x14ac:dyDescent="0.2">
      <c r="B13" s="249"/>
      <c r="C13" s="252" t="s">
        <v>68</v>
      </c>
      <c r="D13" s="252" t="s">
        <v>69</v>
      </c>
      <c r="E13" s="247">
        <v>4</v>
      </c>
      <c r="F13" s="247">
        <v>167</v>
      </c>
      <c r="G13" s="252" t="s">
        <v>733</v>
      </c>
      <c r="H13" s="245">
        <v>12.4</v>
      </c>
      <c r="I13" s="259">
        <v>31595</v>
      </c>
      <c r="K13" s="252" t="s">
        <v>62</v>
      </c>
      <c r="O13"/>
    </row>
    <row r="14" spans="2:15" x14ac:dyDescent="0.2">
      <c r="B14" s="249"/>
      <c r="C14" s="252" t="s">
        <v>68</v>
      </c>
      <c r="D14" s="252" t="s">
        <v>70</v>
      </c>
      <c r="E14" s="247">
        <v>4</v>
      </c>
      <c r="F14" s="247">
        <v>153</v>
      </c>
      <c r="G14" s="252" t="s">
        <v>735</v>
      </c>
      <c r="H14" s="245">
        <v>16.2</v>
      </c>
      <c r="I14" s="259">
        <v>36745</v>
      </c>
      <c r="K14" s="265" t="s">
        <v>736</v>
      </c>
      <c r="L14" s="245">
        <v>12.9</v>
      </c>
      <c r="N14" s="245">
        <v>12.2</v>
      </c>
      <c r="O14"/>
    </row>
    <row r="15" spans="2:15" x14ac:dyDescent="0.2">
      <c r="B15" s="249"/>
      <c r="C15" s="252" t="s">
        <v>68</v>
      </c>
      <c r="D15" s="252" t="s">
        <v>71</v>
      </c>
      <c r="E15" s="247">
        <v>4</v>
      </c>
      <c r="F15" s="247">
        <v>176</v>
      </c>
      <c r="G15" s="252" t="s">
        <v>733</v>
      </c>
      <c r="H15" s="245">
        <v>13.1</v>
      </c>
      <c r="I15" s="259">
        <v>45750</v>
      </c>
      <c r="K15" s="265" t="s">
        <v>737</v>
      </c>
      <c r="L15" s="245">
        <v>12.9</v>
      </c>
      <c r="N15" s="245">
        <v>10</v>
      </c>
      <c r="O15"/>
    </row>
    <row r="16" spans="2:15" x14ac:dyDescent="0.2">
      <c r="C16" s="252" t="s">
        <v>68</v>
      </c>
      <c r="D16" s="252" t="s">
        <v>72</v>
      </c>
      <c r="E16" s="247">
        <v>5</v>
      </c>
      <c r="F16" s="247">
        <v>158</v>
      </c>
      <c r="G16" s="252" t="s">
        <v>735</v>
      </c>
      <c r="H16" s="245">
        <v>14.9</v>
      </c>
      <c r="I16" s="259">
        <v>54450</v>
      </c>
      <c r="K16" s="252" t="s">
        <v>68</v>
      </c>
      <c r="O16"/>
    </row>
    <row r="17" spans="3:15" x14ac:dyDescent="0.2">
      <c r="C17" s="252" t="s">
        <v>68</v>
      </c>
      <c r="D17" s="252">
        <v>200</v>
      </c>
      <c r="E17" s="247">
        <v>5</v>
      </c>
      <c r="F17" s="247">
        <v>216</v>
      </c>
      <c r="G17" s="252" t="s">
        <v>733</v>
      </c>
      <c r="H17" s="245">
        <v>10.199999999999999</v>
      </c>
      <c r="I17" s="259">
        <v>96900</v>
      </c>
      <c r="K17" s="265" t="s">
        <v>736</v>
      </c>
      <c r="L17" s="245">
        <v>16.2</v>
      </c>
      <c r="M17" s="245">
        <v>13.1</v>
      </c>
      <c r="O17"/>
    </row>
    <row r="18" spans="3:15" x14ac:dyDescent="0.2">
      <c r="C18" s="252" t="s">
        <v>73</v>
      </c>
      <c r="D18" s="252" t="s">
        <v>74</v>
      </c>
      <c r="E18" s="247">
        <v>4</v>
      </c>
      <c r="F18" s="247">
        <v>138</v>
      </c>
      <c r="G18" s="252" t="s">
        <v>734</v>
      </c>
      <c r="H18" s="245">
        <v>14.4</v>
      </c>
      <c r="I18" s="259">
        <v>14995</v>
      </c>
      <c r="K18" s="265" t="s">
        <v>737</v>
      </c>
      <c r="L18" s="245">
        <v>14.9</v>
      </c>
      <c r="M18" s="245">
        <v>10.199999999999999</v>
      </c>
      <c r="O18"/>
    </row>
    <row r="19" spans="3:15" x14ac:dyDescent="0.2">
      <c r="C19" s="252" t="s">
        <v>73</v>
      </c>
      <c r="D19" s="252" t="s">
        <v>75</v>
      </c>
      <c r="E19" s="247">
        <v>4</v>
      </c>
      <c r="F19" s="247">
        <v>155</v>
      </c>
      <c r="G19" s="252" t="s">
        <v>734</v>
      </c>
      <c r="H19" s="245">
        <v>13.2</v>
      </c>
      <c r="I19" s="259">
        <v>19995</v>
      </c>
      <c r="K19" s="252" t="s">
        <v>73</v>
      </c>
      <c r="O19"/>
    </row>
    <row r="20" spans="3:15" x14ac:dyDescent="0.2">
      <c r="C20" s="252" t="s">
        <v>73</v>
      </c>
      <c r="D20" s="252" t="s">
        <v>76</v>
      </c>
      <c r="E20" s="247">
        <v>4</v>
      </c>
      <c r="F20" s="247">
        <v>154</v>
      </c>
      <c r="G20" s="252" t="s">
        <v>734</v>
      </c>
      <c r="H20" s="245">
        <v>13.2</v>
      </c>
      <c r="I20" s="259">
        <v>23990</v>
      </c>
      <c r="K20" s="265" t="s">
        <v>736</v>
      </c>
      <c r="N20" s="245">
        <v>14.4</v>
      </c>
      <c r="O20"/>
    </row>
    <row r="21" spans="3:15" x14ac:dyDescent="0.2">
      <c r="C21" s="252" t="s">
        <v>77</v>
      </c>
      <c r="D21" s="252">
        <v>316</v>
      </c>
      <c r="E21" s="247">
        <v>4</v>
      </c>
      <c r="F21" s="247">
        <v>175</v>
      </c>
      <c r="G21" s="252" t="s">
        <v>734</v>
      </c>
      <c r="H21" s="245">
        <v>11.6</v>
      </c>
      <c r="I21" s="259">
        <v>33720</v>
      </c>
      <c r="K21" s="265" t="s">
        <v>737</v>
      </c>
      <c r="N21" s="245">
        <v>13.2</v>
      </c>
      <c r="O21"/>
    </row>
    <row r="22" spans="3:15" x14ac:dyDescent="0.2">
      <c r="C22" s="252" t="s">
        <v>77</v>
      </c>
      <c r="D22" s="252" t="s">
        <v>78</v>
      </c>
      <c r="E22" s="247">
        <v>4</v>
      </c>
      <c r="F22" s="247">
        <v>184</v>
      </c>
      <c r="G22" s="252" t="s">
        <v>734</v>
      </c>
      <c r="H22" s="245">
        <v>11.2</v>
      </c>
      <c r="I22" s="259">
        <v>38160</v>
      </c>
      <c r="K22" s="252" t="s">
        <v>77</v>
      </c>
      <c r="O22"/>
    </row>
    <row r="23" spans="3:15" x14ac:dyDescent="0.2">
      <c r="C23" s="252" t="s">
        <v>77</v>
      </c>
      <c r="D23" s="252" t="s">
        <v>79</v>
      </c>
      <c r="E23" s="247">
        <v>6</v>
      </c>
      <c r="F23" s="247">
        <v>217</v>
      </c>
      <c r="G23" s="252" t="s">
        <v>734</v>
      </c>
      <c r="H23" s="245">
        <v>9.9</v>
      </c>
      <c r="I23" s="259">
        <v>58290</v>
      </c>
      <c r="K23" s="265" t="s">
        <v>736</v>
      </c>
      <c r="M23" s="245">
        <v>8.8000000000000007</v>
      </c>
      <c r="N23" s="245">
        <v>11.6</v>
      </c>
      <c r="O23"/>
    </row>
    <row r="24" spans="3:15" x14ac:dyDescent="0.2">
      <c r="C24" s="252" t="s">
        <v>77</v>
      </c>
      <c r="D24" s="252" t="s">
        <v>80</v>
      </c>
      <c r="E24" s="247">
        <v>4</v>
      </c>
      <c r="F24" s="247">
        <v>175</v>
      </c>
      <c r="G24" s="252" t="s">
        <v>734</v>
      </c>
      <c r="H24" s="245">
        <v>10.4</v>
      </c>
      <c r="I24" s="259">
        <v>43170</v>
      </c>
      <c r="K24" s="265" t="s">
        <v>737</v>
      </c>
      <c r="M24" s="245">
        <v>8.8000000000000007</v>
      </c>
      <c r="N24" s="245">
        <v>9.4</v>
      </c>
      <c r="O24"/>
    </row>
    <row r="25" spans="3:15" x14ac:dyDescent="0.2">
      <c r="C25" s="252" t="s">
        <v>77</v>
      </c>
      <c r="D25" s="252" t="s">
        <v>81</v>
      </c>
      <c r="E25" s="247">
        <v>6</v>
      </c>
      <c r="F25" s="247">
        <v>185</v>
      </c>
      <c r="G25" s="252" t="s">
        <v>734</v>
      </c>
      <c r="H25" s="245">
        <v>10.3</v>
      </c>
      <c r="I25" s="259">
        <v>50220</v>
      </c>
      <c r="K25" s="252" t="s">
        <v>84</v>
      </c>
      <c r="O25"/>
    </row>
    <row r="26" spans="3:15" x14ac:dyDescent="0.2">
      <c r="C26" s="252" t="s">
        <v>77</v>
      </c>
      <c r="D26" s="252" t="s">
        <v>82</v>
      </c>
      <c r="E26" s="247">
        <v>6</v>
      </c>
      <c r="F26" s="247">
        <v>185</v>
      </c>
      <c r="G26" s="252" t="s">
        <v>734</v>
      </c>
      <c r="H26" s="245">
        <v>9.4</v>
      </c>
      <c r="I26" s="259">
        <v>53730</v>
      </c>
      <c r="K26" s="265" t="s">
        <v>736</v>
      </c>
      <c r="L26" s="245">
        <v>12.1</v>
      </c>
      <c r="N26" s="245">
        <v>16.5</v>
      </c>
      <c r="O26"/>
    </row>
    <row r="27" spans="3:15" x14ac:dyDescent="0.2">
      <c r="C27" s="252" t="s">
        <v>77</v>
      </c>
      <c r="D27" s="252" t="s">
        <v>83</v>
      </c>
      <c r="E27" s="247">
        <v>6</v>
      </c>
      <c r="F27" s="247">
        <v>220</v>
      </c>
      <c r="G27" s="252" t="s">
        <v>733</v>
      </c>
      <c r="H27" s="245">
        <v>8.8000000000000007</v>
      </c>
      <c r="I27" s="259">
        <v>94170</v>
      </c>
      <c r="K27" s="265" t="s">
        <v>737</v>
      </c>
      <c r="L27" s="245">
        <v>12.1</v>
      </c>
      <c r="N27" s="245">
        <v>10.199999999999999</v>
      </c>
      <c r="O27"/>
    </row>
    <row r="28" spans="3:15" x14ac:dyDescent="0.2">
      <c r="C28" s="252" t="s">
        <v>84</v>
      </c>
      <c r="D28" s="252" t="s">
        <v>85</v>
      </c>
      <c r="E28" s="247">
        <v>2</v>
      </c>
      <c r="F28" s="247">
        <v>115</v>
      </c>
      <c r="G28" s="252" t="s">
        <v>734</v>
      </c>
      <c r="H28" s="245">
        <v>16.5</v>
      </c>
      <c r="I28" s="259">
        <v>11200</v>
      </c>
      <c r="K28" s="252" t="s">
        <v>92</v>
      </c>
      <c r="O28"/>
    </row>
    <row r="29" spans="3:15" x14ac:dyDescent="0.2">
      <c r="C29" s="252" t="s">
        <v>84</v>
      </c>
      <c r="D29" s="252" t="s">
        <v>86</v>
      </c>
      <c r="E29" s="247">
        <v>4</v>
      </c>
      <c r="F29" s="247">
        <v>124</v>
      </c>
      <c r="G29" s="252" t="s">
        <v>734</v>
      </c>
      <c r="H29" s="245">
        <v>15.1</v>
      </c>
      <c r="I29" s="259">
        <v>14250</v>
      </c>
      <c r="K29" s="265" t="s">
        <v>736</v>
      </c>
      <c r="L29" s="245">
        <v>17.8</v>
      </c>
      <c r="M29" s="245">
        <v>16.5</v>
      </c>
      <c r="O29"/>
    </row>
    <row r="30" spans="3:15" x14ac:dyDescent="0.2">
      <c r="C30" s="252" t="s">
        <v>84</v>
      </c>
      <c r="D30" s="252" t="s">
        <v>87</v>
      </c>
      <c r="E30" s="247">
        <v>4</v>
      </c>
      <c r="F30" s="247">
        <v>150</v>
      </c>
      <c r="G30" s="252" t="s">
        <v>734</v>
      </c>
      <c r="H30" s="245">
        <v>12.1</v>
      </c>
      <c r="I30" s="259">
        <v>12650</v>
      </c>
      <c r="K30" s="265" t="s">
        <v>737</v>
      </c>
      <c r="L30" s="245">
        <v>17.8</v>
      </c>
      <c r="M30" s="245">
        <v>14</v>
      </c>
      <c r="O30"/>
    </row>
    <row r="31" spans="3:15" x14ac:dyDescent="0.2">
      <c r="C31" s="252" t="s">
        <v>84</v>
      </c>
      <c r="D31" s="252" t="s">
        <v>88</v>
      </c>
      <c r="E31" s="247">
        <v>4</v>
      </c>
      <c r="F31" s="247">
        <v>155</v>
      </c>
      <c r="G31" s="252" t="s">
        <v>734</v>
      </c>
      <c r="H31" s="245">
        <v>14.2</v>
      </c>
      <c r="I31" s="259">
        <v>21500</v>
      </c>
      <c r="K31" s="252" t="s">
        <v>97</v>
      </c>
      <c r="O31"/>
    </row>
    <row r="32" spans="3:15" x14ac:dyDescent="0.2">
      <c r="C32" s="252" t="s">
        <v>84</v>
      </c>
      <c r="D32" s="252" t="s">
        <v>89</v>
      </c>
      <c r="E32" s="247">
        <v>4</v>
      </c>
      <c r="F32" s="247">
        <v>176</v>
      </c>
      <c r="G32" s="252" t="s">
        <v>734</v>
      </c>
      <c r="H32" s="245">
        <v>10.199999999999999</v>
      </c>
      <c r="I32" s="259">
        <v>37600</v>
      </c>
      <c r="K32" s="265" t="s">
        <v>736</v>
      </c>
      <c r="L32" s="245">
        <v>18.600000000000001</v>
      </c>
      <c r="N32" s="245">
        <v>16.3</v>
      </c>
      <c r="O32"/>
    </row>
    <row r="33" spans="3:15" x14ac:dyDescent="0.2">
      <c r="C33" s="252" t="s">
        <v>84</v>
      </c>
      <c r="D33" s="252" t="s">
        <v>90</v>
      </c>
      <c r="E33" s="247">
        <v>4</v>
      </c>
      <c r="F33" s="247">
        <v>186</v>
      </c>
      <c r="G33" s="252" t="s">
        <v>734</v>
      </c>
      <c r="H33" s="245">
        <v>10.4</v>
      </c>
      <c r="I33" s="259">
        <v>44700</v>
      </c>
      <c r="K33" s="265" t="s">
        <v>737</v>
      </c>
      <c r="L33" s="245">
        <v>13.6</v>
      </c>
      <c r="N33" s="245">
        <v>13.4</v>
      </c>
      <c r="O33"/>
    </row>
    <row r="34" spans="3:15" x14ac:dyDescent="0.2">
      <c r="C34" s="252" t="s">
        <v>84</v>
      </c>
      <c r="D34" s="252" t="s">
        <v>91</v>
      </c>
      <c r="E34" s="247">
        <v>4</v>
      </c>
      <c r="F34" s="247">
        <v>149</v>
      </c>
      <c r="G34" s="252" t="s">
        <v>735</v>
      </c>
      <c r="H34" s="245">
        <v>12.1</v>
      </c>
      <c r="I34" s="259">
        <v>45625</v>
      </c>
      <c r="K34" s="252" t="s">
        <v>107</v>
      </c>
      <c r="O34"/>
    </row>
    <row r="35" spans="3:15" x14ac:dyDescent="0.2">
      <c r="C35" s="252" t="s">
        <v>92</v>
      </c>
      <c r="D35" s="252" t="s">
        <v>93</v>
      </c>
      <c r="E35" s="247">
        <v>3</v>
      </c>
      <c r="F35" s="247">
        <v>135</v>
      </c>
      <c r="G35" s="252" t="s">
        <v>733</v>
      </c>
      <c r="H35" s="245">
        <v>16.5</v>
      </c>
      <c r="I35" s="259">
        <v>12999</v>
      </c>
      <c r="K35" s="265" t="s">
        <v>736</v>
      </c>
      <c r="L35" s="245">
        <v>18.3</v>
      </c>
      <c r="N35" s="245">
        <v>14.7</v>
      </c>
      <c r="O35"/>
    </row>
    <row r="36" spans="3:15" x14ac:dyDescent="0.2">
      <c r="C36" s="252" t="s">
        <v>92</v>
      </c>
      <c r="D36" s="252" t="s">
        <v>94</v>
      </c>
      <c r="E36" s="247">
        <v>3</v>
      </c>
      <c r="F36" s="247">
        <v>140</v>
      </c>
      <c r="G36" s="252" t="s">
        <v>733</v>
      </c>
      <c r="H36" s="245">
        <v>14.9</v>
      </c>
      <c r="I36" s="259">
        <v>14899</v>
      </c>
      <c r="K36" s="265" t="s">
        <v>737</v>
      </c>
      <c r="L36" s="245">
        <v>12.8</v>
      </c>
      <c r="N36" s="245">
        <v>10.6</v>
      </c>
      <c r="O36"/>
    </row>
    <row r="37" spans="3:15" x14ac:dyDescent="0.2">
      <c r="C37" s="252" t="s">
        <v>92</v>
      </c>
      <c r="D37" s="252" t="s">
        <v>95</v>
      </c>
      <c r="E37" s="247">
        <v>3</v>
      </c>
      <c r="F37" s="247">
        <v>125</v>
      </c>
      <c r="G37" s="252" t="s">
        <v>735</v>
      </c>
      <c r="H37" s="245">
        <v>17.8</v>
      </c>
      <c r="I37" s="259">
        <v>18649</v>
      </c>
      <c r="K37" s="252" t="s">
        <v>118</v>
      </c>
      <c r="O37"/>
    </row>
    <row r="38" spans="3:15" x14ac:dyDescent="0.2">
      <c r="C38" s="252" t="s">
        <v>92</v>
      </c>
      <c r="D38" s="252" t="s">
        <v>96</v>
      </c>
      <c r="E38" s="247">
        <v>4</v>
      </c>
      <c r="F38" s="247">
        <v>150</v>
      </c>
      <c r="G38" s="252" t="s">
        <v>733</v>
      </c>
      <c r="H38" s="245">
        <v>14</v>
      </c>
      <c r="I38" s="259">
        <v>19499</v>
      </c>
      <c r="K38" s="265" t="s">
        <v>736</v>
      </c>
      <c r="N38" s="245">
        <v>9.6999999999999993</v>
      </c>
      <c r="O38"/>
    </row>
    <row r="39" spans="3:15" x14ac:dyDescent="0.2">
      <c r="C39" s="252" t="s">
        <v>97</v>
      </c>
      <c r="D39" s="252" t="s">
        <v>98</v>
      </c>
      <c r="E39" s="247">
        <v>4</v>
      </c>
      <c r="F39" s="247">
        <v>125</v>
      </c>
      <c r="G39" s="252" t="s">
        <v>734</v>
      </c>
      <c r="H39" s="245">
        <v>16.100000000000001</v>
      </c>
      <c r="I39" s="259">
        <v>12690</v>
      </c>
      <c r="K39" s="265" t="s">
        <v>737</v>
      </c>
      <c r="N39" s="245">
        <v>9.6999999999999993</v>
      </c>
      <c r="O39"/>
    </row>
    <row r="40" spans="3:15" x14ac:dyDescent="0.2">
      <c r="C40" s="252" t="s">
        <v>97</v>
      </c>
      <c r="D40" s="252" t="s">
        <v>99</v>
      </c>
      <c r="E40" s="247">
        <v>4</v>
      </c>
      <c r="F40" s="247">
        <v>145</v>
      </c>
      <c r="G40" s="252" t="s">
        <v>734</v>
      </c>
      <c r="H40" s="245">
        <v>16.3</v>
      </c>
      <c r="I40" s="259">
        <v>15990</v>
      </c>
      <c r="K40" s="252" t="s">
        <v>120</v>
      </c>
      <c r="O40"/>
    </row>
    <row r="41" spans="3:15" x14ac:dyDescent="0.2">
      <c r="C41" s="252" t="s">
        <v>97</v>
      </c>
      <c r="D41" s="252" t="s">
        <v>100</v>
      </c>
      <c r="E41" s="247">
        <v>4</v>
      </c>
      <c r="F41" s="247">
        <v>155</v>
      </c>
      <c r="G41" s="252" t="s">
        <v>735</v>
      </c>
      <c r="H41" s="245">
        <v>18.600000000000001</v>
      </c>
      <c r="I41" s="259">
        <v>21690</v>
      </c>
      <c r="K41" s="265" t="s">
        <v>736</v>
      </c>
      <c r="M41" s="245">
        <v>14.4</v>
      </c>
      <c r="N41" s="245">
        <v>12.1</v>
      </c>
      <c r="O41"/>
    </row>
    <row r="42" spans="3:15" x14ac:dyDescent="0.2">
      <c r="C42" s="252" t="s">
        <v>97</v>
      </c>
      <c r="D42" s="252" t="s">
        <v>101</v>
      </c>
      <c r="E42" s="247">
        <v>4</v>
      </c>
      <c r="F42" s="247">
        <v>150</v>
      </c>
      <c r="G42" s="252" t="s">
        <v>734</v>
      </c>
      <c r="H42" s="245">
        <v>13.4</v>
      </c>
      <c r="I42" s="259">
        <v>17250</v>
      </c>
      <c r="K42" s="265" t="s">
        <v>737</v>
      </c>
      <c r="M42" s="245">
        <v>13.4</v>
      </c>
      <c r="N42" s="245">
        <v>12.1</v>
      </c>
      <c r="O42"/>
    </row>
    <row r="43" spans="3:15" x14ac:dyDescent="0.2">
      <c r="C43" s="252" t="s">
        <v>97</v>
      </c>
      <c r="D43" s="252" t="s">
        <v>102</v>
      </c>
      <c r="E43" s="247">
        <v>4</v>
      </c>
      <c r="F43" s="247">
        <v>150</v>
      </c>
      <c r="G43" s="252" t="s">
        <v>735</v>
      </c>
      <c r="H43" s="245">
        <v>15.2</v>
      </c>
      <c r="I43" s="259">
        <v>22350</v>
      </c>
      <c r="K43" s="252" t="s">
        <v>125</v>
      </c>
      <c r="O43"/>
    </row>
    <row r="44" spans="3:15" x14ac:dyDescent="0.2">
      <c r="C44" s="252" t="s">
        <v>97</v>
      </c>
      <c r="D44" s="252" t="s">
        <v>103</v>
      </c>
      <c r="E44" s="247">
        <v>4</v>
      </c>
      <c r="F44" s="247">
        <v>155</v>
      </c>
      <c r="G44" s="252" t="s">
        <v>734</v>
      </c>
      <c r="H44" s="245">
        <v>13.4</v>
      </c>
      <c r="I44" s="259">
        <v>22890</v>
      </c>
      <c r="K44" s="265" t="s">
        <v>736</v>
      </c>
      <c r="M44" s="245">
        <v>12.1</v>
      </c>
      <c r="O44"/>
    </row>
    <row r="45" spans="3:15" x14ac:dyDescent="0.2">
      <c r="C45" s="252" t="s">
        <v>97</v>
      </c>
      <c r="D45" s="252" t="s">
        <v>104</v>
      </c>
      <c r="E45" s="247">
        <v>4</v>
      </c>
      <c r="F45" s="247">
        <v>150</v>
      </c>
      <c r="G45" s="252" t="s">
        <v>735</v>
      </c>
      <c r="H45" s="245">
        <v>13.6</v>
      </c>
      <c r="I45" s="259">
        <v>27490</v>
      </c>
      <c r="K45" s="265" t="s">
        <v>737</v>
      </c>
      <c r="M45" s="245">
        <v>10.6</v>
      </c>
      <c r="O45"/>
    </row>
    <row r="46" spans="3:15" x14ac:dyDescent="0.2">
      <c r="C46" s="252" t="s">
        <v>97</v>
      </c>
      <c r="D46" s="252" t="s">
        <v>105</v>
      </c>
      <c r="E46" s="247">
        <v>4</v>
      </c>
      <c r="F46" s="247">
        <v>180</v>
      </c>
      <c r="G46" s="252" t="s">
        <v>734</v>
      </c>
      <c r="H46" s="245">
        <v>13.7</v>
      </c>
      <c r="I46" s="259">
        <v>35690</v>
      </c>
      <c r="K46" s="252" t="s">
        <v>128</v>
      </c>
      <c r="O46"/>
    </row>
    <row r="47" spans="3:15" x14ac:dyDescent="0.2">
      <c r="C47" s="252" t="s">
        <v>97</v>
      </c>
      <c r="D47" s="252" t="s">
        <v>106</v>
      </c>
      <c r="E47" s="247">
        <v>4</v>
      </c>
      <c r="F47" s="247">
        <v>185</v>
      </c>
      <c r="G47" s="252" t="s">
        <v>735</v>
      </c>
      <c r="H47" s="245">
        <v>14.1</v>
      </c>
      <c r="I47" s="259">
        <v>39990</v>
      </c>
      <c r="K47" s="265" t="s">
        <v>736</v>
      </c>
      <c r="N47" s="245">
        <v>8.4</v>
      </c>
      <c r="O47"/>
    </row>
    <row r="48" spans="3:15" x14ac:dyDescent="0.2">
      <c r="C48" s="252" t="s">
        <v>107</v>
      </c>
      <c r="D48" s="252" t="s">
        <v>108</v>
      </c>
      <c r="E48" s="247">
        <v>4</v>
      </c>
      <c r="F48" s="247">
        <v>136</v>
      </c>
      <c r="G48" s="252" t="s">
        <v>734</v>
      </c>
      <c r="H48" s="245">
        <v>13.6</v>
      </c>
      <c r="I48" s="259">
        <v>16988</v>
      </c>
      <c r="K48" s="265" t="s">
        <v>737</v>
      </c>
      <c r="N48" s="245">
        <v>8.4</v>
      </c>
      <c r="O48"/>
    </row>
    <row r="49" spans="3:15" x14ac:dyDescent="0.2">
      <c r="C49" s="252" t="s">
        <v>107</v>
      </c>
      <c r="D49" s="252" t="s">
        <v>109</v>
      </c>
      <c r="E49" s="247">
        <v>4</v>
      </c>
      <c r="F49" s="247">
        <v>148</v>
      </c>
      <c r="G49" s="252" t="s">
        <v>735</v>
      </c>
      <c r="H49" s="245">
        <v>15.9</v>
      </c>
      <c r="I49" s="259">
        <v>22564</v>
      </c>
      <c r="K49" s="252" t="s">
        <v>130</v>
      </c>
      <c r="O49"/>
    </row>
    <row r="50" spans="3:15" x14ac:dyDescent="0.2">
      <c r="C50" s="252" t="s">
        <v>107</v>
      </c>
      <c r="D50" s="252" t="s">
        <v>110</v>
      </c>
      <c r="E50" s="247">
        <v>4</v>
      </c>
      <c r="F50" s="247">
        <v>144</v>
      </c>
      <c r="G50" s="252" t="s">
        <v>734</v>
      </c>
      <c r="H50" s="245">
        <v>14.1</v>
      </c>
      <c r="I50" s="259">
        <v>20660</v>
      </c>
      <c r="K50" s="265" t="s">
        <v>736</v>
      </c>
      <c r="M50" s="245">
        <v>13.7</v>
      </c>
      <c r="N50" s="245">
        <v>11</v>
      </c>
      <c r="O50"/>
    </row>
    <row r="51" spans="3:15" x14ac:dyDescent="0.2">
      <c r="C51" s="252" t="s">
        <v>107</v>
      </c>
      <c r="D51" s="252" t="s">
        <v>111</v>
      </c>
      <c r="E51" s="247">
        <v>4</v>
      </c>
      <c r="F51" s="247">
        <v>150</v>
      </c>
      <c r="G51" s="252" t="s">
        <v>735</v>
      </c>
      <c r="H51" s="245">
        <v>16.899999999999999</v>
      </c>
      <c r="I51" s="259">
        <v>25781</v>
      </c>
      <c r="K51" s="265" t="s">
        <v>737</v>
      </c>
      <c r="M51" s="245">
        <v>10.9</v>
      </c>
      <c r="N51" s="245">
        <v>11</v>
      </c>
      <c r="O51"/>
    </row>
    <row r="52" spans="3:15" x14ac:dyDescent="0.2">
      <c r="C52" s="252" t="s">
        <v>107</v>
      </c>
      <c r="D52" s="252" t="s">
        <v>112</v>
      </c>
      <c r="E52" s="247">
        <v>4</v>
      </c>
      <c r="F52" s="247">
        <v>167</v>
      </c>
      <c r="G52" s="252" t="s">
        <v>734</v>
      </c>
      <c r="H52" s="245">
        <v>14.7</v>
      </c>
      <c r="I52" s="259">
        <v>24444</v>
      </c>
      <c r="K52" s="252" t="s">
        <v>133</v>
      </c>
      <c r="O52"/>
    </row>
    <row r="53" spans="3:15" x14ac:dyDescent="0.2">
      <c r="C53" s="252" t="s">
        <v>107</v>
      </c>
      <c r="D53" s="252" t="s">
        <v>113</v>
      </c>
      <c r="E53" s="247">
        <v>4</v>
      </c>
      <c r="F53" s="247">
        <v>165</v>
      </c>
      <c r="G53" s="252" t="s">
        <v>735</v>
      </c>
      <c r="H53" s="245">
        <v>18.3</v>
      </c>
      <c r="I53" s="259">
        <v>27968</v>
      </c>
      <c r="K53" s="265" t="s">
        <v>736</v>
      </c>
      <c r="L53" s="245">
        <v>16.399999999999999</v>
      </c>
      <c r="N53" s="245">
        <v>17.8</v>
      </c>
      <c r="O53"/>
    </row>
    <row r="54" spans="3:15" x14ac:dyDescent="0.2">
      <c r="C54" s="252" t="s">
        <v>107</v>
      </c>
      <c r="D54" s="252" t="s">
        <v>114</v>
      </c>
      <c r="E54" s="247">
        <v>4</v>
      </c>
      <c r="F54" s="247">
        <v>165</v>
      </c>
      <c r="G54" s="252" t="s">
        <v>734</v>
      </c>
      <c r="H54" s="245">
        <v>10.6</v>
      </c>
      <c r="I54" s="259">
        <v>25901</v>
      </c>
      <c r="K54" s="265" t="s">
        <v>737</v>
      </c>
      <c r="L54" s="245">
        <v>14</v>
      </c>
      <c r="N54" s="245">
        <v>10.7</v>
      </c>
      <c r="O54"/>
    </row>
    <row r="55" spans="3:15" x14ac:dyDescent="0.2">
      <c r="C55" s="252" t="s">
        <v>107</v>
      </c>
      <c r="D55" s="252" t="s">
        <v>115</v>
      </c>
      <c r="E55" s="247">
        <v>4</v>
      </c>
      <c r="F55" s="247">
        <v>155</v>
      </c>
      <c r="G55" s="252" t="s">
        <v>735</v>
      </c>
      <c r="H55" s="245">
        <v>12.9</v>
      </c>
      <c r="I55" s="259">
        <v>31519</v>
      </c>
      <c r="K55" s="252" t="s">
        <v>139</v>
      </c>
      <c r="O55"/>
    </row>
    <row r="56" spans="3:15" x14ac:dyDescent="0.2">
      <c r="C56" s="252" t="s">
        <v>107</v>
      </c>
      <c r="D56" s="252" t="s">
        <v>116</v>
      </c>
      <c r="E56" s="247">
        <v>4</v>
      </c>
      <c r="F56" s="247">
        <v>179</v>
      </c>
      <c r="G56" s="252" t="s">
        <v>734</v>
      </c>
      <c r="H56" s="245">
        <v>11.1</v>
      </c>
      <c r="I56" s="259">
        <v>37078</v>
      </c>
      <c r="K56" s="265" t="s">
        <v>736</v>
      </c>
      <c r="L56" s="245">
        <v>15.1</v>
      </c>
      <c r="M56" s="245">
        <v>14</v>
      </c>
      <c r="O56"/>
    </row>
    <row r="57" spans="3:15" x14ac:dyDescent="0.2">
      <c r="C57" s="252" t="s">
        <v>107</v>
      </c>
      <c r="D57" s="252" t="s">
        <v>117</v>
      </c>
      <c r="E57" s="247">
        <v>4</v>
      </c>
      <c r="F57" s="247">
        <v>158</v>
      </c>
      <c r="G57" s="252" t="s">
        <v>735</v>
      </c>
      <c r="H57" s="245">
        <v>12.8</v>
      </c>
      <c r="I57" s="259">
        <v>43928</v>
      </c>
      <c r="K57" s="265" t="s">
        <v>737</v>
      </c>
      <c r="L57" s="245">
        <v>15.1</v>
      </c>
      <c r="M57" s="245">
        <v>11.3</v>
      </c>
      <c r="O57"/>
    </row>
    <row r="58" spans="3:15" x14ac:dyDescent="0.2">
      <c r="C58" s="252" t="s">
        <v>118</v>
      </c>
      <c r="D58" s="252" t="s">
        <v>119</v>
      </c>
      <c r="E58" s="247">
        <v>4</v>
      </c>
      <c r="F58" s="247">
        <v>155</v>
      </c>
      <c r="G58" s="252" t="s">
        <v>734</v>
      </c>
      <c r="H58" s="245">
        <v>9.6999999999999993</v>
      </c>
      <c r="I58" s="259">
        <v>14195</v>
      </c>
      <c r="K58" s="252" t="s">
        <v>144</v>
      </c>
      <c r="O58"/>
    </row>
    <row r="59" spans="3:15" x14ac:dyDescent="0.2">
      <c r="C59" s="252" t="s">
        <v>120</v>
      </c>
      <c r="D59" s="252" t="s">
        <v>121</v>
      </c>
      <c r="E59" s="247">
        <v>4</v>
      </c>
      <c r="F59" s="247">
        <v>145</v>
      </c>
      <c r="G59" s="252" t="s">
        <v>733</v>
      </c>
      <c r="H59" s="245">
        <v>14.4</v>
      </c>
      <c r="I59" s="259">
        <v>18490</v>
      </c>
      <c r="K59" s="265" t="s">
        <v>736</v>
      </c>
      <c r="L59" s="245">
        <v>14.7</v>
      </c>
      <c r="N59" s="245">
        <v>11.5</v>
      </c>
      <c r="O59"/>
    </row>
    <row r="60" spans="3:15" x14ac:dyDescent="0.2">
      <c r="C60" s="252" t="s">
        <v>120</v>
      </c>
      <c r="D60" s="252" t="s">
        <v>122</v>
      </c>
      <c r="E60" s="247">
        <v>4</v>
      </c>
      <c r="F60" s="247">
        <v>168</v>
      </c>
      <c r="G60" s="252" t="s">
        <v>733</v>
      </c>
      <c r="H60" s="245">
        <v>13.4</v>
      </c>
      <c r="I60" s="259">
        <v>27290</v>
      </c>
      <c r="K60" s="265" t="s">
        <v>737</v>
      </c>
      <c r="L60" s="245">
        <v>12.6</v>
      </c>
      <c r="N60" s="245">
        <v>11.3</v>
      </c>
      <c r="O60"/>
    </row>
    <row r="61" spans="3:15" x14ac:dyDescent="0.2">
      <c r="C61" s="252" t="s">
        <v>120</v>
      </c>
      <c r="D61" s="252" t="s">
        <v>123</v>
      </c>
      <c r="E61" s="247">
        <v>4</v>
      </c>
      <c r="F61" s="247">
        <v>176</v>
      </c>
      <c r="G61" s="252" t="s">
        <v>733</v>
      </c>
      <c r="H61" s="245">
        <v>13.7</v>
      </c>
      <c r="I61" s="259">
        <v>29590</v>
      </c>
      <c r="K61" s="252" t="s">
        <v>150</v>
      </c>
      <c r="O61"/>
    </row>
    <row r="62" spans="3:15" x14ac:dyDescent="0.2">
      <c r="C62" s="252" t="s">
        <v>120</v>
      </c>
      <c r="D62" s="252" t="s">
        <v>124</v>
      </c>
      <c r="E62" s="247">
        <v>4</v>
      </c>
      <c r="F62" s="247">
        <v>185</v>
      </c>
      <c r="G62" s="252" t="s">
        <v>734</v>
      </c>
      <c r="H62" s="245">
        <v>12.1</v>
      </c>
      <c r="I62" s="259">
        <v>36790</v>
      </c>
      <c r="K62" s="265" t="s">
        <v>736</v>
      </c>
      <c r="L62" s="245">
        <v>15.3</v>
      </c>
      <c r="M62" s="245">
        <v>13.9</v>
      </c>
      <c r="O62"/>
    </row>
    <row r="63" spans="3:15" x14ac:dyDescent="0.2">
      <c r="C63" s="252" t="s">
        <v>125</v>
      </c>
      <c r="D63" s="252" t="s">
        <v>126</v>
      </c>
      <c r="E63" s="247">
        <v>4</v>
      </c>
      <c r="F63" s="247">
        <v>155</v>
      </c>
      <c r="G63" s="252" t="s">
        <v>733</v>
      </c>
      <c r="H63" s="245">
        <v>12.1</v>
      </c>
      <c r="I63" s="259">
        <v>16495</v>
      </c>
      <c r="K63" s="265" t="s">
        <v>737</v>
      </c>
      <c r="L63" s="245">
        <v>14</v>
      </c>
      <c r="M63" s="245">
        <v>10.1</v>
      </c>
      <c r="O63"/>
    </row>
    <row r="64" spans="3:15" x14ac:dyDescent="0.2">
      <c r="C64" s="252" t="s">
        <v>125</v>
      </c>
      <c r="D64" s="252" t="s">
        <v>127</v>
      </c>
      <c r="E64" s="247">
        <v>4</v>
      </c>
      <c r="F64" s="247">
        <v>160</v>
      </c>
      <c r="G64" s="252" t="s">
        <v>733</v>
      </c>
      <c r="H64" s="245">
        <v>10.6</v>
      </c>
      <c r="I64" s="259">
        <v>19995</v>
      </c>
      <c r="K64" s="252" t="s">
        <v>157</v>
      </c>
      <c r="O64"/>
    </row>
    <row r="65" spans="3:15" x14ac:dyDescent="0.2">
      <c r="C65" s="252" t="s">
        <v>128</v>
      </c>
      <c r="D65" s="252" t="s">
        <v>129</v>
      </c>
      <c r="E65" s="247">
        <v>6</v>
      </c>
      <c r="F65" s="247">
        <v>196</v>
      </c>
      <c r="G65" s="252" t="s">
        <v>734</v>
      </c>
      <c r="H65" s="245">
        <v>8.4</v>
      </c>
      <c r="I65" s="259">
        <v>90440</v>
      </c>
      <c r="K65" s="265" t="s">
        <v>736</v>
      </c>
      <c r="L65" s="245">
        <v>15.9</v>
      </c>
      <c r="M65" s="245">
        <v>13.1</v>
      </c>
      <c r="N65" s="245">
        <v>10.6</v>
      </c>
      <c r="O65"/>
    </row>
    <row r="66" spans="3:15" x14ac:dyDescent="0.2">
      <c r="C66" s="252" t="s">
        <v>130</v>
      </c>
      <c r="D66" s="252" t="s">
        <v>131</v>
      </c>
      <c r="E66" s="247">
        <v>4</v>
      </c>
      <c r="F66" s="247">
        <v>140</v>
      </c>
      <c r="G66" s="252" t="s">
        <v>733</v>
      </c>
      <c r="H66" s="245">
        <v>10.9</v>
      </c>
      <c r="I66" s="259">
        <v>10395</v>
      </c>
      <c r="K66" s="265" t="s">
        <v>737</v>
      </c>
      <c r="L66" s="245">
        <v>12.1</v>
      </c>
      <c r="M66" s="245">
        <v>12</v>
      </c>
      <c r="N66" s="245">
        <v>9.9</v>
      </c>
      <c r="O66"/>
    </row>
    <row r="67" spans="3:15" x14ac:dyDescent="0.2">
      <c r="C67" s="252" t="s">
        <v>130</v>
      </c>
      <c r="D67" s="252">
        <v>2107</v>
      </c>
      <c r="E67" s="247">
        <v>4</v>
      </c>
      <c r="F67" s="247">
        <v>155</v>
      </c>
      <c r="G67" s="252" t="s">
        <v>734</v>
      </c>
      <c r="H67" s="245">
        <v>11</v>
      </c>
      <c r="I67" s="259">
        <v>13995</v>
      </c>
      <c r="K67" s="252" t="s">
        <v>165</v>
      </c>
      <c r="O67"/>
    </row>
    <row r="68" spans="3:15" x14ac:dyDescent="0.2">
      <c r="C68" s="252" t="s">
        <v>130</v>
      </c>
      <c r="D68" s="252" t="s">
        <v>132</v>
      </c>
      <c r="E68" s="247">
        <v>4</v>
      </c>
      <c r="F68" s="247">
        <v>148</v>
      </c>
      <c r="G68" s="252" t="s">
        <v>733</v>
      </c>
      <c r="H68" s="245">
        <v>13.7</v>
      </c>
      <c r="I68" s="259">
        <v>15925</v>
      </c>
      <c r="K68" s="265" t="s">
        <v>736</v>
      </c>
      <c r="L68" s="245">
        <v>15.2</v>
      </c>
      <c r="M68" s="245">
        <v>13.9</v>
      </c>
      <c r="N68" s="245">
        <v>13.6</v>
      </c>
      <c r="O68"/>
    </row>
    <row r="69" spans="3:15" x14ac:dyDescent="0.2">
      <c r="C69" s="252" t="s">
        <v>133</v>
      </c>
      <c r="D69" s="252" t="s">
        <v>134</v>
      </c>
      <c r="E69" s="247">
        <v>3</v>
      </c>
      <c r="F69" s="247">
        <v>145</v>
      </c>
      <c r="G69" s="252" t="s">
        <v>734</v>
      </c>
      <c r="H69" s="245">
        <v>17.8</v>
      </c>
      <c r="I69" s="259">
        <v>16990</v>
      </c>
      <c r="K69" s="265" t="s">
        <v>737</v>
      </c>
      <c r="L69" s="245">
        <v>14.1</v>
      </c>
      <c r="M69" s="245">
        <v>13.9</v>
      </c>
      <c r="N69" s="245">
        <v>8.9</v>
      </c>
      <c r="O69"/>
    </row>
    <row r="70" spans="3:15" x14ac:dyDescent="0.2">
      <c r="C70" s="252" t="s">
        <v>133</v>
      </c>
      <c r="D70" s="252" t="s">
        <v>135</v>
      </c>
      <c r="E70" s="247">
        <v>4</v>
      </c>
      <c r="F70" s="247">
        <v>160</v>
      </c>
      <c r="G70" s="252" t="s">
        <v>734</v>
      </c>
      <c r="H70" s="245">
        <v>13</v>
      </c>
      <c r="I70" s="259">
        <v>26850</v>
      </c>
      <c r="K70" s="252" t="s">
        <v>174</v>
      </c>
      <c r="O70"/>
    </row>
    <row r="71" spans="3:15" x14ac:dyDescent="0.2">
      <c r="C71" s="252" t="s">
        <v>133</v>
      </c>
      <c r="D71" s="252" t="s">
        <v>136</v>
      </c>
      <c r="E71" s="247">
        <v>4</v>
      </c>
      <c r="F71" s="247">
        <v>170</v>
      </c>
      <c r="G71" s="252" t="s">
        <v>735</v>
      </c>
      <c r="H71" s="245">
        <v>16.399999999999999</v>
      </c>
      <c r="I71" s="259">
        <v>38870</v>
      </c>
      <c r="K71" s="265" t="s">
        <v>736</v>
      </c>
      <c r="L71" s="245">
        <v>18.2</v>
      </c>
      <c r="N71" s="245">
        <v>15</v>
      </c>
      <c r="O71"/>
    </row>
    <row r="72" spans="3:15" x14ac:dyDescent="0.2">
      <c r="C72" s="252" t="s">
        <v>133</v>
      </c>
      <c r="D72" s="252" t="s">
        <v>137</v>
      </c>
      <c r="E72" s="247">
        <v>4</v>
      </c>
      <c r="F72" s="247">
        <v>195</v>
      </c>
      <c r="G72" s="252" t="s">
        <v>734</v>
      </c>
      <c r="H72" s="245">
        <v>10.7</v>
      </c>
      <c r="I72" s="259">
        <v>47070</v>
      </c>
      <c r="K72" s="265" t="s">
        <v>737</v>
      </c>
      <c r="L72" s="245">
        <v>12.5</v>
      </c>
      <c r="N72" s="245">
        <v>10.199999999999999</v>
      </c>
      <c r="O72"/>
    </row>
    <row r="73" spans="3:15" x14ac:dyDescent="0.2">
      <c r="C73" s="252" t="s">
        <v>133</v>
      </c>
      <c r="D73" s="252" t="s">
        <v>138</v>
      </c>
      <c r="E73" s="247">
        <v>4</v>
      </c>
      <c r="F73" s="247">
        <v>185</v>
      </c>
      <c r="G73" s="252" t="s">
        <v>735</v>
      </c>
      <c r="H73" s="245">
        <v>14</v>
      </c>
      <c r="I73" s="259">
        <v>54960</v>
      </c>
      <c r="K73" s="252" t="s">
        <v>183</v>
      </c>
      <c r="O73"/>
    </row>
    <row r="74" spans="3:15" x14ac:dyDescent="0.2">
      <c r="C74" s="252" t="s">
        <v>139</v>
      </c>
      <c r="D74" s="252" t="s">
        <v>140</v>
      </c>
      <c r="E74" s="247">
        <v>4</v>
      </c>
      <c r="F74" s="247">
        <v>140</v>
      </c>
      <c r="G74" s="252" t="s">
        <v>733</v>
      </c>
      <c r="H74" s="245">
        <v>14</v>
      </c>
      <c r="I74" s="259">
        <v>17795</v>
      </c>
      <c r="K74" s="265" t="s">
        <v>736</v>
      </c>
      <c r="M74" s="245">
        <v>8.9</v>
      </c>
      <c r="O74"/>
    </row>
    <row r="75" spans="3:15" x14ac:dyDescent="0.2">
      <c r="C75" s="252" t="s">
        <v>139</v>
      </c>
      <c r="D75" s="252" t="s">
        <v>141</v>
      </c>
      <c r="E75" s="247">
        <v>4</v>
      </c>
      <c r="F75" s="247">
        <v>142</v>
      </c>
      <c r="G75" s="252" t="s">
        <v>735</v>
      </c>
      <c r="H75" s="245">
        <v>15.1</v>
      </c>
      <c r="I75" s="259">
        <v>24440</v>
      </c>
      <c r="K75" s="265" t="s">
        <v>737</v>
      </c>
      <c r="M75" s="245">
        <v>8.9</v>
      </c>
      <c r="O75"/>
    </row>
    <row r="76" spans="3:15" x14ac:dyDescent="0.2">
      <c r="C76" s="252" t="s">
        <v>139</v>
      </c>
      <c r="D76" s="252" t="s">
        <v>142</v>
      </c>
      <c r="E76" s="247">
        <v>4</v>
      </c>
      <c r="F76" s="247">
        <v>165</v>
      </c>
      <c r="G76" s="252" t="s">
        <v>733</v>
      </c>
      <c r="H76" s="245">
        <v>12.7</v>
      </c>
      <c r="I76" s="259">
        <v>23395</v>
      </c>
      <c r="K76" s="252" t="s">
        <v>185</v>
      </c>
      <c r="O76"/>
    </row>
    <row r="77" spans="3:15" x14ac:dyDescent="0.2">
      <c r="C77" s="252" t="s">
        <v>139</v>
      </c>
      <c r="D77" s="252" t="s">
        <v>143</v>
      </c>
      <c r="E77" s="247">
        <v>4</v>
      </c>
      <c r="F77" s="247">
        <v>170</v>
      </c>
      <c r="G77" s="252" t="s">
        <v>733</v>
      </c>
      <c r="H77" s="245">
        <v>11.3</v>
      </c>
      <c r="I77" s="259">
        <v>32485</v>
      </c>
      <c r="K77" s="265" t="s">
        <v>736</v>
      </c>
      <c r="L77" s="245">
        <v>16.899999999999999</v>
      </c>
      <c r="N77" s="245">
        <v>17.2</v>
      </c>
      <c r="O77"/>
    </row>
    <row r="78" spans="3:15" x14ac:dyDescent="0.2">
      <c r="C78" s="252" t="s">
        <v>144</v>
      </c>
      <c r="D78" s="252">
        <v>190</v>
      </c>
      <c r="E78" s="247">
        <v>4</v>
      </c>
      <c r="F78" s="247">
        <v>175</v>
      </c>
      <c r="G78" s="252" t="s">
        <v>734</v>
      </c>
      <c r="H78" s="245">
        <v>11.4</v>
      </c>
      <c r="I78" s="259">
        <v>50720</v>
      </c>
      <c r="K78" s="265" t="s">
        <v>737</v>
      </c>
      <c r="L78" s="245">
        <v>14</v>
      </c>
      <c r="N78" s="245">
        <v>12.7</v>
      </c>
      <c r="O78"/>
    </row>
    <row r="79" spans="3:15" x14ac:dyDescent="0.2">
      <c r="C79" s="252" t="s">
        <v>144</v>
      </c>
      <c r="D79" s="252" t="s">
        <v>145</v>
      </c>
      <c r="E79" s="247">
        <v>4</v>
      </c>
      <c r="F79" s="247">
        <v>160</v>
      </c>
      <c r="G79" s="252" t="s">
        <v>735</v>
      </c>
      <c r="H79" s="245">
        <v>14.3</v>
      </c>
      <c r="I79" s="259">
        <v>52490</v>
      </c>
      <c r="K79" s="252" t="s">
        <v>195</v>
      </c>
      <c r="O79"/>
    </row>
    <row r="80" spans="3:15" x14ac:dyDescent="0.2">
      <c r="C80" s="252" t="s">
        <v>144</v>
      </c>
      <c r="D80" s="252">
        <v>200</v>
      </c>
      <c r="E80" s="247">
        <v>4</v>
      </c>
      <c r="F80" s="247">
        <v>187</v>
      </c>
      <c r="G80" s="252" t="s">
        <v>734</v>
      </c>
      <c r="H80" s="245">
        <v>11.5</v>
      </c>
      <c r="I80" s="259">
        <v>57200</v>
      </c>
      <c r="K80" s="265" t="s">
        <v>736</v>
      </c>
      <c r="M80" s="245">
        <v>13.3</v>
      </c>
      <c r="N80" s="245">
        <v>11.4</v>
      </c>
      <c r="O80"/>
    </row>
    <row r="81" spans="3:15" x14ac:dyDescent="0.2">
      <c r="C81" s="252" t="s">
        <v>144</v>
      </c>
      <c r="D81" s="252" t="s">
        <v>146</v>
      </c>
      <c r="E81" s="247">
        <v>4</v>
      </c>
      <c r="F81" s="247">
        <v>160</v>
      </c>
      <c r="G81" s="252" t="s">
        <v>735</v>
      </c>
      <c r="H81" s="245">
        <v>14.2</v>
      </c>
      <c r="I81" s="259">
        <v>59010</v>
      </c>
      <c r="K81" s="265" t="s">
        <v>737</v>
      </c>
      <c r="M81" s="245">
        <v>13.3</v>
      </c>
      <c r="N81" s="245">
        <v>11.4</v>
      </c>
      <c r="O81"/>
    </row>
    <row r="82" spans="3:15" x14ac:dyDescent="0.2">
      <c r="C82" s="252" t="s">
        <v>144</v>
      </c>
      <c r="D82" s="252" t="s">
        <v>147</v>
      </c>
      <c r="E82" s="247">
        <v>5</v>
      </c>
      <c r="F82" s="247">
        <v>175</v>
      </c>
      <c r="G82" s="252" t="s">
        <v>735</v>
      </c>
      <c r="H82" s="245">
        <v>14.7</v>
      </c>
      <c r="I82" s="259">
        <v>65990</v>
      </c>
      <c r="K82" s="252" t="s">
        <v>198</v>
      </c>
      <c r="O82"/>
    </row>
    <row r="83" spans="3:15" x14ac:dyDescent="0.2">
      <c r="C83" s="252" t="s">
        <v>144</v>
      </c>
      <c r="D83" s="252" t="s">
        <v>148</v>
      </c>
      <c r="E83" s="247">
        <v>6</v>
      </c>
      <c r="F83" s="247">
        <v>190</v>
      </c>
      <c r="G83" s="252" t="s">
        <v>735</v>
      </c>
      <c r="H83" s="245">
        <v>12.6</v>
      </c>
      <c r="I83" s="259">
        <v>76110</v>
      </c>
      <c r="K83" s="265" t="s">
        <v>736</v>
      </c>
      <c r="M83" s="245">
        <v>10.6</v>
      </c>
      <c r="O83"/>
    </row>
    <row r="84" spans="3:15" x14ac:dyDescent="0.2">
      <c r="C84" s="252" t="s">
        <v>144</v>
      </c>
      <c r="D84" s="252" t="s">
        <v>149</v>
      </c>
      <c r="E84" s="247">
        <v>6</v>
      </c>
      <c r="F84" s="247">
        <v>230</v>
      </c>
      <c r="G84" s="252" t="s">
        <v>734</v>
      </c>
      <c r="H84" s="245">
        <v>11.3</v>
      </c>
      <c r="I84" s="259">
        <v>85435</v>
      </c>
      <c r="K84" s="265" t="s">
        <v>737</v>
      </c>
      <c r="M84" s="245">
        <v>9.6999999999999993</v>
      </c>
      <c r="O84"/>
    </row>
    <row r="85" spans="3:15" x14ac:dyDescent="0.2">
      <c r="C85" s="252" t="s">
        <v>150</v>
      </c>
      <c r="D85" s="252" t="s">
        <v>151</v>
      </c>
      <c r="E85" s="247">
        <v>4</v>
      </c>
      <c r="F85" s="247">
        <v>150</v>
      </c>
      <c r="G85" s="252" t="s">
        <v>733</v>
      </c>
      <c r="H85" s="245">
        <v>13.9</v>
      </c>
      <c r="I85" s="259">
        <v>17345</v>
      </c>
      <c r="K85" s="252" t="s">
        <v>200</v>
      </c>
      <c r="O85"/>
    </row>
    <row r="86" spans="3:15" x14ac:dyDescent="0.2">
      <c r="C86" s="252" t="s">
        <v>150</v>
      </c>
      <c r="D86" s="252" t="s">
        <v>152</v>
      </c>
      <c r="E86" s="247">
        <v>4</v>
      </c>
      <c r="F86" s="247">
        <v>145</v>
      </c>
      <c r="G86" s="252" t="s">
        <v>735</v>
      </c>
      <c r="H86" s="245">
        <v>15.3</v>
      </c>
      <c r="I86" s="259">
        <v>22595</v>
      </c>
      <c r="K86" s="265" t="s">
        <v>736</v>
      </c>
      <c r="L86" s="245">
        <v>15.2</v>
      </c>
      <c r="M86" s="245">
        <v>15.8</v>
      </c>
      <c r="O86"/>
    </row>
    <row r="87" spans="3:15" x14ac:dyDescent="0.2">
      <c r="C87" s="252" t="s">
        <v>150</v>
      </c>
      <c r="D87" s="252" t="s">
        <v>153</v>
      </c>
      <c r="E87" s="247">
        <v>4</v>
      </c>
      <c r="F87" s="247">
        <v>150</v>
      </c>
      <c r="G87" s="252" t="s">
        <v>733</v>
      </c>
      <c r="H87" s="245">
        <v>10.1</v>
      </c>
      <c r="I87" s="259">
        <v>19545</v>
      </c>
      <c r="K87" s="265" t="s">
        <v>737</v>
      </c>
      <c r="L87" s="245">
        <v>14</v>
      </c>
      <c r="M87" s="245">
        <v>12.8</v>
      </c>
      <c r="O87"/>
    </row>
    <row r="88" spans="3:15" x14ac:dyDescent="0.2">
      <c r="C88" s="252" t="s">
        <v>150</v>
      </c>
      <c r="D88" s="252" t="s">
        <v>154</v>
      </c>
      <c r="E88" s="247">
        <v>4</v>
      </c>
      <c r="F88" s="247">
        <v>145</v>
      </c>
      <c r="G88" s="252" t="s">
        <v>735</v>
      </c>
      <c r="H88" s="245">
        <v>15</v>
      </c>
      <c r="I88" s="259">
        <v>24795</v>
      </c>
      <c r="K88" s="252" t="s">
        <v>208</v>
      </c>
      <c r="O88"/>
    </row>
    <row r="89" spans="3:15" x14ac:dyDescent="0.2">
      <c r="C89" s="252" t="s">
        <v>150</v>
      </c>
      <c r="D89" s="252" t="s">
        <v>155</v>
      </c>
      <c r="E89" s="247">
        <v>4</v>
      </c>
      <c r="F89" s="247">
        <v>160</v>
      </c>
      <c r="G89" s="252" t="s">
        <v>733</v>
      </c>
      <c r="H89" s="245">
        <v>12.4</v>
      </c>
      <c r="I89" s="259">
        <v>23995</v>
      </c>
      <c r="K89" s="265" t="s">
        <v>736</v>
      </c>
      <c r="M89" s="245">
        <v>12.1</v>
      </c>
      <c r="O89"/>
    </row>
    <row r="90" spans="3:15" x14ac:dyDescent="0.2">
      <c r="C90" s="252" t="s">
        <v>150</v>
      </c>
      <c r="D90" s="252" t="s">
        <v>156</v>
      </c>
      <c r="E90" s="247">
        <v>4</v>
      </c>
      <c r="F90" s="247">
        <v>166</v>
      </c>
      <c r="G90" s="252" t="s">
        <v>735</v>
      </c>
      <c r="H90" s="245">
        <v>14</v>
      </c>
      <c r="I90" s="259">
        <v>33095</v>
      </c>
      <c r="K90" s="265" t="s">
        <v>737</v>
      </c>
      <c r="M90" s="245">
        <v>12.1</v>
      </c>
      <c r="O90"/>
    </row>
    <row r="91" spans="3:15" x14ac:dyDescent="0.2">
      <c r="C91" s="252" t="s">
        <v>157</v>
      </c>
      <c r="D91" s="252" t="s">
        <v>158</v>
      </c>
      <c r="E91" s="247">
        <v>4</v>
      </c>
      <c r="F91" s="247">
        <v>155</v>
      </c>
      <c r="G91" s="252" t="s">
        <v>733</v>
      </c>
      <c r="H91" s="245">
        <v>13.1</v>
      </c>
      <c r="I91" s="259">
        <v>18670</v>
      </c>
      <c r="K91" s="252" t="s">
        <v>209</v>
      </c>
      <c r="O91"/>
    </row>
    <row r="92" spans="3:15" x14ac:dyDescent="0.2">
      <c r="C92" s="252" t="s">
        <v>157</v>
      </c>
      <c r="D92" s="252" t="s">
        <v>159</v>
      </c>
      <c r="E92" s="247">
        <v>4</v>
      </c>
      <c r="F92" s="247">
        <v>145</v>
      </c>
      <c r="G92" s="252" t="s">
        <v>735</v>
      </c>
      <c r="H92" s="245">
        <v>15.9</v>
      </c>
      <c r="I92" s="259">
        <v>23915</v>
      </c>
      <c r="K92" s="265" t="s">
        <v>736</v>
      </c>
      <c r="M92" s="245">
        <v>17.100000000000001</v>
      </c>
      <c r="N92" s="245">
        <v>9.4</v>
      </c>
      <c r="O92"/>
    </row>
    <row r="93" spans="3:15" x14ac:dyDescent="0.2">
      <c r="C93" s="252" t="s">
        <v>157</v>
      </c>
      <c r="D93" s="252" t="s">
        <v>160</v>
      </c>
      <c r="E93" s="247">
        <v>4</v>
      </c>
      <c r="F93" s="247">
        <v>160</v>
      </c>
      <c r="G93" s="252" t="s">
        <v>733</v>
      </c>
      <c r="H93" s="245">
        <v>12</v>
      </c>
      <c r="I93" s="259">
        <v>25170</v>
      </c>
      <c r="K93" s="265" t="s">
        <v>737</v>
      </c>
      <c r="M93" s="245">
        <v>13.1</v>
      </c>
      <c r="N93" s="245">
        <v>9.4</v>
      </c>
      <c r="O93"/>
    </row>
    <row r="94" spans="3:15" x14ac:dyDescent="0.2">
      <c r="C94" s="252" t="s">
        <v>157</v>
      </c>
      <c r="D94" s="252" t="s">
        <v>161</v>
      </c>
      <c r="E94" s="247">
        <v>4</v>
      </c>
      <c r="F94" s="247">
        <v>145</v>
      </c>
      <c r="G94" s="252" t="s">
        <v>735</v>
      </c>
      <c r="H94" s="245">
        <v>13.7</v>
      </c>
      <c r="I94" s="259">
        <v>31855</v>
      </c>
      <c r="K94" s="252" t="s">
        <v>214</v>
      </c>
      <c r="O94"/>
    </row>
    <row r="95" spans="3:15" x14ac:dyDescent="0.2">
      <c r="C95" s="252" t="s">
        <v>157</v>
      </c>
      <c r="D95" s="252" t="s">
        <v>162</v>
      </c>
      <c r="E95" s="247">
        <v>6</v>
      </c>
      <c r="F95" s="247">
        <v>195</v>
      </c>
      <c r="G95" s="252" t="s">
        <v>734</v>
      </c>
      <c r="H95" s="245">
        <v>9.9</v>
      </c>
      <c r="I95" s="259">
        <v>37605</v>
      </c>
      <c r="K95" s="265" t="s">
        <v>736</v>
      </c>
      <c r="M95" s="245">
        <v>15.2</v>
      </c>
      <c r="O95"/>
    </row>
    <row r="96" spans="3:15" x14ac:dyDescent="0.2">
      <c r="C96" s="252" t="s">
        <v>157</v>
      </c>
      <c r="D96" s="252" t="s">
        <v>163</v>
      </c>
      <c r="E96" s="247">
        <v>6</v>
      </c>
      <c r="F96" s="247">
        <v>165</v>
      </c>
      <c r="G96" s="252" t="s">
        <v>735</v>
      </c>
      <c r="H96" s="245">
        <v>12.1</v>
      </c>
      <c r="I96" s="259">
        <v>39765</v>
      </c>
      <c r="K96" s="265" t="s">
        <v>737</v>
      </c>
      <c r="M96" s="245">
        <v>14.9</v>
      </c>
      <c r="O96"/>
    </row>
    <row r="97" spans="3:15" x14ac:dyDescent="0.2">
      <c r="C97" s="252" t="s">
        <v>157</v>
      </c>
      <c r="D97" s="252" t="s">
        <v>164</v>
      </c>
      <c r="E97" s="247">
        <v>4</v>
      </c>
      <c r="F97" s="247">
        <v>205</v>
      </c>
      <c r="G97" s="252" t="s">
        <v>734</v>
      </c>
      <c r="H97" s="245">
        <v>10.6</v>
      </c>
      <c r="I97" s="259">
        <v>47525</v>
      </c>
      <c r="K97" s="252" t="s">
        <v>217</v>
      </c>
      <c r="O97"/>
    </row>
    <row r="98" spans="3:15" x14ac:dyDescent="0.2">
      <c r="C98" s="252" t="s">
        <v>165</v>
      </c>
      <c r="D98" s="252" t="s">
        <v>166</v>
      </c>
      <c r="E98" s="247">
        <v>4</v>
      </c>
      <c r="F98" s="247">
        <v>140</v>
      </c>
      <c r="G98" s="252" t="s">
        <v>733</v>
      </c>
      <c r="H98" s="245">
        <v>13.9</v>
      </c>
      <c r="I98" s="259">
        <v>17237</v>
      </c>
      <c r="K98" s="265" t="s">
        <v>736</v>
      </c>
      <c r="L98" s="245">
        <v>15.1</v>
      </c>
      <c r="M98" s="245">
        <v>13</v>
      </c>
      <c r="N98" s="245">
        <v>12.4</v>
      </c>
      <c r="O98"/>
    </row>
    <row r="99" spans="3:15" x14ac:dyDescent="0.2">
      <c r="C99" s="252" t="s">
        <v>165</v>
      </c>
      <c r="D99" s="252" t="s">
        <v>167</v>
      </c>
      <c r="E99" s="247">
        <v>4</v>
      </c>
      <c r="F99" s="247">
        <v>155</v>
      </c>
      <c r="G99" s="252" t="s">
        <v>734</v>
      </c>
      <c r="H99" s="245">
        <v>13.6</v>
      </c>
      <c r="I99" s="259">
        <v>20632</v>
      </c>
      <c r="K99" s="265" t="s">
        <v>737</v>
      </c>
      <c r="L99" s="245">
        <v>15</v>
      </c>
      <c r="M99" s="245">
        <v>12.9</v>
      </c>
      <c r="N99" s="245">
        <v>10.3</v>
      </c>
      <c r="O99"/>
    </row>
    <row r="100" spans="3:15" x14ac:dyDescent="0.2">
      <c r="C100" s="252" t="s">
        <v>165</v>
      </c>
      <c r="D100" s="252" t="s">
        <v>168</v>
      </c>
      <c r="E100" s="247">
        <v>4</v>
      </c>
      <c r="F100" s="247">
        <v>152</v>
      </c>
      <c r="G100" s="252" t="s">
        <v>735</v>
      </c>
      <c r="H100" s="245">
        <v>15.2</v>
      </c>
      <c r="I100" s="259">
        <v>25573</v>
      </c>
      <c r="K100" s="252" t="s">
        <v>227</v>
      </c>
      <c r="O100"/>
    </row>
    <row r="101" spans="3:15" x14ac:dyDescent="0.2">
      <c r="C101" s="252" t="s">
        <v>165</v>
      </c>
      <c r="D101" s="252" t="s">
        <v>169</v>
      </c>
      <c r="E101" s="247">
        <v>4</v>
      </c>
      <c r="F101" s="247">
        <v>160</v>
      </c>
      <c r="G101" s="252" t="s">
        <v>734</v>
      </c>
      <c r="H101" s="245">
        <v>12.3</v>
      </c>
      <c r="I101" s="259">
        <v>24899</v>
      </c>
      <c r="K101" s="265" t="s">
        <v>736</v>
      </c>
      <c r="L101" s="245">
        <v>16.3</v>
      </c>
      <c r="M101" s="245">
        <v>13.6</v>
      </c>
      <c r="O101"/>
    </row>
    <row r="102" spans="3:15" x14ac:dyDescent="0.2">
      <c r="C102" s="252" t="s">
        <v>165</v>
      </c>
      <c r="D102" s="252" t="s">
        <v>170</v>
      </c>
      <c r="E102" s="247">
        <v>4</v>
      </c>
      <c r="F102" s="247">
        <v>141</v>
      </c>
      <c r="G102" s="252" t="s">
        <v>735</v>
      </c>
      <c r="H102" s="245">
        <v>15.2</v>
      </c>
      <c r="I102" s="259">
        <v>30710</v>
      </c>
      <c r="K102" s="265" t="s">
        <v>737</v>
      </c>
      <c r="L102" s="245">
        <v>15.3</v>
      </c>
      <c r="M102" s="245">
        <v>11.7</v>
      </c>
      <c r="O102"/>
    </row>
    <row r="103" spans="3:15" x14ac:dyDescent="0.2">
      <c r="C103" s="252" t="s">
        <v>165</v>
      </c>
      <c r="D103" s="252" t="s">
        <v>171</v>
      </c>
      <c r="E103" s="247">
        <v>4</v>
      </c>
      <c r="F103" s="247">
        <v>183</v>
      </c>
      <c r="G103" s="252" t="s">
        <v>734</v>
      </c>
      <c r="H103" s="245">
        <v>12.8</v>
      </c>
      <c r="I103" s="259">
        <v>33540</v>
      </c>
      <c r="K103" s="252" t="s">
        <v>237</v>
      </c>
      <c r="O103"/>
    </row>
    <row r="104" spans="3:15" x14ac:dyDescent="0.2">
      <c r="C104" s="252" t="s">
        <v>165</v>
      </c>
      <c r="D104" s="252" t="s">
        <v>172</v>
      </c>
      <c r="E104" s="247">
        <v>4</v>
      </c>
      <c r="F104" s="247">
        <v>163</v>
      </c>
      <c r="G104" s="252" t="s">
        <v>735</v>
      </c>
      <c r="H104" s="245">
        <v>14.1</v>
      </c>
      <c r="I104" s="259">
        <v>39670</v>
      </c>
      <c r="K104" s="265" t="s">
        <v>736</v>
      </c>
      <c r="L104" s="245">
        <v>14.7</v>
      </c>
      <c r="M104" s="245">
        <v>11</v>
      </c>
      <c r="N104" s="245">
        <v>12.5</v>
      </c>
      <c r="O104"/>
    </row>
    <row r="105" spans="3:15" x14ac:dyDescent="0.2">
      <c r="C105" s="252" t="s">
        <v>165</v>
      </c>
      <c r="D105" s="252" t="s">
        <v>173</v>
      </c>
      <c r="E105" s="247">
        <v>4</v>
      </c>
      <c r="F105" s="247">
        <v>205</v>
      </c>
      <c r="G105" s="252" t="s">
        <v>734</v>
      </c>
      <c r="H105" s="245">
        <v>8.9</v>
      </c>
      <c r="I105" s="259">
        <v>46208</v>
      </c>
      <c r="K105" s="265" t="s">
        <v>737</v>
      </c>
      <c r="L105" s="245">
        <v>10.4</v>
      </c>
      <c r="M105" s="245">
        <v>11</v>
      </c>
      <c r="N105" s="245">
        <v>9</v>
      </c>
      <c r="O105"/>
    </row>
    <row r="106" spans="3:15" x14ac:dyDescent="0.2">
      <c r="C106" s="252" t="s">
        <v>174</v>
      </c>
      <c r="D106" s="252" t="s">
        <v>175</v>
      </c>
      <c r="E106" s="247">
        <v>4</v>
      </c>
      <c r="F106" s="247">
        <v>134</v>
      </c>
      <c r="G106" s="252" t="s">
        <v>734</v>
      </c>
      <c r="H106" s="245">
        <v>14.6</v>
      </c>
      <c r="I106" s="259">
        <v>16360</v>
      </c>
    </row>
    <row r="107" spans="3:15" x14ac:dyDescent="0.2">
      <c r="C107" s="252" t="s">
        <v>174</v>
      </c>
      <c r="D107" s="252" t="s">
        <v>176</v>
      </c>
      <c r="E107" s="247">
        <v>4</v>
      </c>
      <c r="F107" s="247">
        <v>155</v>
      </c>
      <c r="G107" s="252" t="s">
        <v>735</v>
      </c>
      <c r="H107" s="245">
        <v>18.2</v>
      </c>
      <c r="I107" s="259">
        <v>23435</v>
      </c>
    </row>
    <row r="108" spans="3:15" x14ac:dyDescent="0.2">
      <c r="C108" s="252" t="s">
        <v>174</v>
      </c>
      <c r="D108" s="252" t="s">
        <v>177</v>
      </c>
      <c r="E108" s="247">
        <v>4</v>
      </c>
      <c r="F108" s="247">
        <v>152</v>
      </c>
      <c r="G108" s="252" t="s">
        <v>734</v>
      </c>
      <c r="H108" s="245">
        <v>13.1</v>
      </c>
      <c r="I108" s="259">
        <v>23630</v>
      </c>
    </row>
    <row r="109" spans="3:15" x14ac:dyDescent="0.2">
      <c r="C109" s="252" t="s">
        <v>174</v>
      </c>
      <c r="D109" s="252" t="s">
        <v>178</v>
      </c>
      <c r="E109" s="247">
        <v>4</v>
      </c>
      <c r="F109" s="247">
        <v>152</v>
      </c>
      <c r="G109" s="252" t="s">
        <v>735</v>
      </c>
      <c r="H109" s="245">
        <v>16.7</v>
      </c>
      <c r="I109" s="259">
        <v>29980</v>
      </c>
    </row>
    <row r="110" spans="3:15" x14ac:dyDescent="0.2">
      <c r="C110" s="252" t="s">
        <v>174</v>
      </c>
      <c r="D110" s="252" t="s">
        <v>179</v>
      </c>
      <c r="E110" s="247">
        <v>4</v>
      </c>
      <c r="F110" s="247">
        <v>150</v>
      </c>
      <c r="G110" s="252" t="s">
        <v>734</v>
      </c>
      <c r="H110" s="245">
        <v>15</v>
      </c>
      <c r="I110" s="259">
        <v>20455</v>
      </c>
    </row>
    <row r="111" spans="3:15" x14ac:dyDescent="0.2">
      <c r="C111" s="252" t="s">
        <v>174</v>
      </c>
      <c r="D111" s="252" t="s">
        <v>180</v>
      </c>
      <c r="E111" s="247">
        <v>4</v>
      </c>
      <c r="F111" s="247">
        <v>160</v>
      </c>
      <c r="G111" s="252" t="s">
        <v>735</v>
      </c>
      <c r="H111" s="245">
        <v>16.899999999999999</v>
      </c>
      <c r="I111" s="259">
        <v>26745</v>
      </c>
    </row>
    <row r="112" spans="3:15" x14ac:dyDescent="0.2">
      <c r="C112" s="252" t="s">
        <v>174</v>
      </c>
      <c r="D112" s="252" t="s">
        <v>181</v>
      </c>
      <c r="E112" s="247">
        <v>4</v>
      </c>
      <c r="F112" s="247">
        <v>165</v>
      </c>
      <c r="G112" s="252" t="s">
        <v>734</v>
      </c>
      <c r="H112" s="245">
        <v>10.199999999999999</v>
      </c>
      <c r="I112" s="259">
        <v>30595</v>
      </c>
    </row>
    <row r="113" spans="3:9" x14ac:dyDescent="0.2">
      <c r="C113" s="252" t="s">
        <v>174</v>
      </c>
      <c r="D113" s="252" t="s">
        <v>182</v>
      </c>
      <c r="E113" s="247">
        <v>4</v>
      </c>
      <c r="F113" s="247">
        <v>160</v>
      </c>
      <c r="G113" s="252" t="s">
        <v>735</v>
      </c>
      <c r="H113" s="245">
        <v>12.5</v>
      </c>
      <c r="I113" s="259">
        <v>37980</v>
      </c>
    </row>
    <row r="114" spans="3:9" x14ac:dyDescent="0.2">
      <c r="C114" s="252" t="s">
        <v>183</v>
      </c>
      <c r="D114" s="252" t="s">
        <v>184</v>
      </c>
      <c r="E114" s="247">
        <v>4</v>
      </c>
      <c r="F114" s="247">
        <v>215</v>
      </c>
      <c r="G114" s="252" t="s">
        <v>733</v>
      </c>
      <c r="H114" s="245">
        <v>8.9</v>
      </c>
      <c r="I114" s="259">
        <v>77300</v>
      </c>
    </row>
    <row r="115" spans="3:9" x14ac:dyDescent="0.2">
      <c r="C115" s="252" t="s">
        <v>185</v>
      </c>
      <c r="D115" s="252" t="s">
        <v>186</v>
      </c>
      <c r="E115" s="247">
        <v>4</v>
      </c>
      <c r="F115" s="247">
        <v>143</v>
      </c>
      <c r="G115" s="252" t="s">
        <v>734</v>
      </c>
      <c r="H115" s="245">
        <v>17.2</v>
      </c>
      <c r="I115" s="259">
        <v>16575</v>
      </c>
    </row>
    <row r="116" spans="3:9" x14ac:dyDescent="0.2">
      <c r="C116" s="252" t="s">
        <v>185</v>
      </c>
      <c r="D116" s="252" t="s">
        <v>187</v>
      </c>
      <c r="E116" s="247">
        <v>4</v>
      </c>
      <c r="F116" s="247">
        <v>146</v>
      </c>
      <c r="G116" s="252" t="s">
        <v>734</v>
      </c>
      <c r="H116" s="245">
        <v>14.3</v>
      </c>
      <c r="I116" s="259">
        <v>19720</v>
      </c>
    </row>
    <row r="117" spans="3:9" x14ac:dyDescent="0.2">
      <c r="C117" s="252" t="s">
        <v>185</v>
      </c>
      <c r="D117" s="252" t="s">
        <v>188</v>
      </c>
      <c r="E117" s="247">
        <v>4</v>
      </c>
      <c r="F117" s="247">
        <v>146</v>
      </c>
      <c r="G117" s="252" t="s">
        <v>735</v>
      </c>
      <c r="H117" s="245">
        <v>15.9</v>
      </c>
      <c r="I117" s="259">
        <v>24450</v>
      </c>
    </row>
    <row r="118" spans="3:9" x14ac:dyDescent="0.2">
      <c r="C118" s="252" t="s">
        <v>185</v>
      </c>
      <c r="D118" s="252" t="s">
        <v>189</v>
      </c>
      <c r="E118" s="247">
        <v>4</v>
      </c>
      <c r="F118" s="247">
        <v>146</v>
      </c>
      <c r="G118" s="252" t="s">
        <v>734</v>
      </c>
      <c r="H118" s="245">
        <v>14.3</v>
      </c>
      <c r="I118" s="259">
        <v>20360</v>
      </c>
    </row>
    <row r="119" spans="3:9" x14ac:dyDescent="0.2">
      <c r="C119" s="252" t="s">
        <v>185</v>
      </c>
      <c r="D119" s="252" t="s">
        <v>190</v>
      </c>
      <c r="E119" s="247">
        <v>4</v>
      </c>
      <c r="F119" s="247">
        <v>148</v>
      </c>
      <c r="G119" s="252" t="s">
        <v>735</v>
      </c>
      <c r="H119" s="245">
        <v>16.899999999999999</v>
      </c>
      <c r="I119" s="259">
        <v>25175</v>
      </c>
    </row>
    <row r="120" spans="3:9" x14ac:dyDescent="0.2">
      <c r="C120" s="252" t="s">
        <v>185</v>
      </c>
      <c r="D120" s="252" t="s">
        <v>191</v>
      </c>
      <c r="E120" s="247">
        <v>4</v>
      </c>
      <c r="F120" s="247">
        <v>173</v>
      </c>
      <c r="G120" s="252" t="s">
        <v>734</v>
      </c>
      <c r="H120" s="245">
        <v>14.9</v>
      </c>
      <c r="I120" s="259">
        <v>27495</v>
      </c>
    </row>
    <row r="121" spans="3:9" x14ac:dyDescent="0.2">
      <c r="C121" s="252" t="s">
        <v>185</v>
      </c>
      <c r="D121" s="252" t="s">
        <v>192</v>
      </c>
      <c r="E121" s="247">
        <v>4</v>
      </c>
      <c r="F121" s="247">
        <v>164</v>
      </c>
      <c r="G121" s="252" t="s">
        <v>735</v>
      </c>
      <c r="H121" s="245">
        <v>16</v>
      </c>
      <c r="I121" s="259">
        <v>33595</v>
      </c>
    </row>
    <row r="122" spans="3:9" x14ac:dyDescent="0.2">
      <c r="C122" s="252" t="s">
        <v>185</v>
      </c>
      <c r="D122" s="252" t="s">
        <v>193</v>
      </c>
      <c r="E122" s="247">
        <v>4</v>
      </c>
      <c r="F122" s="247">
        <v>182</v>
      </c>
      <c r="G122" s="252" t="s">
        <v>734</v>
      </c>
      <c r="H122" s="245">
        <v>12.7</v>
      </c>
      <c r="I122" s="259">
        <v>37465</v>
      </c>
    </row>
    <row r="123" spans="3:9" x14ac:dyDescent="0.2">
      <c r="C123" s="252" t="s">
        <v>185</v>
      </c>
      <c r="D123" s="252" t="s">
        <v>194</v>
      </c>
      <c r="E123" s="247">
        <v>4</v>
      </c>
      <c r="F123" s="247">
        <v>155</v>
      </c>
      <c r="G123" s="252" t="s">
        <v>735</v>
      </c>
      <c r="H123" s="245">
        <v>14</v>
      </c>
      <c r="I123" s="259">
        <v>40745</v>
      </c>
    </row>
    <row r="124" spans="3:9" x14ac:dyDescent="0.2">
      <c r="C124" s="252" t="s">
        <v>195</v>
      </c>
      <c r="D124" s="252" t="s">
        <v>196</v>
      </c>
      <c r="E124" s="247">
        <v>4</v>
      </c>
      <c r="F124" s="247">
        <v>155</v>
      </c>
      <c r="G124" s="252" t="s">
        <v>733</v>
      </c>
      <c r="H124" s="245">
        <v>13.3</v>
      </c>
      <c r="I124" s="259">
        <v>24995</v>
      </c>
    </row>
    <row r="125" spans="3:9" x14ac:dyDescent="0.2">
      <c r="C125" s="252" t="s">
        <v>195</v>
      </c>
      <c r="D125" s="252" t="s">
        <v>197</v>
      </c>
      <c r="E125" s="247">
        <v>4</v>
      </c>
      <c r="F125" s="247">
        <v>203</v>
      </c>
      <c r="G125" s="252" t="s">
        <v>734</v>
      </c>
      <c r="H125" s="245">
        <v>11.4</v>
      </c>
      <c r="I125" s="259">
        <v>44900</v>
      </c>
    </row>
    <row r="126" spans="3:9" x14ac:dyDescent="0.2">
      <c r="C126" s="252" t="s">
        <v>198</v>
      </c>
      <c r="D126" s="252">
        <v>90</v>
      </c>
      <c r="E126" s="247">
        <v>4</v>
      </c>
      <c r="F126" s="247">
        <v>165</v>
      </c>
      <c r="G126" s="252" t="s">
        <v>733</v>
      </c>
      <c r="H126" s="245">
        <v>10.6</v>
      </c>
      <c r="I126" s="259">
        <v>37050</v>
      </c>
    </row>
    <row r="127" spans="3:9" x14ac:dyDescent="0.2">
      <c r="C127" s="252" t="s">
        <v>198</v>
      </c>
      <c r="D127" s="252">
        <v>900</v>
      </c>
      <c r="E127" s="247">
        <v>4</v>
      </c>
      <c r="F127" s="247">
        <v>165</v>
      </c>
      <c r="G127" s="252" t="s">
        <v>733</v>
      </c>
      <c r="H127" s="245">
        <v>10.199999999999999</v>
      </c>
      <c r="I127" s="259">
        <v>39050</v>
      </c>
    </row>
    <row r="128" spans="3:9" x14ac:dyDescent="0.2">
      <c r="C128" s="252" t="s">
        <v>198</v>
      </c>
      <c r="D128" s="252" t="s">
        <v>199</v>
      </c>
      <c r="E128" s="247">
        <v>4</v>
      </c>
      <c r="F128" s="247">
        <v>190</v>
      </c>
      <c r="G128" s="252" t="s">
        <v>733</v>
      </c>
      <c r="H128" s="245">
        <v>9.6999999999999993</v>
      </c>
      <c r="I128" s="259">
        <v>60950</v>
      </c>
    </row>
    <row r="129" spans="3:9" x14ac:dyDescent="0.2">
      <c r="C129" s="252" t="s">
        <v>200</v>
      </c>
      <c r="D129" s="252" t="s">
        <v>201</v>
      </c>
      <c r="E129" s="247">
        <v>4</v>
      </c>
      <c r="F129" s="247">
        <v>133</v>
      </c>
      <c r="G129" s="252" t="s">
        <v>733</v>
      </c>
      <c r="H129" s="245">
        <v>15.8</v>
      </c>
      <c r="I129" s="259">
        <v>11995</v>
      </c>
    </row>
    <row r="130" spans="3:9" x14ac:dyDescent="0.2">
      <c r="C130" s="252" t="s">
        <v>200</v>
      </c>
      <c r="D130" s="252" t="s">
        <v>202</v>
      </c>
      <c r="E130" s="247">
        <v>4</v>
      </c>
      <c r="F130" s="247">
        <v>148</v>
      </c>
      <c r="G130" s="252" t="s">
        <v>733</v>
      </c>
      <c r="H130" s="245">
        <v>12.9</v>
      </c>
      <c r="I130" s="259">
        <v>16195</v>
      </c>
    </row>
    <row r="131" spans="3:9" x14ac:dyDescent="0.2">
      <c r="C131" s="252" t="s">
        <v>200</v>
      </c>
      <c r="D131" s="252" t="s">
        <v>203</v>
      </c>
      <c r="E131" s="247">
        <v>4</v>
      </c>
      <c r="F131" s="247">
        <v>140</v>
      </c>
      <c r="G131" s="252" t="s">
        <v>735</v>
      </c>
      <c r="H131" s="245">
        <v>15.2</v>
      </c>
      <c r="I131" s="259">
        <v>22995</v>
      </c>
    </row>
    <row r="132" spans="3:9" x14ac:dyDescent="0.2">
      <c r="C132" s="252" t="s">
        <v>200</v>
      </c>
      <c r="D132" s="252" t="s">
        <v>204</v>
      </c>
      <c r="E132" s="247">
        <v>4</v>
      </c>
      <c r="F132" s="247">
        <v>129</v>
      </c>
      <c r="G132" s="252" t="s">
        <v>733</v>
      </c>
      <c r="H132" s="245">
        <v>12.8</v>
      </c>
      <c r="I132" s="259">
        <v>14995</v>
      </c>
    </row>
    <row r="133" spans="3:9" x14ac:dyDescent="0.2">
      <c r="C133" s="252" t="s">
        <v>200</v>
      </c>
      <c r="D133" s="252" t="s">
        <v>205</v>
      </c>
      <c r="E133" s="247">
        <v>4</v>
      </c>
      <c r="F133" s="247">
        <v>150</v>
      </c>
      <c r="G133" s="252" t="s">
        <v>735</v>
      </c>
      <c r="H133" s="245">
        <v>14</v>
      </c>
      <c r="I133" s="259">
        <v>20895</v>
      </c>
    </row>
    <row r="134" spans="3:9" x14ac:dyDescent="0.2">
      <c r="C134" s="252" t="s">
        <v>200</v>
      </c>
      <c r="D134" s="252" t="s">
        <v>206</v>
      </c>
      <c r="E134" s="247">
        <v>4</v>
      </c>
      <c r="F134" s="247">
        <v>150</v>
      </c>
      <c r="G134" s="252" t="s">
        <v>733</v>
      </c>
      <c r="H134" s="245">
        <v>13.1</v>
      </c>
      <c r="I134" s="259">
        <v>18595</v>
      </c>
    </row>
    <row r="135" spans="3:9" x14ac:dyDescent="0.2">
      <c r="C135" s="252" t="s">
        <v>200</v>
      </c>
      <c r="D135" s="252" t="s">
        <v>207</v>
      </c>
      <c r="E135" s="247">
        <v>4</v>
      </c>
      <c r="F135" s="247">
        <v>145</v>
      </c>
      <c r="G135" s="252" t="s">
        <v>735</v>
      </c>
      <c r="H135" s="245">
        <v>14</v>
      </c>
      <c r="I135" s="259">
        <v>24495</v>
      </c>
    </row>
    <row r="136" spans="3:9" x14ac:dyDescent="0.2">
      <c r="C136" s="252" t="s">
        <v>208</v>
      </c>
      <c r="D136" s="252">
        <v>105</v>
      </c>
      <c r="E136" s="247">
        <v>4</v>
      </c>
      <c r="F136" s="247">
        <v>130</v>
      </c>
      <c r="G136" s="252" t="s">
        <v>733</v>
      </c>
      <c r="H136" s="245">
        <v>12.1</v>
      </c>
      <c r="I136" s="259">
        <v>10295</v>
      </c>
    </row>
    <row r="137" spans="3:9" x14ac:dyDescent="0.2">
      <c r="C137" s="252" t="s">
        <v>209</v>
      </c>
      <c r="D137" s="252" t="s">
        <v>210</v>
      </c>
      <c r="E137" s="247">
        <v>2</v>
      </c>
      <c r="F137" s="247">
        <v>125</v>
      </c>
      <c r="G137" s="252" t="s">
        <v>733</v>
      </c>
      <c r="H137" s="245">
        <v>17.100000000000001</v>
      </c>
      <c r="I137" s="259">
        <v>11495</v>
      </c>
    </row>
    <row r="138" spans="3:9" x14ac:dyDescent="0.2">
      <c r="C138" s="252" t="s">
        <v>209</v>
      </c>
      <c r="D138" s="252" t="s">
        <v>211</v>
      </c>
      <c r="E138" s="247">
        <v>3</v>
      </c>
      <c r="F138" s="247">
        <v>150</v>
      </c>
      <c r="G138" s="252" t="s">
        <v>733</v>
      </c>
      <c r="H138" s="245">
        <v>13.7</v>
      </c>
      <c r="I138" s="259">
        <v>14495</v>
      </c>
    </row>
    <row r="139" spans="3:9" x14ac:dyDescent="0.2">
      <c r="C139" s="252" t="s">
        <v>209</v>
      </c>
      <c r="D139" s="252" t="s">
        <v>212</v>
      </c>
      <c r="E139" s="247">
        <v>4</v>
      </c>
      <c r="F139" s="247">
        <v>160</v>
      </c>
      <c r="G139" s="252" t="s">
        <v>733</v>
      </c>
      <c r="H139" s="245">
        <v>13.1</v>
      </c>
      <c r="I139" s="259">
        <v>22495</v>
      </c>
    </row>
    <row r="140" spans="3:9" x14ac:dyDescent="0.2">
      <c r="C140" s="252" t="s">
        <v>209</v>
      </c>
      <c r="D140" s="252" t="s">
        <v>213</v>
      </c>
      <c r="E140" s="247">
        <v>4</v>
      </c>
      <c r="F140" s="247">
        <v>200</v>
      </c>
      <c r="G140" s="252" t="s">
        <v>734</v>
      </c>
      <c r="H140" s="245">
        <v>9.4</v>
      </c>
      <c r="I140" s="259">
        <v>53995</v>
      </c>
    </row>
    <row r="141" spans="3:9" x14ac:dyDescent="0.2">
      <c r="C141" s="252" t="s">
        <v>214</v>
      </c>
      <c r="D141" s="252" t="s">
        <v>215</v>
      </c>
      <c r="E141" s="247">
        <v>3</v>
      </c>
      <c r="F141" s="247">
        <v>125</v>
      </c>
      <c r="G141" s="252" t="s">
        <v>733</v>
      </c>
      <c r="H141" s="245">
        <v>15.2</v>
      </c>
      <c r="I141" s="259">
        <v>11695</v>
      </c>
    </row>
    <row r="142" spans="3:9" x14ac:dyDescent="0.2">
      <c r="C142" s="252" t="s">
        <v>214</v>
      </c>
      <c r="D142" s="252" t="s">
        <v>216</v>
      </c>
      <c r="E142" s="247">
        <v>3</v>
      </c>
      <c r="F142" s="247">
        <v>145</v>
      </c>
      <c r="G142" s="252" t="s">
        <v>733</v>
      </c>
      <c r="H142" s="245">
        <v>14.9</v>
      </c>
      <c r="I142" s="259">
        <v>14995</v>
      </c>
    </row>
    <row r="143" spans="3:9" x14ac:dyDescent="0.2">
      <c r="C143" s="252" t="s">
        <v>217</v>
      </c>
      <c r="D143" s="252" t="s">
        <v>218</v>
      </c>
      <c r="E143" s="247">
        <v>4</v>
      </c>
      <c r="F143" s="247">
        <v>141</v>
      </c>
      <c r="G143" s="252" t="s">
        <v>734</v>
      </c>
      <c r="H143" s="245">
        <v>12.1</v>
      </c>
      <c r="I143" s="259">
        <v>14995</v>
      </c>
    </row>
    <row r="144" spans="3:9" x14ac:dyDescent="0.2">
      <c r="C144" s="252" t="s">
        <v>217</v>
      </c>
      <c r="D144" s="252" t="s">
        <v>219</v>
      </c>
      <c r="E144" s="247">
        <v>4</v>
      </c>
      <c r="F144" s="247">
        <v>160</v>
      </c>
      <c r="G144" s="252" t="s">
        <v>733</v>
      </c>
      <c r="H144" s="245">
        <v>13</v>
      </c>
      <c r="I144" s="259">
        <v>18595</v>
      </c>
    </row>
    <row r="145" spans="3:9" x14ac:dyDescent="0.2">
      <c r="C145" s="252" t="s">
        <v>217</v>
      </c>
      <c r="D145" s="252" t="s">
        <v>220</v>
      </c>
      <c r="E145" s="247">
        <v>4</v>
      </c>
      <c r="F145" s="247">
        <v>155</v>
      </c>
      <c r="G145" s="252" t="s">
        <v>735</v>
      </c>
      <c r="H145" s="245">
        <v>15.1</v>
      </c>
      <c r="I145" s="259">
        <v>23545</v>
      </c>
    </row>
    <row r="146" spans="3:9" x14ac:dyDescent="0.2">
      <c r="C146" s="252" t="s">
        <v>217</v>
      </c>
      <c r="D146" s="252" t="s">
        <v>221</v>
      </c>
      <c r="E146" s="247">
        <v>4</v>
      </c>
      <c r="F146" s="247">
        <v>175</v>
      </c>
      <c r="G146" s="252" t="s">
        <v>734</v>
      </c>
      <c r="H146" s="245">
        <v>12.1</v>
      </c>
      <c r="I146" s="259">
        <v>24995</v>
      </c>
    </row>
    <row r="147" spans="3:9" x14ac:dyDescent="0.2">
      <c r="C147" s="252" t="s">
        <v>217</v>
      </c>
      <c r="D147" s="252" t="s">
        <v>222</v>
      </c>
      <c r="E147" s="247">
        <v>4</v>
      </c>
      <c r="F147" s="247">
        <v>170</v>
      </c>
      <c r="G147" s="252" t="s">
        <v>734</v>
      </c>
      <c r="H147" s="245">
        <v>11</v>
      </c>
      <c r="I147" s="259">
        <v>33395</v>
      </c>
    </row>
    <row r="148" spans="3:9" x14ac:dyDescent="0.2">
      <c r="C148" s="252" t="s">
        <v>217</v>
      </c>
      <c r="D148" s="252" t="s">
        <v>223</v>
      </c>
      <c r="E148" s="247">
        <v>4</v>
      </c>
      <c r="F148" s="247">
        <v>170</v>
      </c>
      <c r="G148" s="252" t="s">
        <v>734</v>
      </c>
      <c r="H148" s="245">
        <v>12.4</v>
      </c>
      <c r="I148" s="259">
        <v>31595</v>
      </c>
    </row>
    <row r="149" spans="3:9" x14ac:dyDescent="0.2">
      <c r="C149" s="252" t="s">
        <v>217</v>
      </c>
      <c r="D149" s="252" t="s">
        <v>224</v>
      </c>
      <c r="E149" s="247">
        <v>4</v>
      </c>
      <c r="F149" s="247">
        <v>170</v>
      </c>
      <c r="G149" s="252" t="s">
        <v>735</v>
      </c>
      <c r="H149" s="245">
        <v>15</v>
      </c>
      <c r="I149" s="259">
        <v>38495</v>
      </c>
    </row>
    <row r="150" spans="3:9" x14ac:dyDescent="0.2">
      <c r="C150" s="252" t="s">
        <v>217</v>
      </c>
      <c r="D150" s="252" t="s">
        <v>225</v>
      </c>
      <c r="E150" s="247">
        <v>4</v>
      </c>
      <c r="F150" s="247">
        <v>200</v>
      </c>
      <c r="G150" s="252" t="s">
        <v>733</v>
      </c>
      <c r="H150" s="245">
        <v>12.9</v>
      </c>
      <c r="I150" s="259">
        <v>47345</v>
      </c>
    </row>
    <row r="151" spans="3:9" x14ac:dyDescent="0.2">
      <c r="C151" s="252" t="s">
        <v>217</v>
      </c>
      <c r="D151" s="252" t="s">
        <v>226</v>
      </c>
      <c r="E151" s="247">
        <v>6</v>
      </c>
      <c r="F151" s="247">
        <v>190</v>
      </c>
      <c r="G151" s="252" t="s">
        <v>734</v>
      </c>
      <c r="H151" s="245">
        <v>10.3</v>
      </c>
      <c r="I151" s="259">
        <v>48545</v>
      </c>
    </row>
    <row r="152" spans="3:9" x14ac:dyDescent="0.2">
      <c r="C152" s="252" t="s">
        <v>227</v>
      </c>
      <c r="D152" s="252" t="s">
        <v>228</v>
      </c>
      <c r="E152" s="247">
        <v>4</v>
      </c>
      <c r="F152" s="247">
        <v>142</v>
      </c>
      <c r="G152" s="252" t="s">
        <v>733</v>
      </c>
      <c r="H152" s="245">
        <v>11.7</v>
      </c>
      <c r="I152" s="259">
        <v>16390</v>
      </c>
    </row>
    <row r="153" spans="3:9" x14ac:dyDescent="0.2">
      <c r="C153" s="252" t="s">
        <v>227</v>
      </c>
      <c r="D153" s="252" t="s">
        <v>229</v>
      </c>
      <c r="E153" s="247">
        <v>4</v>
      </c>
      <c r="F153" s="247">
        <v>140</v>
      </c>
      <c r="G153" s="252" t="s">
        <v>735</v>
      </c>
      <c r="H153" s="245">
        <v>15.9</v>
      </c>
      <c r="I153" s="259">
        <v>22590</v>
      </c>
    </row>
    <row r="154" spans="3:9" x14ac:dyDescent="0.2">
      <c r="C154" s="252" t="s">
        <v>227</v>
      </c>
      <c r="D154" s="252" t="s">
        <v>230</v>
      </c>
      <c r="E154" s="247">
        <v>4</v>
      </c>
      <c r="F154" s="247">
        <v>151</v>
      </c>
      <c r="G154" s="252" t="s">
        <v>733</v>
      </c>
      <c r="H154" s="245">
        <v>13.2</v>
      </c>
      <c r="I154" s="259">
        <v>21995</v>
      </c>
    </row>
    <row r="155" spans="3:9" x14ac:dyDescent="0.2">
      <c r="C155" s="252" t="s">
        <v>227</v>
      </c>
      <c r="D155" s="252" t="s">
        <v>231</v>
      </c>
      <c r="E155" s="247">
        <v>4</v>
      </c>
      <c r="F155" s="247">
        <v>148</v>
      </c>
      <c r="G155" s="252" t="s">
        <v>735</v>
      </c>
      <c r="H155" s="245">
        <v>16.100000000000001</v>
      </c>
      <c r="I155" s="259">
        <v>27230</v>
      </c>
    </row>
    <row r="156" spans="3:9" x14ac:dyDescent="0.2">
      <c r="C156" s="252" t="s">
        <v>227</v>
      </c>
      <c r="D156" s="252" t="s">
        <v>232</v>
      </c>
      <c r="E156" s="247">
        <v>4</v>
      </c>
      <c r="F156" s="247">
        <v>148</v>
      </c>
      <c r="G156" s="252" t="s">
        <v>733</v>
      </c>
      <c r="H156" s="245">
        <v>13.6</v>
      </c>
      <c r="I156" s="259">
        <v>22800</v>
      </c>
    </row>
    <row r="157" spans="3:9" x14ac:dyDescent="0.2">
      <c r="C157" s="252" t="s">
        <v>227</v>
      </c>
      <c r="D157" s="252" t="s">
        <v>233</v>
      </c>
      <c r="E157" s="247">
        <v>4</v>
      </c>
      <c r="F157" s="247">
        <v>146</v>
      </c>
      <c r="G157" s="252" t="s">
        <v>735</v>
      </c>
      <c r="H157" s="245">
        <v>16.3</v>
      </c>
      <c r="I157" s="259">
        <v>28035</v>
      </c>
    </row>
    <row r="158" spans="3:9" x14ac:dyDescent="0.2">
      <c r="C158" s="252" t="s">
        <v>227</v>
      </c>
      <c r="D158" s="252" t="s">
        <v>234</v>
      </c>
      <c r="E158" s="247">
        <v>4</v>
      </c>
      <c r="F158" s="247">
        <v>181</v>
      </c>
      <c r="G158" s="252" t="s">
        <v>733</v>
      </c>
      <c r="H158" s="245">
        <v>13.6</v>
      </c>
      <c r="I158" s="259">
        <v>38665</v>
      </c>
    </row>
    <row r="159" spans="3:9" x14ac:dyDescent="0.2">
      <c r="C159" s="252" t="s">
        <v>227</v>
      </c>
      <c r="D159" s="252" t="s">
        <v>235</v>
      </c>
      <c r="E159" s="247">
        <v>4</v>
      </c>
      <c r="F159" s="247">
        <v>162</v>
      </c>
      <c r="G159" s="252" t="s">
        <v>733</v>
      </c>
      <c r="H159" s="245">
        <v>11.7</v>
      </c>
      <c r="I159" s="259">
        <v>28195</v>
      </c>
    </row>
    <row r="160" spans="3:9" x14ac:dyDescent="0.2">
      <c r="C160" s="252" t="s">
        <v>227</v>
      </c>
      <c r="D160" s="252" t="s">
        <v>236</v>
      </c>
      <c r="E160" s="247">
        <v>4</v>
      </c>
      <c r="F160" s="247">
        <v>143</v>
      </c>
      <c r="G160" s="252" t="s">
        <v>735</v>
      </c>
      <c r="H160" s="245">
        <v>15.3</v>
      </c>
      <c r="I160" s="259">
        <v>32970</v>
      </c>
    </row>
    <row r="161" spans="3:9" x14ac:dyDescent="0.2">
      <c r="C161" s="252" t="s">
        <v>237</v>
      </c>
      <c r="D161" s="252" t="s">
        <v>238</v>
      </c>
      <c r="E161" s="247">
        <v>4</v>
      </c>
      <c r="F161" s="247">
        <v>155</v>
      </c>
      <c r="G161" s="252" t="s">
        <v>734</v>
      </c>
      <c r="H161" s="245">
        <v>12.5</v>
      </c>
      <c r="I161" s="259">
        <v>20485</v>
      </c>
    </row>
    <row r="162" spans="3:9" x14ac:dyDescent="0.2">
      <c r="C162" s="252" t="s">
        <v>237</v>
      </c>
      <c r="D162" s="252" t="s">
        <v>239</v>
      </c>
      <c r="E162" s="247">
        <v>4</v>
      </c>
      <c r="F162" s="247">
        <v>140</v>
      </c>
      <c r="G162" s="252" t="s">
        <v>735</v>
      </c>
      <c r="H162" s="245">
        <v>14.7</v>
      </c>
      <c r="I162" s="259">
        <v>26245</v>
      </c>
    </row>
    <row r="163" spans="3:9" x14ac:dyDescent="0.2">
      <c r="C163" s="252" t="s">
        <v>237</v>
      </c>
      <c r="D163" s="252" t="s">
        <v>240</v>
      </c>
      <c r="E163" s="247">
        <v>4</v>
      </c>
      <c r="F163" s="247">
        <v>180</v>
      </c>
      <c r="G163" s="252" t="s">
        <v>733</v>
      </c>
      <c r="H163" s="245">
        <v>11</v>
      </c>
      <c r="I163" s="259">
        <v>27545</v>
      </c>
    </row>
    <row r="164" spans="3:9" x14ac:dyDescent="0.2">
      <c r="C164" s="252" t="s">
        <v>237</v>
      </c>
      <c r="D164" s="252">
        <v>240</v>
      </c>
      <c r="E164" s="247">
        <v>4</v>
      </c>
      <c r="F164" s="247">
        <v>165</v>
      </c>
      <c r="G164" s="252" t="s">
        <v>734</v>
      </c>
      <c r="H164" s="245">
        <v>10.199999999999999</v>
      </c>
      <c r="I164" s="259">
        <v>37695</v>
      </c>
    </row>
    <row r="165" spans="3:9" x14ac:dyDescent="0.2">
      <c r="C165" s="252" t="s">
        <v>237</v>
      </c>
      <c r="D165" s="252" t="s">
        <v>241</v>
      </c>
      <c r="E165" s="247">
        <v>6</v>
      </c>
      <c r="F165" s="247">
        <v>145</v>
      </c>
      <c r="G165" s="252" t="s">
        <v>735</v>
      </c>
      <c r="H165" s="245">
        <v>10.4</v>
      </c>
      <c r="I165" s="259">
        <v>48895</v>
      </c>
    </row>
    <row r="166" spans="3:9" x14ac:dyDescent="0.2">
      <c r="C166" s="252" t="s">
        <v>237</v>
      </c>
      <c r="D166" s="252" t="s">
        <v>242</v>
      </c>
      <c r="E166" s="247">
        <v>4</v>
      </c>
      <c r="F166" s="247">
        <v>190</v>
      </c>
      <c r="G166" s="252" t="s">
        <v>734</v>
      </c>
      <c r="H166" s="245">
        <v>12.3</v>
      </c>
      <c r="I166" s="259">
        <v>45655</v>
      </c>
    </row>
    <row r="167" spans="3:9" x14ac:dyDescent="0.2">
      <c r="C167" s="252" t="s">
        <v>237</v>
      </c>
      <c r="D167" s="252" t="s">
        <v>243</v>
      </c>
      <c r="E167" s="247">
        <v>4</v>
      </c>
      <c r="F167" s="247">
        <v>175</v>
      </c>
      <c r="G167" s="252" t="s">
        <v>734</v>
      </c>
      <c r="H167" s="245">
        <v>9</v>
      </c>
      <c r="I167" s="259">
        <v>47995</v>
      </c>
    </row>
    <row r="168" spans="3:9" x14ac:dyDescent="0.2">
      <c r="C168" s="252" t="s">
        <v>237</v>
      </c>
      <c r="D168" s="252" t="s">
        <v>244</v>
      </c>
      <c r="E168" s="247">
        <v>6</v>
      </c>
      <c r="F168" s="247">
        <v>155</v>
      </c>
      <c r="G168" s="252" t="s">
        <v>735</v>
      </c>
      <c r="H168" s="245">
        <v>11.8</v>
      </c>
      <c r="I168" s="259">
        <v>55395</v>
      </c>
    </row>
  </sheetData>
  <mergeCells count="2">
    <mergeCell ref="B6:E6"/>
    <mergeCell ref="B1:C1"/>
  </mergeCells>
  <hyperlinks>
    <hyperlink ref="B6:D6" location="sjabloon!A1" display="Ga naar Inhoudsopgave" xr:uid="{00000000-0004-0000-2F00-000000000000}"/>
    <hyperlink ref="B6:E6" location="TOC!A1" display="Go to TOC" xr:uid="{00000000-0004-0000-2F00-000001000000}"/>
  </hyperlinks>
  <pageMargins left="0.7" right="0.7" top="0.75" bottom="0.75" header="0.3" footer="0.3"/>
  <pageSetup paperSize="9" orientation="landscape"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40"/>
  <dimension ref="B1:O4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9" style="245" customWidth="1"/>
    <col min="5" max="5" width="6.7109375" style="245" bestFit="1" customWidth="1"/>
    <col min="6" max="6" width="14.85546875" style="245" bestFit="1" customWidth="1"/>
    <col min="7" max="7" width="11.5703125" style="245" bestFit="1" customWidth="1"/>
    <col min="8" max="8" width="6.7109375" style="245" bestFit="1" customWidth="1"/>
    <col min="9" max="9" width="5" style="245" bestFit="1" customWidth="1"/>
    <col min="10" max="10" width="5" style="245" customWidth="1"/>
    <col min="11" max="11" width="9.140625" style="245"/>
    <col min="12" max="12" width="19.7109375" style="245" customWidth="1"/>
    <col min="13" max="14" width="3.28515625" style="245" customWidth="1"/>
    <col min="15" max="15" width="11.5703125" style="245" customWidth="1"/>
    <col min="16" max="16384" width="9.140625" style="245"/>
  </cols>
  <sheetData>
    <row r="1" spans="2:15" x14ac:dyDescent="0.2">
      <c r="B1" s="386" t="s">
        <v>1047</v>
      </c>
      <c r="C1" s="386"/>
      <c r="D1" s="263" t="s">
        <v>534</v>
      </c>
    </row>
    <row r="2" spans="2:15" x14ac:dyDescent="0.2">
      <c r="B2" s="263" t="s">
        <v>1124</v>
      </c>
      <c r="C2" s="263"/>
      <c r="D2" s="337" t="str">
        <f>VLOOKUP(D$1,TabelContent[],COLUMN(TabelContent[Titel-EN]))</f>
        <v>Hobby club</v>
      </c>
    </row>
    <row r="3" spans="2:15" x14ac:dyDescent="0.2">
      <c r="B3" s="263" t="s">
        <v>1125</v>
      </c>
      <c r="C3" s="263"/>
      <c r="D3" s="337" t="str">
        <f>VLOOKUP(D$1,TabelContent[],COLUMN(TabelContent[Cat-EN]))</f>
        <v>Pivot table</v>
      </c>
    </row>
    <row r="4" spans="2:15" x14ac:dyDescent="0.2">
      <c r="B4" s="263" t="s">
        <v>1126</v>
      </c>
      <c r="C4" s="263"/>
      <c r="D4" s="337">
        <f>VLOOKUP(D$1,TabelContent[],COLUMN(TabelContent[Niveau]))</f>
        <v>3</v>
      </c>
    </row>
    <row r="5" spans="2:15" x14ac:dyDescent="0.2">
      <c r="B5" s="249"/>
      <c r="C5" s="249"/>
      <c r="D5" s="249"/>
      <c r="E5" s="249"/>
    </row>
    <row r="6" spans="2:15" x14ac:dyDescent="0.2">
      <c r="B6" s="396" t="s">
        <v>1132</v>
      </c>
      <c r="C6" s="396"/>
      <c r="D6" s="396"/>
      <c r="E6" s="396"/>
    </row>
    <row r="7" spans="2:15" x14ac:dyDescent="0.2">
      <c r="B7" s="249"/>
      <c r="C7" s="249"/>
      <c r="D7" s="249"/>
      <c r="E7" s="249"/>
    </row>
    <row r="8" spans="2:15" x14ac:dyDescent="0.2">
      <c r="B8" s="249"/>
      <c r="D8" s="257" t="s">
        <v>691</v>
      </c>
      <c r="E8" s="257" t="s">
        <v>744</v>
      </c>
      <c r="F8" s="257" t="s">
        <v>738</v>
      </c>
      <c r="G8" s="257" t="s">
        <v>739</v>
      </c>
      <c r="H8" s="257" t="s">
        <v>535</v>
      </c>
      <c r="I8" s="257">
        <v>2009</v>
      </c>
      <c r="J8" s="257">
        <v>2010</v>
      </c>
      <c r="L8" s="260" t="s">
        <v>746</v>
      </c>
    </row>
    <row r="9" spans="2:15" x14ac:dyDescent="0.2">
      <c r="B9" s="249"/>
      <c r="D9" s="252" t="s">
        <v>302</v>
      </c>
      <c r="E9" s="252" t="s">
        <v>536</v>
      </c>
      <c r="F9" s="262">
        <v>34713</v>
      </c>
      <c r="G9" s="252" t="s">
        <v>537</v>
      </c>
      <c r="H9" s="252" t="s">
        <v>740</v>
      </c>
      <c r="I9" s="252">
        <v>44</v>
      </c>
      <c r="J9" s="252">
        <v>42</v>
      </c>
    </row>
    <row r="10" spans="2:15" x14ac:dyDescent="0.2">
      <c r="B10" s="249"/>
      <c r="D10" s="252" t="s">
        <v>386</v>
      </c>
      <c r="E10" s="252" t="s">
        <v>536</v>
      </c>
      <c r="F10" s="262">
        <v>36373</v>
      </c>
      <c r="G10" s="252" t="s">
        <v>538</v>
      </c>
      <c r="H10" s="252" t="s">
        <v>741</v>
      </c>
      <c r="I10" s="252">
        <v>24</v>
      </c>
      <c r="J10" s="252">
        <v>46</v>
      </c>
    </row>
    <row r="11" spans="2:15" x14ac:dyDescent="0.2">
      <c r="B11" s="249"/>
      <c r="D11" s="252" t="s">
        <v>539</v>
      </c>
      <c r="E11" s="252" t="s">
        <v>742</v>
      </c>
      <c r="F11" s="262">
        <v>36248</v>
      </c>
      <c r="G11" s="252" t="s">
        <v>537</v>
      </c>
      <c r="H11" s="252" t="s">
        <v>740</v>
      </c>
      <c r="I11" s="252">
        <v>23</v>
      </c>
      <c r="J11" s="252">
        <v>35</v>
      </c>
      <c r="L11" s="251" t="s">
        <v>745</v>
      </c>
    </row>
    <row r="12" spans="2:15" x14ac:dyDescent="0.2">
      <c r="B12" s="249"/>
      <c r="D12" s="252" t="s">
        <v>540</v>
      </c>
      <c r="E12" s="252" t="s">
        <v>536</v>
      </c>
      <c r="F12" s="262">
        <v>36565</v>
      </c>
      <c r="G12" s="252" t="s">
        <v>538</v>
      </c>
      <c r="H12" s="252" t="s">
        <v>740</v>
      </c>
      <c r="I12" s="252">
        <v>21</v>
      </c>
      <c r="J12" s="252">
        <v>27</v>
      </c>
      <c r="M12" s="261" t="s">
        <v>742</v>
      </c>
      <c r="N12" s="261" t="s">
        <v>536</v>
      </c>
      <c r="O12" s="245" t="s">
        <v>667</v>
      </c>
    </row>
    <row r="13" spans="2:15" x14ac:dyDescent="0.2">
      <c r="B13" s="249"/>
      <c r="D13" s="252" t="s">
        <v>312</v>
      </c>
      <c r="E13" s="252" t="s">
        <v>536</v>
      </c>
      <c r="F13" s="262">
        <v>36612</v>
      </c>
      <c r="G13" s="252" t="s">
        <v>541</v>
      </c>
      <c r="H13" s="252" t="s">
        <v>741</v>
      </c>
      <c r="I13" s="252">
        <v>13</v>
      </c>
      <c r="J13" s="252">
        <v>38</v>
      </c>
      <c r="L13" s="245" t="s">
        <v>545</v>
      </c>
      <c r="M13" s="245">
        <v>2</v>
      </c>
      <c r="N13" s="245">
        <v>1</v>
      </c>
      <c r="O13" s="245">
        <v>3</v>
      </c>
    </row>
    <row r="14" spans="2:15" x14ac:dyDescent="0.2">
      <c r="B14" s="249"/>
      <c r="D14" s="252" t="s">
        <v>542</v>
      </c>
      <c r="E14" s="252" t="s">
        <v>536</v>
      </c>
      <c r="F14" s="262">
        <v>36608</v>
      </c>
      <c r="G14" s="252" t="s">
        <v>538</v>
      </c>
      <c r="H14" s="252" t="s">
        <v>740</v>
      </c>
      <c r="I14" s="252">
        <v>19</v>
      </c>
      <c r="J14" s="252">
        <v>45</v>
      </c>
      <c r="L14" s="245" t="s">
        <v>554</v>
      </c>
      <c r="M14" s="245">
        <v>2</v>
      </c>
      <c r="N14" s="245">
        <v>1</v>
      </c>
      <c r="O14" s="245">
        <v>3</v>
      </c>
    </row>
    <row r="15" spans="2:15" x14ac:dyDescent="0.2">
      <c r="B15" s="249"/>
      <c r="D15" s="252" t="s">
        <v>543</v>
      </c>
      <c r="E15" s="252" t="s">
        <v>742</v>
      </c>
      <c r="F15" s="262">
        <v>37083</v>
      </c>
      <c r="G15" s="252" t="s">
        <v>537</v>
      </c>
      <c r="H15" s="252" t="s">
        <v>748</v>
      </c>
      <c r="I15" s="252">
        <v>24</v>
      </c>
      <c r="J15" s="252">
        <v>33</v>
      </c>
      <c r="L15" s="245" t="s">
        <v>541</v>
      </c>
      <c r="M15" s="245">
        <v>1</v>
      </c>
      <c r="N15" s="245">
        <v>2</v>
      </c>
      <c r="O15" s="245">
        <v>3</v>
      </c>
    </row>
    <row r="16" spans="2:15" x14ac:dyDescent="0.2">
      <c r="D16" s="252" t="s">
        <v>544</v>
      </c>
      <c r="E16" s="252" t="s">
        <v>536</v>
      </c>
      <c r="F16" s="262">
        <v>37110</v>
      </c>
      <c r="G16" s="252" t="s">
        <v>538</v>
      </c>
      <c r="H16" s="252" t="s">
        <v>741</v>
      </c>
      <c r="I16" s="252">
        <v>36</v>
      </c>
      <c r="J16" s="252">
        <v>34</v>
      </c>
      <c r="L16" s="245" t="s">
        <v>537</v>
      </c>
      <c r="M16" s="245">
        <v>3</v>
      </c>
      <c r="N16" s="245">
        <v>3</v>
      </c>
      <c r="O16" s="245">
        <v>6</v>
      </c>
    </row>
    <row r="17" spans="4:15" x14ac:dyDescent="0.2">
      <c r="D17" s="252" t="s">
        <v>458</v>
      </c>
      <c r="E17" s="252" t="s">
        <v>536</v>
      </c>
      <c r="F17" s="262">
        <v>37015</v>
      </c>
      <c r="G17" s="252" t="s">
        <v>541</v>
      </c>
      <c r="H17" s="252" t="s">
        <v>748</v>
      </c>
      <c r="I17" s="252">
        <v>40</v>
      </c>
      <c r="J17" s="252">
        <v>26</v>
      </c>
      <c r="L17" s="245" t="s">
        <v>538</v>
      </c>
      <c r="M17" s="245">
        <v>1</v>
      </c>
      <c r="N17" s="245">
        <v>4</v>
      </c>
      <c r="O17" s="245">
        <v>5</v>
      </c>
    </row>
    <row r="18" spans="4:15" x14ac:dyDescent="0.2">
      <c r="D18" s="252" t="s">
        <v>308</v>
      </c>
      <c r="E18" s="252" t="s">
        <v>742</v>
      </c>
      <c r="F18" s="262">
        <v>37047</v>
      </c>
      <c r="G18" s="252" t="s">
        <v>545</v>
      </c>
      <c r="H18" s="252" t="s">
        <v>546</v>
      </c>
      <c r="I18" s="252">
        <v>14</v>
      </c>
      <c r="J18" s="252">
        <v>26</v>
      </c>
      <c r="L18" s="245" t="s">
        <v>667</v>
      </c>
      <c r="M18" s="245">
        <v>9</v>
      </c>
      <c r="N18" s="245">
        <v>11</v>
      </c>
      <c r="O18" s="245">
        <v>20</v>
      </c>
    </row>
    <row r="19" spans="4:15" x14ac:dyDescent="0.2">
      <c r="D19" s="252" t="s">
        <v>547</v>
      </c>
      <c r="E19" s="252" t="s">
        <v>742</v>
      </c>
      <c r="F19" s="262">
        <v>37040</v>
      </c>
      <c r="G19" s="252" t="s">
        <v>541</v>
      </c>
      <c r="H19" s="252" t="s">
        <v>741</v>
      </c>
      <c r="I19" s="252">
        <v>37</v>
      </c>
      <c r="J19" s="252">
        <v>39</v>
      </c>
    </row>
    <row r="20" spans="4:15" x14ac:dyDescent="0.2">
      <c r="D20" s="252" t="s">
        <v>548</v>
      </c>
      <c r="E20" s="252" t="s">
        <v>742</v>
      </c>
      <c r="F20" s="262">
        <v>37269</v>
      </c>
      <c r="G20" s="252" t="s">
        <v>537</v>
      </c>
      <c r="H20" s="252" t="s">
        <v>741</v>
      </c>
      <c r="I20" s="252">
        <v>35</v>
      </c>
      <c r="J20" s="252">
        <v>28</v>
      </c>
    </row>
    <row r="21" spans="4:15" x14ac:dyDescent="0.2">
      <c r="D21" s="252" t="s">
        <v>269</v>
      </c>
      <c r="E21" s="252" t="s">
        <v>742</v>
      </c>
      <c r="F21" s="262">
        <v>37481</v>
      </c>
      <c r="G21" s="252" t="s">
        <v>554</v>
      </c>
      <c r="H21" s="252" t="s">
        <v>740</v>
      </c>
      <c r="I21" s="252">
        <v>10</v>
      </c>
      <c r="J21" s="252">
        <v>43</v>
      </c>
      <c r="L21" s="260" t="s">
        <v>747</v>
      </c>
    </row>
    <row r="22" spans="4:15" x14ac:dyDescent="0.2">
      <c r="D22" s="252" t="s">
        <v>549</v>
      </c>
      <c r="E22" s="252" t="s">
        <v>536</v>
      </c>
      <c r="F22" s="262">
        <v>37293</v>
      </c>
      <c r="G22" s="252" t="s">
        <v>545</v>
      </c>
      <c r="H22" s="252" t="s">
        <v>740</v>
      </c>
      <c r="I22" s="252">
        <v>18</v>
      </c>
      <c r="J22" s="252">
        <v>42</v>
      </c>
    </row>
    <row r="23" spans="4:15" x14ac:dyDescent="0.2">
      <c r="D23" s="252" t="s">
        <v>550</v>
      </c>
      <c r="E23" s="252" t="s">
        <v>536</v>
      </c>
      <c r="F23" s="262">
        <v>37734</v>
      </c>
      <c r="G23" s="252" t="s">
        <v>537</v>
      </c>
      <c r="H23" s="252" t="s">
        <v>743</v>
      </c>
      <c r="I23" s="252">
        <v>31</v>
      </c>
      <c r="J23" s="252">
        <v>25</v>
      </c>
    </row>
    <row r="24" spans="4:15" x14ac:dyDescent="0.2">
      <c r="D24" s="252" t="s">
        <v>551</v>
      </c>
      <c r="E24" s="252" t="s">
        <v>742</v>
      </c>
      <c r="F24" s="262">
        <v>37694</v>
      </c>
      <c r="G24" s="252" t="s">
        <v>554</v>
      </c>
      <c r="H24" s="252" t="s">
        <v>546</v>
      </c>
      <c r="I24" s="252">
        <v>10</v>
      </c>
      <c r="J24" s="252">
        <v>32</v>
      </c>
      <c r="L24" s="251" t="s">
        <v>753</v>
      </c>
    </row>
    <row r="25" spans="4:15" x14ac:dyDescent="0.2">
      <c r="D25" s="252" t="s">
        <v>333</v>
      </c>
      <c r="E25" s="252" t="s">
        <v>742</v>
      </c>
      <c r="F25" s="262">
        <v>37645</v>
      </c>
      <c r="G25" s="252" t="s">
        <v>545</v>
      </c>
      <c r="H25" s="252" t="s">
        <v>740</v>
      </c>
      <c r="I25" s="252">
        <v>41</v>
      </c>
      <c r="J25" s="252">
        <v>47</v>
      </c>
      <c r="M25" s="261" t="s">
        <v>742</v>
      </c>
      <c r="N25" s="261" t="s">
        <v>536</v>
      </c>
      <c r="O25" s="245" t="s">
        <v>667</v>
      </c>
    </row>
    <row r="26" spans="4:15" x14ac:dyDescent="0.2">
      <c r="D26" s="252" t="s">
        <v>291</v>
      </c>
      <c r="E26" s="252" t="s">
        <v>536</v>
      </c>
      <c r="F26" s="262">
        <v>38153</v>
      </c>
      <c r="G26" s="252" t="s">
        <v>554</v>
      </c>
      <c r="H26" s="252" t="s">
        <v>748</v>
      </c>
      <c r="I26" s="252">
        <v>39</v>
      </c>
      <c r="J26" s="252">
        <v>36</v>
      </c>
      <c r="L26" s="245" t="s">
        <v>546</v>
      </c>
      <c r="M26" s="70">
        <v>0.1</v>
      </c>
      <c r="N26" s="70">
        <v>0</v>
      </c>
      <c r="O26" s="70">
        <v>0.1</v>
      </c>
    </row>
    <row r="27" spans="4:15" x14ac:dyDescent="0.2">
      <c r="D27" s="252" t="s">
        <v>552</v>
      </c>
      <c r="E27" s="252" t="s">
        <v>742</v>
      </c>
      <c r="F27" s="262">
        <v>38531</v>
      </c>
      <c r="G27" s="252" t="s">
        <v>538</v>
      </c>
      <c r="H27" s="252" t="s">
        <v>743</v>
      </c>
      <c r="I27" s="252">
        <v>45</v>
      </c>
      <c r="J27" s="252">
        <v>32</v>
      </c>
      <c r="L27" s="245" t="s">
        <v>740</v>
      </c>
      <c r="M27" s="70">
        <v>0.15</v>
      </c>
      <c r="N27" s="70">
        <v>0.2</v>
      </c>
      <c r="O27" s="70">
        <v>0.35</v>
      </c>
    </row>
    <row r="28" spans="4:15" x14ac:dyDescent="0.2">
      <c r="D28" s="252" t="s">
        <v>553</v>
      </c>
      <c r="E28" s="252" t="s">
        <v>536</v>
      </c>
      <c r="F28" s="262">
        <v>38615</v>
      </c>
      <c r="G28" s="252" t="s">
        <v>537</v>
      </c>
      <c r="H28" s="252" t="s">
        <v>743</v>
      </c>
      <c r="I28" s="252">
        <v>14</v>
      </c>
      <c r="J28" s="252">
        <v>42</v>
      </c>
      <c r="L28" s="245" t="s">
        <v>741</v>
      </c>
      <c r="M28" s="70">
        <v>0.1</v>
      </c>
      <c r="N28" s="70">
        <v>0.15</v>
      </c>
      <c r="O28" s="70">
        <v>0.25</v>
      </c>
    </row>
    <row r="29" spans="4:15" x14ac:dyDescent="0.2">
      <c r="L29" s="245" t="s">
        <v>743</v>
      </c>
      <c r="M29" s="70">
        <v>0.05</v>
      </c>
      <c r="N29" s="70">
        <v>0.1</v>
      </c>
      <c r="O29" s="70">
        <v>0.15</v>
      </c>
    </row>
    <row r="30" spans="4:15" x14ac:dyDescent="0.2">
      <c r="L30" s="245" t="s">
        <v>748</v>
      </c>
      <c r="M30" s="70">
        <v>0.05</v>
      </c>
      <c r="N30" s="70">
        <v>0.1</v>
      </c>
      <c r="O30" s="70">
        <v>0.15</v>
      </c>
    </row>
    <row r="31" spans="4:15" x14ac:dyDescent="0.2">
      <c r="L31" s="245" t="s">
        <v>667</v>
      </c>
      <c r="M31" s="70">
        <v>0.45</v>
      </c>
      <c r="N31" s="70">
        <v>0.55000000000000004</v>
      </c>
      <c r="O31" s="70">
        <v>1</v>
      </c>
    </row>
    <row r="35" spans="12:15" x14ac:dyDescent="0.2">
      <c r="L35" s="260" t="s">
        <v>749</v>
      </c>
    </row>
    <row r="38" spans="12:15" x14ac:dyDescent="0.2">
      <c r="L38" s="251" t="s">
        <v>754</v>
      </c>
    </row>
    <row r="39" spans="12:15" x14ac:dyDescent="0.2">
      <c r="M39" s="261" t="s">
        <v>742</v>
      </c>
      <c r="N39" s="261" t="s">
        <v>536</v>
      </c>
      <c r="O39" s="245" t="s">
        <v>667</v>
      </c>
    </row>
    <row r="40" spans="12:15" x14ac:dyDescent="0.2">
      <c r="L40" s="245" t="s">
        <v>750</v>
      </c>
      <c r="M40" s="245">
        <v>2</v>
      </c>
      <c r="N40" s="245">
        <v>3</v>
      </c>
      <c r="O40" s="245">
        <v>5</v>
      </c>
    </row>
    <row r="41" spans="12:15" x14ac:dyDescent="0.2">
      <c r="L41" s="245" t="s">
        <v>751</v>
      </c>
      <c r="M41" s="245">
        <v>5</v>
      </c>
      <c r="N41" s="245">
        <v>3</v>
      </c>
      <c r="O41" s="245">
        <v>8</v>
      </c>
    </row>
    <row r="42" spans="12:15" x14ac:dyDescent="0.2">
      <c r="L42" s="245" t="s">
        <v>752</v>
      </c>
      <c r="M42" s="245">
        <v>2</v>
      </c>
      <c r="N42" s="245">
        <v>5</v>
      </c>
      <c r="O42" s="245">
        <v>7</v>
      </c>
    </row>
    <row r="43" spans="12:15" x14ac:dyDescent="0.2">
      <c r="L43" s="245" t="s">
        <v>667</v>
      </c>
      <c r="M43" s="245">
        <v>9</v>
      </c>
      <c r="N43" s="245">
        <v>11</v>
      </c>
      <c r="O43" s="245">
        <v>20</v>
      </c>
    </row>
  </sheetData>
  <mergeCells count="2">
    <mergeCell ref="B6:E6"/>
    <mergeCell ref="B1:C1"/>
  </mergeCells>
  <hyperlinks>
    <hyperlink ref="B6:D6" location="sjabloon!A1" display="Ga naar Inhoudsopgave" xr:uid="{00000000-0004-0000-3000-000000000000}"/>
    <hyperlink ref="B6:E6" location="TOC!A1" display="Go to TOC" xr:uid="{00000000-0004-0000-3000-000001000000}"/>
  </hyperlinks>
  <pageMargins left="0.7" right="0.7" top="0.75" bottom="0.75" header="0.3" footer="0.3"/>
  <pageSetup paperSize="9" orientation="landscape"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85546875" style="4" customWidth="1"/>
    <col min="5" max="5" width="16.7109375" style="4"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s="9" customFormat="1" x14ac:dyDescent="0.2">
      <c r="B1" s="386" t="s">
        <v>1047</v>
      </c>
      <c r="C1" s="386"/>
      <c r="D1" s="263" t="s">
        <v>466</v>
      </c>
    </row>
    <row r="2" spans="2:9" x14ac:dyDescent="0.2">
      <c r="B2" s="263" t="s">
        <v>1124</v>
      </c>
      <c r="C2" s="263"/>
      <c r="D2" s="337" t="str">
        <f>VLOOKUP(D$1,TabelContent[],COLUMN(TabelContent[Titel-EN]))</f>
        <v>Profit margin - Sales price</v>
      </c>
    </row>
    <row r="3" spans="2:9" x14ac:dyDescent="0.2">
      <c r="B3" s="263" t="s">
        <v>1125</v>
      </c>
      <c r="C3" s="263"/>
      <c r="D3" s="337" t="str">
        <f>VLOOKUP(D$1,TabelContent[],COLUMN(TabelContent[Cat-EN]))</f>
        <v>Scenario</v>
      </c>
    </row>
    <row r="4" spans="2:9" x14ac:dyDescent="0.2">
      <c r="B4" s="263" t="s">
        <v>1126</v>
      </c>
      <c r="C4" s="263"/>
      <c r="D4" s="337">
        <f>VLOOKUP(D$1,TabelContent[],COLUMN(TabelContent[Niveau]))</f>
        <v>2</v>
      </c>
    </row>
    <row r="5" spans="2:9" x14ac:dyDescent="0.2">
      <c r="B5" s="10"/>
      <c r="C5" s="10"/>
      <c r="D5" s="10"/>
      <c r="E5" s="10"/>
      <c r="F5" s="10"/>
    </row>
    <row r="6" spans="2:9" x14ac:dyDescent="0.2">
      <c r="B6" s="387" t="s">
        <v>1132</v>
      </c>
      <c r="C6" s="387"/>
      <c r="D6" s="387"/>
      <c r="E6" s="387"/>
      <c r="F6" s="387"/>
    </row>
    <row r="7" spans="2:9" x14ac:dyDescent="0.2">
      <c r="B7" s="10"/>
      <c r="C7" s="10"/>
      <c r="D7" s="10"/>
      <c r="E7" s="10"/>
      <c r="F7" s="10"/>
    </row>
    <row r="8" spans="2:9" x14ac:dyDescent="0.2">
      <c r="B8" s="10"/>
      <c r="D8" s="10" t="s">
        <v>866</v>
      </c>
      <c r="E8" s="22">
        <v>0.3</v>
      </c>
      <c r="F8" s="22"/>
      <c r="G8" s="10"/>
    </row>
    <row r="9" spans="2:9" x14ac:dyDescent="0.2">
      <c r="B9" s="10"/>
      <c r="D9" s="10" t="s">
        <v>867</v>
      </c>
      <c r="E9" s="22">
        <v>0.19</v>
      </c>
      <c r="F9" s="22"/>
      <c r="G9" s="10"/>
    </row>
    <row r="10" spans="2:9" x14ac:dyDescent="0.2">
      <c r="B10" s="10"/>
      <c r="D10" s="10"/>
      <c r="E10" s="10"/>
      <c r="F10" s="10"/>
      <c r="G10" s="10"/>
    </row>
    <row r="11" spans="2:9" ht="25.5" x14ac:dyDescent="0.2">
      <c r="B11" s="10"/>
      <c r="D11" s="17" t="s">
        <v>717</v>
      </c>
      <c r="E11" s="21" t="s">
        <v>868</v>
      </c>
      <c r="F11" s="17" t="s">
        <v>871</v>
      </c>
      <c r="G11" s="21" t="s">
        <v>870</v>
      </c>
      <c r="H11" s="1" t="s">
        <v>867</v>
      </c>
      <c r="I11" s="79" t="s">
        <v>869</v>
      </c>
    </row>
    <row r="12" spans="2:9" x14ac:dyDescent="0.2">
      <c r="B12" s="10"/>
      <c r="D12" s="10" t="s">
        <v>596</v>
      </c>
      <c r="E12" s="279">
        <v>1189</v>
      </c>
      <c r="F12" s="279">
        <f>ROUND($E$8*E12,2)</f>
        <v>356.7</v>
      </c>
      <c r="G12" s="277">
        <f>E12+F12</f>
        <v>1545.7</v>
      </c>
      <c r="H12" s="277">
        <f>ROUND($E$9*G12,2)</f>
        <v>293.68</v>
      </c>
      <c r="I12" s="280">
        <f>G12+H12</f>
        <v>1839.38</v>
      </c>
    </row>
    <row r="13" spans="2:9" x14ac:dyDescent="0.2">
      <c r="B13" s="10"/>
      <c r="D13" s="10" t="s">
        <v>597</v>
      </c>
      <c r="E13" s="279">
        <v>2389</v>
      </c>
      <c r="F13" s="279">
        <f>ROUND($E$8*E13,2)</f>
        <v>716.7</v>
      </c>
      <c r="G13" s="277">
        <f t="shared" ref="G13:G14" si="0">E13+F13</f>
        <v>3105.7</v>
      </c>
      <c r="H13" s="277">
        <f>ROUND($E$9*G13,2)</f>
        <v>590.08000000000004</v>
      </c>
      <c r="I13" s="277">
        <f t="shared" ref="I13:I14" si="1">G13+H13</f>
        <v>3695.7799999999997</v>
      </c>
    </row>
    <row r="14" spans="2:9" x14ac:dyDescent="0.2">
      <c r="B14" s="10"/>
      <c r="D14" s="10" t="s">
        <v>598</v>
      </c>
      <c r="E14" s="279">
        <v>1699</v>
      </c>
      <c r="F14" s="279">
        <f>ROUND($E$8*E14,2)</f>
        <v>509.7</v>
      </c>
      <c r="G14" s="277">
        <f t="shared" si="0"/>
        <v>2208.6999999999998</v>
      </c>
      <c r="H14" s="277">
        <f>ROUND($E$9*G14,2)</f>
        <v>419.65</v>
      </c>
      <c r="I14" s="277">
        <f t="shared" si="1"/>
        <v>2628.35</v>
      </c>
    </row>
    <row r="15" spans="2:9" x14ac:dyDescent="0.2">
      <c r="B15" s="10"/>
      <c r="D15" s="10"/>
      <c r="E15" s="10"/>
      <c r="F15" s="10"/>
      <c r="G15" s="10"/>
    </row>
  </sheetData>
  <scenarios current="2" show="2" sqref="I12:I14">
    <scenario name="Profit 15%" locked="1" count="1" user="Author">
      <inputCells r="E8" val="0.15" numFmtId="9"/>
    </scenario>
    <scenario name="Profit 20%" locked="1" count="1" user="Author">
      <inputCells r="E8" val="0.2" numFmtId="9"/>
    </scenario>
    <scenario name="Profit 25%" locked="1" count="1" user="Author">
      <inputCells r="E8" val="0.25" numFmtId="9"/>
    </scenario>
  </scenarios>
  <mergeCells count="2">
    <mergeCell ref="B6:F6"/>
    <mergeCell ref="B1:C1"/>
  </mergeCells>
  <hyperlinks>
    <hyperlink ref="B6:D6" location="sjabloon!A1" display="Ga naar Inhoudsopgave" xr:uid="{00000000-0004-0000-3100-000000000000}"/>
    <hyperlink ref="B6:F6" location="TOC!A1" display="Go to TOC" xr:uid="{00000000-0004-0000-3100-000001000000}"/>
  </hyperlinks>
  <pageMargins left="0.7" right="0.7" top="0.75" bottom="0.75" header="0.3" footer="0.3"/>
  <pageSetup paperSize="9" orientation="landscape" r:id="rId1"/>
  <ignoredErrors>
    <ignoredError sqref="H12:H14" formula="1"/>
  </ignoredErrors>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5" width="9.7109375" style="4" customWidth="1"/>
    <col min="6" max="16384" width="9.140625" style="4"/>
  </cols>
  <sheetData>
    <row r="1" spans="2:5" s="9" customFormat="1" x14ac:dyDescent="0.2">
      <c r="B1" s="386" t="s">
        <v>1047</v>
      </c>
      <c r="C1" s="386"/>
      <c r="D1" s="263" t="s">
        <v>599</v>
      </c>
    </row>
    <row r="2" spans="2:5" x14ac:dyDescent="0.2">
      <c r="B2" s="263" t="s">
        <v>1124</v>
      </c>
      <c r="C2" s="263"/>
      <c r="D2" s="337" t="str">
        <f>VLOOKUP(D$1,TabelContent[],COLUMN(TabelContent[Titel-EN]))</f>
        <v>Budget sports club</v>
      </c>
    </row>
    <row r="3" spans="2:5" x14ac:dyDescent="0.2">
      <c r="B3" s="263" t="s">
        <v>1125</v>
      </c>
      <c r="C3" s="263"/>
      <c r="D3" s="337" t="str">
        <f>VLOOKUP(D$1,TabelContent[],COLUMN(TabelContent[Cat-EN]))</f>
        <v>Scenario</v>
      </c>
    </row>
    <row r="4" spans="2:5" x14ac:dyDescent="0.2">
      <c r="B4" s="263" t="s">
        <v>1126</v>
      </c>
      <c r="C4" s="263"/>
      <c r="D4" s="337">
        <f>VLOOKUP(D$1,TabelContent[],COLUMN(TabelContent[Niveau]))</f>
        <v>2</v>
      </c>
    </row>
    <row r="5" spans="2:5" x14ac:dyDescent="0.2">
      <c r="B5" s="10"/>
      <c r="C5" s="10"/>
      <c r="D5" s="10"/>
      <c r="E5" s="10"/>
    </row>
    <row r="6" spans="2:5" x14ac:dyDescent="0.2">
      <c r="B6" s="387" t="s">
        <v>1132</v>
      </c>
      <c r="C6" s="387"/>
      <c r="D6" s="387"/>
      <c r="E6" s="387"/>
    </row>
    <row r="7" spans="2:5" x14ac:dyDescent="0.2">
      <c r="B7" s="10"/>
      <c r="C7" s="10"/>
      <c r="D7" s="10"/>
      <c r="E7" s="10"/>
    </row>
    <row r="8" spans="2:5" x14ac:dyDescent="0.2">
      <c r="B8" s="10"/>
      <c r="D8" s="17" t="s">
        <v>880</v>
      </c>
      <c r="E8" s="250">
        <v>2011</v>
      </c>
    </row>
    <row r="9" spans="2:5" x14ac:dyDescent="0.2">
      <c r="B9" s="10"/>
      <c r="D9" s="10"/>
      <c r="E9" s="10"/>
    </row>
    <row r="10" spans="2:5" x14ac:dyDescent="0.2">
      <c r="B10" s="10"/>
      <c r="D10" s="17" t="s">
        <v>872</v>
      </c>
      <c r="E10" s="10"/>
    </row>
    <row r="11" spans="2:5" x14ac:dyDescent="0.2">
      <c r="B11" s="10"/>
      <c r="D11" s="10" t="s">
        <v>873</v>
      </c>
      <c r="E11" s="272">
        <v>2100</v>
      </c>
    </row>
    <row r="12" spans="2:5" x14ac:dyDescent="0.2">
      <c r="B12" s="10"/>
      <c r="D12" s="10" t="s">
        <v>874</v>
      </c>
      <c r="E12" s="272">
        <v>700</v>
      </c>
    </row>
    <row r="13" spans="2:5" x14ac:dyDescent="0.2">
      <c r="B13" s="10"/>
      <c r="D13" s="10" t="s">
        <v>826</v>
      </c>
      <c r="E13" s="272">
        <f>SUM(E11:E12)</f>
        <v>2800</v>
      </c>
    </row>
    <row r="14" spans="2:5" x14ac:dyDescent="0.2">
      <c r="B14" s="10"/>
      <c r="D14" s="10"/>
      <c r="E14" s="10"/>
    </row>
    <row r="15" spans="2:5" x14ac:dyDescent="0.2">
      <c r="B15" s="10"/>
      <c r="D15" s="17" t="s">
        <v>875</v>
      </c>
      <c r="E15" s="10"/>
    </row>
    <row r="16" spans="2:5" x14ac:dyDescent="0.2">
      <c r="D16" s="4" t="s">
        <v>876</v>
      </c>
      <c r="E16" s="278">
        <v>650</v>
      </c>
    </row>
    <row r="17" spans="4:5" x14ac:dyDescent="0.2">
      <c r="D17" s="4" t="s">
        <v>877</v>
      </c>
      <c r="E17" s="278">
        <v>600</v>
      </c>
    </row>
    <row r="18" spans="4:5" x14ac:dyDescent="0.2">
      <c r="D18" s="4" t="s">
        <v>878</v>
      </c>
      <c r="E18" s="278">
        <v>550</v>
      </c>
    </row>
    <row r="19" spans="4:5" x14ac:dyDescent="0.2">
      <c r="D19" s="4" t="s">
        <v>826</v>
      </c>
      <c r="E19" s="278">
        <f>SUM(E16:E18)</f>
        <v>1800</v>
      </c>
    </row>
    <row r="21" spans="4:5" x14ac:dyDescent="0.2">
      <c r="D21" s="1" t="s">
        <v>879</v>
      </c>
      <c r="E21" s="278">
        <f>E13-E19</f>
        <v>1000</v>
      </c>
    </row>
  </sheetData>
  <scenarios current="1" sqref="E21">
    <scenario name="Most positive" locked="1" count="4" user="Author">
      <inputCells r="E11" val="2400" numFmtId="169"/>
      <inputCells r="E12" val="800" numFmtId="169"/>
      <inputCells r="E16" val="500" numFmtId="169"/>
      <inputCells r="E18" val="400" numFmtId="169"/>
    </scenario>
    <scenario name="Most negative" locked="1" count="4" user="Author">
      <inputCells r="E11" val="1800" numFmtId="169"/>
      <inputCells r="E12" val="600" numFmtId="169"/>
      <inputCells r="E16" val="800" numFmtId="169"/>
      <inputCells r="E18" val="700" numFmtId="169"/>
    </scenario>
  </scenarios>
  <mergeCells count="2">
    <mergeCell ref="B6:E6"/>
    <mergeCell ref="B1:C1"/>
  </mergeCells>
  <hyperlinks>
    <hyperlink ref="B6:D6" location="sjabloon!A1" display="Ga naar Inhoudsopgave" xr:uid="{00000000-0004-0000-3200-000000000000}"/>
    <hyperlink ref="B6:E6" location="TOC!A1" display="Go to TOC" xr:uid="{00000000-0004-0000-3200-000001000000}"/>
  </hyperlinks>
  <pageMargins left="0.7" right="0.7" top="0.75" bottom="0.75" header="0.3" footer="0.3"/>
  <pageSetup paperSize="9"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1.14062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s="9" customFormat="1" x14ac:dyDescent="0.2">
      <c r="B1" s="386" t="s">
        <v>1047</v>
      </c>
      <c r="C1" s="386"/>
      <c r="D1" s="263" t="s">
        <v>603</v>
      </c>
    </row>
    <row r="2" spans="2:12" x14ac:dyDescent="0.2">
      <c r="B2" s="263" t="s">
        <v>1124</v>
      </c>
      <c r="C2" s="263"/>
      <c r="D2" s="337" t="str">
        <f>VLOOKUP(D$1,TabelContent[],COLUMN(TabelContent[Titel-EN]))</f>
        <v>Scenarios business profit</v>
      </c>
    </row>
    <row r="3" spans="2:12" x14ac:dyDescent="0.2">
      <c r="B3" s="263" t="s">
        <v>1125</v>
      </c>
      <c r="C3" s="263"/>
      <c r="D3" s="337" t="str">
        <f>VLOOKUP(D$1,TabelContent[],COLUMN(TabelContent[Cat-EN]))</f>
        <v>Scenario</v>
      </c>
    </row>
    <row r="4" spans="2:12" x14ac:dyDescent="0.2">
      <c r="B4" s="263" t="s">
        <v>1126</v>
      </c>
      <c r="C4" s="263"/>
      <c r="D4" s="337">
        <f>VLOOKUP(D$1,TabelContent[],COLUMN(TabelContent[Niveau]))</f>
        <v>2</v>
      </c>
    </row>
    <row r="5" spans="2:12" x14ac:dyDescent="0.2">
      <c r="B5" s="10"/>
      <c r="C5" s="10"/>
      <c r="D5" s="10"/>
      <c r="E5" s="10"/>
    </row>
    <row r="6" spans="2:12" x14ac:dyDescent="0.2">
      <c r="B6" s="387" t="s">
        <v>1132</v>
      </c>
      <c r="C6" s="387"/>
      <c r="D6" s="387"/>
      <c r="E6" s="387"/>
    </row>
    <row r="7" spans="2:12" ht="13.5" thickBot="1" x14ac:dyDescent="0.25">
      <c r="B7" s="10"/>
      <c r="C7" s="10"/>
      <c r="D7" s="10"/>
      <c r="E7" s="10"/>
    </row>
    <row r="8" spans="2:12" ht="13.5" thickBot="1" x14ac:dyDescent="0.25">
      <c r="B8" s="10"/>
      <c r="D8" s="17" t="s">
        <v>884</v>
      </c>
      <c r="E8" s="10"/>
      <c r="F8" s="10"/>
      <c r="J8" s="185" t="s">
        <v>600</v>
      </c>
      <c r="K8" s="185" t="s">
        <v>903</v>
      </c>
      <c r="L8" s="185" t="s">
        <v>904</v>
      </c>
    </row>
    <row r="9" spans="2:12" x14ac:dyDescent="0.2">
      <c r="B9" s="10"/>
      <c r="D9" s="10" t="s">
        <v>881</v>
      </c>
      <c r="E9" s="280">
        <v>68</v>
      </c>
      <c r="F9" s="10" t="s">
        <v>882</v>
      </c>
      <c r="J9" s="4" t="s">
        <v>900</v>
      </c>
      <c r="K9" s="184">
        <v>60</v>
      </c>
      <c r="L9" s="184">
        <v>114</v>
      </c>
    </row>
    <row r="10" spans="2:12" x14ac:dyDescent="0.2">
      <c r="B10" s="10"/>
      <c r="D10" s="10" t="s">
        <v>885</v>
      </c>
      <c r="E10" s="280">
        <v>118</v>
      </c>
      <c r="F10" s="10" t="s">
        <v>883</v>
      </c>
      <c r="J10" s="4" t="s">
        <v>901</v>
      </c>
      <c r="K10" s="184">
        <v>76</v>
      </c>
      <c r="L10" s="184">
        <v>124</v>
      </c>
    </row>
    <row r="11" spans="2:12" x14ac:dyDescent="0.2">
      <c r="B11" s="10"/>
      <c r="D11" s="10"/>
      <c r="E11" s="29"/>
      <c r="F11" s="10"/>
      <c r="J11" s="4" t="s">
        <v>902</v>
      </c>
      <c r="K11" s="184">
        <v>68</v>
      </c>
      <c r="L11" s="184">
        <v>118</v>
      </c>
    </row>
    <row r="12" spans="2:12" x14ac:dyDescent="0.2">
      <c r="B12" s="10"/>
      <c r="D12" s="17" t="s">
        <v>886</v>
      </c>
      <c r="E12" s="10"/>
      <c r="F12" s="10"/>
    </row>
    <row r="13" spans="2:12" x14ac:dyDescent="0.2">
      <c r="B13" s="10"/>
      <c r="D13" s="10"/>
      <c r="E13" s="27" t="s">
        <v>887</v>
      </c>
      <c r="F13" s="27" t="s">
        <v>888</v>
      </c>
      <c r="G13" s="66" t="s">
        <v>889</v>
      </c>
    </row>
    <row r="14" spans="2:12" x14ac:dyDescent="0.2">
      <c r="B14" s="10"/>
      <c r="D14" s="10" t="s">
        <v>890</v>
      </c>
      <c r="E14" s="249">
        <v>12</v>
      </c>
      <c r="F14" s="249">
        <v>14</v>
      </c>
      <c r="G14" s="245">
        <v>24</v>
      </c>
    </row>
    <row r="15" spans="2:12" x14ac:dyDescent="0.2">
      <c r="B15" s="10"/>
      <c r="D15" s="10" t="s">
        <v>891</v>
      </c>
      <c r="E15" s="249">
        <v>6</v>
      </c>
      <c r="F15" s="249">
        <v>9</v>
      </c>
      <c r="G15" s="245">
        <v>14</v>
      </c>
    </row>
    <row r="16" spans="2:12" x14ac:dyDescent="0.2">
      <c r="B16" s="10"/>
      <c r="D16" s="10"/>
      <c r="E16" s="10"/>
      <c r="F16" s="10"/>
    </row>
    <row r="17" spans="2:7" x14ac:dyDescent="0.2">
      <c r="B17" s="10"/>
      <c r="D17" s="17" t="s">
        <v>892</v>
      </c>
      <c r="E17" s="10"/>
      <c r="F17" s="10"/>
    </row>
    <row r="18" spans="2:7" x14ac:dyDescent="0.2">
      <c r="B18" s="10"/>
      <c r="D18" s="10" t="s">
        <v>893</v>
      </c>
      <c r="E18" s="280">
        <f>E14*$E$9+E15*$E$10</f>
        <v>1524</v>
      </c>
      <c r="F18" s="280">
        <f>F14*$E$9+F15*$E$10</f>
        <v>2014</v>
      </c>
      <c r="G18" s="280">
        <f>G14*$E$9+G15*$E$10</f>
        <v>3284</v>
      </c>
    </row>
    <row r="19" spans="2:7" x14ac:dyDescent="0.2">
      <c r="D19" s="4" t="s">
        <v>894</v>
      </c>
      <c r="E19" s="280">
        <v>1849</v>
      </c>
      <c r="F19" s="280">
        <v>2590</v>
      </c>
      <c r="G19" s="280">
        <v>4390</v>
      </c>
    </row>
    <row r="20" spans="2:7" x14ac:dyDescent="0.2">
      <c r="D20" s="4" t="s">
        <v>895</v>
      </c>
      <c r="E20" s="280">
        <f>E19-E18</f>
        <v>325</v>
      </c>
      <c r="F20" s="280">
        <f>F19-F18</f>
        <v>576</v>
      </c>
      <c r="G20" s="280">
        <f>G19-G18</f>
        <v>1106</v>
      </c>
    </row>
    <row r="21" spans="2:7" x14ac:dyDescent="0.2">
      <c r="E21" s="184"/>
      <c r="F21" s="184"/>
      <c r="G21" s="184"/>
    </row>
    <row r="22" spans="2:7" x14ac:dyDescent="0.2">
      <c r="D22" s="1" t="s">
        <v>896</v>
      </c>
    </row>
    <row r="23" spans="2:7" x14ac:dyDescent="0.2">
      <c r="D23" s="4" t="s">
        <v>897</v>
      </c>
      <c r="E23" s="4">
        <v>30</v>
      </c>
      <c r="F23" s="4">
        <v>18</v>
      </c>
      <c r="G23" s="4">
        <v>12</v>
      </c>
    </row>
    <row r="24" spans="2:7" x14ac:dyDescent="0.2">
      <c r="D24" s="4" t="s">
        <v>899</v>
      </c>
      <c r="E24" s="280">
        <f>E23*E20</f>
        <v>9750</v>
      </c>
      <c r="F24" s="280">
        <f>F23*F20</f>
        <v>10368</v>
      </c>
      <c r="G24" s="280">
        <f>G23*G20</f>
        <v>13272</v>
      </c>
    </row>
    <row r="25" spans="2:7" x14ac:dyDescent="0.2">
      <c r="D25" s="81" t="s">
        <v>898</v>
      </c>
      <c r="E25" s="281">
        <f>E24+F24+G24</f>
        <v>33390</v>
      </c>
    </row>
  </sheetData>
  <scenarios current="0" sqref="E25">
    <scenario name="favorable" locked="1" count="2" user="Author">
      <inputCells r="E9" val="60" numFmtId="167"/>
      <inputCells r="E10" val="114" numFmtId="167"/>
    </scenario>
    <scenario name="bad" locked="1" count="2" user="Author">
      <inputCells r="E9" val="76" numFmtId="167"/>
      <inputCells r="E10" val="124" numFmtId="167"/>
    </scenario>
  </scenarios>
  <mergeCells count="2">
    <mergeCell ref="B6:E6"/>
    <mergeCell ref="B1:C1"/>
  </mergeCells>
  <hyperlinks>
    <hyperlink ref="B6:D6" location="sjabloon!A1" display="Ga naar Inhoudsopgave" xr:uid="{00000000-0004-0000-3300-000000000000}"/>
    <hyperlink ref="B6:E6" location="TOC!A1" display="Go to TOC" xr:uid="{00000000-0004-0000-33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7" width="11.7109375" style="4" customWidth="1"/>
    <col min="8" max="10" width="9.140625" style="4"/>
    <col min="11" max="11" width="9.85546875" style="4" bestFit="1" customWidth="1"/>
    <col min="12" max="12" width="12.140625" style="4" bestFit="1" customWidth="1"/>
    <col min="13" max="16384" width="9.140625" style="4"/>
  </cols>
  <sheetData>
    <row r="1" spans="2:12" s="9" customFormat="1" x14ac:dyDescent="0.2">
      <c r="B1" s="386" t="s">
        <v>1047</v>
      </c>
      <c r="C1" s="386"/>
      <c r="D1" s="263" t="s">
        <v>604</v>
      </c>
    </row>
    <row r="2" spans="2:12" x14ac:dyDescent="0.2">
      <c r="B2" s="263" t="s">
        <v>1124</v>
      </c>
      <c r="C2" s="263"/>
      <c r="D2" s="337" t="str">
        <f>VLOOKUP(D$1,TabelContent[],COLUMN(TabelContent[Titel-EN]))</f>
        <v>Gainings automation company</v>
      </c>
    </row>
    <row r="3" spans="2:12" x14ac:dyDescent="0.2">
      <c r="B3" s="263" t="s">
        <v>1125</v>
      </c>
      <c r="C3" s="263"/>
      <c r="D3" s="337" t="str">
        <f>VLOOKUP(D$1,TabelContent[],COLUMN(TabelContent[Cat-EN]))</f>
        <v>Scenario</v>
      </c>
    </row>
    <row r="4" spans="2:12" x14ac:dyDescent="0.2">
      <c r="B4" s="263" t="s">
        <v>1126</v>
      </c>
      <c r="C4" s="263"/>
      <c r="D4" s="337">
        <f>VLOOKUP(D$1,TabelContent[],COLUMN(TabelContent[Niveau]))</f>
        <v>3</v>
      </c>
    </row>
    <row r="5" spans="2:12" x14ac:dyDescent="0.2">
      <c r="B5" s="10"/>
      <c r="C5" s="10"/>
      <c r="D5" s="10"/>
      <c r="E5" s="10"/>
    </row>
    <row r="6" spans="2:12" x14ac:dyDescent="0.2">
      <c r="B6" s="387" t="s">
        <v>1132</v>
      </c>
      <c r="C6" s="387"/>
      <c r="D6" s="387"/>
      <c r="E6" s="387"/>
    </row>
    <row r="7" spans="2:12" x14ac:dyDescent="0.2">
      <c r="B7" s="10"/>
      <c r="C7" s="10"/>
      <c r="D7" s="10"/>
      <c r="E7" s="10"/>
    </row>
    <row r="8" spans="2:12" ht="13.5" thickBot="1" x14ac:dyDescent="0.25">
      <c r="B8" s="10"/>
      <c r="D8" s="17" t="s">
        <v>922</v>
      </c>
      <c r="E8" s="188">
        <v>0.1</v>
      </c>
      <c r="F8" s="10"/>
      <c r="I8" s="190" t="s">
        <v>600</v>
      </c>
      <c r="J8" s="189" t="s">
        <v>914</v>
      </c>
      <c r="K8" s="189" t="s">
        <v>900</v>
      </c>
      <c r="L8" s="189" t="s">
        <v>915</v>
      </c>
    </row>
    <row r="9" spans="2:12" x14ac:dyDescent="0.2">
      <c r="B9" s="10"/>
      <c r="D9" s="17" t="s">
        <v>909</v>
      </c>
      <c r="E9" s="188">
        <v>0.03</v>
      </c>
      <c r="F9" s="10"/>
      <c r="I9" s="191" t="s">
        <v>923</v>
      </c>
      <c r="J9" s="70">
        <v>0.1</v>
      </c>
      <c r="K9" s="70">
        <v>0.2</v>
      </c>
      <c r="L9" s="70">
        <v>7.0000000000000007E-2</v>
      </c>
    </row>
    <row r="10" spans="2:12" x14ac:dyDescent="0.2">
      <c r="B10" s="10"/>
      <c r="D10" s="17" t="s">
        <v>910</v>
      </c>
      <c r="E10" s="188">
        <v>0.08</v>
      </c>
      <c r="F10" s="10"/>
      <c r="I10" s="191" t="s">
        <v>912</v>
      </c>
      <c r="J10" s="70">
        <v>0.03</v>
      </c>
      <c r="K10" s="70">
        <v>0.02</v>
      </c>
      <c r="L10" s="70">
        <v>0.05</v>
      </c>
    </row>
    <row r="11" spans="2:12" x14ac:dyDescent="0.2">
      <c r="B11" s="10"/>
      <c r="D11" s="17" t="s">
        <v>911</v>
      </c>
      <c r="E11" s="188">
        <v>0.35</v>
      </c>
      <c r="F11" s="10"/>
      <c r="I11" s="191" t="s">
        <v>655</v>
      </c>
      <c r="J11" s="70">
        <v>0.08</v>
      </c>
      <c r="K11" s="70">
        <v>0.05</v>
      </c>
      <c r="L11" s="70">
        <v>0.1</v>
      </c>
    </row>
    <row r="12" spans="2:12" x14ac:dyDescent="0.2">
      <c r="B12" s="10"/>
      <c r="D12" s="10"/>
      <c r="E12" s="10"/>
      <c r="F12" s="10"/>
      <c r="I12" s="191" t="s">
        <v>913</v>
      </c>
      <c r="J12" s="70">
        <v>0.35</v>
      </c>
      <c r="K12" s="70">
        <v>0.3</v>
      </c>
      <c r="L12" s="70">
        <v>0.37</v>
      </c>
    </row>
    <row r="13" spans="2:12" x14ac:dyDescent="0.2">
      <c r="B13" s="10"/>
      <c r="D13" s="17" t="s">
        <v>652</v>
      </c>
      <c r="E13" s="17">
        <v>2010</v>
      </c>
      <c r="F13" s="17">
        <v>2011</v>
      </c>
      <c r="G13" s="1">
        <v>2012</v>
      </c>
    </row>
    <row r="14" spans="2:12" x14ac:dyDescent="0.2">
      <c r="B14" s="10"/>
      <c r="D14" s="10"/>
      <c r="E14" s="10"/>
      <c r="F14" s="10"/>
    </row>
    <row r="15" spans="2:12" ht="13.5" thickBot="1" x14ac:dyDescent="0.25">
      <c r="D15" s="1" t="s">
        <v>905</v>
      </c>
    </row>
    <row r="16" spans="2:12" x14ac:dyDescent="0.2">
      <c r="D16" s="187" t="s">
        <v>1</v>
      </c>
      <c r="E16" s="282">
        <v>850000</v>
      </c>
      <c r="F16" s="282">
        <f t="shared" ref="F16:G19" si="0">E16*(1+$E$8)</f>
        <v>935000.00000000012</v>
      </c>
      <c r="G16" s="282">
        <f t="shared" si="0"/>
        <v>1028500.0000000002</v>
      </c>
    </row>
    <row r="17" spans="4:7" x14ac:dyDescent="0.2">
      <c r="D17" s="4" t="s">
        <v>601</v>
      </c>
      <c r="E17" s="278">
        <v>680000</v>
      </c>
      <c r="F17" s="278">
        <f t="shared" si="0"/>
        <v>748000.00000000012</v>
      </c>
      <c r="G17" s="278">
        <f t="shared" si="0"/>
        <v>822800.00000000023</v>
      </c>
    </row>
    <row r="18" spans="4:7" x14ac:dyDescent="0.2">
      <c r="D18" s="4" t="s">
        <v>602</v>
      </c>
      <c r="E18" s="278">
        <v>270000</v>
      </c>
      <c r="F18" s="278">
        <f t="shared" si="0"/>
        <v>297000</v>
      </c>
      <c r="G18" s="278">
        <f t="shared" si="0"/>
        <v>326700</v>
      </c>
    </row>
    <row r="19" spans="4:7" ht="13.5" thickBot="1" x14ac:dyDescent="0.25">
      <c r="D19" s="4" t="s">
        <v>907</v>
      </c>
      <c r="E19" s="278">
        <v>84400</v>
      </c>
      <c r="F19" s="278">
        <f t="shared" si="0"/>
        <v>92840.000000000015</v>
      </c>
      <c r="G19" s="278">
        <f t="shared" si="0"/>
        <v>102124.00000000003</v>
      </c>
    </row>
    <row r="20" spans="4:7" ht="13.5" thickBot="1" x14ac:dyDescent="0.25">
      <c r="D20" s="186" t="s">
        <v>908</v>
      </c>
      <c r="E20" s="283">
        <f>SUM(E16:E19)</f>
        <v>1884400</v>
      </c>
      <c r="F20" s="283">
        <f>SUM(F16:F19)</f>
        <v>2072840.0000000002</v>
      </c>
      <c r="G20" s="283">
        <f>SUM(G16:G19)</f>
        <v>2280124.0000000005</v>
      </c>
    </row>
    <row r="22" spans="4:7" ht="13.5" thickBot="1" x14ac:dyDescent="0.25">
      <c r="D22" s="1" t="s">
        <v>906</v>
      </c>
    </row>
    <row r="23" spans="4:7" x14ac:dyDescent="0.2">
      <c r="D23" s="187" t="s">
        <v>919</v>
      </c>
      <c r="E23" s="282">
        <v>241700</v>
      </c>
      <c r="F23" s="282">
        <f t="shared" ref="F23:G26" si="1">E23*(1+$E$9)</f>
        <v>248951</v>
      </c>
      <c r="G23" s="282">
        <f t="shared" si="1"/>
        <v>256419.53</v>
      </c>
    </row>
    <row r="24" spans="4:7" x14ac:dyDescent="0.2">
      <c r="D24" s="4" t="s">
        <v>918</v>
      </c>
      <c r="E24" s="278">
        <v>17400</v>
      </c>
      <c r="F24" s="278">
        <f t="shared" si="1"/>
        <v>17922</v>
      </c>
      <c r="G24" s="278">
        <f t="shared" si="1"/>
        <v>18459.66</v>
      </c>
    </row>
    <row r="25" spans="4:7" x14ac:dyDescent="0.2">
      <c r="D25" s="4" t="s">
        <v>917</v>
      </c>
      <c r="E25" s="278">
        <v>6400</v>
      </c>
      <c r="F25" s="278">
        <f t="shared" si="1"/>
        <v>6592</v>
      </c>
      <c r="G25" s="278">
        <f t="shared" si="1"/>
        <v>6789.76</v>
      </c>
    </row>
    <row r="26" spans="4:7" x14ac:dyDescent="0.2">
      <c r="D26" s="4" t="s">
        <v>916</v>
      </c>
      <c r="E26" s="278">
        <v>12670</v>
      </c>
      <c r="F26" s="278">
        <f t="shared" si="1"/>
        <v>13050.1</v>
      </c>
      <c r="G26" s="278">
        <f t="shared" si="1"/>
        <v>13441.603000000001</v>
      </c>
    </row>
    <row r="27" spans="4:7" ht="13.5" thickBot="1" x14ac:dyDescent="0.25">
      <c r="D27" s="4" t="s">
        <v>655</v>
      </c>
      <c r="E27" s="278">
        <v>188440</v>
      </c>
      <c r="F27" s="278">
        <f>E27*(1+$E$10)</f>
        <v>203515.2</v>
      </c>
      <c r="G27" s="278">
        <f>F27*(1+$E$10)</f>
        <v>219796.41600000003</v>
      </c>
    </row>
    <row r="28" spans="4:7" ht="13.5" thickBot="1" x14ac:dyDescent="0.25">
      <c r="D28" s="186" t="s">
        <v>924</v>
      </c>
      <c r="E28" s="283">
        <f>SUM(E23:E27)</f>
        <v>466610</v>
      </c>
      <c r="F28" s="283">
        <f t="shared" ref="F28:G28" si="2">SUM(F23:F27)</f>
        <v>490030.3</v>
      </c>
      <c r="G28" s="283">
        <f t="shared" si="2"/>
        <v>514906.96900000004</v>
      </c>
    </row>
    <row r="30" spans="4:7" x14ac:dyDescent="0.2">
      <c r="D30" s="1" t="s">
        <v>920</v>
      </c>
      <c r="E30" s="267">
        <f>E20-E28</f>
        <v>1417790</v>
      </c>
      <c r="F30" s="267">
        <f t="shared" ref="F30:G30" si="3">F20-F28</f>
        <v>1582809.7000000002</v>
      </c>
      <c r="G30" s="267">
        <f t="shared" si="3"/>
        <v>1765217.0310000004</v>
      </c>
    </row>
    <row r="31" spans="4:7" x14ac:dyDescent="0.2">
      <c r="D31" s="1" t="s">
        <v>913</v>
      </c>
      <c r="E31" s="278">
        <f>$E$11*E30</f>
        <v>496226.49999999994</v>
      </c>
      <c r="F31" s="278">
        <f>$E$11*F30</f>
        <v>553983.39500000002</v>
      </c>
      <c r="G31" s="278">
        <f>$E$11*G30</f>
        <v>617825.96085000015</v>
      </c>
    </row>
    <row r="32" spans="4:7" x14ac:dyDescent="0.2">
      <c r="D32" s="1" t="s">
        <v>921</v>
      </c>
      <c r="E32" s="267">
        <f>E30-E31</f>
        <v>921563.5</v>
      </c>
      <c r="F32" s="267">
        <f t="shared" ref="F32:G32" si="4">F30-F31</f>
        <v>1028826.3050000002</v>
      </c>
      <c r="G32" s="267">
        <f t="shared" si="4"/>
        <v>1147391.0701500003</v>
      </c>
    </row>
  </sheetData>
  <scenarios current="0" sqref="F32:G32">
    <scenario name="favorable" locked="1" count="4" user="Author">
      <inputCells r="E8" val="0.2" numFmtId="9"/>
      <inputCells r="E9" val="0.02" numFmtId="9"/>
      <inputCells r="E10" val="0.05" numFmtId="9"/>
      <inputCells r="E11" val="0.3" numFmtId="9"/>
    </scenario>
    <scenario name="unfavorable" locked="1" count="4" user="Author">
      <inputCells r="E8" val="0.07" numFmtId="9"/>
      <inputCells r="E9" val="0.05" numFmtId="9"/>
      <inputCells r="E10" val="0.1" numFmtId="9"/>
      <inputCells r="E11" val="0.37" numFmtId="9"/>
    </scenario>
  </scenarios>
  <mergeCells count="2">
    <mergeCell ref="B6:E6"/>
    <mergeCell ref="B1:C1"/>
  </mergeCells>
  <hyperlinks>
    <hyperlink ref="B6:D6" location="sjabloon!A1" display="Ga naar Inhoudsopgave" xr:uid="{00000000-0004-0000-3400-000000000000}"/>
    <hyperlink ref="B6:E6" location="TOC!A1" display="Go to TOC" xr:uid="{00000000-0004-0000-34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5703125" style="4" bestFit="1" customWidth="1"/>
    <col min="5" max="16384" width="9.140625" style="4"/>
  </cols>
  <sheetData>
    <row r="1" spans="2:11" s="9" customFormat="1" x14ac:dyDescent="0.2">
      <c r="B1" s="386" t="s">
        <v>1047</v>
      </c>
      <c r="C1" s="386"/>
      <c r="D1" s="263" t="s">
        <v>472</v>
      </c>
    </row>
    <row r="2" spans="2:11" x14ac:dyDescent="0.2">
      <c r="B2" s="263" t="s">
        <v>1124</v>
      </c>
      <c r="C2" s="263"/>
      <c r="D2" s="337" t="str">
        <f>VLOOKUP(D$1,TabelContent[],COLUMN(TabelContent[Titel-EN]))</f>
        <v>Bonbon box</v>
      </c>
    </row>
    <row r="3" spans="2:11" x14ac:dyDescent="0.2">
      <c r="B3" s="263" t="s">
        <v>1125</v>
      </c>
      <c r="C3" s="263"/>
      <c r="D3" s="337" t="str">
        <f>VLOOKUP(D$1,TabelContent[],COLUMN(TabelContent[Cat-EN]))</f>
        <v>Solver</v>
      </c>
    </row>
    <row r="4" spans="2:11" x14ac:dyDescent="0.2">
      <c r="B4" s="263" t="s">
        <v>1126</v>
      </c>
      <c r="C4" s="263"/>
      <c r="D4" s="337">
        <f>VLOOKUP(D$1,TabelContent[],COLUMN(TabelContent[Niveau]))</f>
        <v>2</v>
      </c>
    </row>
    <row r="5" spans="2:11" x14ac:dyDescent="0.2">
      <c r="B5" s="10"/>
      <c r="C5" s="10"/>
      <c r="D5" s="10"/>
      <c r="E5" s="10"/>
      <c r="F5" s="10"/>
      <c r="G5" s="10"/>
      <c r="H5" s="10"/>
      <c r="I5" s="10"/>
      <c r="J5" s="10"/>
    </row>
    <row r="6" spans="2:11" x14ac:dyDescent="0.2">
      <c r="B6" s="387" t="s">
        <v>1132</v>
      </c>
      <c r="C6" s="387"/>
      <c r="D6" s="387"/>
      <c r="E6" s="388"/>
      <c r="F6" s="10"/>
      <c r="G6" s="10"/>
      <c r="H6" s="10"/>
      <c r="I6" s="10"/>
      <c r="J6" s="10"/>
    </row>
    <row r="7" spans="2:11" x14ac:dyDescent="0.2">
      <c r="B7" s="10"/>
      <c r="C7" s="10"/>
      <c r="D7" s="10"/>
      <c r="E7" s="10"/>
      <c r="F7" s="10"/>
      <c r="G7" s="10"/>
      <c r="H7" s="10"/>
      <c r="I7" s="10"/>
      <c r="J7" s="10"/>
    </row>
    <row r="8" spans="2:11" x14ac:dyDescent="0.2">
      <c r="B8" s="10"/>
      <c r="C8" s="10"/>
      <c r="D8" s="10"/>
      <c r="E8" s="10"/>
      <c r="F8" s="10"/>
      <c r="G8" s="10"/>
      <c r="H8" s="10"/>
      <c r="I8" s="10"/>
      <c r="J8" s="10"/>
    </row>
    <row r="9" spans="2:11" x14ac:dyDescent="0.2">
      <c r="B9" s="10"/>
      <c r="D9" s="10"/>
      <c r="E9" s="397" t="s">
        <v>928</v>
      </c>
      <c r="F9" s="398"/>
      <c r="G9" s="399" t="s">
        <v>467</v>
      </c>
      <c r="H9" s="397" t="s">
        <v>929</v>
      </c>
      <c r="I9" s="398"/>
      <c r="J9" s="398"/>
      <c r="K9" s="399"/>
    </row>
    <row r="10" spans="2:11" x14ac:dyDescent="0.2">
      <c r="B10" s="10"/>
      <c r="D10" s="53" t="s">
        <v>468</v>
      </c>
      <c r="E10" s="54" t="s">
        <v>925</v>
      </c>
      <c r="F10" s="55" t="s">
        <v>926</v>
      </c>
      <c r="G10" s="55" t="s">
        <v>927</v>
      </c>
      <c r="H10" s="55" t="s">
        <v>930</v>
      </c>
      <c r="I10" s="55" t="s">
        <v>925</v>
      </c>
      <c r="J10" s="55" t="s">
        <v>926</v>
      </c>
      <c r="K10" s="55" t="s">
        <v>927</v>
      </c>
    </row>
    <row r="11" spans="2:11" x14ac:dyDescent="0.2">
      <c r="B11" s="10"/>
      <c r="D11" s="10" t="s">
        <v>931</v>
      </c>
      <c r="E11" s="56">
        <v>16</v>
      </c>
      <c r="F11" s="57">
        <v>2</v>
      </c>
      <c r="G11" s="295">
        <v>0.28000000000000003</v>
      </c>
      <c r="H11" s="209">
        <v>10</v>
      </c>
      <c r="I11" s="57">
        <f>number_cherry*E11</f>
        <v>160</v>
      </c>
      <c r="J11" s="57">
        <f>number_cherry*F11</f>
        <v>20</v>
      </c>
      <c r="K11" s="295">
        <f>number_cherry*G11</f>
        <v>2.8000000000000003</v>
      </c>
    </row>
    <row r="12" spans="2:11" x14ac:dyDescent="0.2">
      <c r="B12" s="10"/>
      <c r="D12" s="53" t="s">
        <v>932</v>
      </c>
      <c r="E12" s="58">
        <v>8</v>
      </c>
      <c r="F12" s="58">
        <v>1</v>
      </c>
      <c r="G12" s="295">
        <v>0.2</v>
      </c>
      <c r="H12" s="210">
        <v>10</v>
      </c>
      <c r="I12" s="57">
        <f>number_hazelnut*E12</f>
        <v>80</v>
      </c>
      <c r="J12" s="57">
        <f>number_hazelnut*F12</f>
        <v>10</v>
      </c>
      <c r="K12" s="295">
        <f>number_hazelnut*G12</f>
        <v>2</v>
      </c>
    </row>
    <row r="13" spans="2:11" x14ac:dyDescent="0.2">
      <c r="B13" s="10"/>
      <c r="D13" s="10"/>
      <c r="E13" s="10"/>
      <c r="F13" s="10"/>
      <c r="G13" s="59" t="s">
        <v>830</v>
      </c>
      <c r="H13" s="60">
        <f>SUM(H11:H12)</f>
        <v>20</v>
      </c>
      <c r="I13" s="60">
        <f>SUM(I11:I12)</f>
        <v>240</v>
      </c>
      <c r="J13" s="60">
        <f>SUM(J11:J12)</f>
        <v>30</v>
      </c>
      <c r="K13" s="296">
        <f>SUM(K11:K12)</f>
        <v>4.8000000000000007</v>
      </c>
    </row>
    <row r="14" spans="2:11" x14ac:dyDescent="0.2">
      <c r="B14" s="10"/>
      <c r="D14" s="10"/>
      <c r="E14" s="10"/>
      <c r="F14" s="10"/>
      <c r="G14" s="10"/>
      <c r="H14" s="10"/>
      <c r="I14" s="10"/>
      <c r="J14" s="10"/>
      <c r="K14" s="10"/>
    </row>
    <row r="15" spans="2:11" x14ac:dyDescent="0.2">
      <c r="B15" s="10"/>
      <c r="D15" s="17" t="s">
        <v>469</v>
      </c>
      <c r="E15" s="10"/>
      <c r="F15" s="10"/>
      <c r="G15" s="10"/>
      <c r="H15" s="10"/>
      <c r="I15" s="10"/>
      <c r="J15" s="10"/>
      <c r="K15" s="10"/>
    </row>
    <row r="16" spans="2:11" x14ac:dyDescent="0.2">
      <c r="B16" s="10"/>
      <c r="D16" s="10" t="s">
        <v>1133</v>
      </c>
      <c r="E16" s="10">
        <v>320</v>
      </c>
      <c r="F16" s="30" t="s">
        <v>470</v>
      </c>
      <c r="G16" s="10"/>
      <c r="H16" s="10"/>
      <c r="I16" s="10"/>
      <c r="J16" s="10"/>
      <c r="K16" s="10"/>
    </row>
    <row r="17" spans="2:11" x14ac:dyDescent="0.2">
      <c r="B17" s="10"/>
      <c r="D17" s="10" t="s">
        <v>1134</v>
      </c>
      <c r="E17" s="10">
        <v>40</v>
      </c>
      <c r="F17" s="30" t="s">
        <v>470</v>
      </c>
      <c r="G17" s="10"/>
      <c r="H17" s="10"/>
      <c r="I17" s="10"/>
      <c r="J17" s="10"/>
      <c r="K17" s="10"/>
    </row>
    <row r="18" spans="2:11" x14ac:dyDescent="0.2">
      <c r="B18" s="10"/>
      <c r="D18" s="10" t="s">
        <v>1135</v>
      </c>
      <c r="E18" s="10">
        <v>60</v>
      </c>
      <c r="F18" s="30" t="s">
        <v>471</v>
      </c>
      <c r="G18" s="10"/>
      <c r="H18" s="10"/>
      <c r="I18" s="10"/>
      <c r="J18" s="10"/>
      <c r="K18" s="10"/>
    </row>
    <row r="19" spans="2:11" x14ac:dyDescent="0.2">
      <c r="B19" s="10"/>
      <c r="D19" s="10" t="s">
        <v>1136</v>
      </c>
      <c r="E19" s="10">
        <v>10</v>
      </c>
      <c r="F19" s="30" t="s">
        <v>470</v>
      </c>
      <c r="G19" s="10"/>
      <c r="H19" s="10"/>
      <c r="I19" s="10"/>
      <c r="J19" s="10"/>
      <c r="K19" s="10"/>
    </row>
    <row r="20" spans="2:11" x14ac:dyDescent="0.2">
      <c r="B20" s="10"/>
      <c r="D20" s="10" t="s">
        <v>1137</v>
      </c>
      <c r="E20" s="10">
        <v>1</v>
      </c>
      <c r="F20" s="30" t="s">
        <v>470</v>
      </c>
      <c r="G20" s="10"/>
      <c r="H20" s="10"/>
      <c r="I20" s="10"/>
      <c r="J20" s="10"/>
      <c r="K20" s="10"/>
    </row>
    <row r="21" spans="2:11" x14ac:dyDescent="0.2">
      <c r="B21" s="10"/>
      <c r="D21" s="10" t="s">
        <v>1138</v>
      </c>
      <c r="E21" s="10">
        <v>35</v>
      </c>
      <c r="F21" s="30" t="s">
        <v>470</v>
      </c>
      <c r="G21" s="10"/>
      <c r="H21" s="10"/>
      <c r="I21" s="10"/>
      <c r="J21" s="10"/>
      <c r="K21" s="10"/>
    </row>
  </sheetData>
  <mergeCells count="4">
    <mergeCell ref="B1:C1"/>
    <mergeCell ref="H9:K9"/>
    <mergeCell ref="B6:E6"/>
    <mergeCell ref="E9:G9"/>
  </mergeCells>
  <hyperlinks>
    <hyperlink ref="B6:D6" location="Inhoud!A1" display="Ga naar Inhoudsopgave" xr:uid="{00000000-0004-0000-3500-000000000000}"/>
    <hyperlink ref="B6:E6" location="TOC!A1" display="Go to TOC" xr:uid="{00000000-0004-0000-3500-000001000000}"/>
  </hyperlinks>
  <pageMargins left="0.7" right="0.7" top="0.75" bottom="0.75" header="0.3" footer="0.3"/>
  <pageSetup paperSize="9"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42578125" style="4" customWidth="1"/>
    <col min="5" max="5" width="13.28515625" style="4" bestFit="1" customWidth="1"/>
    <col min="6" max="6" width="11.7109375" style="4" customWidth="1"/>
    <col min="7" max="7" width="10" style="4" customWidth="1"/>
    <col min="8" max="8" width="10.85546875" style="4" bestFit="1" customWidth="1"/>
    <col min="9" max="16384" width="9.140625" style="4"/>
  </cols>
  <sheetData>
    <row r="1" spans="2:8" s="9" customFormat="1" x14ac:dyDescent="0.2">
      <c r="B1" s="386" t="s">
        <v>1047</v>
      </c>
      <c r="C1" s="386"/>
      <c r="D1" s="263" t="s">
        <v>564</v>
      </c>
    </row>
    <row r="2" spans="2:8" x14ac:dyDescent="0.2">
      <c r="B2" s="263" t="s">
        <v>1124</v>
      </c>
      <c r="C2" s="263"/>
      <c r="D2" s="337" t="str">
        <f>VLOOKUP(D$1,TabelContent[],COLUMN(TabelContent[Titel-EN]))</f>
        <v>Number of supermarkets</v>
      </c>
    </row>
    <row r="3" spans="2:8" x14ac:dyDescent="0.2">
      <c r="B3" s="263" t="s">
        <v>1125</v>
      </c>
      <c r="C3" s="263"/>
      <c r="D3" s="337" t="str">
        <f>VLOOKUP(D$1,TabelContent[],COLUMN(TabelContent[Cat-EN]))</f>
        <v>Solver</v>
      </c>
    </row>
    <row r="4" spans="2:8" x14ac:dyDescent="0.2">
      <c r="B4" s="263" t="s">
        <v>1126</v>
      </c>
      <c r="C4" s="263"/>
      <c r="D4" s="337">
        <f>VLOOKUP(D$1,TabelContent[],COLUMN(TabelContent[Niveau]))</f>
        <v>2</v>
      </c>
    </row>
    <row r="5" spans="2:8" x14ac:dyDescent="0.2">
      <c r="B5" s="10"/>
      <c r="C5" s="10"/>
      <c r="D5" s="10"/>
      <c r="E5" s="10"/>
    </row>
    <row r="6" spans="2:8" x14ac:dyDescent="0.2">
      <c r="B6" s="387" t="s">
        <v>1132</v>
      </c>
      <c r="C6" s="387"/>
      <c r="D6" s="387"/>
      <c r="E6" s="387"/>
    </row>
    <row r="7" spans="2:8" x14ac:dyDescent="0.2">
      <c r="B7" s="10"/>
      <c r="C7" s="10"/>
      <c r="D7" s="10"/>
      <c r="E7" s="10"/>
    </row>
    <row r="8" spans="2:8" ht="31.5" customHeight="1" x14ac:dyDescent="0.2">
      <c r="B8" s="10"/>
      <c r="C8" s="17" t="s">
        <v>60</v>
      </c>
      <c r="D8" s="21" t="s">
        <v>1186</v>
      </c>
      <c r="E8" s="21" t="s">
        <v>1187</v>
      </c>
      <c r="F8" s="79" t="s">
        <v>936</v>
      </c>
      <c r="G8" s="1" t="s">
        <v>933</v>
      </c>
      <c r="H8" s="1" t="s">
        <v>934</v>
      </c>
    </row>
    <row r="9" spans="2:8" x14ac:dyDescent="0.2">
      <c r="B9" s="10"/>
      <c r="C9" s="10" t="s">
        <v>555</v>
      </c>
      <c r="D9" s="10">
        <v>4</v>
      </c>
      <c r="E9" s="10">
        <v>24</v>
      </c>
      <c r="F9" s="211">
        <v>2</v>
      </c>
      <c r="G9" s="4">
        <f>F9*D9</f>
        <v>8</v>
      </c>
      <c r="H9" s="4">
        <f>F9*E9</f>
        <v>48</v>
      </c>
    </row>
    <row r="10" spans="2:8" x14ac:dyDescent="0.2">
      <c r="B10" s="10"/>
      <c r="C10" s="10" t="s">
        <v>556</v>
      </c>
      <c r="D10" s="10">
        <v>3</v>
      </c>
      <c r="E10" s="10">
        <v>20</v>
      </c>
      <c r="F10" s="211">
        <v>2</v>
      </c>
      <c r="G10" s="4">
        <f t="shared" ref="G10:G12" si="0">F10*D10</f>
        <v>6</v>
      </c>
      <c r="H10" s="4">
        <f t="shared" ref="H10:H12" si="1">F10*E10</f>
        <v>40</v>
      </c>
    </row>
    <row r="11" spans="2:8" x14ac:dyDescent="0.2">
      <c r="B11" s="10"/>
      <c r="C11" s="10" t="s">
        <v>557</v>
      </c>
      <c r="D11" s="10">
        <v>2</v>
      </c>
      <c r="E11" s="10">
        <v>11</v>
      </c>
      <c r="F11" s="211">
        <v>2</v>
      </c>
      <c r="G11" s="4">
        <f t="shared" si="0"/>
        <v>4</v>
      </c>
      <c r="H11" s="4">
        <f t="shared" si="1"/>
        <v>22</v>
      </c>
    </row>
    <row r="12" spans="2:8" x14ac:dyDescent="0.2">
      <c r="B12" s="10"/>
      <c r="C12" s="10" t="s">
        <v>66</v>
      </c>
      <c r="D12" s="10">
        <v>1</v>
      </c>
      <c r="E12" s="10">
        <v>5</v>
      </c>
      <c r="F12" s="211">
        <v>2</v>
      </c>
      <c r="G12" s="4">
        <f t="shared" si="0"/>
        <v>2</v>
      </c>
      <c r="H12" s="4">
        <f t="shared" si="1"/>
        <v>10</v>
      </c>
    </row>
    <row r="13" spans="2:8" x14ac:dyDescent="0.2">
      <c r="B13" s="10"/>
      <c r="C13" s="10"/>
      <c r="D13" s="10"/>
      <c r="E13" s="10" t="s">
        <v>830</v>
      </c>
      <c r="G13" s="4">
        <f t="shared" ref="G13:H13" si="2">SUM(G9:G12)</f>
        <v>20</v>
      </c>
      <c r="H13" s="4">
        <f t="shared" si="2"/>
        <v>120</v>
      </c>
    </row>
    <row r="14" spans="2:8" x14ac:dyDescent="0.2">
      <c r="B14" s="10"/>
      <c r="E14" s="10" t="s">
        <v>935</v>
      </c>
      <c r="G14" s="4">
        <v>14</v>
      </c>
    </row>
    <row r="15" spans="2:8" x14ac:dyDescent="0.2">
      <c r="B15" s="10"/>
      <c r="C15" s="10"/>
      <c r="D15" s="10"/>
      <c r="E15" s="10"/>
    </row>
  </sheetData>
  <mergeCells count="2">
    <mergeCell ref="B6:E6"/>
    <mergeCell ref="B1:C1"/>
  </mergeCells>
  <hyperlinks>
    <hyperlink ref="B6:D6" location="sjabloon!A1" display="Ga naar Inhoudsopgave" xr:uid="{00000000-0004-0000-3600-000000000000}"/>
    <hyperlink ref="B6:E6" location="TOC!A1" display="Go to TOC" xr:uid="{00000000-0004-0000-3600-000001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6.140625" style="4" bestFit="1" customWidth="1"/>
    <col min="5" max="5" width="9.7109375" style="4" customWidth="1"/>
    <col min="6" max="6" width="10.140625" style="4" bestFit="1" customWidth="1"/>
    <col min="7" max="7" width="5.5703125" style="4" bestFit="1" customWidth="1"/>
    <col min="8" max="8" width="7.28515625" style="4" bestFit="1" customWidth="1"/>
    <col min="9" max="9" width="9.7109375" style="4" customWidth="1"/>
    <col min="10" max="10" width="10.28515625" style="4" bestFit="1" customWidth="1"/>
    <col min="11" max="11" width="6.7109375" style="4" bestFit="1" customWidth="1"/>
    <col min="12" max="16384" width="9.140625" style="4"/>
  </cols>
  <sheetData>
    <row r="1" spans="2:11" s="9" customFormat="1" x14ac:dyDescent="0.2">
      <c r="B1" s="386" t="s">
        <v>1047</v>
      </c>
      <c r="C1" s="386"/>
      <c r="D1" s="263" t="s">
        <v>565</v>
      </c>
    </row>
    <row r="2" spans="2:11" x14ac:dyDescent="0.2">
      <c r="B2" s="263" t="s">
        <v>1124</v>
      </c>
      <c r="C2" s="263"/>
      <c r="D2" s="337" t="str">
        <f>VLOOKUP(D$1,TabelContent[],COLUMN(TabelContent[Titel-EN]))</f>
        <v>Running shoes</v>
      </c>
    </row>
    <row r="3" spans="2:11" x14ac:dyDescent="0.2">
      <c r="B3" s="263" t="s">
        <v>1125</v>
      </c>
      <c r="C3" s="263"/>
      <c r="D3" s="337" t="str">
        <f>VLOOKUP(D$1,TabelContent[],COLUMN(TabelContent[Cat-EN]))</f>
        <v>Solver</v>
      </c>
    </row>
    <row r="4" spans="2:11" x14ac:dyDescent="0.2">
      <c r="B4" s="263" t="s">
        <v>1126</v>
      </c>
      <c r="C4" s="263"/>
      <c r="D4" s="337">
        <f>VLOOKUP(D$1,TabelContent[],COLUMN(TabelContent[Niveau]))</f>
        <v>2</v>
      </c>
    </row>
    <row r="5" spans="2:11" x14ac:dyDescent="0.2">
      <c r="B5" s="10"/>
      <c r="C5" s="10"/>
      <c r="D5" s="10"/>
      <c r="E5" s="10"/>
    </row>
    <row r="6" spans="2:11" x14ac:dyDescent="0.2">
      <c r="B6" s="387" t="s">
        <v>1132</v>
      </c>
      <c r="C6" s="387"/>
      <c r="D6" s="387"/>
      <c r="E6" s="387"/>
    </row>
    <row r="7" spans="2:11" x14ac:dyDescent="0.2">
      <c r="B7" s="10"/>
      <c r="C7" s="10"/>
      <c r="D7" s="10"/>
      <c r="E7" s="10"/>
    </row>
    <row r="8" spans="2:11" x14ac:dyDescent="0.2">
      <c r="B8" s="82"/>
      <c r="C8" s="82"/>
      <c r="D8" s="82"/>
      <c r="E8" s="82"/>
      <c r="F8" s="83"/>
      <c r="G8" s="83"/>
      <c r="H8" s="83"/>
      <c r="I8" s="83"/>
      <c r="J8" s="83"/>
      <c r="K8" s="83"/>
    </row>
    <row r="9" spans="2:11" x14ac:dyDescent="0.2">
      <c r="B9" s="82"/>
      <c r="D9" s="212"/>
      <c r="E9" s="401" t="s">
        <v>937</v>
      </c>
      <c r="F9" s="398"/>
      <c r="G9" s="399"/>
      <c r="H9" s="400" t="s">
        <v>563</v>
      </c>
      <c r="I9" s="398" t="s">
        <v>563</v>
      </c>
      <c r="J9" s="398"/>
      <c r="K9" s="399"/>
    </row>
    <row r="10" spans="2:11" ht="32.25" x14ac:dyDescent="0.2">
      <c r="B10" s="82"/>
      <c r="D10" s="85" t="s">
        <v>558</v>
      </c>
      <c r="E10" s="86" t="s">
        <v>938</v>
      </c>
      <c r="F10" s="87" t="s">
        <v>1188</v>
      </c>
      <c r="G10" s="88" t="s">
        <v>1189</v>
      </c>
      <c r="H10" s="89" t="s">
        <v>930</v>
      </c>
      <c r="I10" s="86" t="s">
        <v>938</v>
      </c>
      <c r="J10" s="87" t="s">
        <v>1188</v>
      </c>
      <c r="K10" s="88" t="s">
        <v>1189</v>
      </c>
    </row>
    <row r="11" spans="2:11" x14ac:dyDescent="0.2">
      <c r="B11" s="82"/>
      <c r="D11" s="213" t="s">
        <v>559</v>
      </c>
      <c r="E11" s="214">
        <v>0.31</v>
      </c>
      <c r="F11" s="297">
        <v>16</v>
      </c>
      <c r="G11" s="298">
        <v>6</v>
      </c>
      <c r="H11" s="215">
        <v>100</v>
      </c>
      <c r="I11" s="301">
        <f t="shared" ref="I11:K13" si="0">$H11*E11</f>
        <v>31</v>
      </c>
      <c r="J11" s="302">
        <f t="shared" si="0"/>
        <v>1600</v>
      </c>
      <c r="K11" s="303">
        <f t="shared" si="0"/>
        <v>600</v>
      </c>
    </row>
    <row r="12" spans="2:11" x14ac:dyDescent="0.2">
      <c r="B12" s="82"/>
      <c r="D12" s="122" t="s">
        <v>560</v>
      </c>
      <c r="E12" s="216">
        <v>0.2</v>
      </c>
      <c r="F12" s="297">
        <v>12</v>
      </c>
      <c r="G12" s="298">
        <v>5</v>
      </c>
      <c r="H12" s="215">
        <v>100</v>
      </c>
      <c r="I12" s="304">
        <f t="shared" si="0"/>
        <v>20</v>
      </c>
      <c r="J12" s="305">
        <f t="shared" si="0"/>
        <v>1200</v>
      </c>
      <c r="K12" s="298">
        <f t="shared" si="0"/>
        <v>500</v>
      </c>
    </row>
    <row r="13" spans="2:11" x14ac:dyDescent="0.2">
      <c r="B13" s="82"/>
      <c r="D13" s="123" t="s">
        <v>561</v>
      </c>
      <c r="E13" s="217">
        <v>0.25</v>
      </c>
      <c r="F13" s="299">
        <v>10</v>
      </c>
      <c r="G13" s="300">
        <v>4</v>
      </c>
      <c r="H13" s="218">
        <v>100</v>
      </c>
      <c r="I13" s="306">
        <f t="shared" si="0"/>
        <v>25</v>
      </c>
      <c r="J13" s="307">
        <f t="shared" si="0"/>
        <v>1000</v>
      </c>
      <c r="K13" s="298">
        <f t="shared" si="0"/>
        <v>400</v>
      </c>
    </row>
    <row r="14" spans="2:11" x14ac:dyDescent="0.2">
      <c r="B14" s="82"/>
      <c r="D14" s="212"/>
      <c r="E14" s="212"/>
      <c r="F14" s="212"/>
      <c r="G14" s="219" t="s">
        <v>17</v>
      </c>
      <c r="H14" s="220">
        <f>SUM(H11:H13)</f>
        <v>300</v>
      </c>
      <c r="I14" s="308">
        <f>SUM(I11:I13)</f>
        <v>76</v>
      </c>
      <c r="J14" s="309">
        <f t="shared" ref="J14:K14" si="1">SUM(J11:J13)</f>
        <v>3800</v>
      </c>
      <c r="K14" s="310">
        <f t="shared" si="1"/>
        <v>1500</v>
      </c>
    </row>
    <row r="15" spans="2:11" x14ac:dyDescent="0.2">
      <c r="B15" s="82"/>
      <c r="D15" s="90" t="s">
        <v>469</v>
      </c>
      <c r="E15" s="91" t="s">
        <v>562</v>
      </c>
      <c r="F15" s="82"/>
      <c r="G15" s="83"/>
      <c r="H15" s="83"/>
      <c r="I15" s="83"/>
      <c r="J15" s="83"/>
      <c r="K15" s="83"/>
    </row>
    <row r="16" spans="2:11" x14ac:dyDescent="0.2">
      <c r="B16" s="83"/>
      <c r="D16" s="228" t="s">
        <v>1139</v>
      </c>
      <c r="E16" s="83">
        <v>150</v>
      </c>
      <c r="F16" s="83" t="s">
        <v>471</v>
      </c>
      <c r="G16" s="83"/>
      <c r="H16" s="83"/>
      <c r="I16" s="83"/>
      <c r="J16" s="83"/>
      <c r="K16" s="83"/>
    </row>
    <row r="17" spans="2:11" x14ac:dyDescent="0.2">
      <c r="B17" s="83"/>
      <c r="D17" s="228" t="s">
        <v>1140</v>
      </c>
      <c r="E17" s="83">
        <v>8000</v>
      </c>
      <c r="F17" s="83" t="s">
        <v>471</v>
      </c>
      <c r="G17" s="83"/>
      <c r="H17" s="83"/>
      <c r="I17" s="83"/>
      <c r="J17" s="83"/>
      <c r="K17" s="83"/>
    </row>
    <row r="18" spans="2:11" x14ac:dyDescent="0.2">
      <c r="B18" s="83"/>
      <c r="D18" s="228" t="s">
        <v>1143</v>
      </c>
      <c r="E18" s="83">
        <v>300</v>
      </c>
      <c r="F18" s="83" t="s">
        <v>471</v>
      </c>
      <c r="G18" s="83"/>
      <c r="H18" s="83"/>
      <c r="I18" s="83"/>
      <c r="J18" s="83"/>
      <c r="K18" s="83"/>
    </row>
    <row r="19" spans="2:11" x14ac:dyDescent="0.2">
      <c r="B19" s="83"/>
      <c r="D19" s="228" t="s">
        <v>1141</v>
      </c>
      <c r="E19" s="83">
        <v>400</v>
      </c>
      <c r="F19" s="83" t="s">
        <v>471</v>
      </c>
      <c r="G19" s="83"/>
      <c r="H19" s="83"/>
      <c r="I19" s="83"/>
      <c r="J19" s="83"/>
      <c r="K19" s="83"/>
    </row>
    <row r="20" spans="2:11" x14ac:dyDescent="0.2">
      <c r="B20" s="83"/>
      <c r="D20" s="228" t="s">
        <v>1142</v>
      </c>
      <c r="E20" s="83">
        <v>400</v>
      </c>
      <c r="F20" s="83" t="s">
        <v>471</v>
      </c>
      <c r="G20" s="83"/>
      <c r="H20" s="83"/>
      <c r="I20" s="83"/>
      <c r="J20" s="83"/>
      <c r="K20" s="83"/>
    </row>
    <row r="21" spans="2:11" x14ac:dyDescent="0.2">
      <c r="B21" s="83"/>
      <c r="C21" s="83"/>
      <c r="D21" s="83"/>
      <c r="E21" s="83"/>
      <c r="F21" s="83"/>
      <c r="G21" s="83"/>
      <c r="H21" s="83"/>
      <c r="I21" s="83"/>
      <c r="J21" s="83"/>
      <c r="K21" s="83"/>
    </row>
  </sheetData>
  <mergeCells count="4">
    <mergeCell ref="B1:C1"/>
    <mergeCell ref="H9:K9"/>
    <mergeCell ref="E9:G9"/>
    <mergeCell ref="B6:E6"/>
  </mergeCells>
  <hyperlinks>
    <hyperlink ref="B6:D6" location="sjabloon!A1" display="Ga naar Inhoudsopgave" xr:uid="{00000000-0004-0000-3700-000000000000}"/>
    <hyperlink ref="B6:E6" location="TOC!A1" display="Go to TOC" xr:uid="{00000000-0004-0000-3700-000001000000}"/>
  </hyperlinks>
  <pageMargins left="0.7" right="0.7" top="0.75" bottom="0.75" header="0.3" footer="0.3"/>
  <pageSetup paperSize="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s="9" customFormat="1" x14ac:dyDescent="0.2">
      <c r="B1" s="386" t="s">
        <v>1047</v>
      </c>
      <c r="C1" s="386"/>
      <c r="D1" s="263" t="s">
        <v>569</v>
      </c>
    </row>
    <row r="2" spans="2:12" x14ac:dyDescent="0.2">
      <c r="B2" s="263" t="s">
        <v>1124</v>
      </c>
      <c r="C2" s="263"/>
      <c r="D2" s="337" t="str">
        <f>VLOOKUP(D$1,TabelContent[],COLUMN(TabelContent[Titel-EN]))</f>
        <v>Production of aluminium ladders</v>
      </c>
    </row>
    <row r="3" spans="2:12" x14ac:dyDescent="0.2">
      <c r="B3" s="263" t="s">
        <v>1125</v>
      </c>
      <c r="C3" s="263"/>
      <c r="D3" s="337" t="str">
        <f>VLOOKUP(D$1,TabelContent[],COLUMN(TabelContent[Cat-EN]))</f>
        <v>Solver</v>
      </c>
    </row>
    <row r="4" spans="2:12" x14ac:dyDescent="0.2">
      <c r="B4" s="263" t="s">
        <v>1126</v>
      </c>
      <c r="C4" s="263"/>
      <c r="D4" s="337">
        <f>VLOOKUP(D$1,TabelContent[],COLUMN(TabelContent[Niveau]))</f>
        <v>2</v>
      </c>
    </row>
    <row r="5" spans="2:12" x14ac:dyDescent="0.2">
      <c r="B5" s="10"/>
      <c r="C5" s="10"/>
      <c r="D5" s="10"/>
      <c r="E5" s="10"/>
    </row>
    <row r="6" spans="2:12" x14ac:dyDescent="0.2">
      <c r="B6" s="387" t="s">
        <v>1132</v>
      </c>
      <c r="C6" s="387"/>
      <c r="D6" s="387"/>
      <c r="E6" s="387"/>
    </row>
    <row r="7" spans="2:12" x14ac:dyDescent="0.2">
      <c r="B7" s="10"/>
      <c r="C7" s="10"/>
      <c r="D7" s="10"/>
      <c r="E7" s="10"/>
    </row>
    <row r="8" spans="2:12" x14ac:dyDescent="0.2">
      <c r="B8" s="10"/>
      <c r="C8" s="92"/>
      <c r="D8" s="402" t="s">
        <v>939</v>
      </c>
      <c r="E8" s="403"/>
      <c r="F8" s="403"/>
      <c r="G8" s="400"/>
      <c r="H8" s="93"/>
      <c r="I8" s="404" t="s">
        <v>940</v>
      </c>
      <c r="J8" s="403"/>
      <c r="K8" s="403"/>
      <c r="L8" s="403"/>
    </row>
    <row r="9" spans="2:12" x14ac:dyDescent="0.2">
      <c r="B9" s="10"/>
      <c r="C9" s="94"/>
      <c r="D9" s="103" t="s">
        <v>943</v>
      </c>
      <c r="E9" s="103" t="s">
        <v>942</v>
      </c>
      <c r="F9" s="84" t="s">
        <v>941</v>
      </c>
      <c r="G9" s="84" t="s">
        <v>927</v>
      </c>
      <c r="H9" s="99" t="s">
        <v>930</v>
      </c>
      <c r="I9" s="108" t="s">
        <v>943</v>
      </c>
      <c r="J9" s="109" t="s">
        <v>942</v>
      </c>
      <c r="K9" s="109" t="s">
        <v>941</v>
      </c>
      <c r="L9" s="110" t="s">
        <v>927</v>
      </c>
    </row>
    <row r="10" spans="2:12" x14ac:dyDescent="0.2">
      <c r="B10" s="10"/>
      <c r="C10" s="95" t="s">
        <v>566</v>
      </c>
      <c r="D10" s="104">
        <v>4</v>
      </c>
      <c r="E10" s="104">
        <v>5</v>
      </c>
      <c r="F10" s="105">
        <v>6</v>
      </c>
      <c r="G10" s="314">
        <v>50</v>
      </c>
      <c r="H10" s="100">
        <v>1</v>
      </c>
      <c r="I10" s="111">
        <f>$H10*D10</f>
        <v>4</v>
      </c>
      <c r="J10" s="112">
        <f t="shared" ref="J10:L12" si="0">$H10*E10</f>
        <v>5</v>
      </c>
      <c r="K10" s="112">
        <f t="shared" si="0"/>
        <v>6</v>
      </c>
      <c r="L10" s="316">
        <f t="shared" si="0"/>
        <v>50</v>
      </c>
    </row>
    <row r="11" spans="2:12" x14ac:dyDescent="0.2">
      <c r="B11" s="10"/>
      <c r="C11" s="95" t="s">
        <v>567</v>
      </c>
      <c r="D11" s="104">
        <v>5</v>
      </c>
      <c r="E11" s="104">
        <v>7</v>
      </c>
      <c r="F11" s="105">
        <v>9</v>
      </c>
      <c r="G11" s="314">
        <v>70</v>
      </c>
      <c r="H11" s="100">
        <v>1</v>
      </c>
      <c r="I11" s="111">
        <f t="shared" ref="I11:I12" si="1">$H11*D11</f>
        <v>5</v>
      </c>
      <c r="J11" s="112">
        <f t="shared" si="0"/>
        <v>7</v>
      </c>
      <c r="K11" s="112">
        <f t="shared" si="0"/>
        <v>9</v>
      </c>
      <c r="L11" s="316">
        <f t="shared" si="0"/>
        <v>70</v>
      </c>
    </row>
    <row r="12" spans="2:12" x14ac:dyDescent="0.2">
      <c r="B12" s="10"/>
      <c r="C12" s="96" t="s">
        <v>568</v>
      </c>
      <c r="D12" s="106">
        <v>6</v>
      </c>
      <c r="E12" s="106">
        <v>7</v>
      </c>
      <c r="F12" s="107">
        <v>7</v>
      </c>
      <c r="G12" s="315">
        <v>80</v>
      </c>
      <c r="H12" s="101">
        <v>1</v>
      </c>
      <c r="I12" s="113">
        <f t="shared" si="1"/>
        <v>6</v>
      </c>
      <c r="J12" s="114">
        <f t="shared" si="0"/>
        <v>7</v>
      </c>
      <c r="K12" s="114">
        <f t="shared" si="0"/>
        <v>7</v>
      </c>
      <c r="L12" s="317">
        <f t="shared" si="0"/>
        <v>80</v>
      </c>
    </row>
    <row r="13" spans="2:12" x14ac:dyDescent="0.2">
      <c r="B13" s="10"/>
      <c r="C13" s="92"/>
      <c r="D13" s="92"/>
      <c r="E13" s="92"/>
      <c r="F13" s="97"/>
      <c r="G13" s="97"/>
      <c r="H13" s="102" t="s">
        <v>830</v>
      </c>
      <c r="I13" s="115">
        <f t="shared" ref="I13:K13" si="2">SUM(I10:I12)</f>
        <v>15</v>
      </c>
      <c r="J13" s="116">
        <f t="shared" si="2"/>
        <v>19</v>
      </c>
      <c r="K13" s="116">
        <f t="shared" si="2"/>
        <v>22</v>
      </c>
      <c r="L13" s="318">
        <f>SUM(L10:L12)</f>
        <v>200</v>
      </c>
    </row>
    <row r="14" spans="2:12" x14ac:dyDescent="0.2">
      <c r="B14" s="10"/>
      <c r="C14" s="92"/>
      <c r="D14" s="92"/>
      <c r="E14" s="92"/>
      <c r="F14" s="97"/>
      <c r="G14" s="97"/>
      <c r="H14" s="97"/>
      <c r="I14" s="97"/>
      <c r="J14" s="97"/>
      <c r="K14" s="97"/>
      <c r="L14" s="97"/>
    </row>
    <row r="15" spans="2:12" x14ac:dyDescent="0.2">
      <c r="B15" s="10"/>
      <c r="C15" s="92"/>
      <c r="D15" s="92"/>
      <c r="E15" s="97"/>
      <c r="F15" s="90" t="s">
        <v>944</v>
      </c>
      <c r="G15" s="97"/>
      <c r="H15" s="97"/>
      <c r="I15" s="98">
        <v>80</v>
      </c>
      <c r="J15" s="98">
        <v>100</v>
      </c>
      <c r="K15" s="98">
        <v>120</v>
      </c>
      <c r="L15" s="97"/>
    </row>
  </sheetData>
  <mergeCells count="4">
    <mergeCell ref="B1:C1"/>
    <mergeCell ref="B6:E6"/>
    <mergeCell ref="D8:G8"/>
    <mergeCell ref="I8:L8"/>
  </mergeCells>
  <hyperlinks>
    <hyperlink ref="B6:D6" location="sjabloon!A1" display="Ga naar Inhoudsopgave" xr:uid="{00000000-0004-0000-3800-000000000000}"/>
    <hyperlink ref="B6:E6" location="TOC!A1" display="Go to TOC" xr:uid="{00000000-0004-0000-3800-000001000000}"/>
  </hyperlinks>
  <pageMargins left="0.7" right="0.7" top="0.75" bottom="0.75" header="0.3" footer="0.3"/>
  <pageSetup paperSize="9" orientation="landscape"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7.140625" style="4" customWidth="1"/>
    <col min="5" max="5" width="6.85546875" style="4" customWidth="1"/>
    <col min="6" max="6" width="3.7109375" style="4" bestFit="1" customWidth="1"/>
    <col min="7" max="7" width="6.5703125" style="4" bestFit="1" customWidth="1"/>
    <col min="8" max="8" width="7.28515625" style="4" bestFit="1" customWidth="1"/>
    <col min="9" max="9" width="7.140625" style="4" bestFit="1" customWidth="1"/>
    <col min="10" max="10" width="6.85546875" style="4" bestFit="1" customWidth="1"/>
    <col min="11" max="11" width="3.7109375" style="4" bestFit="1" customWidth="1"/>
    <col min="12" max="12" width="6.5703125" style="4" bestFit="1" customWidth="1"/>
    <col min="13" max="16384" width="9.140625" style="4"/>
  </cols>
  <sheetData>
    <row r="1" spans="2:12" s="9" customFormat="1" x14ac:dyDescent="0.2">
      <c r="B1" s="386" t="s">
        <v>1047</v>
      </c>
      <c r="C1" s="386"/>
      <c r="D1" s="263" t="s">
        <v>576</v>
      </c>
    </row>
    <row r="2" spans="2:12" x14ac:dyDescent="0.2">
      <c r="B2" s="263" t="s">
        <v>1124</v>
      </c>
      <c r="C2" s="263"/>
      <c r="D2" s="337" t="str">
        <f>VLOOKUP(D$1,TabelContent[],COLUMN(TabelContent[Titel-EN]))</f>
        <v>Production of dog food</v>
      </c>
    </row>
    <row r="3" spans="2:12" x14ac:dyDescent="0.2">
      <c r="B3" s="263" t="s">
        <v>1125</v>
      </c>
      <c r="C3" s="263"/>
      <c r="D3" s="337" t="str">
        <f>VLOOKUP(D$1,TabelContent[],COLUMN(TabelContent[Cat-EN]))</f>
        <v>Solver</v>
      </c>
    </row>
    <row r="4" spans="2:12" x14ac:dyDescent="0.2">
      <c r="B4" s="263" t="s">
        <v>1126</v>
      </c>
      <c r="C4" s="263"/>
      <c r="D4" s="337">
        <f>VLOOKUP(D$1,TabelContent[],COLUMN(TabelContent[Niveau]))</f>
        <v>2</v>
      </c>
    </row>
    <row r="5" spans="2:12" x14ac:dyDescent="0.2">
      <c r="B5" s="10"/>
      <c r="C5" s="10"/>
      <c r="D5" s="10"/>
      <c r="E5" s="10"/>
    </row>
    <row r="6" spans="2:12" x14ac:dyDescent="0.2">
      <c r="B6" s="387" t="s">
        <v>1132</v>
      </c>
      <c r="C6" s="387"/>
      <c r="D6" s="387"/>
      <c r="E6" s="387"/>
    </row>
    <row r="7" spans="2:12" x14ac:dyDescent="0.2">
      <c r="B7" s="10"/>
      <c r="C7" s="10"/>
      <c r="D7" s="10"/>
      <c r="E7" s="10"/>
    </row>
    <row r="8" spans="2:12" x14ac:dyDescent="0.2">
      <c r="B8" s="10"/>
      <c r="C8" s="92"/>
      <c r="D8" s="402" t="s">
        <v>945</v>
      </c>
      <c r="E8" s="403"/>
      <c r="F8" s="403"/>
      <c r="G8" s="400"/>
      <c r="H8" s="93"/>
      <c r="I8" s="404" t="s">
        <v>570</v>
      </c>
      <c r="J8" s="403"/>
      <c r="K8" s="403"/>
      <c r="L8" s="403"/>
    </row>
    <row r="9" spans="2:12" x14ac:dyDescent="0.2">
      <c r="B9" s="10"/>
      <c r="C9" s="94"/>
      <c r="D9" s="103" t="s">
        <v>948</v>
      </c>
      <c r="E9" s="103" t="s">
        <v>950</v>
      </c>
      <c r="F9" s="84" t="s">
        <v>949</v>
      </c>
      <c r="G9" s="84" t="s">
        <v>759</v>
      </c>
      <c r="H9" s="99" t="s">
        <v>930</v>
      </c>
      <c r="I9" s="103" t="s">
        <v>948</v>
      </c>
      <c r="J9" s="103" t="s">
        <v>950</v>
      </c>
      <c r="K9" s="84" t="s">
        <v>949</v>
      </c>
      <c r="L9" s="319" t="s">
        <v>759</v>
      </c>
    </row>
    <row r="10" spans="2:12" x14ac:dyDescent="0.2">
      <c r="B10" s="10"/>
      <c r="C10" s="122" t="s">
        <v>946</v>
      </c>
      <c r="D10" s="104">
        <v>3</v>
      </c>
      <c r="E10" s="104">
        <v>2</v>
      </c>
      <c r="F10" s="105">
        <v>3</v>
      </c>
      <c r="G10" s="320">
        <v>8</v>
      </c>
      <c r="H10" s="100">
        <v>14</v>
      </c>
      <c r="I10" s="111">
        <f>$H10*D10</f>
        <v>42</v>
      </c>
      <c r="J10" s="112">
        <f t="shared" ref="J10:L11" si="0">$H10*E10</f>
        <v>28</v>
      </c>
      <c r="K10" s="112">
        <f t="shared" si="0"/>
        <v>42</v>
      </c>
      <c r="L10" s="322">
        <f t="shared" si="0"/>
        <v>112</v>
      </c>
    </row>
    <row r="11" spans="2:12" x14ac:dyDescent="0.2">
      <c r="B11" s="10"/>
      <c r="C11" s="123" t="s">
        <v>947</v>
      </c>
      <c r="D11" s="106">
        <v>8</v>
      </c>
      <c r="E11" s="106">
        <v>2</v>
      </c>
      <c r="F11" s="107">
        <v>1</v>
      </c>
      <c r="G11" s="321">
        <v>14</v>
      </c>
      <c r="H11" s="101">
        <v>4</v>
      </c>
      <c r="I11" s="113">
        <f t="shared" ref="I11" si="1">$H11*D11</f>
        <v>32</v>
      </c>
      <c r="J11" s="114">
        <f t="shared" si="0"/>
        <v>8</v>
      </c>
      <c r="K11" s="114">
        <f t="shared" si="0"/>
        <v>4</v>
      </c>
      <c r="L11" s="323">
        <f t="shared" si="0"/>
        <v>56</v>
      </c>
    </row>
    <row r="12" spans="2:12" x14ac:dyDescent="0.2">
      <c r="B12" s="10"/>
      <c r="C12" s="92"/>
      <c r="D12" s="92"/>
      <c r="E12" s="92"/>
      <c r="F12" s="97"/>
      <c r="G12" s="97"/>
      <c r="H12" s="102" t="s">
        <v>830</v>
      </c>
      <c r="I12" s="115">
        <f>SUM(I10:I11)</f>
        <v>74</v>
      </c>
      <c r="J12" s="116">
        <f>SUM(J10:J11)</f>
        <v>36</v>
      </c>
      <c r="K12" s="116">
        <f>SUM(K10:K11)</f>
        <v>46</v>
      </c>
      <c r="L12" s="324">
        <f>SUM(L10:L11)</f>
        <v>168</v>
      </c>
    </row>
    <row r="13" spans="2:12" x14ac:dyDescent="0.2">
      <c r="B13" s="10"/>
      <c r="C13" s="92"/>
      <c r="D13" s="92"/>
      <c r="E13" s="92"/>
      <c r="F13" s="97"/>
      <c r="G13" s="97"/>
      <c r="H13" s="97"/>
      <c r="I13" s="97"/>
      <c r="J13" s="97"/>
      <c r="K13" s="97"/>
      <c r="L13" s="97"/>
    </row>
    <row r="14" spans="2:12" x14ac:dyDescent="0.2">
      <c r="E14" s="1" t="s">
        <v>951</v>
      </c>
      <c r="I14" s="4">
        <v>72</v>
      </c>
      <c r="J14" s="4">
        <v>36</v>
      </c>
      <c r="K14" s="4">
        <v>36</v>
      </c>
    </row>
  </sheetData>
  <mergeCells count="4">
    <mergeCell ref="B1:C1"/>
    <mergeCell ref="B6:E6"/>
    <mergeCell ref="D8:G8"/>
    <mergeCell ref="I8:L8"/>
  </mergeCells>
  <hyperlinks>
    <hyperlink ref="B6:D6" location="sjabloon!A1" display="Ga naar Inhoudsopgave" xr:uid="{00000000-0004-0000-3900-000000000000}"/>
    <hyperlink ref="B6:E6" location="TOC!A1" display="Go to TOC" xr:uid="{00000000-0004-0000-3900-000001000000}"/>
  </hyperlinks>
  <pageMargins left="0.7" right="0.7" top="0.75" bottom="0.75" header="0.3" footer="0.3"/>
  <pageSetup paperSize="9" orientation="landscape"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28515625" style="4" bestFit="1" customWidth="1"/>
    <col min="4" max="4" width="5.85546875" style="4" bestFit="1" customWidth="1"/>
    <col min="5" max="5" width="10.7109375" style="4" bestFit="1" customWidth="1"/>
    <col min="6" max="6" width="9" style="4" customWidth="1"/>
    <col min="7" max="7" width="6.7109375" style="4" customWidth="1"/>
    <col min="8" max="8" width="8.855468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s="9" customFormat="1" x14ac:dyDescent="0.2">
      <c r="B1" s="386" t="s">
        <v>1047</v>
      </c>
      <c r="C1" s="386"/>
      <c r="D1" s="263" t="s">
        <v>577</v>
      </c>
    </row>
    <row r="2" spans="2:12" x14ac:dyDescent="0.2">
      <c r="B2" s="263" t="s">
        <v>1124</v>
      </c>
      <c r="C2" s="263"/>
      <c r="D2" s="337" t="str">
        <f>VLOOKUP(D$1,TabelContent[],COLUMN(TabelContent[Titel-EN]))</f>
        <v>Vitamins for cattle feeding</v>
      </c>
    </row>
    <row r="3" spans="2:12" x14ac:dyDescent="0.2">
      <c r="B3" s="263" t="s">
        <v>1125</v>
      </c>
      <c r="C3" s="263"/>
      <c r="D3" s="337" t="str">
        <f>VLOOKUP(D$1,TabelContent[],COLUMN(TabelContent[Cat-EN]))</f>
        <v>Solver</v>
      </c>
    </row>
    <row r="4" spans="2:12" x14ac:dyDescent="0.2">
      <c r="B4" s="263" t="s">
        <v>1126</v>
      </c>
      <c r="C4" s="263"/>
      <c r="D4" s="337">
        <f>VLOOKUP(D$1,TabelContent[],COLUMN(TabelContent[Niveau]))</f>
        <v>3</v>
      </c>
    </row>
    <row r="5" spans="2:12" x14ac:dyDescent="0.2">
      <c r="B5" s="10"/>
      <c r="C5" s="10"/>
      <c r="D5" s="10"/>
      <c r="E5" s="10"/>
    </row>
    <row r="6" spans="2:12" x14ac:dyDescent="0.2">
      <c r="B6" s="387" t="s">
        <v>1132</v>
      </c>
      <c r="C6" s="387"/>
      <c r="D6" s="387"/>
      <c r="E6" s="387"/>
    </row>
    <row r="7" spans="2:12" x14ac:dyDescent="0.2">
      <c r="B7" s="10"/>
      <c r="C7" s="10"/>
      <c r="D7" s="10"/>
      <c r="E7" s="10"/>
    </row>
    <row r="8" spans="2:12" x14ac:dyDescent="0.2">
      <c r="B8" s="10"/>
      <c r="C8" s="92"/>
      <c r="D8" s="402" t="s">
        <v>571</v>
      </c>
      <c r="E8" s="403"/>
      <c r="F8" s="403"/>
      <c r="G8" s="400"/>
      <c r="H8" s="93"/>
      <c r="I8" s="404" t="s">
        <v>940</v>
      </c>
      <c r="J8" s="403"/>
      <c r="K8" s="403"/>
      <c r="L8" s="403"/>
    </row>
    <row r="9" spans="2:12" ht="21.75" x14ac:dyDescent="0.2">
      <c r="B9" s="10"/>
      <c r="C9" s="119"/>
      <c r="D9" s="87" t="s">
        <v>572</v>
      </c>
      <c r="E9" s="87" t="s">
        <v>573</v>
      </c>
      <c r="F9" s="87" t="s">
        <v>574</v>
      </c>
      <c r="G9" s="89" t="s">
        <v>952</v>
      </c>
      <c r="H9" s="117" t="s">
        <v>953</v>
      </c>
      <c r="I9" s="87" t="s">
        <v>572</v>
      </c>
      <c r="J9" s="87" t="s">
        <v>573</v>
      </c>
      <c r="K9" s="87" t="s">
        <v>574</v>
      </c>
      <c r="L9" s="118" t="s">
        <v>952</v>
      </c>
    </row>
    <row r="10" spans="2:12" x14ac:dyDescent="0.2">
      <c r="B10" s="10"/>
      <c r="C10" s="95" t="s">
        <v>566</v>
      </c>
      <c r="D10" s="104">
        <v>16</v>
      </c>
      <c r="E10" s="104">
        <v>18</v>
      </c>
      <c r="F10" s="105">
        <v>2</v>
      </c>
      <c r="G10" s="312">
        <v>5.4</v>
      </c>
      <c r="H10" s="120">
        <v>7.5</v>
      </c>
      <c r="I10" s="111">
        <f>$H10*D10</f>
        <v>120</v>
      </c>
      <c r="J10" s="112">
        <f t="shared" ref="J10:L12" si="0">$H10*E10</f>
        <v>135</v>
      </c>
      <c r="K10" s="112">
        <f t="shared" si="0"/>
        <v>15</v>
      </c>
      <c r="L10" s="325">
        <f t="shared" si="0"/>
        <v>40.5</v>
      </c>
    </row>
    <row r="11" spans="2:12" x14ac:dyDescent="0.2">
      <c r="B11" s="10"/>
      <c r="C11" s="95" t="s">
        <v>567</v>
      </c>
      <c r="D11" s="104">
        <v>4</v>
      </c>
      <c r="E11" s="104">
        <v>22</v>
      </c>
      <c r="F11" s="105">
        <v>20</v>
      </c>
      <c r="G11" s="312">
        <v>12.6</v>
      </c>
      <c r="H11" s="120">
        <v>1.3970588235294112</v>
      </c>
      <c r="I11" s="111">
        <f t="shared" ref="I11:I12" si="1">$H11*D11</f>
        <v>5.588235294117645</v>
      </c>
      <c r="J11" s="112">
        <f t="shared" si="0"/>
        <v>30.735294117647047</v>
      </c>
      <c r="K11" s="112">
        <f t="shared" si="0"/>
        <v>27.941176470588225</v>
      </c>
      <c r="L11" s="325">
        <f t="shared" si="0"/>
        <v>17.60294117647058</v>
      </c>
    </row>
    <row r="12" spans="2:12" x14ac:dyDescent="0.2">
      <c r="B12" s="10"/>
      <c r="C12" s="96" t="s">
        <v>568</v>
      </c>
      <c r="D12" s="106">
        <v>40</v>
      </c>
      <c r="E12" s="106">
        <v>10</v>
      </c>
      <c r="F12" s="107">
        <v>40</v>
      </c>
      <c r="G12" s="313">
        <v>7.2</v>
      </c>
      <c r="H12" s="121">
        <v>1.4264705882352942</v>
      </c>
      <c r="I12" s="113">
        <f t="shared" si="1"/>
        <v>57.058823529411768</v>
      </c>
      <c r="J12" s="114">
        <f t="shared" si="0"/>
        <v>14.264705882352942</v>
      </c>
      <c r="K12" s="114">
        <f t="shared" si="0"/>
        <v>57.058823529411768</v>
      </c>
      <c r="L12" s="326">
        <f t="shared" si="0"/>
        <v>10.270588235294118</v>
      </c>
    </row>
    <row r="13" spans="2:12" x14ac:dyDescent="0.2">
      <c r="B13" s="10"/>
      <c r="C13" s="92"/>
      <c r="D13" s="92"/>
      <c r="E13" s="92"/>
      <c r="F13" s="97"/>
      <c r="G13" s="97"/>
      <c r="H13" s="102" t="s">
        <v>830</v>
      </c>
      <c r="I13" s="115">
        <f t="shared" ref="I13:K13" si="2">SUM(I10:I12)</f>
        <v>182.64705882352942</v>
      </c>
      <c r="J13" s="116">
        <f t="shared" si="2"/>
        <v>180</v>
      </c>
      <c r="K13" s="116">
        <f t="shared" si="2"/>
        <v>100</v>
      </c>
      <c r="L13" s="327">
        <f>SUM(L10:L12)</f>
        <v>68.373529411764693</v>
      </c>
    </row>
    <row r="14" spans="2:12" x14ac:dyDescent="0.2">
      <c r="B14" s="10"/>
      <c r="C14" s="92"/>
      <c r="D14" s="92"/>
      <c r="E14" s="92"/>
      <c r="F14" s="97"/>
      <c r="G14" s="97"/>
      <c r="H14" s="97"/>
      <c r="I14" s="97"/>
      <c r="J14" s="97"/>
      <c r="K14" s="97"/>
      <c r="L14" s="97"/>
    </row>
    <row r="15" spans="2:12" x14ac:dyDescent="0.2">
      <c r="C15" s="98" t="s">
        <v>954</v>
      </c>
      <c r="D15" s="97"/>
      <c r="E15" s="97"/>
    </row>
    <row r="16" spans="2:12" x14ac:dyDescent="0.2">
      <c r="C16" s="228" t="s">
        <v>1145</v>
      </c>
      <c r="D16" s="97">
        <v>120</v>
      </c>
      <c r="E16" s="97" t="s">
        <v>470</v>
      </c>
    </row>
    <row r="17" spans="3:5" x14ac:dyDescent="0.2">
      <c r="C17" s="228" t="s">
        <v>1144</v>
      </c>
      <c r="D17" s="97">
        <v>180</v>
      </c>
      <c r="E17" s="97" t="s">
        <v>470</v>
      </c>
    </row>
    <row r="18" spans="3:5" x14ac:dyDescent="0.2">
      <c r="C18" s="228" t="s">
        <v>1146</v>
      </c>
      <c r="D18" s="97">
        <v>100</v>
      </c>
      <c r="E18" s="97" t="s">
        <v>470</v>
      </c>
    </row>
    <row r="19" spans="3:5" x14ac:dyDescent="0.2">
      <c r="C19" s="228" t="s">
        <v>1147</v>
      </c>
      <c r="D19" s="97">
        <v>7.5</v>
      </c>
      <c r="E19" s="97" t="s">
        <v>471</v>
      </c>
    </row>
    <row r="20" spans="3:5" x14ac:dyDescent="0.2">
      <c r="C20" s="228" t="s">
        <v>1148</v>
      </c>
      <c r="D20" s="97">
        <v>5</v>
      </c>
      <c r="E20" s="97" t="s">
        <v>471</v>
      </c>
    </row>
    <row r="21" spans="3:5" x14ac:dyDescent="0.2">
      <c r="C21" s="228" t="s">
        <v>1149</v>
      </c>
      <c r="D21" s="97">
        <v>2.5</v>
      </c>
      <c r="E21" s="97" t="s">
        <v>471</v>
      </c>
    </row>
  </sheetData>
  <mergeCells count="4">
    <mergeCell ref="B1:C1"/>
    <mergeCell ref="B6:E6"/>
    <mergeCell ref="D8:G8"/>
    <mergeCell ref="I8:L8"/>
  </mergeCells>
  <hyperlinks>
    <hyperlink ref="B6:D6" location="sjabloon!A1" display="Ga naar Inhoudsopgave" xr:uid="{00000000-0004-0000-3A00-000000000000}"/>
    <hyperlink ref="B6:E6" location="TOC!A1" display="Go to TOC" xr:uid="{00000000-0004-0000-3A00-000001000000}"/>
  </hyperlinks>
  <pageMargins left="0.7" right="0.7" top="0.75" bottom="0.75" header="0.3" footer="0.3"/>
  <pageSetup paperSize="9" orientation="landscape"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7.28515625" style="4" bestFit="1" customWidth="1"/>
    <col min="8" max="9" width="6.42578125" style="4" bestFit="1" customWidth="1"/>
    <col min="10" max="10" width="6.5703125" style="4" bestFit="1" customWidth="1"/>
    <col min="11" max="16384" width="9.140625" style="4"/>
  </cols>
  <sheetData>
    <row r="1" spans="2:10" s="9" customFormat="1" x14ac:dyDescent="0.2">
      <c r="B1" s="386" t="s">
        <v>1047</v>
      </c>
      <c r="C1" s="386"/>
      <c r="D1" s="263" t="s">
        <v>578</v>
      </c>
    </row>
    <row r="2" spans="2:10" x14ac:dyDescent="0.2">
      <c r="B2" s="263" t="s">
        <v>1124</v>
      </c>
      <c r="C2" s="263"/>
      <c r="D2" s="337" t="str">
        <f>VLOOKUP(D$1,TabelContent[],COLUMN(TabelContent[Titel-EN]))</f>
        <v>Vitamin pills</v>
      </c>
    </row>
    <row r="3" spans="2:10" x14ac:dyDescent="0.2">
      <c r="B3" s="263" t="s">
        <v>1125</v>
      </c>
      <c r="C3" s="263"/>
      <c r="D3" s="337" t="str">
        <f>VLOOKUP(D$1,TabelContent[],COLUMN(TabelContent[Cat-EN]))</f>
        <v>Solver</v>
      </c>
    </row>
    <row r="4" spans="2:10" x14ac:dyDescent="0.2">
      <c r="B4" s="263" t="s">
        <v>1126</v>
      </c>
      <c r="C4" s="263"/>
      <c r="D4" s="337">
        <f>VLOOKUP(D$1,TabelContent[],COLUMN(TabelContent[Niveau]))</f>
        <v>2</v>
      </c>
    </row>
    <row r="5" spans="2:10" x14ac:dyDescent="0.2">
      <c r="B5" s="10"/>
      <c r="C5" s="10"/>
      <c r="D5" s="10"/>
    </row>
    <row r="6" spans="2:10" x14ac:dyDescent="0.2">
      <c r="B6" s="387" t="s">
        <v>1132</v>
      </c>
      <c r="C6" s="387"/>
      <c r="D6" s="387"/>
    </row>
    <row r="7" spans="2:10" x14ac:dyDescent="0.2">
      <c r="B7" s="10"/>
      <c r="C7" s="10"/>
      <c r="D7" s="10"/>
    </row>
    <row r="8" spans="2:10" x14ac:dyDescent="0.2">
      <c r="B8" s="10"/>
      <c r="C8" s="92"/>
      <c r="D8" s="402" t="s">
        <v>575</v>
      </c>
      <c r="E8" s="403"/>
      <c r="F8" s="400"/>
      <c r="G8" s="93"/>
      <c r="H8" s="404" t="s">
        <v>959</v>
      </c>
      <c r="I8" s="403"/>
      <c r="J8" s="403"/>
    </row>
    <row r="9" spans="2:10" ht="21.75" x14ac:dyDescent="0.2">
      <c r="B9" s="10"/>
      <c r="C9" s="119"/>
      <c r="D9" s="87" t="s">
        <v>957</v>
      </c>
      <c r="E9" s="87" t="s">
        <v>958</v>
      </c>
      <c r="F9" s="89" t="s">
        <v>952</v>
      </c>
      <c r="G9" s="117" t="s">
        <v>930</v>
      </c>
      <c r="H9" s="87" t="s">
        <v>957</v>
      </c>
      <c r="I9" s="87" t="s">
        <v>958</v>
      </c>
      <c r="J9" s="118" t="s">
        <v>952</v>
      </c>
    </row>
    <row r="10" spans="2:10" x14ac:dyDescent="0.2">
      <c r="B10" s="10"/>
      <c r="C10" s="122" t="s">
        <v>955</v>
      </c>
      <c r="D10" s="104">
        <v>75</v>
      </c>
      <c r="E10" s="105">
        <v>100</v>
      </c>
      <c r="F10" s="312">
        <v>0.1</v>
      </c>
      <c r="G10" s="124">
        <v>3.9999999999999996</v>
      </c>
      <c r="H10" s="111">
        <f t="shared" ref="H10:J11" si="0">$G10*D10</f>
        <v>299.99999999999994</v>
      </c>
      <c r="I10" s="112">
        <f t="shared" si="0"/>
        <v>399.99999999999994</v>
      </c>
      <c r="J10" s="325">
        <f t="shared" si="0"/>
        <v>0.39999999999999997</v>
      </c>
    </row>
    <row r="11" spans="2:10" x14ac:dyDescent="0.2">
      <c r="B11" s="10"/>
      <c r="C11" s="123" t="s">
        <v>956</v>
      </c>
      <c r="D11" s="106">
        <v>50</v>
      </c>
      <c r="E11" s="107">
        <v>200</v>
      </c>
      <c r="F11" s="313">
        <v>0.08</v>
      </c>
      <c r="G11" s="125">
        <v>1.9999999999999998</v>
      </c>
      <c r="H11" s="113">
        <f t="shared" si="0"/>
        <v>99.999999999999986</v>
      </c>
      <c r="I11" s="114">
        <f t="shared" si="0"/>
        <v>399.99999999999994</v>
      </c>
      <c r="J11" s="326">
        <f t="shared" si="0"/>
        <v>0.15999999999999998</v>
      </c>
    </row>
    <row r="12" spans="2:10" x14ac:dyDescent="0.2">
      <c r="B12" s="10"/>
      <c r="C12" s="92"/>
      <c r="D12" s="92"/>
      <c r="E12" s="97"/>
      <c r="F12" s="97"/>
      <c r="G12" s="102" t="s">
        <v>830</v>
      </c>
      <c r="H12" s="115">
        <f>SUM(H10:H11)</f>
        <v>399.99999999999994</v>
      </c>
      <c r="I12" s="116">
        <f>SUM(I10:I11)</f>
        <v>799.99999999999989</v>
      </c>
      <c r="J12" s="327">
        <f>SUM(J10:J11)</f>
        <v>0.55999999999999994</v>
      </c>
    </row>
    <row r="13" spans="2:10" x14ac:dyDescent="0.2">
      <c r="B13" s="10"/>
      <c r="C13" s="92"/>
      <c r="D13" s="92"/>
      <c r="E13" s="97"/>
      <c r="F13" s="97"/>
      <c r="G13" s="97"/>
      <c r="H13" s="97"/>
      <c r="I13" s="97"/>
      <c r="J13" s="97"/>
    </row>
    <row r="14" spans="2:10" x14ac:dyDescent="0.2">
      <c r="B14" s="10"/>
      <c r="D14" s="10" t="s">
        <v>1150</v>
      </c>
      <c r="H14" s="4">
        <v>400</v>
      </c>
      <c r="I14" s="4">
        <v>800</v>
      </c>
    </row>
  </sheetData>
  <mergeCells count="4">
    <mergeCell ref="B1:C1"/>
    <mergeCell ref="B6:D6"/>
    <mergeCell ref="D8:F8"/>
    <mergeCell ref="H8:J8"/>
  </mergeCells>
  <hyperlinks>
    <hyperlink ref="B6:D6" location="TOC!A1" display="Go to TOC" xr:uid="{00000000-0004-0000-3B00-000000000000}"/>
  </hyperlinks>
  <pageMargins left="0.7" right="0.7" top="0.75" bottom="0.75" header="0.3" footer="0.3"/>
  <pageSetup paperSize="9" orientation="landscape"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6" width="11.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s="9" customFormat="1" x14ac:dyDescent="0.2">
      <c r="B1" s="386" t="s">
        <v>1047</v>
      </c>
      <c r="C1" s="386"/>
      <c r="D1" s="263" t="s">
        <v>593</v>
      </c>
    </row>
    <row r="2" spans="2:10" x14ac:dyDescent="0.2">
      <c r="B2" s="263" t="s">
        <v>1124</v>
      </c>
      <c r="C2" s="263"/>
      <c r="D2" s="337" t="str">
        <f>VLOOKUP(D$1,TabelContent[],COLUMN(TabelContent[Titel-EN]))</f>
        <v>Minimizing transport costs</v>
      </c>
    </row>
    <row r="3" spans="2:10" x14ac:dyDescent="0.2">
      <c r="B3" s="263" t="s">
        <v>1125</v>
      </c>
      <c r="C3" s="263"/>
      <c r="D3" s="337" t="str">
        <f>VLOOKUP(D$1,TabelContent[],COLUMN(TabelContent[Cat-EN]))</f>
        <v>Solver</v>
      </c>
    </row>
    <row r="4" spans="2:10" x14ac:dyDescent="0.2">
      <c r="B4" s="263" t="s">
        <v>1126</v>
      </c>
      <c r="C4" s="263"/>
      <c r="D4" s="337">
        <f>VLOOKUP(D$1,TabelContent[],COLUMN(TabelContent[Niveau]))</f>
        <v>3</v>
      </c>
    </row>
    <row r="5" spans="2:10" x14ac:dyDescent="0.2">
      <c r="B5" s="10"/>
      <c r="C5" s="10"/>
      <c r="D5" s="10"/>
      <c r="E5" s="10"/>
    </row>
    <row r="6" spans="2:10" x14ac:dyDescent="0.2">
      <c r="B6" s="387" t="s">
        <v>1132</v>
      </c>
      <c r="C6" s="387"/>
      <c r="D6" s="387"/>
      <c r="E6" s="387"/>
    </row>
    <row r="7" spans="2:10" x14ac:dyDescent="0.2">
      <c r="B7" s="10"/>
      <c r="C7" s="10"/>
      <c r="D7" s="10"/>
      <c r="E7" s="10"/>
    </row>
    <row r="8" spans="2:10" x14ac:dyDescent="0.2">
      <c r="B8" s="10"/>
      <c r="D8" s="127"/>
      <c r="E8" s="128"/>
      <c r="F8" s="129" t="s">
        <v>579</v>
      </c>
      <c r="G8" s="129" t="s">
        <v>580</v>
      </c>
      <c r="H8" s="130" t="s">
        <v>581</v>
      </c>
      <c r="I8" s="127"/>
      <c r="J8" s="127"/>
    </row>
    <row r="9" spans="2:10" x14ac:dyDescent="0.2">
      <c r="B9" s="10"/>
      <c r="D9" s="127"/>
      <c r="E9" s="131" t="s">
        <v>582</v>
      </c>
      <c r="F9" s="328">
        <v>100</v>
      </c>
      <c r="G9" s="328">
        <v>87</v>
      </c>
      <c r="H9" s="329">
        <v>46</v>
      </c>
      <c r="I9" s="127"/>
      <c r="J9" s="127"/>
    </row>
    <row r="10" spans="2:10" x14ac:dyDescent="0.2">
      <c r="B10" s="10"/>
      <c r="D10" s="127"/>
      <c r="E10" s="131" t="s">
        <v>583</v>
      </c>
      <c r="F10" s="328">
        <v>164</v>
      </c>
      <c r="G10" s="328">
        <v>62</v>
      </c>
      <c r="H10" s="329">
        <v>115</v>
      </c>
      <c r="I10" s="127"/>
      <c r="J10" s="127"/>
    </row>
    <row r="11" spans="2:10" x14ac:dyDescent="0.2">
      <c r="B11" s="10"/>
      <c r="D11" s="127"/>
      <c r="E11" s="131" t="s">
        <v>584</v>
      </c>
      <c r="F11" s="330">
        <v>38</v>
      </c>
      <c r="G11" s="330">
        <v>128</v>
      </c>
      <c r="H11" s="329">
        <v>28</v>
      </c>
      <c r="I11" s="127"/>
      <c r="J11" s="127"/>
    </row>
    <row r="12" spans="2:10" x14ac:dyDescent="0.2">
      <c r="B12" s="10"/>
      <c r="D12" s="127"/>
      <c r="E12" s="131" t="s">
        <v>585</v>
      </c>
      <c r="F12" s="328">
        <v>57</v>
      </c>
      <c r="G12" s="328">
        <v>121</v>
      </c>
      <c r="H12" s="329">
        <v>30</v>
      </c>
      <c r="I12" s="127"/>
      <c r="J12" s="127"/>
    </row>
    <row r="13" spans="2:10" x14ac:dyDescent="0.2">
      <c r="B13" s="10"/>
      <c r="D13" s="127"/>
      <c r="E13" s="131" t="s">
        <v>586</v>
      </c>
      <c r="F13" s="328">
        <v>108</v>
      </c>
      <c r="G13" s="328">
        <v>58</v>
      </c>
      <c r="H13" s="329">
        <v>47</v>
      </c>
      <c r="I13" s="127"/>
      <c r="J13" s="127"/>
    </row>
    <row r="14" spans="2:10" x14ac:dyDescent="0.2">
      <c r="B14" s="10"/>
      <c r="D14" s="127"/>
      <c r="E14" s="132" t="s">
        <v>587</v>
      </c>
      <c r="F14" s="331">
        <v>83</v>
      </c>
      <c r="G14" s="331">
        <v>149</v>
      </c>
      <c r="H14" s="332">
        <v>66</v>
      </c>
      <c r="I14" s="127"/>
      <c r="J14" s="127"/>
    </row>
    <row r="15" spans="2:10" x14ac:dyDescent="0.2">
      <c r="B15" s="10"/>
      <c r="D15" s="127"/>
      <c r="E15" s="127"/>
      <c r="F15" s="127"/>
      <c r="G15" s="127"/>
      <c r="H15" s="127"/>
      <c r="I15" s="127"/>
      <c r="J15" s="127"/>
    </row>
    <row r="16" spans="2:10" x14ac:dyDescent="0.2">
      <c r="D16" s="133"/>
      <c r="E16" s="134" t="s">
        <v>961</v>
      </c>
      <c r="F16" s="135" t="s">
        <v>966</v>
      </c>
      <c r="G16" s="136"/>
      <c r="H16" s="137"/>
      <c r="I16" s="138" t="s">
        <v>967</v>
      </c>
      <c r="J16" s="139"/>
    </row>
    <row r="17" spans="4:10" x14ac:dyDescent="0.2">
      <c r="D17" s="140" t="s">
        <v>960</v>
      </c>
      <c r="E17" s="141" t="s">
        <v>963</v>
      </c>
      <c r="F17" s="142" t="s">
        <v>579</v>
      </c>
      <c r="G17" s="143" t="s">
        <v>580</v>
      </c>
      <c r="H17" s="143" t="s">
        <v>581</v>
      </c>
      <c r="I17" s="144" t="s">
        <v>968</v>
      </c>
      <c r="J17" s="127"/>
    </row>
    <row r="18" spans="4:10" x14ac:dyDescent="0.2">
      <c r="D18" s="145" t="s">
        <v>582</v>
      </c>
      <c r="E18" s="146">
        <v>225</v>
      </c>
      <c r="F18" s="157">
        <v>0</v>
      </c>
      <c r="G18" s="158">
        <v>0</v>
      </c>
      <c r="H18" s="158">
        <v>225.000001</v>
      </c>
      <c r="I18" s="163">
        <f>SUM(F18:H18)</f>
        <v>225.000001</v>
      </c>
      <c r="J18" s="127"/>
    </row>
    <row r="19" spans="4:10" x14ac:dyDescent="0.2">
      <c r="D19" s="145" t="s">
        <v>583</v>
      </c>
      <c r="E19" s="146">
        <v>120</v>
      </c>
      <c r="F19" s="157">
        <v>0</v>
      </c>
      <c r="G19" s="158">
        <v>119.99999999999997</v>
      </c>
      <c r="H19" s="158">
        <v>0</v>
      </c>
      <c r="I19" s="163">
        <f t="shared" ref="I19:I22" si="0">SUM(F19:H19)</f>
        <v>119.99999999999997</v>
      </c>
      <c r="J19" s="127"/>
    </row>
    <row r="20" spans="4:10" x14ac:dyDescent="0.2">
      <c r="D20" s="145" t="s">
        <v>584</v>
      </c>
      <c r="E20" s="146">
        <v>150</v>
      </c>
      <c r="F20" s="157">
        <v>150</v>
      </c>
      <c r="G20" s="158">
        <v>0</v>
      </c>
      <c r="H20" s="158">
        <v>0</v>
      </c>
      <c r="I20" s="163">
        <f t="shared" si="0"/>
        <v>150</v>
      </c>
      <c r="J20" s="127"/>
    </row>
    <row r="21" spans="4:10" x14ac:dyDescent="0.2">
      <c r="D21" s="145" t="s">
        <v>585</v>
      </c>
      <c r="E21" s="146">
        <v>100</v>
      </c>
      <c r="F21" s="157">
        <v>0</v>
      </c>
      <c r="G21" s="158">
        <v>0</v>
      </c>
      <c r="H21" s="158">
        <v>100.00000000000006</v>
      </c>
      <c r="I21" s="163">
        <f t="shared" si="0"/>
        <v>100.00000000000006</v>
      </c>
      <c r="J21" s="127"/>
    </row>
    <row r="22" spans="4:10" x14ac:dyDescent="0.2">
      <c r="D22" s="145" t="s">
        <v>586</v>
      </c>
      <c r="E22" s="146">
        <v>150</v>
      </c>
      <c r="F22" s="157">
        <v>0</v>
      </c>
      <c r="G22" s="158">
        <v>150.00000000000003</v>
      </c>
      <c r="H22" s="158">
        <v>0</v>
      </c>
      <c r="I22" s="163">
        <f t="shared" si="0"/>
        <v>150.00000000000003</v>
      </c>
      <c r="J22" s="127"/>
    </row>
    <row r="23" spans="4:10" x14ac:dyDescent="0.2">
      <c r="D23" s="147" t="s">
        <v>587</v>
      </c>
      <c r="E23" s="148">
        <v>250</v>
      </c>
      <c r="F23" s="159">
        <v>225</v>
      </c>
      <c r="G23" s="160">
        <v>0</v>
      </c>
      <c r="H23" s="160">
        <v>24.999999065978603</v>
      </c>
      <c r="I23" s="164">
        <f>SUM(F23:H23)</f>
        <v>249.99999906597861</v>
      </c>
      <c r="J23" s="127"/>
    </row>
    <row r="24" spans="4:10" x14ac:dyDescent="0.2">
      <c r="D24" s="147" t="s">
        <v>826</v>
      </c>
      <c r="E24" s="148">
        <f>SUM(E18:E23)</f>
        <v>995</v>
      </c>
      <c r="F24" s="161">
        <f>SUM(F18:F23)</f>
        <v>375</v>
      </c>
      <c r="G24" s="162">
        <f>SUM(G18:G23)</f>
        <v>270</v>
      </c>
      <c r="H24" s="162">
        <f>SUM(H18:H23)</f>
        <v>350.00000006597867</v>
      </c>
      <c r="I24" s="164">
        <f>SUM(I18:I23)</f>
        <v>995.00000006597872</v>
      </c>
      <c r="J24" s="149"/>
    </row>
    <row r="25" spans="4:10" x14ac:dyDescent="0.2">
      <c r="D25" s="127"/>
      <c r="E25" s="127"/>
      <c r="F25" s="127"/>
      <c r="G25" s="127"/>
      <c r="H25" s="127"/>
      <c r="I25" s="127"/>
      <c r="J25" s="127"/>
    </row>
    <row r="26" spans="4:10" x14ac:dyDescent="0.2">
      <c r="D26" s="150" t="s">
        <v>964</v>
      </c>
      <c r="E26" s="151"/>
      <c r="F26" s="165">
        <v>500</v>
      </c>
      <c r="G26" s="165">
        <v>400</v>
      </c>
      <c r="H26" s="166">
        <v>350</v>
      </c>
      <c r="I26" s="149"/>
      <c r="J26" s="127"/>
    </row>
    <row r="27" spans="4:10" x14ac:dyDescent="0.2">
      <c r="D27" s="147" t="s">
        <v>965</v>
      </c>
      <c r="E27" s="152"/>
      <c r="F27" s="167">
        <f>F26-F24</f>
        <v>125</v>
      </c>
      <c r="G27" s="167">
        <f>G26-G24</f>
        <v>130</v>
      </c>
      <c r="H27" s="168">
        <f>H26-H24</f>
        <v>-6.597866786250961E-8</v>
      </c>
      <c r="I27" s="149"/>
      <c r="J27" s="153"/>
    </row>
    <row r="28" spans="4:10" x14ac:dyDescent="0.2">
      <c r="D28" s="127"/>
      <c r="E28" s="127"/>
      <c r="F28" s="127"/>
      <c r="G28" s="127"/>
      <c r="H28" s="127"/>
      <c r="I28" s="127"/>
      <c r="J28" s="127"/>
    </row>
    <row r="29" spans="4:10" x14ac:dyDescent="0.2">
      <c r="D29" s="154" t="s">
        <v>962</v>
      </c>
      <c r="E29" s="155"/>
      <c r="F29" s="333">
        <f>SUMPRODUCT(F9:F14,F18:F23)</f>
        <v>24375</v>
      </c>
      <c r="G29" s="333">
        <f t="shared" ref="G29:H29" si="1">SUMPRODUCT(G9:G14,G18:G23)</f>
        <v>16140</v>
      </c>
      <c r="H29" s="333">
        <f t="shared" si="1"/>
        <v>14999.999984354588</v>
      </c>
      <c r="I29" s="333">
        <f>SUM(F29:H29)</f>
        <v>55514.999984354588</v>
      </c>
      <c r="J29" s="156" t="s">
        <v>826</v>
      </c>
    </row>
  </sheetData>
  <mergeCells count="2">
    <mergeCell ref="B6:E6"/>
    <mergeCell ref="B1:C1"/>
  </mergeCells>
  <hyperlinks>
    <hyperlink ref="B6:D6" location="sjabloon!A1" display="Ga naar Inhoudsopgave" xr:uid="{00000000-0004-0000-3C00-000000000000}"/>
    <hyperlink ref="B6:E6" location="TOC!A1" display="Go to TOC" xr:uid="{00000000-0004-0000-3C00-000001000000}"/>
  </hyperlinks>
  <pageMargins left="0.7" right="0.7" top="0.75" bottom="0.75" header="0.3" footer="0.3"/>
  <pageSetup paperSize="9" orientation="landscape"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85546875"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s="9" customFormat="1" x14ac:dyDescent="0.2">
      <c r="B1" s="386" t="s">
        <v>1047</v>
      </c>
      <c r="C1" s="386"/>
      <c r="D1" s="263" t="s">
        <v>594</v>
      </c>
    </row>
    <row r="2" spans="2:13" x14ac:dyDescent="0.2">
      <c r="B2" s="263" t="s">
        <v>1124</v>
      </c>
      <c r="C2" s="263"/>
      <c r="D2" s="337" t="str">
        <f>VLOOKUP(D$1,TabelContent[],COLUMN(TabelContent[Titel-EN]))</f>
        <v>Solving system of linear equations</v>
      </c>
    </row>
    <row r="3" spans="2:13" x14ac:dyDescent="0.2">
      <c r="B3" s="263" t="s">
        <v>1125</v>
      </c>
      <c r="C3" s="263"/>
      <c r="D3" s="337" t="str">
        <f>VLOOKUP(D$1,TabelContent[],COLUMN(TabelContent[Cat-EN]))</f>
        <v>Solver</v>
      </c>
    </row>
    <row r="4" spans="2:13" x14ac:dyDescent="0.2">
      <c r="B4" s="263" t="s">
        <v>1126</v>
      </c>
      <c r="C4" s="263"/>
      <c r="D4" s="337">
        <f>VLOOKUP(D$1,TabelContent[],COLUMN(TabelContent[Niveau]))</f>
        <v>3</v>
      </c>
    </row>
    <row r="5" spans="2:13" x14ac:dyDescent="0.2">
      <c r="B5" s="10"/>
      <c r="C5" s="10"/>
      <c r="D5" s="10"/>
      <c r="E5" s="10"/>
    </row>
    <row r="6" spans="2:13" x14ac:dyDescent="0.2">
      <c r="B6" s="387" t="s">
        <v>1132</v>
      </c>
      <c r="C6" s="387"/>
      <c r="D6" s="387"/>
      <c r="E6" s="387"/>
    </row>
    <row r="7" spans="2:13" x14ac:dyDescent="0.2">
      <c r="B7" s="10"/>
      <c r="C7" s="10"/>
      <c r="D7" s="10"/>
      <c r="E7" s="10"/>
    </row>
    <row r="8" spans="2:13" ht="13.5" thickBot="1" x14ac:dyDescent="0.25">
      <c r="B8" s="10"/>
      <c r="D8" s="10"/>
      <c r="E8" s="405" t="s">
        <v>974</v>
      </c>
      <c r="F8" s="406"/>
      <c r="G8" s="406"/>
      <c r="H8" s="406"/>
      <c r="I8" s="407"/>
    </row>
    <row r="9" spans="2:13" ht="26.25" thickBot="1" x14ac:dyDescent="0.25">
      <c r="B9" s="10"/>
      <c r="D9" s="10"/>
      <c r="E9" s="238" t="s">
        <v>588</v>
      </c>
      <c r="F9" s="239" t="s">
        <v>589</v>
      </c>
      <c r="G9" s="239" t="s">
        <v>590</v>
      </c>
      <c r="H9" s="239" t="s">
        <v>591</v>
      </c>
      <c r="I9" s="240" t="s">
        <v>592</v>
      </c>
      <c r="J9" s="241" t="s">
        <v>976</v>
      </c>
      <c r="L9" s="237" t="s">
        <v>977</v>
      </c>
      <c r="M9" s="242" t="s">
        <v>978</v>
      </c>
    </row>
    <row r="10" spans="2:13" x14ac:dyDescent="0.2">
      <c r="B10" s="10"/>
      <c r="D10" s="10" t="s">
        <v>969</v>
      </c>
      <c r="E10" s="170">
        <v>6.1</v>
      </c>
      <c r="F10" s="30">
        <v>4.5</v>
      </c>
      <c r="G10" s="3">
        <v>0</v>
      </c>
      <c r="H10" s="3">
        <v>5.7</v>
      </c>
      <c r="I10" s="3">
        <v>7.5</v>
      </c>
      <c r="J10" s="169">
        <v>5.7</v>
      </c>
      <c r="L10" s="172">
        <f t="array" ref="L10">SUM(E10:I10*$E$17:$I$17)</f>
        <v>5.7000014311151634</v>
      </c>
      <c r="M10" s="173">
        <f>(J10-L10)^2</f>
        <v>2.0480906105241345E-12</v>
      </c>
    </row>
    <row r="11" spans="2:13" x14ac:dyDescent="0.2">
      <c r="B11" s="10"/>
      <c r="D11" s="10" t="s">
        <v>970</v>
      </c>
      <c r="E11" s="170">
        <v>2.4</v>
      </c>
      <c r="F11" s="30">
        <v>5.5</v>
      </c>
      <c r="G11" s="3">
        <v>-5.7</v>
      </c>
      <c r="H11" s="3">
        <v>4.7</v>
      </c>
      <c r="I11" s="3">
        <v>5.6</v>
      </c>
      <c r="J11" s="169">
        <v>5.6</v>
      </c>
      <c r="L11" s="172">
        <f t="array" ref="L11">SUM(E11:I11*$E$17:$I$17)</f>
        <v>5.6000007103345562</v>
      </c>
      <c r="M11" s="173">
        <f t="shared" ref="M11:M14" si="0">(J11-L11)^2</f>
        <v>5.0457518217010616E-13</v>
      </c>
    </row>
    <row r="12" spans="2:13" x14ac:dyDescent="0.2">
      <c r="B12" s="10"/>
      <c r="D12" s="10" t="s">
        <v>971</v>
      </c>
      <c r="E12" s="170">
        <v>2.4</v>
      </c>
      <c r="F12" s="30">
        <v>-5</v>
      </c>
      <c r="G12" s="3">
        <v>-4.5999999999999996</v>
      </c>
      <c r="H12" s="3">
        <v>3.6</v>
      </c>
      <c r="I12" s="3">
        <v>9.6999999999999993</v>
      </c>
      <c r="J12" s="169">
        <v>9.6999999999999993</v>
      </c>
      <c r="L12" s="172">
        <f t="array" ref="L12">SUM(E12:I12*$E$17:$I$17)</f>
        <v>9.7000003545468019</v>
      </c>
      <c r="M12" s="173">
        <f t="shared" si="0"/>
        <v>1.2570343522211224E-13</v>
      </c>
    </row>
    <row r="13" spans="2:13" x14ac:dyDescent="0.2">
      <c r="B13" s="10"/>
      <c r="D13" s="10" t="s">
        <v>972</v>
      </c>
      <c r="E13" s="170">
        <v>4.3</v>
      </c>
      <c r="F13" s="30">
        <v>-5.3</v>
      </c>
      <c r="G13" s="3">
        <v>3.4</v>
      </c>
      <c r="H13" s="3">
        <v>-8.4</v>
      </c>
      <c r="I13" s="3">
        <v>-5.6</v>
      </c>
      <c r="J13" s="169">
        <v>-5.6</v>
      </c>
      <c r="L13" s="172">
        <f t="array" ref="L13">SUM(E13:I13*$E$17:$I$17)</f>
        <v>-5.5999995616164941</v>
      </c>
      <c r="M13" s="173">
        <f t="shared" si="0"/>
        <v>1.9218009789151485E-13</v>
      </c>
    </row>
    <row r="14" spans="2:13" ht="13.5" thickBot="1" x14ac:dyDescent="0.25">
      <c r="B14" s="10"/>
      <c r="D14" s="10" t="s">
        <v>973</v>
      </c>
      <c r="E14" s="170">
        <v>1.1000000000000001</v>
      </c>
      <c r="F14" s="30">
        <v>-3</v>
      </c>
      <c r="G14" s="3">
        <v>2.4</v>
      </c>
      <c r="H14" s="3">
        <v>-13</v>
      </c>
      <c r="I14" s="3">
        <v>3.5</v>
      </c>
      <c r="J14" s="169">
        <v>3.5</v>
      </c>
      <c r="L14" s="174">
        <f t="array" ref="L14">SUM(E14:I14*$E$17:$I$17)</f>
        <v>3.4999986279738167</v>
      </c>
      <c r="M14" s="175">
        <f t="shared" si="0"/>
        <v>1.8824558477506714E-12</v>
      </c>
    </row>
    <row r="15" spans="2:13" x14ac:dyDescent="0.2">
      <c r="B15" s="10"/>
      <c r="D15" s="10"/>
      <c r="E15" s="10"/>
      <c r="F15" s="10"/>
      <c r="L15" s="243" t="s">
        <v>979</v>
      </c>
      <c r="M15" s="176">
        <f>SUM(M10:M14)</f>
        <v>4.7530051735585394E-12</v>
      </c>
    </row>
    <row r="16" spans="2:13" ht="15" thickBot="1" x14ac:dyDescent="0.25">
      <c r="B16" s="10"/>
      <c r="D16" s="10"/>
      <c r="E16" s="244" t="s">
        <v>588</v>
      </c>
      <c r="F16" s="244" t="s">
        <v>589</v>
      </c>
      <c r="G16" s="244" t="s">
        <v>590</v>
      </c>
      <c r="H16" s="244" t="s">
        <v>591</v>
      </c>
      <c r="I16" s="244" t="s">
        <v>592</v>
      </c>
    </row>
    <row r="17" spans="4:9" x14ac:dyDescent="0.2">
      <c r="D17" s="4" t="s">
        <v>975</v>
      </c>
      <c r="E17" s="177">
        <v>-0.10640677475475487</v>
      </c>
      <c r="F17" s="177">
        <v>-4.7643979509069082E-2</v>
      </c>
      <c r="G17" s="177">
        <v>-0.21810262173755113</v>
      </c>
      <c r="H17" s="177">
        <v>-5.9680893373071885E-2</v>
      </c>
      <c r="I17" s="177">
        <v>0.92048823428486515</v>
      </c>
    </row>
  </sheetData>
  <mergeCells count="3">
    <mergeCell ref="B1:C1"/>
    <mergeCell ref="E8:I8"/>
    <mergeCell ref="B6:E6"/>
  </mergeCells>
  <hyperlinks>
    <hyperlink ref="B6:D6" location="sjabloon!A1" display="Ga naar Inhoudsopgave" xr:uid="{00000000-0004-0000-3D00-000000000000}"/>
    <hyperlink ref="B6:E6" location="TOC!A1" display="Go to TOC" xr:uid="{00000000-0004-0000-3D00-000001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1.7109375" style="4" customWidth="1"/>
    <col min="9" max="16384" width="9.140625" style="4"/>
  </cols>
  <sheetData>
    <row r="1" spans="2:8" s="9" customFormat="1" x14ac:dyDescent="0.2">
      <c r="B1" s="386" t="s">
        <v>1047</v>
      </c>
      <c r="C1" s="386"/>
      <c r="D1" s="263" t="s">
        <v>595</v>
      </c>
    </row>
    <row r="2" spans="2:8" x14ac:dyDescent="0.2">
      <c r="B2" s="263" t="s">
        <v>1124</v>
      </c>
      <c r="C2" s="263"/>
      <c r="D2" s="337" t="str">
        <f>VLOOKUP(D$1,TabelContent[],COLUMN(TabelContent[Titel-EN]))</f>
        <v>Savings bank</v>
      </c>
    </row>
    <row r="3" spans="2:8" x14ac:dyDescent="0.2">
      <c r="B3" s="263" t="s">
        <v>1125</v>
      </c>
      <c r="C3" s="263"/>
      <c r="D3" s="337" t="str">
        <f>VLOOKUP(D$1,TabelContent[],COLUMN(TabelContent[Cat-EN]))</f>
        <v>Solver</v>
      </c>
    </row>
    <row r="4" spans="2:8" x14ac:dyDescent="0.2">
      <c r="B4" s="263" t="s">
        <v>1126</v>
      </c>
      <c r="C4" s="263"/>
      <c r="D4" s="337">
        <f>VLOOKUP(D$1,TabelContent[],COLUMN(TabelContent[Niveau]))</f>
        <v>3</v>
      </c>
    </row>
    <row r="5" spans="2:8" x14ac:dyDescent="0.2">
      <c r="B5" s="10"/>
      <c r="C5" s="10"/>
      <c r="D5" s="10"/>
      <c r="E5" s="10"/>
      <c r="F5" s="10"/>
    </row>
    <row r="6" spans="2:8" x14ac:dyDescent="0.2">
      <c r="B6" s="387" t="s">
        <v>1132</v>
      </c>
      <c r="C6" s="387"/>
      <c r="D6" s="387"/>
      <c r="E6" s="387"/>
      <c r="F6" s="387"/>
    </row>
    <row r="7" spans="2:8" ht="13.5" thickBot="1" x14ac:dyDescent="0.25">
      <c r="B7" s="10"/>
      <c r="C7" s="10"/>
      <c r="D7" s="10"/>
      <c r="E7" s="10"/>
      <c r="F7" s="10"/>
    </row>
    <row r="8" spans="2:8" ht="26.25" thickBot="1" x14ac:dyDescent="0.25">
      <c r="B8" s="10"/>
      <c r="D8" s="17" t="s">
        <v>1151</v>
      </c>
      <c r="E8" s="126" t="s">
        <v>718</v>
      </c>
      <c r="F8" s="17"/>
      <c r="G8" s="181" t="s">
        <v>1162</v>
      </c>
      <c r="H8" s="171" t="s">
        <v>1163</v>
      </c>
    </row>
    <row r="9" spans="2:8" x14ac:dyDescent="0.2">
      <c r="B9" s="10"/>
      <c r="D9" s="10" t="s">
        <v>1152</v>
      </c>
      <c r="E9" s="40">
        <v>0.18</v>
      </c>
      <c r="F9" s="10"/>
      <c r="G9" s="16">
        <v>450.00000002588149</v>
      </c>
      <c r="H9" s="182">
        <f>E9*G9</f>
        <v>81.000000004658659</v>
      </c>
    </row>
    <row r="10" spans="2:8" x14ac:dyDescent="0.2">
      <c r="B10" s="10"/>
      <c r="D10" s="10" t="s">
        <v>1153</v>
      </c>
      <c r="E10" s="40">
        <v>0.12</v>
      </c>
      <c r="F10" s="10"/>
      <c r="G10" s="16">
        <v>1124.9999999870593</v>
      </c>
      <c r="H10" s="182">
        <f>E10*G10</f>
        <v>134.99999999844709</v>
      </c>
    </row>
    <row r="11" spans="2:8" x14ac:dyDescent="0.2">
      <c r="B11" s="10"/>
      <c r="D11" s="10" t="s">
        <v>1154</v>
      </c>
      <c r="E11" s="40">
        <v>0.14000000000000001</v>
      </c>
      <c r="F11" s="10"/>
      <c r="G11" s="16">
        <v>1124.9999999870595</v>
      </c>
      <c r="H11" s="182">
        <f>E11*G11</f>
        <v>157.49999999818834</v>
      </c>
    </row>
    <row r="12" spans="2:8" ht="13.5" thickBot="1" x14ac:dyDescent="0.25">
      <c r="B12" s="10"/>
      <c r="D12" s="10" t="s">
        <v>1155</v>
      </c>
      <c r="E12" s="40">
        <v>0.16</v>
      </c>
      <c r="F12" s="10"/>
      <c r="G12" s="16">
        <v>300</v>
      </c>
      <c r="H12" s="182">
        <f>E12*G12</f>
        <v>48</v>
      </c>
    </row>
    <row r="13" spans="2:8" ht="13.5" thickBot="1" x14ac:dyDescent="0.25">
      <c r="B13" s="10"/>
      <c r="D13" s="10"/>
      <c r="F13" s="27" t="s">
        <v>830</v>
      </c>
      <c r="G13" s="180">
        <f>SUM(G9:G12)</f>
        <v>3000</v>
      </c>
      <c r="H13" s="183">
        <f>SUM(H9:H12)</f>
        <v>421.5000000012941</v>
      </c>
    </row>
    <row r="14" spans="2:8" x14ac:dyDescent="0.2">
      <c r="B14" s="10"/>
      <c r="D14" s="10"/>
      <c r="E14" s="10"/>
      <c r="F14" s="10"/>
      <c r="G14" s="10"/>
    </row>
    <row r="15" spans="2:8" x14ac:dyDescent="0.2">
      <c r="B15" s="10"/>
      <c r="D15" s="17" t="s">
        <v>954</v>
      </c>
      <c r="E15" s="61" t="s">
        <v>1160</v>
      </c>
      <c r="F15" s="65"/>
      <c r="G15" s="65" t="s">
        <v>1161</v>
      </c>
    </row>
    <row r="16" spans="2:8" x14ac:dyDescent="0.2">
      <c r="D16" s="4" t="s">
        <v>1157</v>
      </c>
      <c r="E16" s="67">
        <f>SUM(G10:G11)/G13</f>
        <v>0.74999999999137279</v>
      </c>
      <c r="F16" s="3" t="s">
        <v>470</v>
      </c>
      <c r="G16" s="178">
        <v>0.3</v>
      </c>
    </row>
    <row r="17" spans="4:7" x14ac:dyDescent="0.2">
      <c r="D17" s="4" t="s">
        <v>1156</v>
      </c>
      <c r="E17" s="179">
        <f>G10/SUM(G10:G11)</f>
        <v>0.5</v>
      </c>
      <c r="F17" s="3" t="s">
        <v>470</v>
      </c>
      <c r="G17" s="178">
        <v>0.5</v>
      </c>
    </row>
    <row r="18" spans="4:7" x14ac:dyDescent="0.2">
      <c r="D18" s="4" t="s">
        <v>1158</v>
      </c>
      <c r="E18" s="179">
        <f>(G9+G12)/G13</f>
        <v>0.25000000000862715</v>
      </c>
      <c r="F18" s="3" t="s">
        <v>471</v>
      </c>
      <c r="G18" s="178">
        <v>0.25</v>
      </c>
    </row>
    <row r="19" spans="4:7" x14ac:dyDescent="0.2">
      <c r="D19" s="4" t="s">
        <v>1152</v>
      </c>
      <c r="E19" s="67">
        <f>G9/G13</f>
        <v>0.15000000000862718</v>
      </c>
      <c r="F19" s="3" t="s">
        <v>471</v>
      </c>
      <c r="G19" s="178">
        <v>0.15</v>
      </c>
    </row>
    <row r="20" spans="4:7" x14ac:dyDescent="0.2">
      <c r="D20" s="4" t="s">
        <v>1159</v>
      </c>
      <c r="E20" s="182">
        <f>G13</f>
        <v>3000</v>
      </c>
      <c r="F20" s="3" t="s">
        <v>471</v>
      </c>
      <c r="G20" s="16">
        <v>3000</v>
      </c>
    </row>
  </sheetData>
  <mergeCells count="2">
    <mergeCell ref="B6:F6"/>
    <mergeCell ref="B1:C1"/>
  </mergeCells>
  <hyperlinks>
    <hyperlink ref="B6:D6" location="sjabloon!A1" display="Ga naar Inhoudsopgave" xr:uid="{00000000-0004-0000-3E00-000000000000}"/>
    <hyperlink ref="B6:F6" location="TOC!A1" display="Go to TOC" xr:uid="{00000000-0004-0000-3E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5DC9C-1350-46F3-8CA8-E08C16D87908}">
  <dimension ref="B1:I93"/>
  <sheetViews>
    <sheetView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56" customWidth="1"/>
    <col min="3" max="3" width="7.7109375" style="356" customWidth="1"/>
    <col min="4" max="5" width="9.140625" style="356"/>
    <col min="6" max="6" width="7.42578125" style="356" bestFit="1" customWidth="1"/>
    <col min="7" max="7" width="5.28515625" style="356" customWidth="1"/>
    <col min="8" max="8" width="15.5703125" style="356" bestFit="1" customWidth="1"/>
    <col min="9" max="9" width="10.28515625" style="356" bestFit="1" customWidth="1"/>
    <col min="10" max="16384" width="9.140625" style="356"/>
  </cols>
  <sheetData>
    <row r="1" spans="2:9" x14ac:dyDescent="0.2">
      <c r="B1" s="408" t="s">
        <v>1047</v>
      </c>
      <c r="C1" s="408"/>
      <c r="D1" s="355" t="s">
        <v>1239</v>
      </c>
    </row>
    <row r="2" spans="2:9" x14ac:dyDescent="0.2">
      <c r="B2" s="408" t="s">
        <v>1265</v>
      </c>
      <c r="C2" s="408"/>
      <c r="D2" s="342" t="str">
        <f>VLOOKUP(D$1,TabelContent[],COLUMN(TabelContent[Titel-EN]))</f>
        <v>Distribution shoe sizes</v>
      </c>
      <c r="E2" s="357"/>
      <c r="F2" s="358"/>
      <c r="G2" s="357"/>
      <c r="H2" s="357"/>
      <c r="I2" s="357"/>
    </row>
    <row r="3" spans="2:9" x14ac:dyDescent="0.2">
      <c r="B3" s="408" t="s">
        <v>1266</v>
      </c>
      <c r="C3" s="408"/>
      <c r="D3" s="342" t="str">
        <f>VLOOKUP(D$1,TabelContent[],COLUMN(TabelContent[Cat-EN]))</f>
        <v>Statistics</v>
      </c>
      <c r="E3" s="357"/>
      <c r="F3" s="358"/>
      <c r="G3" s="357"/>
      <c r="H3" s="357"/>
      <c r="I3" s="357"/>
    </row>
    <row r="4" spans="2:9" x14ac:dyDescent="0.2">
      <c r="B4" s="408" t="s">
        <v>1267</v>
      </c>
      <c r="C4" s="408" t="s">
        <v>605</v>
      </c>
      <c r="D4" s="342">
        <f>VLOOKUP(D$1,TabelContent[],COLUMN(TabelContent[Niveau]))</f>
        <v>2</v>
      </c>
      <c r="E4" s="357"/>
      <c r="F4" s="358"/>
      <c r="G4" s="357"/>
      <c r="H4" s="357"/>
      <c r="I4" s="357"/>
    </row>
    <row r="5" spans="2:9" x14ac:dyDescent="0.2">
      <c r="B5" s="357"/>
      <c r="C5" s="357"/>
      <c r="D5" s="357"/>
      <c r="E5" s="357"/>
      <c r="F5" s="357"/>
      <c r="G5" s="357"/>
      <c r="H5" s="357"/>
      <c r="I5" s="357"/>
    </row>
    <row r="6" spans="2:9" x14ac:dyDescent="0.2">
      <c r="B6" s="387" t="s">
        <v>1132</v>
      </c>
      <c r="C6" s="387"/>
      <c r="D6" s="387"/>
      <c r="E6" s="387"/>
      <c r="F6" s="387"/>
      <c r="G6" s="357"/>
      <c r="H6" s="357"/>
      <c r="I6" s="357"/>
    </row>
    <row r="7" spans="2:9" ht="13.5" thickBot="1" x14ac:dyDescent="0.25">
      <c r="B7" s="357"/>
      <c r="C7" s="357"/>
      <c r="D7" s="357"/>
      <c r="E7" s="357"/>
      <c r="F7" s="357"/>
      <c r="G7" s="357"/>
      <c r="H7" s="357"/>
      <c r="I7" s="357"/>
    </row>
    <row r="8" spans="2:9" x14ac:dyDescent="0.2">
      <c r="B8" s="357"/>
      <c r="C8" s="358" t="s">
        <v>1268</v>
      </c>
      <c r="D8" s="358" t="s">
        <v>1269</v>
      </c>
      <c r="E8" s="357"/>
      <c r="F8" s="358" t="s">
        <v>1270</v>
      </c>
      <c r="G8" s="357"/>
      <c r="H8" s="359" t="s">
        <v>1271</v>
      </c>
      <c r="I8" s="359" t="s">
        <v>1272</v>
      </c>
    </row>
    <row r="9" spans="2:9" x14ac:dyDescent="0.2">
      <c r="B9" s="357"/>
      <c r="C9" s="358">
        <v>37</v>
      </c>
      <c r="D9" s="358">
        <f>1/7</f>
        <v>0.14285714285714285</v>
      </c>
      <c r="E9" s="357"/>
      <c r="F9" s="358">
        <v>41</v>
      </c>
      <c r="G9" s="357"/>
      <c r="H9" s="360">
        <v>37</v>
      </c>
      <c r="I9" s="361">
        <v>13</v>
      </c>
    </row>
    <row r="10" spans="2:9" x14ac:dyDescent="0.2">
      <c r="B10" s="357"/>
      <c r="C10" s="358">
        <v>38</v>
      </c>
      <c r="D10" s="358">
        <f t="shared" ref="D10:D15" si="0">1/7</f>
        <v>0.14285714285714285</v>
      </c>
      <c r="E10" s="357"/>
      <c r="F10" s="358">
        <v>40</v>
      </c>
      <c r="G10" s="357"/>
      <c r="H10" s="360">
        <v>38</v>
      </c>
      <c r="I10" s="361">
        <v>12</v>
      </c>
    </row>
    <row r="11" spans="2:9" x14ac:dyDescent="0.2">
      <c r="B11" s="357"/>
      <c r="C11" s="358">
        <v>39</v>
      </c>
      <c r="D11" s="358">
        <f t="shared" si="0"/>
        <v>0.14285714285714285</v>
      </c>
      <c r="E11" s="357"/>
      <c r="F11" s="358">
        <v>40</v>
      </c>
      <c r="G11" s="357"/>
      <c r="H11" s="360">
        <v>39</v>
      </c>
      <c r="I11" s="361">
        <v>10</v>
      </c>
    </row>
    <row r="12" spans="2:9" x14ac:dyDescent="0.2">
      <c r="B12" s="357"/>
      <c r="C12" s="358">
        <v>40</v>
      </c>
      <c r="D12" s="358">
        <f t="shared" si="0"/>
        <v>0.14285714285714285</v>
      </c>
      <c r="E12" s="357"/>
      <c r="F12" s="358">
        <v>40</v>
      </c>
      <c r="G12" s="357"/>
      <c r="H12" s="360">
        <v>40</v>
      </c>
      <c r="I12" s="361">
        <v>16</v>
      </c>
    </row>
    <row r="13" spans="2:9" x14ac:dyDescent="0.2">
      <c r="B13" s="357"/>
      <c r="C13" s="358">
        <v>41</v>
      </c>
      <c r="D13" s="358">
        <f t="shared" si="0"/>
        <v>0.14285714285714285</v>
      </c>
      <c r="E13" s="357"/>
      <c r="F13" s="358">
        <v>37</v>
      </c>
      <c r="G13" s="357"/>
      <c r="H13" s="360">
        <v>41</v>
      </c>
      <c r="I13" s="361">
        <v>9</v>
      </c>
    </row>
    <row r="14" spans="2:9" x14ac:dyDescent="0.2">
      <c r="B14" s="357"/>
      <c r="C14" s="358">
        <v>42</v>
      </c>
      <c r="D14" s="358">
        <f t="shared" si="0"/>
        <v>0.14285714285714285</v>
      </c>
      <c r="E14" s="357"/>
      <c r="F14" s="358">
        <v>38</v>
      </c>
      <c r="G14" s="357"/>
      <c r="H14" s="360">
        <v>42</v>
      </c>
      <c r="I14" s="361">
        <v>11</v>
      </c>
    </row>
    <row r="15" spans="2:9" x14ac:dyDescent="0.2">
      <c r="B15" s="357"/>
      <c r="C15" s="358">
        <v>43</v>
      </c>
      <c r="D15" s="358">
        <f t="shared" si="0"/>
        <v>0.14285714285714285</v>
      </c>
      <c r="E15" s="357"/>
      <c r="F15" s="358">
        <v>43</v>
      </c>
      <c r="G15" s="357"/>
      <c r="H15" s="360">
        <v>43</v>
      </c>
      <c r="I15" s="361">
        <v>14</v>
      </c>
    </row>
    <row r="16" spans="2:9" ht="13.5" thickBot="1" x14ac:dyDescent="0.25">
      <c r="B16" s="357"/>
      <c r="C16" s="357"/>
      <c r="D16" s="357"/>
      <c r="E16" s="357"/>
      <c r="F16" s="358">
        <v>41</v>
      </c>
      <c r="G16" s="357"/>
      <c r="H16" s="362" t="s">
        <v>1273</v>
      </c>
      <c r="I16" s="362">
        <v>0</v>
      </c>
    </row>
    <row r="17" spans="2:9" x14ac:dyDescent="0.2">
      <c r="B17" s="357"/>
      <c r="C17" s="357" t="s">
        <v>1270</v>
      </c>
      <c r="D17" s="357"/>
      <c r="E17" s="357"/>
      <c r="F17" s="358">
        <v>42</v>
      </c>
      <c r="G17" s="357"/>
      <c r="H17" s="357"/>
      <c r="I17" s="357"/>
    </row>
    <row r="18" spans="2:9" x14ac:dyDescent="0.2">
      <c r="B18" s="357"/>
      <c r="C18" s="357"/>
      <c r="D18" s="357"/>
      <c r="E18" s="357"/>
      <c r="F18" s="358">
        <v>39</v>
      </c>
      <c r="G18" s="357"/>
      <c r="H18" s="357"/>
      <c r="I18" s="357"/>
    </row>
    <row r="19" spans="2:9" x14ac:dyDescent="0.2">
      <c r="B19" s="357"/>
      <c r="C19" s="357"/>
      <c r="D19" s="357"/>
      <c r="E19" s="357"/>
      <c r="F19" s="358">
        <v>37</v>
      </c>
      <c r="G19" s="357"/>
      <c r="H19" s="357" t="s">
        <v>1274</v>
      </c>
      <c r="I19" s="357">
        <f>AVERAGE($F$9:$F$93)</f>
        <v>40</v>
      </c>
    </row>
    <row r="20" spans="2:9" x14ac:dyDescent="0.2">
      <c r="B20" s="357"/>
      <c r="C20" s="357"/>
      <c r="D20" s="357"/>
      <c r="E20" s="357"/>
      <c r="F20" s="358">
        <v>43</v>
      </c>
      <c r="G20" s="357"/>
      <c r="H20" s="357" t="s">
        <v>1275</v>
      </c>
      <c r="I20" s="357">
        <f>MEDIAN($F$9:$F$93)</f>
        <v>40</v>
      </c>
    </row>
    <row r="21" spans="2:9" x14ac:dyDescent="0.2">
      <c r="B21" s="357"/>
      <c r="C21" s="357"/>
      <c r="D21" s="357"/>
      <c r="E21" s="357"/>
      <c r="F21" s="358">
        <v>41</v>
      </c>
      <c r="G21" s="357"/>
      <c r="H21" s="357" t="s">
        <v>1276</v>
      </c>
      <c r="I21" s="357">
        <f>MODE($F$9:$F$93)</f>
        <v>40</v>
      </c>
    </row>
    <row r="22" spans="2:9" x14ac:dyDescent="0.2">
      <c r="B22" s="357"/>
      <c r="C22" s="357"/>
      <c r="D22" s="357"/>
      <c r="E22" s="357"/>
      <c r="F22" s="358">
        <v>39</v>
      </c>
      <c r="G22" s="357"/>
      <c r="H22" s="357" t="s">
        <v>1277</v>
      </c>
      <c r="I22" s="357">
        <f>VAR($F$9:$F$93)</f>
        <v>4.2142857142857144</v>
      </c>
    </row>
    <row r="23" spans="2:9" x14ac:dyDescent="0.2">
      <c r="B23" s="357"/>
      <c r="C23" s="357"/>
      <c r="D23" s="357"/>
      <c r="E23" s="357"/>
      <c r="F23" s="358">
        <v>41</v>
      </c>
      <c r="G23" s="357"/>
      <c r="H23" s="357" t="s">
        <v>1278</v>
      </c>
      <c r="I23" s="357">
        <f>STDEV($F$9:$F$93)</f>
        <v>2.0528725518857018</v>
      </c>
    </row>
    <row r="24" spans="2:9" x14ac:dyDescent="0.2">
      <c r="B24" s="357"/>
      <c r="C24" s="357"/>
      <c r="D24" s="357"/>
      <c r="E24" s="357"/>
      <c r="F24" s="358">
        <v>37</v>
      </c>
      <c r="G24" s="357"/>
      <c r="H24" s="357"/>
      <c r="I24" s="357"/>
    </row>
    <row r="25" spans="2:9" x14ac:dyDescent="0.2">
      <c r="B25" s="357"/>
      <c r="C25" s="357"/>
      <c r="D25" s="357"/>
      <c r="E25" s="357"/>
      <c r="F25" s="358">
        <v>43</v>
      </c>
      <c r="G25" s="357"/>
      <c r="H25" s="357"/>
      <c r="I25" s="357"/>
    </row>
    <row r="26" spans="2:9" x14ac:dyDescent="0.2">
      <c r="B26" s="357"/>
      <c r="C26" s="357"/>
      <c r="D26" s="357"/>
      <c r="E26" s="357"/>
      <c r="F26" s="358">
        <v>37</v>
      </c>
      <c r="G26" s="357"/>
      <c r="H26" s="357"/>
      <c r="I26" s="357"/>
    </row>
    <row r="27" spans="2:9" x14ac:dyDescent="0.2">
      <c r="B27" s="357"/>
      <c r="C27" s="357"/>
      <c r="D27" s="357"/>
      <c r="E27" s="357"/>
      <c r="F27" s="358">
        <v>39</v>
      </c>
      <c r="G27" s="357"/>
      <c r="H27" s="357"/>
      <c r="I27" s="357"/>
    </row>
    <row r="28" spans="2:9" x14ac:dyDescent="0.2">
      <c r="B28" s="357"/>
      <c r="C28" s="357"/>
      <c r="D28" s="357"/>
      <c r="E28" s="357"/>
      <c r="F28" s="358">
        <v>43</v>
      </c>
      <c r="G28" s="357"/>
      <c r="H28" s="357"/>
      <c r="I28" s="357"/>
    </row>
    <row r="29" spans="2:9" x14ac:dyDescent="0.2">
      <c r="B29" s="357"/>
      <c r="C29" s="357"/>
      <c r="D29" s="357"/>
      <c r="E29" s="357"/>
      <c r="F29" s="358">
        <v>40</v>
      </c>
      <c r="G29" s="357"/>
      <c r="H29" s="357"/>
      <c r="I29" s="357"/>
    </row>
    <row r="30" spans="2:9" x14ac:dyDescent="0.2">
      <c r="B30" s="357"/>
      <c r="C30" s="357"/>
      <c r="D30" s="357"/>
      <c r="E30" s="357"/>
      <c r="F30" s="358">
        <v>40</v>
      </c>
      <c r="G30" s="357"/>
      <c r="H30" s="357"/>
      <c r="I30" s="357"/>
    </row>
    <row r="31" spans="2:9" x14ac:dyDescent="0.2">
      <c r="B31" s="357"/>
      <c r="C31" s="357"/>
      <c r="D31" s="357"/>
      <c r="E31" s="357"/>
      <c r="F31" s="358">
        <v>37</v>
      </c>
      <c r="G31" s="357"/>
      <c r="H31" s="357"/>
      <c r="I31" s="357"/>
    </row>
    <row r="32" spans="2:9" x14ac:dyDescent="0.2">
      <c r="B32" s="357"/>
      <c r="C32" s="357"/>
      <c r="D32" s="357"/>
      <c r="E32" s="357"/>
      <c r="F32" s="358">
        <v>39</v>
      </c>
      <c r="G32" s="357"/>
      <c r="H32" s="357"/>
      <c r="I32" s="357"/>
    </row>
    <row r="33" spans="2:9" x14ac:dyDescent="0.2">
      <c r="B33" s="357"/>
      <c r="C33" s="357"/>
      <c r="D33" s="357"/>
      <c r="E33" s="357"/>
      <c r="F33" s="358">
        <v>42</v>
      </c>
      <c r="G33" s="357"/>
      <c r="H33" s="357"/>
      <c r="I33" s="357"/>
    </row>
    <row r="34" spans="2:9" x14ac:dyDescent="0.2">
      <c r="B34" s="357"/>
      <c r="C34" s="357"/>
      <c r="D34" s="357"/>
      <c r="E34" s="357"/>
      <c r="F34" s="358">
        <v>43</v>
      </c>
      <c r="G34" s="357"/>
      <c r="H34" s="357"/>
      <c r="I34" s="357"/>
    </row>
    <row r="35" spans="2:9" x14ac:dyDescent="0.2">
      <c r="B35" s="357"/>
      <c r="C35" s="357"/>
      <c r="D35" s="357"/>
      <c r="E35" s="357"/>
      <c r="F35" s="358">
        <v>43</v>
      </c>
      <c r="G35" s="357"/>
      <c r="H35" s="357"/>
      <c r="I35" s="357"/>
    </row>
    <row r="36" spans="2:9" x14ac:dyDescent="0.2">
      <c r="B36" s="357"/>
      <c r="C36" s="357"/>
      <c r="D36" s="357"/>
      <c r="E36" s="357"/>
      <c r="F36" s="358">
        <v>39</v>
      </c>
      <c r="G36" s="357"/>
      <c r="H36" s="357"/>
      <c r="I36" s="357"/>
    </row>
    <row r="37" spans="2:9" x14ac:dyDescent="0.2">
      <c r="B37" s="357"/>
      <c r="C37" s="357"/>
      <c r="D37" s="357"/>
      <c r="E37" s="357"/>
      <c r="F37" s="358">
        <v>38</v>
      </c>
      <c r="G37" s="357"/>
      <c r="H37" s="357"/>
      <c r="I37" s="357"/>
    </row>
    <row r="38" spans="2:9" x14ac:dyDescent="0.2">
      <c r="B38" s="357"/>
      <c r="C38" s="357"/>
      <c r="D38" s="357"/>
      <c r="E38" s="357"/>
      <c r="F38" s="358">
        <v>38</v>
      </c>
      <c r="G38" s="357"/>
      <c r="H38" s="357"/>
      <c r="I38" s="357"/>
    </row>
    <row r="39" spans="2:9" x14ac:dyDescent="0.2">
      <c r="B39" s="357"/>
      <c r="C39" s="357"/>
      <c r="D39" s="357"/>
      <c r="E39" s="357"/>
      <c r="F39" s="358">
        <v>37</v>
      </c>
      <c r="G39" s="357"/>
      <c r="H39" s="357"/>
      <c r="I39" s="357"/>
    </row>
    <row r="40" spans="2:9" x14ac:dyDescent="0.2">
      <c r="B40" s="357"/>
      <c r="C40" s="357"/>
      <c r="D40" s="357"/>
      <c r="E40" s="357"/>
      <c r="F40" s="358">
        <v>40</v>
      </c>
      <c r="G40" s="357"/>
      <c r="H40" s="357"/>
      <c r="I40" s="357"/>
    </row>
    <row r="41" spans="2:9" x14ac:dyDescent="0.2">
      <c r="B41" s="357"/>
      <c r="C41" s="357"/>
      <c r="D41" s="357"/>
      <c r="E41" s="357"/>
      <c r="F41" s="358">
        <v>40</v>
      </c>
      <c r="G41" s="357"/>
      <c r="H41" s="357"/>
      <c r="I41" s="357"/>
    </row>
    <row r="42" spans="2:9" x14ac:dyDescent="0.2">
      <c r="B42" s="357"/>
      <c r="C42" s="357"/>
      <c r="D42" s="357"/>
      <c r="E42" s="357"/>
      <c r="F42" s="358">
        <v>37</v>
      </c>
      <c r="G42" s="357"/>
      <c r="H42" s="357"/>
      <c r="I42" s="357"/>
    </row>
    <row r="43" spans="2:9" x14ac:dyDescent="0.2">
      <c r="B43" s="357"/>
      <c r="C43" s="357"/>
      <c r="D43" s="357"/>
      <c r="E43" s="357"/>
      <c r="F43" s="358">
        <v>43</v>
      </c>
      <c r="G43" s="357"/>
      <c r="H43" s="357"/>
      <c r="I43" s="357"/>
    </row>
    <row r="44" spans="2:9" x14ac:dyDescent="0.2">
      <c r="B44" s="357"/>
      <c r="C44" s="357"/>
      <c r="D44" s="357"/>
      <c r="E44" s="357"/>
      <c r="F44" s="358">
        <v>43</v>
      </c>
      <c r="G44" s="357"/>
      <c r="H44" s="357"/>
      <c r="I44" s="357"/>
    </row>
    <row r="45" spans="2:9" x14ac:dyDescent="0.2">
      <c r="B45" s="357"/>
      <c r="C45" s="357"/>
      <c r="D45" s="357"/>
      <c r="E45" s="357"/>
      <c r="F45" s="358">
        <v>38</v>
      </c>
      <c r="G45" s="357"/>
      <c r="H45" s="357"/>
      <c r="I45" s="357"/>
    </row>
    <row r="46" spans="2:9" x14ac:dyDescent="0.2">
      <c r="B46" s="357"/>
      <c r="C46" s="357"/>
      <c r="D46" s="357"/>
      <c r="E46" s="357"/>
      <c r="F46" s="358">
        <v>38</v>
      </c>
      <c r="G46" s="357"/>
      <c r="H46" s="357"/>
      <c r="I46" s="357"/>
    </row>
    <row r="47" spans="2:9" x14ac:dyDescent="0.2">
      <c r="B47" s="357"/>
      <c r="C47" s="357"/>
      <c r="D47" s="357"/>
      <c r="E47" s="357"/>
      <c r="F47" s="358">
        <v>40</v>
      </c>
      <c r="G47" s="357"/>
      <c r="H47" s="357"/>
      <c r="I47" s="357"/>
    </row>
    <row r="48" spans="2:9" x14ac:dyDescent="0.2">
      <c r="B48" s="357"/>
      <c r="C48" s="357"/>
      <c r="D48" s="357"/>
      <c r="E48" s="357"/>
      <c r="F48" s="358">
        <v>39</v>
      </c>
      <c r="G48" s="357"/>
      <c r="H48" s="357"/>
      <c r="I48" s="357"/>
    </row>
    <row r="49" spans="2:9" x14ac:dyDescent="0.2">
      <c r="B49" s="357"/>
      <c r="C49" s="357"/>
      <c r="D49" s="357"/>
      <c r="E49" s="357"/>
      <c r="F49" s="358">
        <v>40</v>
      </c>
      <c r="G49" s="357"/>
      <c r="H49" s="357"/>
      <c r="I49" s="357"/>
    </row>
    <row r="50" spans="2:9" x14ac:dyDescent="0.2">
      <c r="B50" s="357"/>
      <c r="C50" s="357"/>
      <c r="D50" s="357"/>
      <c r="E50" s="357"/>
      <c r="F50" s="358">
        <v>41</v>
      </c>
      <c r="G50" s="357"/>
      <c r="H50" s="357"/>
      <c r="I50" s="357"/>
    </row>
    <row r="51" spans="2:9" x14ac:dyDescent="0.2">
      <c r="B51" s="357"/>
      <c r="C51" s="357"/>
      <c r="D51" s="357"/>
      <c r="E51" s="357"/>
      <c r="F51" s="358">
        <v>43</v>
      </c>
      <c r="G51" s="357"/>
      <c r="H51" s="357"/>
      <c r="I51" s="357"/>
    </row>
    <row r="52" spans="2:9" x14ac:dyDescent="0.2">
      <c r="B52" s="357"/>
      <c r="C52" s="357"/>
      <c r="D52" s="357"/>
      <c r="E52" s="357"/>
      <c r="F52" s="358">
        <v>43</v>
      </c>
      <c r="G52" s="357"/>
      <c r="H52" s="357"/>
      <c r="I52" s="357"/>
    </row>
    <row r="53" spans="2:9" x14ac:dyDescent="0.2">
      <c r="B53" s="357"/>
      <c r="C53" s="357"/>
      <c r="D53" s="357"/>
      <c r="E53" s="357"/>
      <c r="F53" s="358">
        <v>42</v>
      </c>
      <c r="G53" s="357"/>
      <c r="H53" s="357"/>
      <c r="I53" s="357"/>
    </row>
    <row r="54" spans="2:9" x14ac:dyDescent="0.2">
      <c r="B54" s="357"/>
      <c r="C54" s="357"/>
      <c r="D54" s="357"/>
      <c r="E54" s="357"/>
      <c r="F54" s="358">
        <v>43</v>
      </c>
      <c r="G54" s="357"/>
      <c r="H54" s="357"/>
      <c r="I54" s="357"/>
    </row>
    <row r="55" spans="2:9" x14ac:dyDescent="0.2">
      <c r="B55" s="357"/>
      <c r="C55" s="357"/>
      <c r="D55" s="357"/>
      <c r="E55" s="357"/>
      <c r="F55" s="358">
        <v>38</v>
      </c>
      <c r="G55" s="357"/>
      <c r="H55" s="357"/>
      <c r="I55" s="357"/>
    </row>
    <row r="56" spans="2:9" x14ac:dyDescent="0.2">
      <c r="B56" s="357"/>
      <c r="C56" s="357"/>
      <c r="D56" s="357"/>
      <c r="E56" s="357"/>
      <c r="F56" s="358">
        <v>40</v>
      </c>
      <c r="G56" s="357"/>
      <c r="H56" s="357"/>
      <c r="I56" s="357"/>
    </row>
    <row r="57" spans="2:9" x14ac:dyDescent="0.2">
      <c r="B57" s="357"/>
      <c r="C57" s="357"/>
      <c r="D57" s="357"/>
      <c r="E57" s="357"/>
      <c r="F57" s="358">
        <v>43</v>
      </c>
      <c r="G57" s="357"/>
      <c r="H57" s="357"/>
      <c r="I57" s="357"/>
    </row>
    <row r="58" spans="2:9" x14ac:dyDescent="0.2">
      <c r="B58" s="357"/>
      <c r="C58" s="357"/>
      <c r="D58" s="357"/>
      <c r="E58" s="357"/>
      <c r="F58" s="358">
        <v>37</v>
      </c>
      <c r="G58" s="357"/>
      <c r="H58" s="357"/>
      <c r="I58" s="357"/>
    </row>
    <row r="59" spans="2:9" x14ac:dyDescent="0.2">
      <c r="B59" s="357"/>
      <c r="C59" s="357"/>
      <c r="D59" s="357"/>
      <c r="E59" s="357"/>
      <c r="F59" s="358">
        <v>42</v>
      </c>
      <c r="G59" s="357"/>
      <c r="H59" s="357"/>
      <c r="I59" s="357"/>
    </row>
    <row r="60" spans="2:9" x14ac:dyDescent="0.2">
      <c r="B60" s="357"/>
      <c r="C60" s="357"/>
      <c r="D60" s="357"/>
      <c r="E60" s="357"/>
      <c r="F60" s="358">
        <v>42</v>
      </c>
      <c r="G60" s="357"/>
      <c r="H60" s="357"/>
      <c r="I60" s="357"/>
    </row>
    <row r="61" spans="2:9" x14ac:dyDescent="0.2">
      <c r="B61" s="357"/>
      <c r="C61" s="357"/>
      <c r="D61" s="357"/>
      <c r="E61" s="357"/>
      <c r="F61" s="358">
        <v>38</v>
      </c>
      <c r="G61" s="357"/>
      <c r="H61" s="357"/>
      <c r="I61" s="357"/>
    </row>
    <row r="62" spans="2:9" x14ac:dyDescent="0.2">
      <c r="B62" s="357"/>
      <c r="C62" s="357"/>
      <c r="D62" s="357"/>
      <c r="E62" s="357"/>
      <c r="F62" s="358">
        <v>38</v>
      </c>
      <c r="G62" s="357"/>
      <c r="H62" s="357"/>
      <c r="I62" s="357"/>
    </row>
    <row r="63" spans="2:9" x14ac:dyDescent="0.2">
      <c r="B63" s="357"/>
      <c r="C63" s="357"/>
      <c r="D63" s="357"/>
      <c r="E63" s="357"/>
      <c r="F63" s="358">
        <v>42</v>
      </c>
      <c r="G63" s="357"/>
      <c r="H63" s="357"/>
      <c r="I63" s="357"/>
    </row>
    <row r="64" spans="2:9" x14ac:dyDescent="0.2">
      <c r="B64" s="357"/>
      <c r="C64" s="357"/>
      <c r="D64" s="357"/>
      <c r="E64" s="357"/>
      <c r="F64" s="358">
        <v>37</v>
      </c>
      <c r="G64" s="357"/>
      <c r="H64" s="357"/>
      <c r="I64" s="357"/>
    </row>
    <row r="65" spans="2:9" x14ac:dyDescent="0.2">
      <c r="B65" s="357"/>
      <c r="C65" s="357"/>
      <c r="D65" s="357"/>
      <c r="E65" s="357"/>
      <c r="F65" s="358">
        <v>42</v>
      </c>
      <c r="G65" s="357"/>
      <c r="H65" s="357"/>
      <c r="I65" s="357"/>
    </row>
    <row r="66" spans="2:9" x14ac:dyDescent="0.2">
      <c r="B66" s="357"/>
      <c r="C66" s="357"/>
      <c r="D66" s="357"/>
      <c r="E66" s="357"/>
      <c r="F66" s="358">
        <v>39</v>
      </c>
      <c r="G66" s="357"/>
      <c r="H66" s="357"/>
      <c r="I66" s="357"/>
    </row>
    <row r="67" spans="2:9" x14ac:dyDescent="0.2">
      <c r="B67" s="357"/>
      <c r="C67" s="357"/>
      <c r="D67" s="357"/>
      <c r="E67" s="357"/>
      <c r="F67" s="358">
        <v>40</v>
      </c>
      <c r="G67" s="357"/>
      <c r="H67" s="357"/>
      <c r="I67" s="357"/>
    </row>
    <row r="68" spans="2:9" x14ac:dyDescent="0.2">
      <c r="B68" s="357"/>
      <c r="C68" s="357"/>
      <c r="D68" s="357"/>
      <c r="E68" s="357"/>
      <c r="F68" s="358">
        <v>38</v>
      </c>
      <c r="G68" s="357"/>
      <c r="H68" s="357"/>
      <c r="I68" s="357"/>
    </row>
    <row r="69" spans="2:9" x14ac:dyDescent="0.2">
      <c r="B69" s="357"/>
      <c r="C69" s="357"/>
      <c r="D69" s="357"/>
      <c r="E69" s="357"/>
      <c r="F69" s="358">
        <v>42</v>
      </c>
      <c r="G69" s="357"/>
      <c r="H69" s="357"/>
      <c r="I69" s="357"/>
    </row>
    <row r="70" spans="2:9" x14ac:dyDescent="0.2">
      <c r="B70" s="357"/>
      <c r="C70" s="357"/>
      <c r="D70" s="357"/>
      <c r="E70" s="357"/>
      <c r="F70" s="358">
        <v>37</v>
      </c>
      <c r="G70" s="357"/>
      <c r="H70" s="357"/>
      <c r="I70" s="357"/>
    </row>
    <row r="71" spans="2:9" x14ac:dyDescent="0.2">
      <c r="B71" s="357"/>
      <c r="C71" s="357"/>
      <c r="D71" s="357"/>
      <c r="E71" s="357"/>
      <c r="F71" s="358">
        <v>41</v>
      </c>
      <c r="G71" s="357"/>
      <c r="H71" s="357"/>
      <c r="I71" s="357"/>
    </row>
    <row r="72" spans="2:9" x14ac:dyDescent="0.2">
      <c r="B72" s="357"/>
      <c r="C72" s="357"/>
      <c r="D72" s="357"/>
      <c r="E72" s="357"/>
      <c r="F72" s="358">
        <v>39</v>
      </c>
      <c r="G72" s="357"/>
      <c r="H72" s="357"/>
      <c r="I72" s="357"/>
    </row>
    <row r="73" spans="2:9" x14ac:dyDescent="0.2">
      <c r="B73" s="357"/>
      <c r="C73" s="357"/>
      <c r="D73" s="357"/>
      <c r="E73" s="357"/>
      <c r="F73" s="358">
        <v>40</v>
      </c>
      <c r="G73" s="357"/>
      <c r="H73" s="357"/>
      <c r="I73" s="357"/>
    </row>
    <row r="74" spans="2:9" x14ac:dyDescent="0.2">
      <c r="B74" s="357"/>
      <c r="C74" s="357"/>
      <c r="D74" s="357"/>
      <c r="E74" s="357"/>
      <c r="F74" s="358">
        <v>41</v>
      </c>
      <c r="G74" s="357"/>
      <c r="H74" s="357"/>
      <c r="I74" s="357"/>
    </row>
    <row r="75" spans="2:9" x14ac:dyDescent="0.2">
      <c r="B75" s="357"/>
      <c r="C75" s="357"/>
      <c r="D75" s="357"/>
      <c r="E75" s="357"/>
      <c r="F75" s="358">
        <v>40</v>
      </c>
      <c r="G75" s="357"/>
      <c r="H75" s="357"/>
      <c r="I75" s="357"/>
    </row>
    <row r="76" spans="2:9" x14ac:dyDescent="0.2">
      <c r="B76" s="357"/>
      <c r="C76" s="357"/>
      <c r="D76" s="357"/>
      <c r="E76" s="357"/>
      <c r="F76" s="358">
        <v>41</v>
      </c>
      <c r="G76" s="357"/>
      <c r="H76" s="357"/>
      <c r="I76" s="357"/>
    </row>
    <row r="77" spans="2:9" x14ac:dyDescent="0.2">
      <c r="B77" s="357"/>
      <c r="C77" s="357"/>
      <c r="D77" s="357"/>
      <c r="E77" s="357"/>
      <c r="F77" s="358">
        <v>42</v>
      </c>
      <c r="G77" s="357"/>
      <c r="H77" s="357"/>
      <c r="I77" s="357"/>
    </row>
    <row r="78" spans="2:9" x14ac:dyDescent="0.2">
      <c r="B78" s="357"/>
      <c r="C78" s="357"/>
      <c r="D78" s="357"/>
      <c r="E78" s="357"/>
      <c r="F78" s="358">
        <v>42</v>
      </c>
      <c r="G78" s="357"/>
      <c r="H78" s="357"/>
      <c r="I78" s="357"/>
    </row>
    <row r="79" spans="2:9" x14ac:dyDescent="0.2">
      <c r="B79" s="357"/>
      <c r="C79" s="357"/>
      <c r="D79" s="357"/>
      <c r="E79" s="357"/>
      <c r="F79" s="358">
        <v>41</v>
      </c>
      <c r="G79" s="357"/>
      <c r="H79" s="357"/>
      <c r="I79" s="357"/>
    </row>
    <row r="80" spans="2:9" x14ac:dyDescent="0.2">
      <c r="B80" s="357"/>
      <c r="C80" s="357"/>
      <c r="D80" s="357"/>
      <c r="E80" s="357"/>
      <c r="F80" s="358">
        <v>43</v>
      </c>
      <c r="G80" s="357"/>
      <c r="H80" s="357"/>
      <c r="I80" s="357"/>
    </row>
    <row r="81" spans="2:9" x14ac:dyDescent="0.2">
      <c r="B81" s="357"/>
      <c r="C81" s="357"/>
      <c r="D81" s="357"/>
      <c r="E81" s="357"/>
      <c r="F81" s="358">
        <v>40</v>
      </c>
      <c r="G81" s="357"/>
      <c r="H81" s="357"/>
      <c r="I81" s="357"/>
    </row>
    <row r="82" spans="2:9" x14ac:dyDescent="0.2">
      <c r="B82" s="357"/>
      <c r="C82" s="357"/>
      <c r="D82" s="357"/>
      <c r="E82" s="357"/>
      <c r="F82" s="358">
        <v>37</v>
      </c>
      <c r="G82" s="357"/>
      <c r="H82" s="357"/>
      <c r="I82" s="357"/>
    </row>
    <row r="83" spans="2:9" x14ac:dyDescent="0.2">
      <c r="B83" s="357"/>
      <c r="C83" s="357"/>
      <c r="D83" s="357"/>
      <c r="E83" s="357"/>
      <c r="F83" s="358">
        <v>39</v>
      </c>
      <c r="G83" s="357"/>
      <c r="H83" s="357"/>
      <c r="I83" s="357"/>
    </row>
    <row r="84" spans="2:9" x14ac:dyDescent="0.2">
      <c r="B84" s="357"/>
      <c r="C84" s="357"/>
      <c r="D84" s="357"/>
      <c r="E84" s="357"/>
      <c r="F84" s="358">
        <v>39</v>
      </c>
      <c r="G84" s="357"/>
      <c r="H84" s="357"/>
      <c r="I84" s="357"/>
    </row>
    <row r="85" spans="2:9" x14ac:dyDescent="0.2">
      <c r="B85" s="357"/>
      <c r="C85" s="357"/>
      <c r="D85" s="357"/>
      <c r="E85" s="357"/>
      <c r="F85" s="358">
        <v>42</v>
      </c>
      <c r="G85" s="357"/>
      <c r="H85" s="357"/>
      <c r="I85" s="357"/>
    </row>
    <row r="86" spans="2:9" x14ac:dyDescent="0.2">
      <c r="B86" s="357"/>
      <c r="C86" s="357"/>
      <c r="D86" s="357"/>
      <c r="E86" s="357"/>
      <c r="F86" s="358">
        <v>40</v>
      </c>
      <c r="G86" s="357"/>
      <c r="H86" s="357"/>
      <c r="I86" s="357"/>
    </row>
    <row r="87" spans="2:9" x14ac:dyDescent="0.2">
      <c r="B87" s="357"/>
      <c r="C87" s="357"/>
      <c r="D87" s="357"/>
      <c r="E87" s="357"/>
      <c r="F87" s="358">
        <v>40</v>
      </c>
      <c r="G87" s="357"/>
      <c r="H87" s="357"/>
      <c r="I87" s="357"/>
    </row>
    <row r="88" spans="2:9" x14ac:dyDescent="0.2">
      <c r="B88" s="357"/>
      <c r="C88" s="357"/>
      <c r="D88" s="357"/>
      <c r="E88" s="357"/>
      <c r="F88" s="358">
        <v>37</v>
      </c>
      <c r="G88" s="357"/>
      <c r="H88" s="357"/>
      <c r="I88" s="357"/>
    </row>
    <row r="89" spans="2:9" x14ac:dyDescent="0.2">
      <c r="B89" s="357"/>
      <c r="C89" s="357"/>
      <c r="D89" s="357"/>
      <c r="E89" s="357"/>
      <c r="F89" s="358">
        <v>37</v>
      </c>
      <c r="G89" s="357"/>
      <c r="H89" s="357"/>
      <c r="I89" s="357"/>
    </row>
    <row r="90" spans="2:9" x14ac:dyDescent="0.2">
      <c r="B90" s="357"/>
      <c r="C90" s="357"/>
      <c r="D90" s="357"/>
      <c r="E90" s="357"/>
      <c r="F90" s="358">
        <v>38</v>
      </c>
      <c r="G90" s="357"/>
      <c r="H90" s="357"/>
      <c r="I90" s="357"/>
    </row>
    <row r="91" spans="2:9" x14ac:dyDescent="0.2">
      <c r="B91" s="357"/>
      <c r="C91" s="357"/>
      <c r="D91" s="357"/>
      <c r="E91" s="357"/>
      <c r="F91" s="358">
        <v>38</v>
      </c>
      <c r="G91" s="357"/>
      <c r="H91" s="357"/>
      <c r="I91" s="357"/>
    </row>
    <row r="92" spans="2:9" x14ac:dyDescent="0.2">
      <c r="B92" s="357"/>
      <c r="C92" s="357"/>
      <c r="D92" s="357"/>
      <c r="E92" s="357"/>
      <c r="F92" s="358">
        <v>38</v>
      </c>
      <c r="G92" s="357"/>
      <c r="H92" s="357"/>
      <c r="I92" s="357"/>
    </row>
    <row r="93" spans="2:9" x14ac:dyDescent="0.2">
      <c r="B93" s="357"/>
      <c r="C93" s="357"/>
      <c r="D93" s="357"/>
      <c r="E93" s="357"/>
      <c r="F93" s="358">
        <v>43</v>
      </c>
      <c r="G93" s="357"/>
      <c r="H93" s="357"/>
      <c r="I93" s="357"/>
    </row>
  </sheetData>
  <mergeCells count="5">
    <mergeCell ref="B1:C1"/>
    <mergeCell ref="B2:C2"/>
    <mergeCell ref="B3:C3"/>
    <mergeCell ref="B4:C4"/>
    <mergeCell ref="B6:F6"/>
  </mergeCells>
  <hyperlinks>
    <hyperlink ref="B6:D6" location="sjabloon!A1" display="Ga naar Inhoudsopgave" xr:uid="{97A50EF6-7423-448A-9E84-ED5975D3EBAF}"/>
    <hyperlink ref="B6:F6" location="TOC!A1" display="Go to TOC" xr:uid="{BF235D92-4DC6-4C0D-AEF1-DF68E676810A}"/>
  </hyperlinks>
  <pageMargins left="0.7" right="0.7" top="0.75" bottom="0.75" header="0.3" footer="0.3"/>
  <pageSetup paperSize="9"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B8F5-A174-4F48-B240-91227E3D003D}">
  <dimension ref="B1:I32"/>
  <sheetViews>
    <sheetView showGridLines="0"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56" customWidth="1"/>
    <col min="3" max="3" width="7.7109375" style="356" customWidth="1"/>
    <col min="4" max="4" width="10.85546875" style="356" customWidth="1"/>
    <col min="5" max="5" width="7.7109375" style="356" customWidth="1"/>
    <col min="6" max="6" width="2.7109375" style="356" customWidth="1"/>
    <col min="7" max="16384" width="9.140625" style="356"/>
  </cols>
  <sheetData>
    <row r="1" spans="2:6" x14ac:dyDescent="0.2">
      <c r="B1" s="408" t="s">
        <v>1047</v>
      </c>
      <c r="C1" s="408"/>
      <c r="D1" s="355" t="s">
        <v>1244</v>
      </c>
    </row>
    <row r="2" spans="2:6" x14ac:dyDescent="0.2">
      <c r="B2" s="408" t="s">
        <v>1265</v>
      </c>
      <c r="C2" s="408"/>
      <c r="D2" s="342" t="str">
        <f>VLOOKUP(D$1,TabelContent[],COLUMN(TabelContent[Titel-EN]))</f>
        <v>Relationship study time - mark</v>
      </c>
    </row>
    <row r="3" spans="2:6" x14ac:dyDescent="0.2">
      <c r="B3" s="408" t="s">
        <v>1266</v>
      </c>
      <c r="C3" s="408"/>
      <c r="D3" s="342" t="str">
        <f>VLOOKUP(D$1,TabelContent[],COLUMN(TabelContent[Cat-EN]))</f>
        <v>Statistics</v>
      </c>
    </row>
    <row r="4" spans="2:6" x14ac:dyDescent="0.2">
      <c r="B4" s="408" t="s">
        <v>1267</v>
      </c>
      <c r="C4" s="408" t="s">
        <v>605</v>
      </c>
      <c r="D4" s="342">
        <f>VLOOKUP(D$1,TabelContent[],COLUMN(TabelContent[Niveau]))</f>
        <v>3</v>
      </c>
    </row>
    <row r="5" spans="2:6" x14ac:dyDescent="0.2">
      <c r="B5" s="357"/>
      <c r="C5" s="357"/>
      <c r="D5" s="357"/>
      <c r="E5" s="357"/>
    </row>
    <row r="6" spans="2:6" x14ac:dyDescent="0.2">
      <c r="B6" s="387" t="s">
        <v>1132</v>
      </c>
      <c r="C6" s="387"/>
      <c r="D6" s="387"/>
      <c r="E6" s="387"/>
      <c r="F6" s="387"/>
    </row>
    <row r="7" spans="2:6" x14ac:dyDescent="0.2">
      <c r="B7" s="357"/>
      <c r="C7" s="357"/>
      <c r="D7" s="357"/>
      <c r="E7" s="357"/>
    </row>
    <row r="8" spans="2:6" x14ac:dyDescent="0.2">
      <c r="B8" s="357"/>
      <c r="C8" s="363" t="s">
        <v>691</v>
      </c>
      <c r="D8" s="364" t="s">
        <v>1279</v>
      </c>
      <c r="E8" s="364" t="s">
        <v>528</v>
      </c>
    </row>
    <row r="9" spans="2:6" x14ac:dyDescent="0.2">
      <c r="B9" s="357"/>
      <c r="C9" s="357" t="s">
        <v>1280</v>
      </c>
      <c r="D9" s="365">
        <v>18</v>
      </c>
      <c r="E9" s="366">
        <v>6.3</v>
      </c>
    </row>
    <row r="10" spans="2:6" x14ac:dyDescent="0.2">
      <c r="B10" s="357"/>
      <c r="C10" s="357" t="s">
        <v>1281</v>
      </c>
      <c r="D10" s="365">
        <v>20</v>
      </c>
      <c r="E10" s="366">
        <v>7.8</v>
      </c>
    </row>
    <row r="11" spans="2:6" x14ac:dyDescent="0.2">
      <c r="B11" s="357"/>
      <c r="C11" s="357" t="s">
        <v>1282</v>
      </c>
      <c r="D11" s="365">
        <v>10</v>
      </c>
      <c r="E11" s="366">
        <v>4.5</v>
      </c>
    </row>
    <row r="12" spans="2:6" x14ac:dyDescent="0.2">
      <c r="B12" s="357"/>
      <c r="C12" s="357" t="s">
        <v>1283</v>
      </c>
      <c r="D12" s="365">
        <v>12</v>
      </c>
      <c r="E12" s="366">
        <v>6</v>
      </c>
    </row>
    <row r="13" spans="2:6" x14ac:dyDescent="0.2">
      <c r="B13" s="357"/>
      <c r="C13" s="357" t="s">
        <v>1284</v>
      </c>
      <c r="D13" s="365">
        <v>15</v>
      </c>
      <c r="E13" s="366">
        <v>7</v>
      </c>
    </row>
    <row r="14" spans="2:6" x14ac:dyDescent="0.2">
      <c r="B14" s="357"/>
      <c r="C14" s="357" t="s">
        <v>1285</v>
      </c>
      <c r="D14" s="365">
        <v>9</v>
      </c>
      <c r="E14" s="366">
        <v>5.5</v>
      </c>
    </row>
    <row r="15" spans="2:6" x14ac:dyDescent="0.2">
      <c r="B15" s="357"/>
      <c r="C15" s="357" t="s">
        <v>1286</v>
      </c>
      <c r="D15" s="357">
        <v>14</v>
      </c>
      <c r="E15" s="367">
        <v>5.8</v>
      </c>
    </row>
    <row r="16" spans="2:6" x14ac:dyDescent="0.2">
      <c r="B16" s="357"/>
      <c r="C16" s="357" t="s">
        <v>382</v>
      </c>
      <c r="D16" s="357">
        <v>8</v>
      </c>
      <c r="E16" s="367">
        <v>5</v>
      </c>
    </row>
    <row r="17" spans="2:9" x14ac:dyDescent="0.2">
      <c r="B17" s="357"/>
      <c r="C17" s="357" t="s">
        <v>1287</v>
      </c>
      <c r="D17" s="365">
        <v>16</v>
      </c>
      <c r="E17" s="367">
        <v>7.3</v>
      </c>
    </row>
    <row r="18" spans="2:9" x14ac:dyDescent="0.2">
      <c r="B18" s="357"/>
      <c r="C18" s="357" t="s">
        <v>1288</v>
      </c>
      <c r="D18" s="365">
        <v>11</v>
      </c>
      <c r="E18" s="367">
        <v>5.2</v>
      </c>
    </row>
    <row r="19" spans="2:9" x14ac:dyDescent="0.2">
      <c r="B19" s="357"/>
      <c r="C19" s="357" t="s">
        <v>1289</v>
      </c>
      <c r="D19" s="365">
        <v>19</v>
      </c>
      <c r="E19" s="367">
        <v>7.5</v>
      </c>
    </row>
    <row r="20" spans="2:9" x14ac:dyDescent="0.2">
      <c r="B20" s="357"/>
      <c r="C20" s="357" t="s">
        <v>1290</v>
      </c>
      <c r="D20" s="365">
        <v>16</v>
      </c>
      <c r="E20" s="367">
        <v>6.3</v>
      </c>
    </row>
    <row r="21" spans="2:9" x14ac:dyDescent="0.2">
      <c r="B21" s="357"/>
      <c r="C21" s="357" t="s">
        <v>1291</v>
      </c>
      <c r="D21" s="365">
        <v>10</v>
      </c>
      <c r="E21" s="367">
        <v>5.9</v>
      </c>
    </row>
    <row r="22" spans="2:9" x14ac:dyDescent="0.2">
      <c r="B22" s="357"/>
      <c r="C22" s="357" t="s">
        <v>325</v>
      </c>
      <c r="D22" s="365">
        <v>13</v>
      </c>
      <c r="E22" s="367">
        <v>6</v>
      </c>
    </row>
    <row r="23" spans="2:9" x14ac:dyDescent="0.2">
      <c r="B23" s="357"/>
      <c r="C23" s="357" t="s">
        <v>1292</v>
      </c>
      <c r="D23" s="365">
        <v>17</v>
      </c>
      <c r="E23" s="367">
        <v>6.7</v>
      </c>
    </row>
    <row r="24" spans="2:9" x14ac:dyDescent="0.2">
      <c r="B24" s="357"/>
      <c r="C24" s="357"/>
      <c r="D24" s="357"/>
      <c r="E24" s="357"/>
    </row>
    <row r="25" spans="2:9" x14ac:dyDescent="0.2">
      <c r="B25" s="357"/>
      <c r="G25" s="363" t="s">
        <v>1293</v>
      </c>
      <c r="H25" s="357"/>
      <c r="I25" s="357"/>
    </row>
    <row r="26" spans="2:9" x14ac:dyDescent="0.2">
      <c r="B26" s="357"/>
      <c r="G26" s="409" t="s">
        <v>961</v>
      </c>
      <c r="H26" s="409"/>
      <c r="I26" s="357">
        <f>COUNTA(C9:C23)</f>
        <v>15</v>
      </c>
    </row>
    <row r="27" spans="2:9" x14ac:dyDescent="0.2">
      <c r="B27" s="357"/>
      <c r="G27" s="409" t="s">
        <v>1294</v>
      </c>
      <c r="H27" s="409"/>
      <c r="I27" s="357">
        <f>COUNTIF(E9:E23,"&lt;5,5")</f>
        <v>0</v>
      </c>
    </row>
    <row r="28" spans="2:9" x14ac:dyDescent="0.2">
      <c r="B28" s="357"/>
      <c r="G28" s="409" t="s">
        <v>1295</v>
      </c>
      <c r="H28" s="409"/>
      <c r="I28" s="367">
        <f>AVERAGE(D9:D23)</f>
        <v>13.866666666666667</v>
      </c>
    </row>
    <row r="29" spans="2:9" x14ac:dyDescent="0.2">
      <c r="B29" s="357"/>
      <c r="G29" s="357" t="s">
        <v>1296</v>
      </c>
      <c r="H29" s="357"/>
      <c r="I29" s="367">
        <f>STDEVP(D9:D23)</f>
        <v>3.6672726771933508</v>
      </c>
    </row>
    <row r="30" spans="2:9" x14ac:dyDescent="0.2">
      <c r="B30" s="357"/>
      <c r="G30" s="409" t="s">
        <v>1297</v>
      </c>
      <c r="H30" s="409"/>
      <c r="I30" s="367">
        <f>AVERAGE(E9:E23)</f>
        <v>6.1866666666666674</v>
      </c>
    </row>
    <row r="31" spans="2:9" x14ac:dyDescent="0.2">
      <c r="B31" s="357"/>
      <c r="G31" s="409" t="s">
        <v>1298</v>
      </c>
      <c r="H31" s="409"/>
      <c r="I31" s="367">
        <f>STDEVP(E9:E23)</f>
        <v>0.91350363375789689</v>
      </c>
    </row>
    <row r="32" spans="2:9" x14ac:dyDescent="0.2">
      <c r="B32" s="357"/>
      <c r="G32" s="409" t="s">
        <v>1299</v>
      </c>
      <c r="H32" s="409"/>
      <c r="I32" s="368">
        <f>CORREL(D9:D23,E9:E23)</f>
        <v>0.86512368092219261</v>
      </c>
    </row>
  </sheetData>
  <mergeCells count="11">
    <mergeCell ref="G26:H26"/>
    <mergeCell ref="B6:F6"/>
    <mergeCell ref="B1:C1"/>
    <mergeCell ref="B2:C2"/>
    <mergeCell ref="B3:C3"/>
    <mergeCell ref="B4:C4"/>
    <mergeCell ref="G27:H27"/>
    <mergeCell ref="G28:H28"/>
    <mergeCell ref="G30:H30"/>
    <mergeCell ref="G31:H31"/>
    <mergeCell ref="G32:H32"/>
  </mergeCells>
  <hyperlinks>
    <hyperlink ref="B6:D6" location="sjabloon!A1" display="Ga naar Inhoudsopgave" xr:uid="{D8DDD70E-A042-47F7-9EBA-FC8CD999CD0D}"/>
    <hyperlink ref="B6:F6" location="TOC!A1" display="Go to TOC" xr:uid="{6E282EBE-A8CD-41E3-8B4E-FCA987C86483}"/>
  </hyperlinks>
  <pageMargins left="0.7" right="0.7" top="0.75" bottom="0.75" header="0.3" footer="0.3"/>
  <pageSetup paperSize="9"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7ACA-3E86-45CB-8F7D-B5C48433D51C}">
  <dimension ref="B1:F25"/>
  <sheetViews>
    <sheetView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56" customWidth="1"/>
    <col min="3" max="3" width="10" style="356" customWidth="1"/>
    <col min="4" max="4" width="9.140625" style="356" customWidth="1"/>
    <col min="5" max="16384" width="9.140625" style="356"/>
  </cols>
  <sheetData>
    <row r="1" spans="2:6" x14ac:dyDescent="0.2">
      <c r="B1" s="408" t="s">
        <v>1047</v>
      </c>
      <c r="C1" s="408"/>
      <c r="D1" s="355" t="s">
        <v>1247</v>
      </c>
    </row>
    <row r="2" spans="2:6" x14ac:dyDescent="0.2">
      <c r="B2" s="408" t="s">
        <v>1265</v>
      </c>
      <c r="C2" s="408"/>
      <c r="D2" s="342" t="str">
        <f>VLOOKUP(D$1,TabelContent[],COLUMN(TabelContent[Titel-EN]))</f>
        <v>Sales prognoses</v>
      </c>
    </row>
    <row r="3" spans="2:6" x14ac:dyDescent="0.2">
      <c r="B3" s="408" t="s">
        <v>1266</v>
      </c>
      <c r="C3" s="408"/>
      <c r="D3" s="342" t="str">
        <f>VLOOKUP(D$1,TabelContent[],COLUMN(TabelContent[Cat-EN]))</f>
        <v>Statistics</v>
      </c>
    </row>
    <row r="4" spans="2:6" x14ac:dyDescent="0.2">
      <c r="B4" s="408" t="s">
        <v>1267</v>
      </c>
      <c r="C4" s="408" t="s">
        <v>605</v>
      </c>
      <c r="D4" s="342">
        <f>VLOOKUP(D$1,TabelContent[],COLUMN(TabelContent[Niveau]))</f>
        <v>2</v>
      </c>
    </row>
    <row r="5" spans="2:6" x14ac:dyDescent="0.2">
      <c r="B5" s="357"/>
      <c r="C5" s="357"/>
      <c r="D5" s="357"/>
    </row>
    <row r="6" spans="2:6" x14ac:dyDescent="0.2">
      <c r="B6" s="387" t="s">
        <v>1132</v>
      </c>
      <c r="C6" s="387"/>
      <c r="D6" s="387"/>
      <c r="E6" s="387"/>
      <c r="F6" s="387"/>
    </row>
    <row r="7" spans="2:6" x14ac:dyDescent="0.2">
      <c r="B7" s="357"/>
      <c r="C7" s="357"/>
      <c r="D7" s="357"/>
    </row>
    <row r="8" spans="2:6" x14ac:dyDescent="0.2">
      <c r="B8" s="357"/>
      <c r="C8" s="364" t="s">
        <v>652</v>
      </c>
      <c r="D8" s="364" t="s">
        <v>674</v>
      </c>
    </row>
    <row r="9" spans="2:6" x14ac:dyDescent="0.2">
      <c r="B9" s="357"/>
      <c r="C9" s="365">
        <v>2001</v>
      </c>
      <c r="D9" s="365">
        <v>52</v>
      </c>
    </row>
    <row r="10" spans="2:6" x14ac:dyDescent="0.2">
      <c r="B10" s="357"/>
      <c r="C10" s="365">
        <v>2002</v>
      </c>
      <c r="D10" s="365">
        <v>85</v>
      </c>
    </row>
    <row r="11" spans="2:6" x14ac:dyDescent="0.2">
      <c r="B11" s="357"/>
      <c r="C11" s="365">
        <v>2003</v>
      </c>
      <c r="D11" s="365">
        <v>174</v>
      </c>
    </row>
    <row r="12" spans="2:6" x14ac:dyDescent="0.2">
      <c r="B12" s="357"/>
      <c r="C12" s="365">
        <v>2004</v>
      </c>
      <c r="D12" s="365">
        <v>249</v>
      </c>
    </row>
    <row r="13" spans="2:6" x14ac:dyDescent="0.2">
      <c r="B13" s="357"/>
      <c r="C13" s="365">
        <v>2005</v>
      </c>
      <c r="D13" s="365">
        <v>278</v>
      </c>
    </row>
    <row r="14" spans="2:6" x14ac:dyDescent="0.2">
      <c r="B14" s="357"/>
      <c r="C14" s="365">
        <v>2006</v>
      </c>
      <c r="D14" s="365">
        <v>320</v>
      </c>
    </row>
    <row r="15" spans="2:6" x14ac:dyDescent="0.2">
      <c r="B15" s="357"/>
      <c r="C15" s="365">
        <v>2007</v>
      </c>
      <c r="D15" s="365">
        <v>400</v>
      </c>
    </row>
    <row r="16" spans="2:6" x14ac:dyDescent="0.2">
      <c r="B16" s="357"/>
      <c r="C16" s="365">
        <v>2008</v>
      </c>
      <c r="D16" s="365">
        <v>520</v>
      </c>
    </row>
    <row r="17" spans="2:4" x14ac:dyDescent="0.2">
      <c r="B17" s="357"/>
      <c r="C17" s="365">
        <v>2009</v>
      </c>
      <c r="D17" s="365">
        <v>550</v>
      </c>
    </row>
    <row r="18" spans="2:4" x14ac:dyDescent="0.2">
      <c r="B18" s="357"/>
      <c r="C18" s="365">
        <v>2010</v>
      </c>
      <c r="D18" s="365">
        <v>620</v>
      </c>
    </row>
    <row r="19" spans="2:4" x14ac:dyDescent="0.2">
      <c r="B19" s="357"/>
      <c r="C19" s="357"/>
      <c r="D19" s="357"/>
    </row>
    <row r="20" spans="2:4" x14ac:dyDescent="0.2">
      <c r="B20" s="357"/>
      <c r="C20" s="363" t="s">
        <v>1300</v>
      </c>
      <c r="D20" s="357"/>
    </row>
    <row r="21" spans="2:4" x14ac:dyDescent="0.2">
      <c r="B21" s="357"/>
      <c r="C21" s="365">
        <v>2011</v>
      </c>
      <c r="D21" s="366">
        <f>FORECAST(C21,$D$9:$D$18,$C$9:$C$18)</f>
        <v>677.86666666666861</v>
      </c>
    </row>
    <row r="22" spans="2:4" x14ac:dyDescent="0.2">
      <c r="B22" s="357"/>
      <c r="C22" s="365">
        <v>2012</v>
      </c>
      <c r="D22" s="366">
        <f t="shared" ref="D22:D25" si="0">FORECAST(C22,$D$9:$D$18,$C$9:$C$18)</f>
        <v>742.06060606060782</v>
      </c>
    </row>
    <row r="23" spans="2:4" x14ac:dyDescent="0.2">
      <c r="B23" s="357"/>
      <c r="C23" s="365">
        <v>2013</v>
      </c>
      <c r="D23" s="366">
        <f t="shared" si="0"/>
        <v>806.25454545454704</v>
      </c>
    </row>
    <row r="24" spans="2:4" x14ac:dyDescent="0.2">
      <c r="B24" s="357"/>
      <c r="C24" s="365">
        <v>2014</v>
      </c>
      <c r="D24" s="366">
        <f t="shared" si="0"/>
        <v>870.44848484848626</v>
      </c>
    </row>
    <row r="25" spans="2:4" x14ac:dyDescent="0.2">
      <c r="B25" s="357"/>
      <c r="C25" s="365">
        <v>2015</v>
      </c>
      <c r="D25" s="366">
        <f t="shared" si="0"/>
        <v>934.64242424242548</v>
      </c>
    </row>
  </sheetData>
  <mergeCells count="5">
    <mergeCell ref="B1:C1"/>
    <mergeCell ref="B2:C2"/>
    <mergeCell ref="B3:C3"/>
    <mergeCell ref="B4:C4"/>
    <mergeCell ref="B6:F6"/>
  </mergeCells>
  <hyperlinks>
    <hyperlink ref="B6:D6" location="sjabloon!A1" display="Ga naar Inhoudsopgave" xr:uid="{1CECE269-76D4-48B6-AC46-33051028D896}"/>
    <hyperlink ref="B6:F6" location="TOC!A1" display="Go to TOC" xr:uid="{615C9A57-B931-437E-B4A5-EF9AF4A7C624}"/>
  </hyperlinks>
  <pageMargins left="0.7" right="0.7" top="0.75" bottom="0.75" header="0.3" footer="0.3"/>
  <pageSetup paperSize="9"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BEF6F-F29D-42A2-AC7D-918A414F03A9}">
  <dimension ref="B1:F29"/>
  <sheetViews>
    <sheetView workbookViewId="0">
      <pane xSplit="1" ySplit="6" topLeftCell="B7" activePane="bottomRight" state="frozen"/>
      <selection activeCell="B6" sqref="B6:E6"/>
      <selection pane="topRight" activeCell="B6" sqref="B6:E6"/>
      <selection pane="bottomLeft" activeCell="B6" sqref="B6:E6"/>
      <selection pane="bottomRight"/>
    </sheetView>
  </sheetViews>
  <sheetFormatPr defaultRowHeight="12.75" x14ac:dyDescent="0.2"/>
  <cols>
    <col min="1" max="2" width="3.7109375" style="356" customWidth="1"/>
    <col min="3" max="3" width="7.7109375" style="356" customWidth="1"/>
    <col min="4" max="4" width="14" style="356" bestFit="1" customWidth="1"/>
    <col min="5" max="5" width="3.7109375" style="356" customWidth="1"/>
    <col min="6" max="16384" width="9.140625" style="356"/>
  </cols>
  <sheetData>
    <row r="1" spans="2:6" x14ac:dyDescent="0.2">
      <c r="B1" s="408" t="s">
        <v>1047</v>
      </c>
      <c r="C1" s="408"/>
      <c r="D1" s="355" t="s">
        <v>1250</v>
      </c>
    </row>
    <row r="2" spans="2:6" x14ac:dyDescent="0.2">
      <c r="B2" s="408" t="s">
        <v>1265</v>
      </c>
      <c r="C2" s="408"/>
      <c r="D2" s="342" t="str">
        <f>VLOOKUP(D$1,TabelContent[],COLUMN(TabelContent[Titel-EN]))</f>
        <v>Service level</v>
      </c>
    </row>
    <row r="3" spans="2:6" x14ac:dyDescent="0.2">
      <c r="B3" s="408" t="s">
        <v>1266</v>
      </c>
      <c r="C3" s="408"/>
      <c r="D3" s="342" t="str">
        <f>VLOOKUP(D$1,TabelContent[],COLUMN(TabelContent[Cat-EN]))</f>
        <v>Statistics</v>
      </c>
    </row>
    <row r="4" spans="2:6" x14ac:dyDescent="0.2">
      <c r="B4" s="408" t="s">
        <v>1267</v>
      </c>
      <c r="C4" s="408" t="s">
        <v>605</v>
      </c>
      <c r="D4" s="342">
        <f>VLOOKUP(D$1,TabelContent[],COLUMN(TabelContent[Niveau]))</f>
        <v>3</v>
      </c>
    </row>
    <row r="5" spans="2:6" x14ac:dyDescent="0.2">
      <c r="B5" s="357"/>
      <c r="C5" s="357"/>
      <c r="D5" s="357"/>
      <c r="E5" s="357"/>
    </row>
    <row r="6" spans="2:6" x14ac:dyDescent="0.2">
      <c r="B6" s="387" t="s">
        <v>1132</v>
      </c>
      <c r="C6" s="387"/>
      <c r="D6" s="387"/>
      <c r="E6" s="387"/>
      <c r="F6" s="387"/>
    </row>
    <row r="7" spans="2:6" x14ac:dyDescent="0.2">
      <c r="B7" s="357"/>
      <c r="C7" s="357"/>
      <c r="D7" s="357"/>
      <c r="E7" s="357"/>
    </row>
    <row r="8" spans="2:6" x14ac:dyDescent="0.2">
      <c r="B8" s="357"/>
      <c r="C8" s="357" t="s">
        <v>839</v>
      </c>
      <c r="D8" s="357">
        <v>400</v>
      </c>
      <c r="E8" s="357"/>
    </row>
    <row r="9" spans="2:6" x14ac:dyDescent="0.2">
      <c r="B9" s="357"/>
      <c r="C9" s="357" t="s">
        <v>1301</v>
      </c>
      <c r="D9" s="357">
        <v>50</v>
      </c>
      <c r="E9" s="357"/>
    </row>
    <row r="10" spans="2:6" x14ac:dyDescent="0.2">
      <c r="B10" s="357"/>
      <c r="C10" s="357"/>
      <c r="D10" s="357"/>
      <c r="E10" s="357"/>
    </row>
    <row r="11" spans="2:6" x14ac:dyDescent="0.2">
      <c r="B11" s="357"/>
      <c r="C11" s="364" t="s">
        <v>1302</v>
      </c>
      <c r="D11" s="364" t="s">
        <v>1252</v>
      </c>
      <c r="E11" s="357"/>
    </row>
    <row r="12" spans="2:6" x14ac:dyDescent="0.2">
      <c r="B12" s="357"/>
      <c r="C12" s="357">
        <v>450</v>
      </c>
      <c r="D12" s="369">
        <f>NORMDIST(C12,$D$8,$D$9,TRUE)</f>
        <v>0.84134474606854304</v>
      </c>
      <c r="E12" s="357"/>
    </row>
    <row r="13" spans="2:6" x14ac:dyDescent="0.2">
      <c r="B13" s="357"/>
      <c r="C13" s="357">
        <v>460</v>
      </c>
      <c r="D13" s="369">
        <f t="shared" ref="D13:D22" si="0">NORMDIST(C13,$D$8,$D$9,TRUE)</f>
        <v>0.88493032977829178</v>
      </c>
      <c r="E13" s="357"/>
    </row>
    <row r="14" spans="2:6" x14ac:dyDescent="0.2">
      <c r="B14" s="357"/>
      <c r="C14" s="357">
        <v>470</v>
      </c>
      <c r="D14" s="369">
        <f t="shared" si="0"/>
        <v>0.91924334076622893</v>
      </c>
      <c r="E14" s="357"/>
    </row>
    <row r="15" spans="2:6" x14ac:dyDescent="0.2">
      <c r="B15" s="357"/>
      <c r="C15" s="357">
        <v>480</v>
      </c>
      <c r="D15" s="369">
        <f t="shared" si="0"/>
        <v>0.94520070830044201</v>
      </c>
      <c r="E15" s="357"/>
    </row>
    <row r="16" spans="2:6" x14ac:dyDescent="0.2">
      <c r="C16" s="356">
        <v>490</v>
      </c>
      <c r="D16" s="369">
        <f t="shared" si="0"/>
        <v>0.96406968088707423</v>
      </c>
    </row>
    <row r="17" spans="3:4" x14ac:dyDescent="0.2">
      <c r="C17" s="356">
        <v>500</v>
      </c>
      <c r="D17" s="369">
        <f t="shared" si="0"/>
        <v>0.97724986805182079</v>
      </c>
    </row>
    <row r="18" spans="3:4" x14ac:dyDescent="0.2">
      <c r="C18" s="356">
        <v>510</v>
      </c>
      <c r="D18" s="369">
        <f t="shared" si="0"/>
        <v>0.98609655248650141</v>
      </c>
    </row>
    <row r="19" spans="3:4" x14ac:dyDescent="0.2">
      <c r="C19" s="356">
        <v>520</v>
      </c>
      <c r="D19" s="369">
        <f t="shared" si="0"/>
        <v>0.99180246407540384</v>
      </c>
    </row>
    <row r="20" spans="3:4" x14ac:dyDescent="0.2">
      <c r="C20" s="356">
        <v>530</v>
      </c>
      <c r="D20" s="369">
        <f t="shared" si="0"/>
        <v>0.99533881197628127</v>
      </c>
    </row>
    <row r="21" spans="3:4" x14ac:dyDescent="0.2">
      <c r="C21" s="356">
        <v>540</v>
      </c>
      <c r="D21" s="369">
        <f t="shared" si="0"/>
        <v>0.99744486966957202</v>
      </c>
    </row>
    <row r="22" spans="3:4" x14ac:dyDescent="0.2">
      <c r="C22" s="356">
        <v>550</v>
      </c>
      <c r="D22" s="369">
        <f t="shared" si="0"/>
        <v>0.9986501019683699</v>
      </c>
    </row>
    <row r="26" spans="3:4" x14ac:dyDescent="0.2">
      <c r="C26" s="370" t="s">
        <v>1303</v>
      </c>
    </row>
    <row r="27" spans="3:4" x14ac:dyDescent="0.2">
      <c r="C27" s="371">
        <v>0.95</v>
      </c>
      <c r="D27" s="356" t="s">
        <v>1269</v>
      </c>
    </row>
    <row r="28" spans="3:4" x14ac:dyDescent="0.2">
      <c r="C28" s="372">
        <f>NORMSINV(C27)</f>
        <v>1.6448536269514715</v>
      </c>
      <c r="D28" s="356" t="s">
        <v>1304</v>
      </c>
    </row>
    <row r="29" spans="3:4" x14ac:dyDescent="0.2">
      <c r="C29" s="373">
        <f>ROUNDUP(D8+D9*C28,0)</f>
        <v>483</v>
      </c>
      <c r="D29" s="356" t="s">
        <v>1305</v>
      </c>
    </row>
  </sheetData>
  <mergeCells count="5">
    <mergeCell ref="B1:C1"/>
    <mergeCell ref="B2:C2"/>
    <mergeCell ref="B3:C3"/>
    <mergeCell ref="B4:C4"/>
    <mergeCell ref="B6:F6"/>
  </mergeCells>
  <hyperlinks>
    <hyperlink ref="B6:D6" location="sjabloon!A1" display="Ga naar Inhoudsopgave" xr:uid="{810A0571-D960-4393-88A8-E6026811125D}"/>
    <hyperlink ref="B6:F6" location="TOC!A1" display="Go to TOC" xr:uid="{5119EF1A-BADB-4395-82F6-0F7571C489DF}"/>
  </hyperlinks>
  <pageMargins left="0.7" right="0.7" top="0.75" bottom="0.75" header="0.3" footer="0.3"/>
  <pageSetup paperSize="9"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C6EB-EA7F-457F-B289-D7F4FD2CAB6C}">
  <dimension ref="B1:K39"/>
  <sheetViews>
    <sheetView workbookViewId="0">
      <pane xSplit="1" ySplit="6" topLeftCell="B7" activePane="bottomRight" state="frozen"/>
      <selection activeCell="B6" sqref="B6:D6"/>
      <selection pane="topRight" activeCell="B6" sqref="B6:D6"/>
      <selection pane="bottomLeft" activeCell="B6" sqref="B6:D6"/>
      <selection pane="bottomRight"/>
    </sheetView>
  </sheetViews>
  <sheetFormatPr defaultRowHeight="12.75" x14ac:dyDescent="0.2"/>
  <cols>
    <col min="1" max="2" width="3.7109375" style="375" customWidth="1"/>
    <col min="3" max="3" width="7.7109375" style="375" customWidth="1"/>
    <col min="4" max="4" width="17.28515625" style="375" bestFit="1" customWidth="1"/>
    <col min="5" max="5" width="11.85546875" style="375" bestFit="1" customWidth="1"/>
    <col min="6" max="16384" width="9.140625" style="375"/>
  </cols>
  <sheetData>
    <row r="1" spans="2:6" x14ac:dyDescent="0.2">
      <c r="B1" s="410" t="s">
        <v>1047</v>
      </c>
      <c r="C1" s="410"/>
      <c r="D1" s="374" t="s">
        <v>1253</v>
      </c>
    </row>
    <row r="2" spans="2:6" x14ac:dyDescent="0.2">
      <c r="B2" s="410" t="s">
        <v>1265</v>
      </c>
      <c r="C2" s="410"/>
      <c r="D2" s="342" t="str">
        <f>VLOOKUP(D$1,TabelContent[],COLUMN(TabelContent[Titel-EN]))</f>
        <v>Payment loan</v>
      </c>
    </row>
    <row r="3" spans="2:6" x14ac:dyDescent="0.2">
      <c r="B3" s="410" t="s">
        <v>1266</v>
      </c>
      <c r="C3" s="410"/>
      <c r="D3" s="342" t="str">
        <f>VLOOKUP(D$1,TabelContent[],COLUMN(TabelContent[Cat-EN]))</f>
        <v>Data table</v>
      </c>
    </row>
    <row r="4" spans="2:6" x14ac:dyDescent="0.2">
      <c r="B4" s="410" t="s">
        <v>1267</v>
      </c>
      <c r="C4" s="410" t="s">
        <v>605</v>
      </c>
      <c r="D4" s="342">
        <f>VLOOKUP(D$1,TabelContent[],COLUMN(TabelContent[Niveau]))</f>
        <v>2</v>
      </c>
    </row>
    <row r="5" spans="2:6" x14ac:dyDescent="0.2">
      <c r="B5" s="376"/>
      <c r="C5" s="376"/>
      <c r="D5" s="376"/>
    </row>
    <row r="6" spans="2:6" x14ac:dyDescent="0.2">
      <c r="B6" s="387" t="s">
        <v>1132</v>
      </c>
      <c r="C6" s="387"/>
      <c r="D6" s="387"/>
      <c r="E6" s="387"/>
      <c r="F6" s="387"/>
    </row>
    <row r="7" spans="2:6" x14ac:dyDescent="0.2">
      <c r="B7" s="376"/>
      <c r="C7" s="376"/>
      <c r="D7" s="376"/>
    </row>
    <row r="8" spans="2:6" x14ac:dyDescent="0.2">
      <c r="B8" s="376"/>
      <c r="D8" s="375" t="s">
        <v>1306</v>
      </c>
      <c r="E8" s="377">
        <v>10000</v>
      </c>
    </row>
    <row r="9" spans="2:6" x14ac:dyDescent="0.2">
      <c r="B9" s="376"/>
      <c r="D9" s="375" t="s">
        <v>1307</v>
      </c>
      <c r="E9" s="378">
        <v>0.05</v>
      </c>
    </row>
    <row r="10" spans="2:6" x14ac:dyDescent="0.2">
      <c r="B10" s="376"/>
      <c r="D10" s="375" t="s">
        <v>1308</v>
      </c>
      <c r="E10" s="379">
        <v>36</v>
      </c>
    </row>
    <row r="11" spans="2:6" x14ac:dyDescent="0.2">
      <c r="D11" s="375" t="s">
        <v>1309</v>
      </c>
      <c r="E11" s="377">
        <f>-PMT(E9/12,E10,E8)</f>
        <v>299.70897104665477</v>
      </c>
    </row>
    <row r="13" spans="2:6" x14ac:dyDescent="0.2">
      <c r="E13" s="380"/>
    </row>
    <row r="14" spans="2:6" x14ac:dyDescent="0.2">
      <c r="D14" s="381" t="s">
        <v>1310</v>
      </c>
      <c r="E14" s="377">
        <f>E11</f>
        <v>299.70897104665477</v>
      </c>
    </row>
    <row r="15" spans="2:6" x14ac:dyDescent="0.2">
      <c r="D15" s="379">
        <v>12</v>
      </c>
      <c r="E15" s="377">
        <f t="dataTable" ref="E15:E25" dt2D="0" dtr="0" r1="E10"/>
        <v>856.07481788467135</v>
      </c>
    </row>
    <row r="16" spans="2:6" x14ac:dyDescent="0.2">
      <c r="D16" s="379">
        <v>18</v>
      </c>
      <c r="E16" s="377">
        <v>577.8053455865504</v>
      </c>
    </row>
    <row r="17" spans="4:11" x14ac:dyDescent="0.2">
      <c r="D17" s="379">
        <v>24</v>
      </c>
      <c r="E17" s="377">
        <v>438.71389734068447</v>
      </c>
    </row>
    <row r="18" spans="4:11" x14ac:dyDescent="0.2">
      <c r="D18" s="379">
        <v>30</v>
      </c>
      <c r="E18" s="377">
        <v>355.29364363376521</v>
      </c>
    </row>
    <row r="19" spans="4:11" x14ac:dyDescent="0.2">
      <c r="D19" s="379">
        <v>36</v>
      </c>
      <c r="E19" s="377">
        <v>299.70897104665477</v>
      </c>
    </row>
    <row r="20" spans="4:11" x14ac:dyDescent="0.2">
      <c r="D20" s="379">
        <v>42</v>
      </c>
      <c r="E20" s="377">
        <v>260.03032790755117</v>
      </c>
    </row>
    <row r="21" spans="4:11" x14ac:dyDescent="0.2">
      <c r="D21" s="379">
        <v>48</v>
      </c>
      <c r="E21" s="377">
        <v>230.29293570646519</v>
      </c>
    </row>
    <row r="22" spans="4:11" x14ac:dyDescent="0.2">
      <c r="D22" s="379">
        <v>54</v>
      </c>
      <c r="E22" s="377">
        <v>207.18302623442736</v>
      </c>
    </row>
    <row r="23" spans="4:11" x14ac:dyDescent="0.2">
      <c r="D23" s="379">
        <v>60</v>
      </c>
      <c r="E23" s="377">
        <v>188.71233644010937</v>
      </c>
    </row>
    <row r="24" spans="4:11" x14ac:dyDescent="0.2">
      <c r="D24" s="379">
        <v>66</v>
      </c>
      <c r="E24" s="377">
        <v>173.61560609277194</v>
      </c>
    </row>
    <row r="25" spans="4:11" x14ac:dyDescent="0.2">
      <c r="D25" s="379">
        <v>72</v>
      </c>
      <c r="E25" s="377">
        <v>161.04932661450931</v>
      </c>
    </row>
    <row r="28" spans="4:11" x14ac:dyDescent="0.2">
      <c r="D28" s="377">
        <f>E11</f>
        <v>299.70897104665477</v>
      </c>
      <c r="E28" s="378">
        <v>0.03</v>
      </c>
      <c r="F28" s="378">
        <v>3.5000000000000003E-2</v>
      </c>
      <c r="G28" s="378">
        <v>0.04</v>
      </c>
      <c r="H28" s="378">
        <v>4.4999999999999998E-2</v>
      </c>
      <c r="I28" s="378">
        <v>0.05</v>
      </c>
      <c r="J28" s="378">
        <v>5.5E-2</v>
      </c>
      <c r="K28" s="378">
        <v>0.06</v>
      </c>
    </row>
    <row r="29" spans="4:11" x14ac:dyDescent="0.2">
      <c r="D29" s="379">
        <v>12</v>
      </c>
      <c r="E29" s="377">
        <f t="dataTable" ref="E29:K39" dt2D="1" dtr="1" r1="E9" r2="E10" ca="1"/>
        <v>846.93698758488949</v>
      </c>
      <c r="F29" s="377">
        <v>849.21629844067763</v>
      </c>
      <c r="G29" s="377">
        <v>851.49904195557917</v>
      </c>
      <c r="H29" s="377">
        <v>853.78521586372062</v>
      </c>
      <c r="I29" s="377">
        <v>856.07481788467135</v>
      </c>
      <c r="J29" s="377">
        <v>858.36784572349575</v>
      </c>
      <c r="K29" s="377">
        <v>860.66429707080636</v>
      </c>
    </row>
    <row r="30" spans="4:11" x14ac:dyDescent="0.2">
      <c r="D30" s="379">
        <v>18</v>
      </c>
      <c r="E30" s="377">
        <v>568.84334086463321</v>
      </c>
      <c r="F30" s="377">
        <v>571.07609340977638</v>
      </c>
      <c r="G30" s="377">
        <v>573.31401415567905</v>
      </c>
      <c r="H30" s="377">
        <v>575.55709944991554</v>
      </c>
      <c r="I30" s="377">
        <v>577.8053455865504</v>
      </c>
      <c r="J30" s="377">
        <v>580.05874880632996</v>
      </c>
      <c r="K30" s="377">
        <v>582.31730529687786</v>
      </c>
    </row>
    <row r="31" spans="4:11" x14ac:dyDescent="0.2">
      <c r="D31" s="379">
        <v>24</v>
      </c>
      <c r="E31" s="377">
        <v>429.81211979556105</v>
      </c>
      <c r="F31" s="377">
        <v>432.02722135743511</v>
      </c>
      <c r="G31" s="377">
        <v>434.24922170774056</v>
      </c>
      <c r="H31" s="377">
        <v>436.47811552083442</v>
      </c>
      <c r="I31" s="377">
        <v>438.71389734068447</v>
      </c>
      <c r="J31" s="377">
        <v>440.95656158136609</v>
      </c>
      <c r="K31" s="377">
        <v>443.20610252756893</v>
      </c>
    </row>
    <row r="32" spans="4:11" x14ac:dyDescent="0.2">
      <c r="D32" s="379">
        <v>30</v>
      </c>
      <c r="E32" s="377">
        <v>346.40586702625524</v>
      </c>
      <c r="F32" s="377">
        <v>348.61487886678395</v>
      </c>
      <c r="G32" s="377">
        <v>350.83251721317339</v>
      </c>
      <c r="H32" s="377">
        <v>353.0587746823972</v>
      </c>
      <c r="I32" s="377">
        <v>355.29364363376521</v>
      </c>
      <c r="J32" s="377">
        <v>357.53711616999021</v>
      </c>
      <c r="K32" s="377">
        <v>359.78918413828023</v>
      </c>
    </row>
    <row r="33" spans="4:11" x14ac:dyDescent="0.2">
      <c r="D33" s="379">
        <v>36</v>
      </c>
      <c r="E33" s="377">
        <v>290.8120963065233</v>
      </c>
      <c r="F33" s="377">
        <v>293.02079726910807</v>
      </c>
      <c r="G33" s="377">
        <v>295.23985006843685</v>
      </c>
      <c r="H33" s="377">
        <v>297.46924478375576</v>
      </c>
      <c r="I33" s="377">
        <v>299.70897104665477</v>
      </c>
      <c r="J33" s="377">
        <v>301.95901804310284</v>
      </c>
      <c r="K33" s="377">
        <v>304.21937451555112</v>
      </c>
    </row>
    <row r="34" spans="4:11" x14ac:dyDescent="0.2">
      <c r="D34" s="379">
        <v>42</v>
      </c>
      <c r="E34" s="377">
        <v>251.11117027252612</v>
      </c>
      <c r="F34" s="377">
        <v>253.32286068160607</v>
      </c>
      <c r="G34" s="377">
        <v>255.5466258987629</v>
      </c>
      <c r="H34" s="377">
        <v>257.7824528896852</v>
      </c>
      <c r="I34" s="377">
        <v>260.03032790755117</v>
      </c>
      <c r="J34" s="377">
        <v>262.29023649661826</v>
      </c>
      <c r="K34" s="377">
        <v>264.56216349595832</v>
      </c>
    </row>
    <row r="35" spans="4:11" x14ac:dyDescent="0.2">
      <c r="D35" s="379">
        <v>48</v>
      </c>
      <c r="E35" s="377">
        <v>221.34326989311515</v>
      </c>
      <c r="F35" s="377">
        <v>223.56001051697018</v>
      </c>
      <c r="G35" s="377">
        <v>225.79054641689982</v>
      </c>
      <c r="H35" s="377">
        <v>228.03486077431256</v>
      </c>
      <c r="I35" s="377">
        <v>230.29293570646519</v>
      </c>
      <c r="J35" s="377">
        <v>232.56475227243195</v>
      </c>
      <c r="K35" s="377">
        <v>234.85029047935615</v>
      </c>
    </row>
    <row r="36" spans="4:11" x14ac:dyDescent="0.2">
      <c r="D36" s="379">
        <v>54</v>
      </c>
      <c r="E36" s="377">
        <v>198.19738428532798</v>
      </c>
      <c r="F36" s="377">
        <v>200.42054698670438</v>
      </c>
      <c r="G36" s="377">
        <v>202.65922270963705</v>
      </c>
      <c r="H36" s="377">
        <v>204.91339008625326</v>
      </c>
      <c r="I36" s="377">
        <v>207.18302623442736</v>
      </c>
      <c r="J36" s="377">
        <v>209.46810676725894</v>
      </c>
      <c r="K36" s="377">
        <v>211.76860580305825</v>
      </c>
    </row>
    <row r="37" spans="4:11" x14ac:dyDescent="0.2">
      <c r="D37" s="379">
        <v>60</v>
      </c>
      <c r="E37" s="377">
        <v>179.68690664063138</v>
      </c>
      <c r="F37" s="377">
        <v>181.917449702564</v>
      </c>
      <c r="G37" s="377">
        <v>184.1652205526635</v>
      </c>
      <c r="H37" s="377">
        <v>186.43019241516649</v>
      </c>
      <c r="I37" s="377">
        <v>188.71233644010937</v>
      </c>
      <c r="J37" s="377">
        <v>191.01162171782241</v>
      </c>
      <c r="K37" s="377">
        <v>193.32801529427914</v>
      </c>
    </row>
    <row r="38" spans="4:11" x14ac:dyDescent="0.2">
      <c r="D38" s="379">
        <v>66</v>
      </c>
      <c r="E38" s="377">
        <v>164.54763237325352</v>
      </c>
      <c r="F38" s="377">
        <v>166.78625067731099</v>
      </c>
      <c r="G38" s="377">
        <v>169.04380828118266</v>
      </c>
      <c r="H38" s="377">
        <v>171.32027204973392</v>
      </c>
      <c r="I38" s="377">
        <v>173.61560609277194</v>
      </c>
      <c r="J38" s="377">
        <v>175.9297717865204</v>
      </c>
      <c r="K38" s="377">
        <v>178.26272779646553</v>
      </c>
    </row>
    <row r="39" spans="4:11" x14ac:dyDescent="0.2">
      <c r="D39" s="379">
        <v>72</v>
      </c>
      <c r="E39" s="377">
        <v>151.93675819438741</v>
      </c>
      <c r="F39" s="377">
        <v>154.18397082518453</v>
      </c>
      <c r="G39" s="377">
        <v>156.45183072542503</v>
      </c>
      <c r="H39" s="377">
        <v>158.74029735706151</v>
      </c>
      <c r="I39" s="377">
        <v>161.04932661450931</v>
      </c>
      <c r="J39" s="377">
        <v>163.37887085561337</v>
      </c>
      <c r="K39" s="377">
        <v>165.72887893472202</v>
      </c>
    </row>
  </sheetData>
  <mergeCells count="5">
    <mergeCell ref="B1:C1"/>
    <mergeCell ref="B2:C2"/>
    <mergeCell ref="B3:C3"/>
    <mergeCell ref="B4:C4"/>
    <mergeCell ref="B6:F6"/>
  </mergeCells>
  <hyperlinks>
    <hyperlink ref="B6:D6" location="sjabloon!A1" display="Ga naar Inhoudsopgave" xr:uid="{20A075B5-3565-41E7-B3F5-45890625D1C9}"/>
    <hyperlink ref="B6:F6" location="TOC!A1" display="Go to TOC" xr:uid="{20CEC0D5-8CE5-4052-845C-7E7CE39DEA51}"/>
  </hyperlinks>
  <pageMargins left="0.7" right="0.7" top="0.75" bottom="0.75" header="0.3" footer="0.3"/>
  <pageSetup paperSize="9"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068B-C1C2-41E3-953E-244C117010B2}">
  <dimension ref="B1:F22"/>
  <sheetViews>
    <sheetView workbookViewId="0">
      <pane xSplit="1" ySplit="6" topLeftCell="B7" activePane="bottomRight" state="frozen"/>
      <selection activeCell="B6" sqref="B6:D6"/>
      <selection pane="topRight" activeCell="B6" sqref="B6:D6"/>
      <selection pane="bottomLeft" activeCell="B6" sqref="B6:D6"/>
      <selection pane="bottomRight"/>
    </sheetView>
  </sheetViews>
  <sheetFormatPr defaultRowHeight="12.75" x14ac:dyDescent="0.2"/>
  <cols>
    <col min="1" max="2" width="3.7109375" style="375" customWidth="1"/>
    <col min="3" max="3" width="7.7109375" style="375" customWidth="1"/>
    <col min="4" max="4" width="20.42578125" style="375" bestFit="1" customWidth="1"/>
    <col min="5" max="6" width="10.28515625" style="375" bestFit="1" customWidth="1"/>
    <col min="7" max="16384" width="9.140625" style="375"/>
  </cols>
  <sheetData>
    <row r="1" spans="2:6" x14ac:dyDescent="0.2">
      <c r="B1" s="410" t="s">
        <v>1047</v>
      </c>
      <c r="C1" s="410"/>
      <c r="D1" s="374" t="s">
        <v>1258</v>
      </c>
    </row>
    <row r="2" spans="2:6" x14ac:dyDescent="0.2">
      <c r="B2" s="410" t="s">
        <v>1265</v>
      </c>
      <c r="C2" s="410"/>
      <c r="D2" s="342" t="str">
        <f>VLOOKUP(D$1,TabelContent[],COLUMN(TabelContent[Titel-EN]))</f>
        <v>Projected sales</v>
      </c>
    </row>
    <row r="3" spans="2:6" x14ac:dyDescent="0.2">
      <c r="B3" s="410" t="s">
        <v>1266</v>
      </c>
      <c r="C3" s="410"/>
      <c r="D3" s="342" t="str">
        <f>VLOOKUP(D$1,TabelContent[],COLUMN(TabelContent[Cat-EN]))</f>
        <v>Data table</v>
      </c>
    </row>
    <row r="4" spans="2:6" x14ac:dyDescent="0.2">
      <c r="B4" s="410" t="s">
        <v>1267</v>
      </c>
      <c r="C4" s="410" t="s">
        <v>605</v>
      </c>
      <c r="D4" s="342">
        <f>VLOOKUP(D$1,TabelContent[],COLUMN(TabelContent[Niveau]))</f>
        <v>3</v>
      </c>
    </row>
    <row r="5" spans="2:6" x14ac:dyDescent="0.2">
      <c r="B5" s="376"/>
      <c r="C5" s="376"/>
      <c r="D5" s="376"/>
    </row>
    <row r="6" spans="2:6" x14ac:dyDescent="0.2">
      <c r="B6" s="387" t="s">
        <v>1132</v>
      </c>
      <c r="C6" s="387"/>
      <c r="D6" s="387"/>
      <c r="E6" s="387"/>
      <c r="F6" s="387"/>
    </row>
    <row r="7" spans="2:6" x14ac:dyDescent="0.2">
      <c r="B7" s="376"/>
      <c r="C7" s="376"/>
      <c r="D7" s="376"/>
    </row>
    <row r="8" spans="2:6" x14ac:dyDescent="0.2">
      <c r="B8" s="376"/>
      <c r="D8" s="382" t="s">
        <v>1311</v>
      </c>
      <c r="E8" s="383">
        <v>325000</v>
      </c>
    </row>
    <row r="9" spans="2:6" x14ac:dyDescent="0.2">
      <c r="B9" s="376"/>
      <c r="D9" s="382" t="s">
        <v>1312</v>
      </c>
      <c r="E9" s="384">
        <v>0.02</v>
      </c>
    </row>
    <row r="10" spans="2:6" x14ac:dyDescent="0.2">
      <c r="B10" s="376"/>
      <c r="D10" s="382" t="s">
        <v>1313</v>
      </c>
      <c r="E10" s="383">
        <f>E8*(1+E9)</f>
        <v>331500</v>
      </c>
    </row>
    <row r="12" spans="2:6" x14ac:dyDescent="0.2">
      <c r="E12" s="385">
        <f>E10</f>
        <v>331500</v>
      </c>
    </row>
    <row r="13" spans="2:6" x14ac:dyDescent="0.2">
      <c r="D13" s="384">
        <v>0.01</v>
      </c>
      <c r="E13" s="383">
        <f t="dataTable" ref="E13:E22" dt2D="0" dtr="0" r1="E9"/>
        <v>328250</v>
      </c>
    </row>
    <row r="14" spans="2:6" x14ac:dyDescent="0.2">
      <c r="D14" s="384">
        <v>0.02</v>
      </c>
      <c r="E14" s="383">
        <v>331500</v>
      </c>
    </row>
    <row r="15" spans="2:6" x14ac:dyDescent="0.2">
      <c r="D15" s="384">
        <v>0.03</v>
      </c>
      <c r="E15" s="383">
        <v>334750</v>
      </c>
    </row>
    <row r="16" spans="2:6" x14ac:dyDescent="0.2">
      <c r="D16" s="384">
        <v>0.04</v>
      </c>
      <c r="E16" s="383">
        <v>338000</v>
      </c>
    </row>
    <row r="17" spans="4:5" x14ac:dyDescent="0.2">
      <c r="D17" s="384">
        <v>0.05</v>
      </c>
      <c r="E17" s="383">
        <v>341250</v>
      </c>
    </row>
    <row r="18" spans="4:5" x14ac:dyDescent="0.2">
      <c r="D18" s="384">
        <v>0.06</v>
      </c>
      <c r="E18" s="383">
        <v>344500</v>
      </c>
    </row>
    <row r="19" spans="4:5" x14ac:dyDescent="0.2">
      <c r="D19" s="384">
        <v>7.0000000000000007E-2</v>
      </c>
      <c r="E19" s="383">
        <v>347750</v>
      </c>
    </row>
    <row r="20" spans="4:5" x14ac:dyDescent="0.2">
      <c r="D20" s="384">
        <v>0.08</v>
      </c>
      <c r="E20" s="383">
        <v>351000</v>
      </c>
    </row>
    <row r="21" spans="4:5" x14ac:dyDescent="0.2">
      <c r="D21" s="384">
        <v>0.09</v>
      </c>
      <c r="E21" s="383">
        <v>354250</v>
      </c>
    </row>
    <row r="22" spans="4:5" x14ac:dyDescent="0.2">
      <c r="D22" s="384">
        <v>0.1</v>
      </c>
      <c r="E22" s="383">
        <v>357500</v>
      </c>
    </row>
  </sheetData>
  <mergeCells count="5">
    <mergeCell ref="B1:C1"/>
    <mergeCell ref="B2:C2"/>
    <mergeCell ref="B3:C3"/>
    <mergeCell ref="B4:C4"/>
    <mergeCell ref="B6:F6"/>
  </mergeCells>
  <hyperlinks>
    <hyperlink ref="B6:D6" location="sjabloon!A1" display="Ga naar Inhoudsopgave" xr:uid="{148E64CD-F67C-4048-BA69-CE79B05232C9}"/>
    <hyperlink ref="B6:F6" location="TOC!A1" display="Go to TOC" xr:uid="{75933829-2B4B-4701-A964-8F300D6111A6}"/>
  </hyperlink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AD4D5F-9311-4AC1-997B-2853B1A1FA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77</vt:i4>
      </vt:variant>
      <vt:variant>
        <vt:lpstr>Named Ranges</vt:lpstr>
      </vt:variant>
      <vt:variant>
        <vt:i4>44</vt:i4>
      </vt:variant>
    </vt:vector>
  </HeadingPairs>
  <TitlesOfParts>
    <vt:vector size="121" baseType="lpstr">
      <vt:lpstr>TOC</vt:lpstr>
      <vt:lpstr>data001</vt:lpstr>
      <vt:lpstr>fcast001</vt:lpstr>
      <vt:lpstr>fcast002</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matr001</vt:lpstr>
      <vt:lpstr>matr002</vt:lpstr>
      <vt:lpstr>matr003</vt:lpstr>
      <vt:lpstr>matr004</vt:lpstr>
      <vt:lpstr>matr005</vt:lpstr>
      <vt:lpstr>matr006</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box_area</vt:lpstr>
      <vt:lpstr>box_area_min</vt:lpstr>
      <vt:lpstr>box_number</vt:lpstr>
      <vt:lpstr>box_number_min</vt:lpstr>
      <vt:lpstr>box_profit</vt:lpstr>
      <vt:lpstr>box_weight</vt:lpstr>
      <vt:lpstr>box_weight_max</vt:lpstr>
      <vt:lpstr>box_weight_min</vt:lpstr>
      <vt:lpstr>cans_total</vt:lpstr>
      <vt:lpstr>Canteen</vt:lpstr>
      <vt:lpstr>Commission_High</vt:lpstr>
      <vt:lpstr>Commission_Low</vt:lpstr>
      <vt:lpstr>Date_of_Birth</vt:lpstr>
      <vt:lpstr>Growth</vt:lpstr>
      <vt:lpstr>Growth_Rate</vt:lpstr>
      <vt:lpstr>Inflation</vt:lpstr>
      <vt:lpstr>Interest</vt:lpstr>
      <vt:lpstr>Material_costs</vt:lpstr>
      <vt:lpstr>Materials</vt:lpstr>
      <vt:lpstr>Miscellaneous</vt:lpstr>
      <vt:lpstr>number_cherry</vt:lpstr>
      <vt:lpstr>number_cherry_min</vt:lpstr>
      <vt:lpstr>number_hazelnut</vt:lpstr>
      <vt:lpstr>number_hazelnut_min</vt:lpstr>
      <vt:lpstr>Operating_profit</vt:lpstr>
      <vt:lpstr>Pension_Age</vt:lpstr>
      <vt:lpstr>Pension_Date</vt:lpstr>
      <vt:lpstr>price_high</vt:lpstr>
      <vt:lpstr>price_low</vt:lpstr>
      <vt:lpstr>price_total</vt:lpstr>
      <vt:lpstr>Price_XXX</vt:lpstr>
      <vt:lpstr>Price_YYY</vt:lpstr>
      <vt:lpstr>Price_ZZZ</vt:lpstr>
      <vt:lpstr>Profit</vt:lpstr>
      <vt:lpstr>Profit_2011</vt:lpstr>
      <vt:lpstr>Profit_2012</vt:lpstr>
      <vt:lpstr>Profit_margin</vt:lpstr>
      <vt:lpstr>quantity_limit</vt:lpstr>
      <vt:lpstr>Report_Date</vt:lpstr>
      <vt:lpstr>Sales_2010</vt:lpstr>
      <vt:lpstr>Sales_Target</vt:lpstr>
      <vt:lpstr>Subscriptions</vt:lpstr>
      <vt:lpstr>Tax</vt:lpstr>
      <vt:lpstr>Wages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dc:creator>
  <cp:lastModifiedBy>benw</cp:lastModifiedBy>
  <dcterms:created xsi:type="dcterms:W3CDTF">2011-02-26T16:32:11Z</dcterms:created>
  <dcterms:modified xsi:type="dcterms:W3CDTF">2020-08-31T19:46:50Z</dcterms:modified>
</cp:coreProperties>
</file>