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pivotTables/pivotTable4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3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\resources\"/>
    </mc:Choice>
  </mc:AlternateContent>
  <xr:revisionPtr revIDLastSave="0" documentId="13_ncr:1_{81486225-F446-4F8B-B839-4F40AD7DF606}" xr6:coauthVersionLast="45" xr6:coauthVersionMax="45" xr10:uidLastSave="{00000000-0000-0000-0000-000000000000}"/>
  <bookViews>
    <workbookView xWindow="-120" yWindow="-120" windowWidth="29040" windowHeight="15840" tabRatio="901" activeTab="1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ruineBoon" sheetId="52" r:id="rId17"/>
    <sheet name="BruineBoon-Scenariosamenvatting" sheetId="51" r:id="rId18"/>
    <sheet name="calc-01" sheetId="20" r:id="rId19"/>
    <sheet name="calc-02" sheetId="21" r:id="rId20"/>
    <sheet name="cashflows" sheetId="55" r:id="rId21"/>
    <sheet name="datatablelayout" sheetId="57" r:id="rId22"/>
    <sheet name="datatable1a" sheetId="9" r:id="rId23"/>
    <sheet name="datatable1b" sheetId="10" r:id="rId24"/>
    <sheet name="datatable2a" sheetId="12" r:id="rId25"/>
    <sheet name="datatable2b" sheetId="13" r:id="rId26"/>
    <sheet name="Doelzoeken" sheetId="35" r:id="rId27"/>
    <sheet name="facturen" sheetId="15" r:id="rId28"/>
    <sheet name="Func-datum" sheetId="26" r:id="rId29"/>
    <sheet name="Func-logisch" sheetId="29" r:id="rId30"/>
    <sheet name="Func-nesting" sheetId="40" r:id="rId31"/>
    <sheet name="Func-statistisch" sheetId="24" r:id="rId32"/>
    <sheet name="Func-tekst" sheetId="28" r:id="rId33"/>
    <sheet name="Func-wiskunde" sheetId="27" r:id="rId34"/>
    <sheet name="getalopmaak" sheetId="31" r:id="rId35"/>
    <sheet name="harddisks" sheetId="7" r:id="rId36"/>
    <sheet name="HorizZoeken" sheetId="8" r:id="rId37"/>
    <sheet name="koersen" sheetId="38" r:id="rId38"/>
    <sheet name="Lijst1" sheetId="34" r:id="rId39"/>
    <sheet name="matrix" sheetId="41" r:id="rId40"/>
    <sheet name="matr-01" sheetId="42" r:id="rId41"/>
    <sheet name="matr-04" sheetId="43" r:id="rId42"/>
    <sheet name="matr-05" sheetId="44" r:id="rId43"/>
    <sheet name="matr-06" sheetId="45" r:id="rId44"/>
    <sheet name="matr-07" sheetId="46" r:id="rId45"/>
    <sheet name="matr-08" sheetId="47" r:id="rId46"/>
    <sheet name="meetresultaten" sheetId="17" r:id="rId47"/>
    <sheet name="model" sheetId="39" r:id="rId48"/>
    <sheet name="pivot" sheetId="3" r:id="rId49"/>
    <sheet name="pivot-example" sheetId="1" r:id="rId50"/>
    <sheet name="premietabel" sheetId="22" r:id="rId51"/>
    <sheet name="prijstabel" sheetId="23" r:id="rId52"/>
    <sheet name="rko-1" sheetId="54" r:id="rId53"/>
    <sheet name="rko-2" sheetId="50" r:id="rId54"/>
    <sheet name="supermarkt" sheetId="14" r:id="rId55"/>
    <sheet name="termijnen" sheetId="6" r:id="rId56"/>
    <sheet name="uitlijning" sheetId="30" r:id="rId57"/>
    <sheet name="verkopen_kw1" sheetId="32" r:id="rId58"/>
    <sheet name="vlak" sheetId="19" r:id="rId59"/>
    <sheet name="WaarOnwaar" sheetId="33" r:id="rId60"/>
    <sheet name="WeatherLeather" sheetId="16" r:id="rId61"/>
  </sheets>
  <externalReferences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aantal_hazelnoot" localSheetId="21">[1]solv001!$H$11</definedName>
    <definedName name="aantal_hazelnoot" localSheetId="52">[2]solv001!$H$11</definedName>
    <definedName name="aantal_hazelnoot">[3]solv001!$H$11</definedName>
    <definedName name="Aantal_jacks_Kort" localSheetId="47">#REF!</definedName>
    <definedName name="Aantal_jacks_Kort">#REF!</definedName>
    <definedName name="Aantal_jacks_Lang" localSheetId="47">#REF!</definedName>
    <definedName name="Aantal_jacks_Lang">#REF!</definedName>
    <definedName name="aantal_kers" localSheetId="21">[1]solv001!$H$10</definedName>
    <definedName name="aantal_kers" localSheetId="52">[2]solv001!$H$10</definedName>
    <definedName name="aantal_kers">[3]solv001!$H$10</definedName>
    <definedName name="Aantal_Orders">BruineBoon!$B$6</definedName>
    <definedName name="Annual_Costs" localSheetId="21">[4]scen!$C$15</definedName>
    <definedName name="Annual_Costs">[5]scen!$C$15</definedName>
    <definedName name="Annual_Incomes" localSheetId="21">[4]scen!$C$8</definedName>
    <definedName name="Annual_Incomes">[5]scen!$C$8</definedName>
    <definedName name="AOW_Datum" localSheetId="21">[1]form003!$E$12</definedName>
    <definedName name="AOW_Datum" localSheetId="52">[2]form003!$E$12</definedName>
    <definedName name="AOW_Datum">[3]form003!$E$12</definedName>
    <definedName name="AOW_Leeftijd" localSheetId="21">[1]form003!$E$9</definedName>
    <definedName name="AOW_Leeftijd" localSheetId="52">[2]form003!$E$9</definedName>
    <definedName name="AOW_Leeftijd">[3]form003!$E$9</definedName>
    <definedName name="CommissieHoog" localSheetId="21">[1]form004!$E$9</definedName>
    <definedName name="CommissieHoog" localSheetId="52">[2]form004!$E$9</definedName>
    <definedName name="CommissieHoog">[3]form004!$E$9</definedName>
    <definedName name="CommissieLaag" localSheetId="21">[1]form004!$E$8</definedName>
    <definedName name="CommissieLaag" localSheetId="52">[2]form004!$E$8</definedName>
    <definedName name="CommissieLaag">[3]form004!$E$8</definedName>
    <definedName name="Cost_per_Order" localSheetId="21">[4]scen!$B$5</definedName>
    <definedName name="Cost_per_Order">[5]scen!$B$5</definedName>
    <definedName name="Duur" localSheetId="15">#REF!</definedName>
    <definedName name="Duur" localSheetId="21">#REF!</definedName>
    <definedName name="Duur" localSheetId="47">[6]afschrijvingen!$B$3</definedName>
    <definedName name="Duur" localSheetId="52">#REF!</definedName>
    <definedName name="Duur">afschrijvingen!$B$3</definedName>
    <definedName name="geboortedatum" localSheetId="21">[1]form003!$E$8</definedName>
    <definedName name="geboortedatum" localSheetId="52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1">[4]Doelzoeken!$B$1</definedName>
    <definedName name="inleg" localSheetId="47">[6]Doelzoeken!$B$1</definedName>
    <definedName name="inleg" localSheetId="52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1">[4]Doelzoeken!$B$2</definedName>
    <definedName name="jaarrente" localSheetId="47">[6]Doelzoeken!$B$2</definedName>
    <definedName name="jaarrente" localSheetId="52">[5]Doelzoeken!$B$2</definedName>
    <definedName name="jaarrente">Doelzoeken!$B$2</definedName>
    <definedName name="kolom_def_matrix" localSheetId="21">{"Kledingsoort",0,"Auto","Auto",""}</definedName>
    <definedName name="kolom_def_matrix" localSheetId="52">{"Kledingsoort",0,"Auto","Auto",""}</definedName>
    <definedName name="kolom_def_matrix">{"Kledingsoort",0,"Auto","Auto",""}</definedName>
    <definedName name="Kosten" localSheetId="15">#REF!</definedName>
    <definedName name="Kosten" localSheetId="21">#REF!</definedName>
    <definedName name="Kosten" localSheetId="47">[6]afschrijvingen!$B$1</definedName>
    <definedName name="Kosten" localSheetId="52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1">[4]scen!$B$6</definedName>
    <definedName name="Number_of_Orders">[5]scen!$B$6</definedName>
    <definedName name="Opbrengst_per_Order">BruineBoon!$B$4</definedName>
    <definedName name="RapportDatum" localSheetId="21">[1]form005!$E$10</definedName>
    <definedName name="RapportDatum" localSheetId="52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1">#REF!</definedName>
    <definedName name="Restwaarde" localSheetId="47">[6]afschrijvingen!$B$2</definedName>
    <definedName name="Restwaarde" localSheetId="52">#REF!</definedName>
    <definedName name="Restwaarde">afschrijvingen!$B$2</definedName>
    <definedName name="rij_def_matrix" localSheetId="21">{"Jaar",0,"Auto","Auto","";"Vertegenwoordiger",0,"Auto","Auto",""}</definedName>
    <definedName name="rij_def_matrix" localSheetId="52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1">[1]form004!$E$7</definedName>
    <definedName name="VerkoopDoelstelling" localSheetId="52">[2]form004!$E$7</definedName>
    <definedName name="VerkoopDoelstelling">[3]form004!$E$7</definedName>
    <definedName name="Voorzieningen">BruineBoon!$B$14</definedName>
    <definedName name="waarde_def_matrix" localSheetId="21">{"Verkopen","SOM(Verkopen)","JNNNN",FALSE}</definedName>
    <definedName name="waarde_def_matrix" localSheetId="52">{"Verkopen","SOM(Verkopen)","JNNNN",FALSE}</definedName>
    <definedName name="waarde_def_matrix">{"Verkopen","SOM(Verkopen)","JNNNN",FALSE}</definedName>
    <definedName name="Winst_per_week">#REF!</definedName>
    <definedName name="Yield_per_Order" localSheetId="21">[4]scen!$B$4</definedName>
    <definedName name="Yield_per_Order">[5]scen!$B$4</definedName>
    <definedName name="Zoeklijst" localSheetId="15">#REF!</definedName>
    <definedName name="Zoeklijst" localSheetId="21">#REF!</definedName>
    <definedName name="Zoeklijst" localSheetId="47">[6]harddisks!$B$11:$E$22</definedName>
    <definedName name="Zoeklijst" localSheetId="52">#REF!</definedName>
    <definedName name="Zoeklijst">harddisks!$B$11:$E$22</definedName>
    <definedName name="Zoeknr" localSheetId="15">#REF!</definedName>
    <definedName name="Zoeknr" localSheetId="21">#REF!</definedName>
    <definedName name="Zoeknr" localSheetId="47">[6]harddisks!$D$2</definedName>
    <definedName name="Zoeknr" localSheetId="52">#REF!</definedName>
    <definedName name="Zoeknr">harddisks!$D$2</definedName>
  </definedNames>
  <calcPr calcId="191029"/>
  <pivotCaches>
    <pivotCache cacheId="0" r:id="rId69"/>
    <pivotCache cacheId="1" r:id="rId70"/>
    <pivotCache cacheId="2" r:id="rId71"/>
    <pivotCache cacheId="3" r:id="rId72"/>
    <pivotCache cacheId="4" r:id="rId7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E2" i="42" l="1" a="1"/>
  <c r="E2" i="42" s="1"/>
  <c r="E4" i="42" l="1"/>
  <c r="E3" i="42"/>
  <c r="B2" i="29"/>
  <c r="B3" i="29"/>
  <c r="B4" i="29"/>
  <c r="B5" i="29"/>
  <c r="B6" i="29"/>
  <c r="B11" i="50" l="1"/>
  <c r="B12" i="50"/>
  <c r="B13" i="50"/>
  <c r="B14" i="50" s="1"/>
  <c r="C12" i="47" a="1"/>
  <c r="C12" i="47" s="1"/>
  <c r="C11" i="47" a="1"/>
  <c r="C11" i="47" s="1"/>
  <c r="F5" i="46" a="1"/>
  <c r="F5" i="46" s="1"/>
  <c r="F4" i="46" a="1"/>
  <c r="F4" i="46" s="1"/>
  <c r="F3" i="46" a="1"/>
  <c r="F3" i="46" s="1"/>
  <c r="D6" i="45" a="1"/>
  <c r="D6" i="45" s="1"/>
  <c r="C6" i="45" a="1"/>
  <c r="C6" i="45" s="1"/>
  <c r="G1" i="44" a="1"/>
  <c r="I4" i="44" s="1"/>
  <c r="G1" i="43" a="1"/>
  <c r="H1" i="43" s="1"/>
  <c r="D2" i="42" a="1"/>
  <c r="D3" i="42" s="1"/>
  <c r="G1" i="44" l="1"/>
  <c r="A15" i="50"/>
  <c r="H2" i="44"/>
  <c r="B15" i="50"/>
  <c r="D2" i="42"/>
  <c r="G1" i="43"/>
  <c r="I1" i="44"/>
  <c r="G3" i="44"/>
  <c r="H4" i="44"/>
  <c r="D4" i="42"/>
  <c r="I1" i="43"/>
  <c r="I3" i="44"/>
  <c r="H1" i="44"/>
  <c r="G2" i="44"/>
  <c r="I2" i="44"/>
  <c r="H3" i="44"/>
  <c r="G4" i="44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sharedStrings.xml><?xml version="1.0" encoding="utf-8"?>
<sst xmlns="http://schemas.openxmlformats.org/spreadsheetml/2006/main" count="1866" uniqueCount="448">
  <si>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</si>
  <si>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</si>
  <si>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</si>
  <si>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</si>
  <si>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</si>
  <si>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</si>
  <si>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</si>
  <si>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</si>
  <si>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</si>
  <si>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</si>
  <si>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</si>
  <si>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</si>
  <si>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</si>
  <si>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</si>
  <si>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</si>
  <si>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</si>
  <si>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</si>
  <si>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</si>
  <si>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</si>
  <si>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</si>
  <si>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</si>
  <si>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</si>
  <si>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</si>
  <si>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</si>
  <si>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</si>
  <si>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</si>
  <si>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</si>
  <si>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</si>
  <si>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</si>
  <si>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</si>
  <si>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</si>
  <si>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</si>
  <si>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</si>
  <si>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</si>
  <si>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</si>
  <si>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</si>
  <si>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</si>
  <si>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</si>
  <si>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</si>
  <si>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</si>
  <si>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</si>
  <si>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</si>
  <si>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</si>
  <si>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</si>
  <si>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</si>
  <si>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</si>
  <si>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</si>
  <si>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</si>
  <si>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</si>
  <si>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</si>
  <si>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</si>
  <si>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</si>
  <si>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</si>
  <si>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</si>
  <si>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</si>
  <si>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</si>
  <si>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</si>
  <si>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</si>
  <si>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</si>
  <si>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</si>
  <si>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</si>
  <si>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</si>
  <si>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</si>
  <si>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</si>
  <si>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</si>
  <si>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</si>
  <si>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</si>
  <si>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</si>
  <si>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</si>
  <si>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</si>
  <si>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</si>
  <si>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</si>
  <si>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</si>
  <si>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</si>
  <si>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</si>
  <si>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</si>
  <si>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</si>
  <si>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</si>
  <si>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</si>
  <si>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</si>
  <si>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</si>
  <si>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</si>
  <si>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</si>
  <si>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</si>
  <si>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</si>
  <si>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</si>
  <si>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</si>
  <si>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</si>
  <si>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</si>
  <si>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</si>
  <si>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</si>
  <si>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</si>
  <si>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</si>
  <si>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</si>
  <si>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</si>
  <si>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</si>
  <si>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</si>
  <si>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</si>
  <si>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</si>
  <si>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</si>
  <si>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</si>
  <si>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</si>
  <si>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</si>
  <si>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</si>
  <si>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</si>
  <si>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</si>
  <si>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</si>
  <si>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</si>
  <si>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</si>
  <si>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</si>
  <si>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</si>
  <si>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</si>
  <si>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</si>
  <si>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</si>
  <si>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</si>
  <si>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</si>
  <si>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</si>
  <si>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</si>
  <si>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</si>
  <si>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</si>
  <si>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</si>
  <si>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</si>
  <si>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</si>
  <si>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</si>
  <si>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</si>
  <si>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</si>
  <si>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</si>
  <si>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</si>
  <si>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</si>
  <si>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</si>
  <si>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</si>
  <si>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</si>
  <si>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</si>
  <si>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</si>
  <si>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</si>
  <si>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</si>
  <si>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</si>
  <si>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</si>
  <si>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</si>
  <si>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</si>
  <si>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</si>
  <si>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</si>
  <si>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</si>
  <si>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</si>
  <si>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</si>
  <si>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</si>
  <si>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</si>
  <si>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</si>
  <si>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</si>
  <si>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</si>
  <si>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</si>
  <si>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</si>
  <si>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</si>
  <si>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</si>
  <si>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</si>
  <si>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</si>
  <si>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</si>
  <si>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</si>
  <si>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</si>
  <si>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</si>
  <si>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</si>
  <si>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</si>
  <si>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</si>
  <si>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</si>
  <si>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</si>
  <si>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</si>
  <si>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</si>
  <si>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</si>
  <si>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</si>
  <si>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</si>
  <si>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</si>
  <si>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</si>
  <si>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</si>
  <si>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</si>
  <si>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</si>
  <si>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</si>
  <si>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</si>
  <si>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</si>
  <si>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</si>
  <si>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</si>
  <si>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</si>
  <si>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</si>
  <si>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</si>
  <si>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</si>
  <si>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</si>
  <si>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</si>
  <si>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</si>
  <si>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</si>
  <si>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</si>
  <si>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</si>
  <si>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</si>
  <si>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</si>
  <si>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</si>
  <si>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</si>
  <si>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</si>
  <si>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</si>
  <si>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</si>
  <si>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</si>
  <si>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</si>
  <si>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</si>
  <si>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</si>
  <si>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</si>
  <si>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</si>
  <si>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</si>
  <si>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</si>
  <si>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</si>
  <si>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</si>
  <si>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</si>
  <si>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</si>
  <si>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</si>
  <si>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</si>
  <si>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</si>
  <si>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</si>
  <si>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</si>
  <si>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</si>
  <si>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</si>
  <si>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</si>
  <si>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</si>
  <si>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</si>
  <si>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</si>
  <si>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</si>
  <si>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</si>
  <si>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</si>
  <si>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</si>
  <si>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</si>
  <si>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</si>
  <si>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</si>
  <si>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</si>
  <si>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</si>
  <si>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</si>
  <si>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</si>
  <si>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</si>
  <si>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</si>
  <si>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</si>
  <si>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</si>
  <si>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</si>
  <si>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</si>
  <si>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</si>
  <si>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</si>
  <si>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</si>
  <si>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</si>
  <si>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</si>
  <si>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</si>
  <si>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</si>
  <si>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</si>
  <si>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</si>
  <si>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</si>
  <si>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</si>
  <si>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</si>
  <si>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</si>
  <si>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</si>
  <si>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</si>
  <si>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</si>
  <si>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</si>
  <si>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</si>
  <si>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</si>
  <si>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</si>
  <si>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</si>
  <si>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</si>
  <si>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</si>
  <si>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</si>
  <si>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</si>
  <si>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</si>
  <si>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</si>
  <si>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</si>
  <si>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</si>
  <si>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</si>
  <si>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</si>
  <si>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</si>
  <si>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</si>
  <si>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</si>
  <si>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</si>
  <si>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</si>
  <si>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</si>
  <si>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</si>
  <si>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</si>
  <si>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</si>
  <si>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</si>
  <si>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</si>
  <si>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</si>
  <si>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1 dimensionale verticale matrix</t>
  </si>
  <si>
    <t>2 dimensionale matrix</t>
  </si>
  <si>
    <t>1 dimensionale horizontale matrix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</si>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</sst>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</numFmts>
  <fonts count="3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0">
    <xf numFmtId="172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42">
    <xf numFmtId="172" fontId="0" fillId="0" borderId="0" xfId="0"/>
    <xf numFmtId="172" fontId="12" fillId="0" borderId="0" xfId="0" applyFont="1"/>
    <xf numFmtId="164" fontId="0" fillId="0" borderId="0" xfId="1" applyNumberFormat="1" applyFont="1"/>
    <xf numFmtId="172" fontId="0" fillId="0" borderId="0" xfId="0" applyAlignment="1">
      <alignment horizontal="left"/>
    </xf>
    <xf numFmtId="5" fontId="0" fillId="0" borderId="0" xfId="0" applyNumberFormat="1"/>
    <xf numFmtId="172" fontId="0" fillId="2" borderId="0" xfId="0" applyFill="1"/>
    <xf numFmtId="172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172" fontId="13" fillId="0" borderId="0" xfId="0" applyFont="1"/>
    <xf numFmtId="172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172" fontId="16" fillId="0" borderId="0" xfId="0" applyFont="1"/>
    <xf numFmtId="172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172" fontId="0" fillId="4" borderId="0" xfId="0" applyFill="1" applyAlignment="1">
      <alignment horizontal="left"/>
    </xf>
    <xf numFmtId="172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172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172" fontId="10" fillId="0" borderId="0" xfId="0" applyFont="1" applyAlignment="1">
      <alignment vertical="top"/>
    </xf>
    <xf numFmtId="172" fontId="10" fillId="0" borderId="0" xfId="0" applyFont="1"/>
    <xf numFmtId="172" fontId="10" fillId="0" borderId="0" xfId="0" applyFont="1" applyAlignment="1">
      <alignment vertical="center"/>
    </xf>
    <xf numFmtId="172" fontId="10" fillId="0" borderId="0" xfId="0" applyFont="1" applyAlignment="1">
      <alignment wrapText="1"/>
    </xf>
    <xf numFmtId="172" fontId="10" fillId="0" borderId="0" xfId="0" applyFont="1" applyAlignment="1">
      <alignment horizontal="left"/>
    </xf>
    <xf numFmtId="172" fontId="10" fillId="0" borderId="0" xfId="0" applyFont="1" applyAlignment="1">
      <alignment horizontal="center"/>
    </xf>
    <xf numFmtId="172" fontId="10" fillId="0" borderId="0" xfId="0" applyFont="1" applyAlignment="1">
      <alignment horizontal="right"/>
    </xf>
    <xf numFmtId="172" fontId="10" fillId="0" borderId="8" xfId="0" applyFont="1" applyBorder="1"/>
    <xf numFmtId="172" fontId="10" fillId="0" borderId="7" xfId="0" applyFont="1" applyBorder="1" applyAlignment="1">
      <alignment textRotation="44"/>
    </xf>
    <xf numFmtId="172" fontId="10" fillId="0" borderId="6" xfId="0" applyFont="1" applyBorder="1"/>
    <xf numFmtId="172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172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10" fillId="0" borderId="0" xfId="2" applyAlignment="1">
      <alignment horizontal="center"/>
    </xf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172" fontId="0" fillId="0" borderId="3" xfId="0" applyBorder="1"/>
    <xf numFmtId="172" fontId="0" fillId="0" borderId="1" xfId="0" applyBorder="1"/>
    <xf numFmtId="172" fontId="0" fillId="0" borderId="12" xfId="0" applyBorder="1"/>
    <xf numFmtId="172" fontId="0" fillId="0" borderId="2" xfId="0" applyBorder="1"/>
    <xf numFmtId="172" fontId="12" fillId="0" borderId="6" xfId="0" applyFont="1" applyBorder="1" applyAlignment="1">
      <alignment horizontal="left" vertical="top" indent="1"/>
    </xf>
    <xf numFmtId="172" fontId="0" fillId="0" borderId="13" xfId="0" applyBorder="1"/>
    <xf numFmtId="172" fontId="0" fillId="0" borderId="14" xfId="0" applyBorder="1"/>
    <xf numFmtId="172" fontId="0" fillId="0" borderId="0" xfId="0" applyBorder="1"/>
    <xf numFmtId="172" fontId="12" fillId="5" borderId="6" xfId="0" applyFont="1" applyFill="1" applyBorder="1" applyAlignment="1">
      <alignment horizontal="left" vertical="top" indent="1"/>
    </xf>
    <xf numFmtId="172" fontId="0" fillId="0" borderId="15" xfId="0" applyBorder="1"/>
    <xf numFmtId="172" fontId="0" fillId="0" borderId="17" xfId="0" applyBorder="1"/>
    <xf numFmtId="172" fontId="0" fillId="0" borderId="16" xfId="0" applyBorder="1"/>
    <xf numFmtId="172" fontId="0" fillId="0" borderId="0" xfId="0" applyAlignment="1">
      <alignment horizontal="center" vertical="center"/>
    </xf>
    <xf numFmtId="172" fontId="0" fillId="0" borderId="0" xfId="0" applyAlignment="1">
      <alignment horizontal="left" vertical="center"/>
    </xf>
    <xf numFmtId="172" fontId="15" fillId="0" borderId="0" xfId="2" applyFont="1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32" xfId="33" applyFont="1" applyFill="1" applyBorder="1" applyAlignment="1">
      <alignment horizontal="left"/>
    </xf>
    <xf numFmtId="0" fontId="28" fillId="6" borderId="32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172" fontId="32" fillId="0" borderId="0" xfId="0" applyFont="1"/>
    <xf numFmtId="3" fontId="32" fillId="4" borderId="0" xfId="0" applyNumberFormat="1" applyFont="1" applyFill="1"/>
    <xf numFmtId="172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172" fontId="38" fillId="0" borderId="0" xfId="0" applyFont="1"/>
    <xf numFmtId="14" fontId="11" fillId="0" borderId="0" xfId="35" applyNumberFormat="1"/>
    <xf numFmtId="172" fontId="0" fillId="0" borderId="0" xfId="0" applyAlignment="1">
      <alignment horizontal="left" indent="1"/>
    </xf>
    <xf numFmtId="1" fontId="0" fillId="0" borderId="0" xfId="0" applyNumberFormat="1"/>
    <xf numFmtId="0" fontId="31" fillId="9" borderId="0" xfId="33" applyFont="1" applyFill="1" applyAlignment="1">
      <alignment horizontal="center" vertical="center"/>
    </xf>
    <xf numFmtId="172" fontId="12" fillId="5" borderId="16" xfId="0" applyFont="1" applyFill="1" applyBorder="1" applyAlignment="1">
      <alignment horizontal="left" vertical="top" indent="1"/>
    </xf>
    <xf numFmtId="172" fontId="0" fillId="0" borderId="15" xfId="0" applyBorder="1" applyAlignment="1">
      <alignment horizontal="left" indent="1"/>
    </xf>
    <xf numFmtId="172" fontId="0" fillId="0" borderId="12" xfId="0" applyBorder="1" applyAlignment="1">
      <alignment horizontal="left" indent="1"/>
    </xf>
    <xf numFmtId="172" fontId="0" fillId="0" borderId="3" xfId="0" applyBorder="1" applyAlignment="1">
      <alignment horizontal="left" indent="1"/>
    </xf>
    <xf numFmtId="172" fontId="12" fillId="0" borderId="16" xfId="0" applyFont="1" applyBorder="1" applyAlignment="1">
      <alignment horizontal="left" vertical="top" indent="1"/>
    </xf>
    <xf numFmtId="172" fontId="0" fillId="0" borderId="13" xfId="0" applyBorder="1" applyAlignment="1">
      <alignment horizontal="left" indent="1"/>
    </xf>
    <xf numFmtId="172" fontId="0" fillId="0" borderId="2" xfId="0" applyBorder="1" applyAlignment="1">
      <alignment horizontal="left" indent="1"/>
    </xf>
    <xf numFmtId="0" fontId="12" fillId="0" borderId="0" xfId="35" applyFont="1" applyAlignment="1"/>
    <xf numFmtId="172" fontId="10" fillId="0" borderId="9" xfId="0" applyFont="1" applyBorder="1" applyAlignment="1">
      <alignment horizontal="center" vertical="center" textRotation="90"/>
    </xf>
    <xf numFmtId="172" fontId="10" fillId="0" borderId="10" xfId="0" applyFont="1" applyBorder="1" applyAlignment="1">
      <alignment horizontal="center" vertical="center" textRotation="90"/>
    </xf>
    <xf numFmtId="172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0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8"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externalLink" Target="externalLinks/externalLink2.xml"/><Relationship Id="rId68" Type="http://schemas.openxmlformats.org/officeDocument/2006/relationships/externalLink" Target="externalLinks/externalLink7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externalLink" Target="externalLinks/externalLink5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3.xml"/><Relationship Id="rId69" Type="http://schemas.openxmlformats.org/officeDocument/2006/relationships/pivotCacheDefinition" Target="pivotCache/pivotCacheDefinition1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externalLink" Target="externalLinks/externalLink1.xml"/><Relationship Id="rId70" Type="http://schemas.openxmlformats.org/officeDocument/2006/relationships/pivotCacheDefinition" Target="pivotCache/pivotCacheDefinition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4.xml"/><Relationship Id="rId73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6">
      <pivotArea type="origin" dataOnly="0" labelOnly="1" outline="0" fieldPosition="0"/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Col="1" outline="0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  <format dxfId="0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7"/>
    <tableColumn id="2" xr3:uid="{DCD143B9-BBC2-44AA-86B1-AA5A8830F651}" name="Volu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24"/>
  </cols>
  <sheetData>
    <row r="1" spans="1:1" x14ac:dyDescent="0.25">
      <c r="A1" s="224" t="s">
        <v>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tabSelected="1" workbookViewId="0">
      <selection activeCell="C2" sqref="C2"/>
    </sheetView>
  </sheetViews>
  <sheetFormatPr defaultRowHeight="15" x14ac:dyDescent="0.25"/>
  <cols>
    <col min="1" max="1" width="9.42578125" style="201" bestFit="1" customWidth="1"/>
    <col min="2" max="2" width="10.28515625" style="201" bestFit="1" customWidth="1"/>
    <col min="3" max="16384" width="9.140625" style="201"/>
  </cols>
  <sheetData>
    <row r="1" spans="1:2" x14ac:dyDescent="0.25">
      <c r="A1" s="201" t="s">
        <v>85</v>
      </c>
      <c r="B1" s="201" t="s">
        <v>427</v>
      </c>
    </row>
    <row r="2" spans="1:2" x14ac:dyDescent="0.25">
      <c r="A2" s="225">
        <v>20455</v>
      </c>
      <c r="B2" s="201">
        <v>284</v>
      </c>
    </row>
    <row r="3" spans="1:2" x14ac:dyDescent="0.25">
      <c r="A3" s="225">
        <v>20546</v>
      </c>
      <c r="B3" s="201">
        <v>213</v>
      </c>
    </row>
    <row r="4" spans="1:2" x14ac:dyDescent="0.25">
      <c r="A4" s="225">
        <v>20637</v>
      </c>
      <c r="B4" s="201">
        <v>227</v>
      </c>
    </row>
    <row r="5" spans="1:2" x14ac:dyDescent="0.25">
      <c r="A5" s="225">
        <v>20729</v>
      </c>
      <c r="B5" s="201">
        <v>308</v>
      </c>
    </row>
    <row r="6" spans="1:2" x14ac:dyDescent="0.25">
      <c r="A6" s="225">
        <v>20821</v>
      </c>
      <c r="B6" s="201">
        <v>262</v>
      </c>
    </row>
    <row r="7" spans="1:2" x14ac:dyDescent="0.25">
      <c r="A7" s="225">
        <v>20911</v>
      </c>
      <c r="B7" s="201">
        <v>228</v>
      </c>
    </row>
    <row r="8" spans="1:2" x14ac:dyDescent="0.25">
      <c r="A8" s="225">
        <v>21002</v>
      </c>
      <c r="B8" s="201">
        <v>236</v>
      </c>
    </row>
    <row r="9" spans="1:2" x14ac:dyDescent="0.25">
      <c r="A9" s="225">
        <v>21094</v>
      </c>
      <c r="B9" s="201">
        <v>320</v>
      </c>
    </row>
    <row r="10" spans="1:2" x14ac:dyDescent="0.25">
      <c r="A10" s="225">
        <v>21186</v>
      </c>
      <c r="B10" s="201">
        <v>272</v>
      </c>
    </row>
    <row r="11" spans="1:2" x14ac:dyDescent="0.25">
      <c r="A11" s="225">
        <v>21276</v>
      </c>
      <c r="B11" s="201">
        <v>233</v>
      </c>
    </row>
    <row r="12" spans="1:2" x14ac:dyDescent="0.25">
      <c r="A12" s="225">
        <v>21367</v>
      </c>
      <c r="B12" s="201">
        <v>237</v>
      </c>
    </row>
    <row r="13" spans="1:2" x14ac:dyDescent="0.25">
      <c r="A13" s="225">
        <v>21459</v>
      </c>
      <c r="B13" s="201">
        <v>313</v>
      </c>
    </row>
    <row r="14" spans="1:2" x14ac:dyDescent="0.25">
      <c r="A14" s="225">
        <v>21551</v>
      </c>
      <c r="B14" s="201">
        <v>261</v>
      </c>
    </row>
    <row r="15" spans="1:2" x14ac:dyDescent="0.25">
      <c r="A15" s="225">
        <v>21641</v>
      </c>
      <c r="B15" s="201">
        <v>227</v>
      </c>
    </row>
    <row r="16" spans="1:2" x14ac:dyDescent="0.25">
      <c r="A16" s="225">
        <v>21732</v>
      </c>
      <c r="B16" s="201">
        <v>250</v>
      </c>
    </row>
    <row r="17" spans="1:2" x14ac:dyDescent="0.25">
      <c r="A17" s="225">
        <v>21824</v>
      </c>
      <c r="B17" s="201">
        <v>314</v>
      </c>
    </row>
    <row r="18" spans="1:2" x14ac:dyDescent="0.25">
      <c r="A18" s="225">
        <v>21916</v>
      </c>
      <c r="B18" s="201">
        <v>286</v>
      </c>
    </row>
    <row r="19" spans="1:2" x14ac:dyDescent="0.25">
      <c r="A19" s="225">
        <v>22007</v>
      </c>
      <c r="B19" s="201">
        <v>227</v>
      </c>
    </row>
    <row r="20" spans="1:2" x14ac:dyDescent="0.25">
      <c r="A20" s="225">
        <v>22098</v>
      </c>
      <c r="B20" s="201">
        <v>260</v>
      </c>
    </row>
    <row r="21" spans="1:2" x14ac:dyDescent="0.25">
      <c r="A21" s="225">
        <v>22190</v>
      </c>
      <c r="B21" s="201">
        <v>311</v>
      </c>
    </row>
    <row r="22" spans="1:2" x14ac:dyDescent="0.25">
      <c r="A22" s="225">
        <v>22282</v>
      </c>
      <c r="B22" s="201">
        <v>295</v>
      </c>
    </row>
    <row r="23" spans="1:2" x14ac:dyDescent="0.25">
      <c r="A23" s="225">
        <v>22372</v>
      </c>
      <c r="B23" s="201">
        <v>233</v>
      </c>
    </row>
    <row r="24" spans="1:2" x14ac:dyDescent="0.25">
      <c r="A24" s="225">
        <v>22463</v>
      </c>
      <c r="B24" s="201">
        <v>257</v>
      </c>
    </row>
    <row r="25" spans="1:2" x14ac:dyDescent="0.25">
      <c r="A25" s="225">
        <v>22555</v>
      </c>
      <c r="B25" s="201">
        <v>339</v>
      </c>
    </row>
    <row r="26" spans="1:2" x14ac:dyDescent="0.25">
      <c r="A26" s="225">
        <v>22647</v>
      </c>
      <c r="B26" s="201">
        <v>279</v>
      </c>
    </row>
    <row r="27" spans="1:2" x14ac:dyDescent="0.25">
      <c r="A27" s="225">
        <v>22737</v>
      </c>
      <c r="B27" s="201">
        <v>250</v>
      </c>
    </row>
    <row r="28" spans="1:2" x14ac:dyDescent="0.25">
      <c r="A28" s="225">
        <v>22828</v>
      </c>
      <c r="B28" s="201">
        <v>270</v>
      </c>
    </row>
    <row r="29" spans="1:2" x14ac:dyDescent="0.25">
      <c r="A29" s="225">
        <v>22920</v>
      </c>
      <c r="B29" s="201">
        <v>346</v>
      </c>
    </row>
    <row r="30" spans="1:2" x14ac:dyDescent="0.25">
      <c r="A30" s="225">
        <v>23012</v>
      </c>
      <c r="B30" s="201">
        <v>294</v>
      </c>
    </row>
    <row r="31" spans="1:2" x14ac:dyDescent="0.25">
      <c r="A31" s="225">
        <v>23102</v>
      </c>
      <c r="B31" s="201">
        <v>255</v>
      </c>
    </row>
    <row r="32" spans="1:2" x14ac:dyDescent="0.25">
      <c r="A32" s="225">
        <v>23193</v>
      </c>
      <c r="B32" s="201">
        <v>278</v>
      </c>
    </row>
    <row r="33" spans="1:2" x14ac:dyDescent="0.25">
      <c r="A33" s="225">
        <v>23285</v>
      </c>
      <c r="B33" s="201">
        <v>363</v>
      </c>
    </row>
    <row r="34" spans="1:2" x14ac:dyDescent="0.25">
      <c r="A34" s="225">
        <v>23377</v>
      </c>
      <c r="B34" s="201">
        <v>313</v>
      </c>
    </row>
    <row r="35" spans="1:2" x14ac:dyDescent="0.25">
      <c r="A35" s="225">
        <v>23468</v>
      </c>
      <c r="B35" s="201">
        <v>273</v>
      </c>
    </row>
    <row r="36" spans="1:2" x14ac:dyDescent="0.25">
      <c r="A36" s="225">
        <v>23559</v>
      </c>
      <c r="B36" s="201">
        <v>300</v>
      </c>
    </row>
    <row r="37" spans="1:2" x14ac:dyDescent="0.25">
      <c r="A37" s="225">
        <v>23651</v>
      </c>
      <c r="B37" s="201">
        <v>370</v>
      </c>
    </row>
    <row r="38" spans="1:2" x14ac:dyDescent="0.25">
      <c r="A38" s="225">
        <v>23743</v>
      </c>
      <c r="B38" s="201">
        <v>331</v>
      </c>
    </row>
    <row r="39" spans="1:2" x14ac:dyDescent="0.25">
      <c r="A39" s="225">
        <v>23833</v>
      </c>
      <c r="B39" s="201">
        <v>288</v>
      </c>
    </row>
    <row r="40" spans="1:2" x14ac:dyDescent="0.25">
      <c r="A40" s="225">
        <v>23924</v>
      </c>
      <c r="B40" s="201">
        <v>306</v>
      </c>
    </row>
    <row r="41" spans="1:2" x14ac:dyDescent="0.25">
      <c r="A41" s="225">
        <v>24016</v>
      </c>
      <c r="B41" s="201">
        <v>386</v>
      </c>
    </row>
    <row r="42" spans="1:2" x14ac:dyDescent="0.25">
      <c r="A42" s="225">
        <v>24108</v>
      </c>
      <c r="B42" s="201">
        <v>335</v>
      </c>
    </row>
    <row r="43" spans="1:2" x14ac:dyDescent="0.25">
      <c r="A43" s="225">
        <v>24198</v>
      </c>
      <c r="B43" s="201">
        <v>288</v>
      </c>
    </row>
    <row r="44" spans="1:2" x14ac:dyDescent="0.25">
      <c r="A44" s="225">
        <v>24289</v>
      </c>
      <c r="B44" s="201">
        <v>308</v>
      </c>
    </row>
    <row r="45" spans="1:2" x14ac:dyDescent="0.25">
      <c r="A45" s="225">
        <v>24381</v>
      </c>
      <c r="B45" s="201">
        <v>402</v>
      </c>
    </row>
    <row r="46" spans="1:2" x14ac:dyDescent="0.25">
      <c r="A46" s="225">
        <v>24473</v>
      </c>
      <c r="B46" s="201">
        <v>353</v>
      </c>
    </row>
    <row r="47" spans="1:2" x14ac:dyDescent="0.25">
      <c r="A47" s="225">
        <v>24563</v>
      </c>
      <c r="B47" s="201">
        <v>316</v>
      </c>
    </row>
    <row r="48" spans="1:2" x14ac:dyDescent="0.25">
      <c r="A48" s="225">
        <v>24654</v>
      </c>
      <c r="B48" s="201">
        <v>325</v>
      </c>
    </row>
    <row r="49" spans="1:2" x14ac:dyDescent="0.25">
      <c r="A49" s="225">
        <v>24746</v>
      </c>
      <c r="B49" s="201">
        <v>405</v>
      </c>
    </row>
    <row r="50" spans="1:2" x14ac:dyDescent="0.25">
      <c r="A50" s="225">
        <v>24838</v>
      </c>
      <c r="B50" s="201">
        <v>393</v>
      </c>
    </row>
    <row r="51" spans="1:2" x14ac:dyDescent="0.25">
      <c r="A51" s="225">
        <v>24929</v>
      </c>
      <c r="B51" s="201">
        <v>319</v>
      </c>
    </row>
    <row r="52" spans="1:2" x14ac:dyDescent="0.25">
      <c r="A52" s="225">
        <v>25020</v>
      </c>
      <c r="B52" s="201">
        <v>327</v>
      </c>
    </row>
    <row r="53" spans="1:2" x14ac:dyDescent="0.25">
      <c r="A53" s="225">
        <v>25112</v>
      </c>
      <c r="B53" s="201">
        <v>442</v>
      </c>
    </row>
    <row r="54" spans="1:2" x14ac:dyDescent="0.25">
      <c r="A54" s="225">
        <v>25204</v>
      </c>
      <c r="B54" s="201">
        <v>383</v>
      </c>
    </row>
    <row r="55" spans="1:2" x14ac:dyDescent="0.25">
      <c r="A55" s="225">
        <v>25294</v>
      </c>
      <c r="B55" s="201">
        <v>332</v>
      </c>
    </row>
    <row r="56" spans="1:2" x14ac:dyDescent="0.25">
      <c r="A56" s="225">
        <v>25385</v>
      </c>
      <c r="B56" s="201">
        <v>361</v>
      </c>
    </row>
    <row r="57" spans="1:2" x14ac:dyDescent="0.25">
      <c r="A57" s="225">
        <v>25477</v>
      </c>
      <c r="B57" s="201">
        <v>446</v>
      </c>
    </row>
    <row r="58" spans="1:2" x14ac:dyDescent="0.25">
      <c r="A58" s="225">
        <v>25569</v>
      </c>
      <c r="B58" s="201">
        <v>387</v>
      </c>
    </row>
    <row r="59" spans="1:2" x14ac:dyDescent="0.25">
      <c r="A59" s="225">
        <v>25659</v>
      </c>
      <c r="B59" s="201">
        <v>357</v>
      </c>
    </row>
    <row r="60" spans="1:2" x14ac:dyDescent="0.25">
      <c r="A60" s="225">
        <v>25750</v>
      </c>
      <c r="B60" s="201">
        <v>374</v>
      </c>
    </row>
    <row r="61" spans="1:2" x14ac:dyDescent="0.25">
      <c r="A61" s="225">
        <v>25842</v>
      </c>
      <c r="B61" s="201">
        <v>466</v>
      </c>
    </row>
    <row r="62" spans="1:2" x14ac:dyDescent="0.25">
      <c r="A62" s="225">
        <v>25934</v>
      </c>
      <c r="B62" s="201">
        <v>410</v>
      </c>
    </row>
    <row r="63" spans="1:2" x14ac:dyDescent="0.25">
      <c r="A63" s="225">
        <v>26024</v>
      </c>
      <c r="B63" s="201">
        <v>370</v>
      </c>
    </row>
    <row r="64" spans="1:2" x14ac:dyDescent="0.25">
      <c r="A64" s="225">
        <v>26115</v>
      </c>
      <c r="B64" s="201">
        <v>379</v>
      </c>
    </row>
    <row r="65" spans="1:2" x14ac:dyDescent="0.25">
      <c r="A65" s="225">
        <v>26207</v>
      </c>
      <c r="B65" s="201">
        <v>487</v>
      </c>
    </row>
    <row r="66" spans="1:2" x14ac:dyDescent="0.25">
      <c r="A66" s="225">
        <v>26299</v>
      </c>
      <c r="B66" s="201">
        <v>419</v>
      </c>
    </row>
    <row r="67" spans="1:2" x14ac:dyDescent="0.25">
      <c r="A67" s="225">
        <v>26390</v>
      </c>
      <c r="B67" s="201">
        <v>377</v>
      </c>
    </row>
    <row r="68" spans="1:2" x14ac:dyDescent="0.25">
      <c r="A68" s="225">
        <v>26481</v>
      </c>
      <c r="B68" s="201">
        <v>393</v>
      </c>
    </row>
    <row r="69" spans="1:2" x14ac:dyDescent="0.25">
      <c r="A69" s="225">
        <v>26573</v>
      </c>
      <c r="B69" s="201">
        <v>506</v>
      </c>
    </row>
    <row r="70" spans="1:2" x14ac:dyDescent="0.25">
      <c r="A70" s="225">
        <v>26665</v>
      </c>
      <c r="B70" s="201">
        <v>458</v>
      </c>
    </row>
    <row r="71" spans="1:2" x14ac:dyDescent="0.25">
      <c r="A71" s="225">
        <v>26755</v>
      </c>
      <c r="B71" s="201">
        <v>387</v>
      </c>
    </row>
    <row r="72" spans="1:2" x14ac:dyDescent="0.25">
      <c r="A72" s="225">
        <v>26846</v>
      </c>
      <c r="B72" s="201">
        <v>427</v>
      </c>
    </row>
    <row r="73" spans="1:2" x14ac:dyDescent="0.25">
      <c r="A73" s="225">
        <v>26938</v>
      </c>
      <c r="B73" s="201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447</v>
      </c>
    </row>
    <row r="2" spans="1:2" x14ac:dyDescent="0.25">
      <c r="A2" s="3" t="s">
        <v>429</v>
      </c>
      <c r="B2" s="227">
        <v>1032</v>
      </c>
    </row>
    <row r="3" spans="1:2" x14ac:dyDescent="0.25">
      <c r="A3" s="226" t="s">
        <v>110</v>
      </c>
      <c r="B3" s="227">
        <v>284</v>
      </c>
    </row>
    <row r="4" spans="1:2" x14ac:dyDescent="0.25">
      <c r="A4" s="226" t="s">
        <v>111</v>
      </c>
      <c r="B4" s="227">
        <v>213</v>
      </c>
    </row>
    <row r="5" spans="1:2" x14ac:dyDescent="0.25">
      <c r="A5" s="226" t="s">
        <v>112</v>
      </c>
      <c r="B5" s="227">
        <v>227</v>
      </c>
    </row>
    <row r="6" spans="1:2" x14ac:dyDescent="0.25">
      <c r="A6" s="226" t="s">
        <v>113</v>
      </c>
      <c r="B6" s="227">
        <v>308</v>
      </c>
    </row>
    <row r="7" spans="1:2" x14ac:dyDescent="0.25">
      <c r="A7" s="3" t="s">
        <v>430</v>
      </c>
      <c r="B7" s="227">
        <v>1046</v>
      </c>
    </row>
    <row r="8" spans="1:2" x14ac:dyDescent="0.25">
      <c r="A8" s="226" t="s">
        <v>110</v>
      </c>
      <c r="B8" s="227">
        <v>262</v>
      </c>
    </row>
    <row r="9" spans="1:2" x14ac:dyDescent="0.25">
      <c r="A9" s="226" t="s">
        <v>111</v>
      </c>
      <c r="B9" s="227">
        <v>228</v>
      </c>
    </row>
    <row r="10" spans="1:2" x14ac:dyDescent="0.25">
      <c r="A10" s="226" t="s">
        <v>112</v>
      </c>
      <c r="B10" s="227">
        <v>236</v>
      </c>
    </row>
    <row r="11" spans="1:2" x14ac:dyDescent="0.25">
      <c r="A11" s="226" t="s">
        <v>113</v>
      </c>
      <c r="B11" s="227">
        <v>320</v>
      </c>
    </row>
    <row r="12" spans="1:2" x14ac:dyDescent="0.25">
      <c r="A12" s="3" t="s">
        <v>431</v>
      </c>
      <c r="B12" s="227">
        <v>1055</v>
      </c>
    </row>
    <row r="13" spans="1:2" x14ac:dyDescent="0.25">
      <c r="A13" s="226" t="s">
        <v>110</v>
      </c>
      <c r="B13" s="227">
        <v>272</v>
      </c>
    </row>
    <row r="14" spans="1:2" x14ac:dyDescent="0.25">
      <c r="A14" s="226" t="s">
        <v>111</v>
      </c>
      <c r="B14" s="227">
        <v>233</v>
      </c>
    </row>
    <row r="15" spans="1:2" x14ac:dyDescent="0.25">
      <c r="A15" s="226" t="s">
        <v>112</v>
      </c>
      <c r="B15" s="227">
        <v>237</v>
      </c>
    </row>
    <row r="16" spans="1:2" x14ac:dyDescent="0.25">
      <c r="A16" s="226" t="s">
        <v>113</v>
      </c>
      <c r="B16" s="227">
        <v>313</v>
      </c>
    </row>
    <row r="17" spans="1:2" x14ac:dyDescent="0.25">
      <c r="A17" s="3" t="s">
        <v>432</v>
      </c>
      <c r="B17" s="227">
        <v>1052</v>
      </c>
    </row>
    <row r="18" spans="1:2" x14ac:dyDescent="0.25">
      <c r="A18" s="226" t="s">
        <v>110</v>
      </c>
      <c r="B18" s="227">
        <v>261</v>
      </c>
    </row>
    <row r="19" spans="1:2" x14ac:dyDescent="0.25">
      <c r="A19" s="226" t="s">
        <v>111</v>
      </c>
      <c r="B19" s="227">
        <v>227</v>
      </c>
    </row>
    <row r="20" spans="1:2" x14ac:dyDescent="0.25">
      <c r="A20" s="226" t="s">
        <v>112</v>
      </c>
      <c r="B20" s="227">
        <v>250</v>
      </c>
    </row>
    <row r="21" spans="1:2" x14ac:dyDescent="0.25">
      <c r="A21" s="226" t="s">
        <v>113</v>
      </c>
      <c r="B21" s="227">
        <v>314</v>
      </c>
    </row>
    <row r="22" spans="1:2" x14ac:dyDescent="0.25">
      <c r="A22" s="3" t="s">
        <v>433</v>
      </c>
      <c r="B22" s="227">
        <v>1084</v>
      </c>
    </row>
    <row r="23" spans="1:2" x14ac:dyDescent="0.25">
      <c r="A23" s="226" t="s">
        <v>110</v>
      </c>
      <c r="B23" s="227">
        <v>286</v>
      </c>
    </row>
    <row r="24" spans="1:2" x14ac:dyDescent="0.25">
      <c r="A24" s="226" t="s">
        <v>111</v>
      </c>
      <c r="B24" s="227">
        <v>227</v>
      </c>
    </row>
    <row r="25" spans="1:2" x14ac:dyDescent="0.25">
      <c r="A25" s="226" t="s">
        <v>112</v>
      </c>
      <c r="B25" s="227">
        <v>260</v>
      </c>
    </row>
    <row r="26" spans="1:2" x14ac:dyDescent="0.25">
      <c r="A26" s="226" t="s">
        <v>113</v>
      </c>
      <c r="B26" s="227">
        <v>311</v>
      </c>
    </row>
    <row r="27" spans="1:2" x14ac:dyDescent="0.25">
      <c r="A27" s="3" t="s">
        <v>434</v>
      </c>
      <c r="B27" s="227">
        <v>1124</v>
      </c>
    </row>
    <row r="28" spans="1:2" x14ac:dyDescent="0.25">
      <c r="A28" s="226" t="s">
        <v>110</v>
      </c>
      <c r="B28" s="227">
        <v>295</v>
      </c>
    </row>
    <row r="29" spans="1:2" x14ac:dyDescent="0.25">
      <c r="A29" s="226" t="s">
        <v>111</v>
      </c>
      <c r="B29" s="227">
        <v>233</v>
      </c>
    </row>
    <row r="30" spans="1:2" x14ac:dyDescent="0.25">
      <c r="A30" s="226" t="s">
        <v>112</v>
      </c>
      <c r="B30" s="227">
        <v>257</v>
      </c>
    </row>
    <row r="31" spans="1:2" x14ac:dyDescent="0.25">
      <c r="A31" s="226" t="s">
        <v>113</v>
      </c>
      <c r="B31" s="227">
        <v>339</v>
      </c>
    </row>
    <row r="32" spans="1:2" x14ac:dyDescent="0.25">
      <c r="A32" s="3" t="s">
        <v>435</v>
      </c>
      <c r="B32" s="227">
        <v>1145</v>
      </c>
    </row>
    <row r="33" spans="1:2" x14ac:dyDescent="0.25">
      <c r="A33" s="226" t="s">
        <v>110</v>
      </c>
      <c r="B33" s="227">
        <v>279</v>
      </c>
    </row>
    <row r="34" spans="1:2" x14ac:dyDescent="0.25">
      <c r="A34" s="226" t="s">
        <v>111</v>
      </c>
      <c r="B34" s="227">
        <v>250</v>
      </c>
    </row>
    <row r="35" spans="1:2" x14ac:dyDescent="0.25">
      <c r="A35" s="226" t="s">
        <v>112</v>
      </c>
      <c r="B35" s="227">
        <v>270</v>
      </c>
    </row>
    <row r="36" spans="1:2" x14ac:dyDescent="0.25">
      <c r="A36" s="226" t="s">
        <v>113</v>
      </c>
      <c r="B36" s="227">
        <v>346</v>
      </c>
    </row>
    <row r="37" spans="1:2" x14ac:dyDescent="0.25">
      <c r="A37" s="3" t="s">
        <v>436</v>
      </c>
      <c r="B37" s="227">
        <v>1190</v>
      </c>
    </row>
    <row r="38" spans="1:2" x14ac:dyDescent="0.25">
      <c r="A38" s="226" t="s">
        <v>110</v>
      </c>
      <c r="B38" s="227">
        <v>294</v>
      </c>
    </row>
    <row r="39" spans="1:2" x14ac:dyDescent="0.25">
      <c r="A39" s="226" t="s">
        <v>111</v>
      </c>
      <c r="B39" s="227">
        <v>255</v>
      </c>
    </row>
    <row r="40" spans="1:2" x14ac:dyDescent="0.25">
      <c r="A40" s="226" t="s">
        <v>112</v>
      </c>
      <c r="B40" s="227">
        <v>278</v>
      </c>
    </row>
    <row r="41" spans="1:2" x14ac:dyDescent="0.25">
      <c r="A41" s="226" t="s">
        <v>113</v>
      </c>
      <c r="B41" s="227">
        <v>363</v>
      </c>
    </row>
    <row r="42" spans="1:2" x14ac:dyDescent="0.25">
      <c r="A42" s="3" t="s">
        <v>437</v>
      </c>
      <c r="B42" s="227">
        <v>1256</v>
      </c>
    </row>
    <row r="43" spans="1:2" x14ac:dyDescent="0.25">
      <c r="A43" s="226" t="s">
        <v>110</v>
      </c>
      <c r="B43" s="227">
        <v>313</v>
      </c>
    </row>
    <row r="44" spans="1:2" x14ac:dyDescent="0.25">
      <c r="A44" s="226" t="s">
        <v>111</v>
      </c>
      <c r="B44" s="227">
        <v>273</v>
      </c>
    </row>
    <row r="45" spans="1:2" x14ac:dyDescent="0.25">
      <c r="A45" s="226" t="s">
        <v>112</v>
      </c>
      <c r="B45" s="227">
        <v>300</v>
      </c>
    </row>
    <row r="46" spans="1:2" x14ac:dyDescent="0.25">
      <c r="A46" s="226" t="s">
        <v>113</v>
      </c>
      <c r="B46" s="227">
        <v>370</v>
      </c>
    </row>
    <row r="47" spans="1:2" x14ac:dyDescent="0.25">
      <c r="A47" s="3" t="s">
        <v>438</v>
      </c>
      <c r="B47" s="227">
        <v>1311</v>
      </c>
    </row>
    <row r="48" spans="1:2" x14ac:dyDescent="0.25">
      <c r="A48" s="226" t="s">
        <v>110</v>
      </c>
      <c r="B48" s="227">
        <v>331</v>
      </c>
    </row>
    <row r="49" spans="1:2" x14ac:dyDescent="0.25">
      <c r="A49" s="226" t="s">
        <v>111</v>
      </c>
      <c r="B49" s="227">
        <v>288</v>
      </c>
    </row>
    <row r="50" spans="1:2" x14ac:dyDescent="0.25">
      <c r="A50" s="226" t="s">
        <v>112</v>
      </c>
      <c r="B50" s="227">
        <v>306</v>
      </c>
    </row>
    <row r="51" spans="1:2" x14ac:dyDescent="0.25">
      <c r="A51" s="226" t="s">
        <v>113</v>
      </c>
      <c r="B51" s="227">
        <v>386</v>
      </c>
    </row>
    <row r="52" spans="1:2" x14ac:dyDescent="0.25">
      <c r="A52" s="3" t="s">
        <v>439</v>
      </c>
      <c r="B52" s="227">
        <v>1333</v>
      </c>
    </row>
    <row r="53" spans="1:2" x14ac:dyDescent="0.25">
      <c r="A53" s="226" t="s">
        <v>110</v>
      </c>
      <c r="B53" s="227">
        <v>335</v>
      </c>
    </row>
    <row r="54" spans="1:2" x14ac:dyDescent="0.25">
      <c r="A54" s="226" t="s">
        <v>111</v>
      </c>
      <c r="B54" s="227">
        <v>288</v>
      </c>
    </row>
    <row r="55" spans="1:2" x14ac:dyDescent="0.25">
      <c r="A55" s="226" t="s">
        <v>112</v>
      </c>
      <c r="B55" s="227">
        <v>308</v>
      </c>
    </row>
    <row r="56" spans="1:2" x14ac:dyDescent="0.25">
      <c r="A56" s="226" t="s">
        <v>113</v>
      </c>
      <c r="B56" s="227">
        <v>402</v>
      </c>
    </row>
    <row r="57" spans="1:2" x14ac:dyDescent="0.25">
      <c r="A57" s="3" t="s">
        <v>440</v>
      </c>
      <c r="B57" s="227">
        <v>1399</v>
      </c>
    </row>
    <row r="58" spans="1:2" x14ac:dyDescent="0.25">
      <c r="A58" s="226" t="s">
        <v>110</v>
      </c>
      <c r="B58" s="227">
        <v>353</v>
      </c>
    </row>
    <row r="59" spans="1:2" x14ac:dyDescent="0.25">
      <c r="A59" s="226" t="s">
        <v>111</v>
      </c>
      <c r="B59" s="227">
        <v>316</v>
      </c>
    </row>
    <row r="60" spans="1:2" x14ac:dyDescent="0.25">
      <c r="A60" s="226" t="s">
        <v>112</v>
      </c>
      <c r="B60" s="227">
        <v>325</v>
      </c>
    </row>
    <row r="61" spans="1:2" x14ac:dyDescent="0.25">
      <c r="A61" s="226" t="s">
        <v>113</v>
      </c>
      <c r="B61" s="227">
        <v>405</v>
      </c>
    </row>
    <row r="62" spans="1:2" x14ac:dyDescent="0.25">
      <c r="A62" s="3" t="s">
        <v>441</v>
      </c>
      <c r="B62" s="227">
        <v>1481</v>
      </c>
    </row>
    <row r="63" spans="1:2" x14ac:dyDescent="0.25">
      <c r="A63" s="226" t="s">
        <v>110</v>
      </c>
      <c r="B63" s="227">
        <v>393</v>
      </c>
    </row>
    <row r="64" spans="1:2" x14ac:dyDescent="0.25">
      <c r="A64" s="226" t="s">
        <v>111</v>
      </c>
      <c r="B64" s="227">
        <v>319</v>
      </c>
    </row>
    <row r="65" spans="1:2" x14ac:dyDescent="0.25">
      <c r="A65" s="226" t="s">
        <v>112</v>
      </c>
      <c r="B65" s="227">
        <v>327</v>
      </c>
    </row>
    <row r="66" spans="1:2" x14ac:dyDescent="0.25">
      <c r="A66" s="226" t="s">
        <v>113</v>
      </c>
      <c r="B66" s="227">
        <v>442</v>
      </c>
    </row>
    <row r="67" spans="1:2" x14ac:dyDescent="0.25">
      <c r="A67" s="3" t="s">
        <v>442</v>
      </c>
      <c r="B67" s="227">
        <v>1522</v>
      </c>
    </row>
    <row r="68" spans="1:2" x14ac:dyDescent="0.25">
      <c r="A68" s="226" t="s">
        <v>110</v>
      </c>
      <c r="B68" s="227">
        <v>383</v>
      </c>
    </row>
    <row r="69" spans="1:2" x14ac:dyDescent="0.25">
      <c r="A69" s="226" t="s">
        <v>111</v>
      </c>
      <c r="B69" s="227">
        <v>332</v>
      </c>
    </row>
    <row r="70" spans="1:2" x14ac:dyDescent="0.25">
      <c r="A70" s="226" t="s">
        <v>112</v>
      </c>
      <c r="B70" s="227">
        <v>361</v>
      </c>
    </row>
    <row r="71" spans="1:2" x14ac:dyDescent="0.25">
      <c r="A71" s="226" t="s">
        <v>113</v>
      </c>
      <c r="B71" s="227">
        <v>446</v>
      </c>
    </row>
    <row r="72" spans="1:2" x14ac:dyDescent="0.25">
      <c r="A72" s="3" t="s">
        <v>443</v>
      </c>
      <c r="B72" s="227">
        <v>1584</v>
      </c>
    </row>
    <row r="73" spans="1:2" x14ac:dyDescent="0.25">
      <c r="A73" s="226" t="s">
        <v>110</v>
      </c>
      <c r="B73" s="227">
        <v>387</v>
      </c>
    </row>
    <row r="74" spans="1:2" x14ac:dyDescent="0.25">
      <c r="A74" s="226" t="s">
        <v>111</v>
      </c>
      <c r="B74" s="227">
        <v>357</v>
      </c>
    </row>
    <row r="75" spans="1:2" x14ac:dyDescent="0.25">
      <c r="A75" s="226" t="s">
        <v>112</v>
      </c>
      <c r="B75" s="227">
        <v>374</v>
      </c>
    </row>
    <row r="76" spans="1:2" x14ac:dyDescent="0.25">
      <c r="A76" s="226" t="s">
        <v>113</v>
      </c>
      <c r="B76" s="227">
        <v>466</v>
      </c>
    </row>
    <row r="77" spans="1:2" x14ac:dyDescent="0.25">
      <c r="A77" s="3" t="s">
        <v>444</v>
      </c>
      <c r="B77" s="227">
        <v>1646</v>
      </c>
    </row>
    <row r="78" spans="1:2" x14ac:dyDescent="0.25">
      <c r="A78" s="226" t="s">
        <v>110</v>
      </c>
      <c r="B78" s="227">
        <v>410</v>
      </c>
    </row>
    <row r="79" spans="1:2" x14ac:dyDescent="0.25">
      <c r="A79" s="226" t="s">
        <v>111</v>
      </c>
      <c r="B79" s="227">
        <v>370</v>
      </c>
    </row>
    <row r="80" spans="1:2" x14ac:dyDescent="0.25">
      <c r="A80" s="226" t="s">
        <v>112</v>
      </c>
      <c r="B80" s="227">
        <v>379</v>
      </c>
    </row>
    <row r="81" spans="1:2" x14ac:dyDescent="0.25">
      <c r="A81" s="226" t="s">
        <v>113</v>
      </c>
      <c r="B81" s="227">
        <v>487</v>
      </c>
    </row>
    <row r="82" spans="1:2" x14ac:dyDescent="0.25">
      <c r="A82" s="3" t="s">
        <v>445</v>
      </c>
      <c r="B82" s="227">
        <v>1695</v>
      </c>
    </row>
    <row r="83" spans="1:2" x14ac:dyDescent="0.25">
      <c r="A83" s="226" t="s">
        <v>110</v>
      </c>
      <c r="B83" s="227">
        <v>419</v>
      </c>
    </row>
    <row r="84" spans="1:2" x14ac:dyDescent="0.25">
      <c r="A84" s="226" t="s">
        <v>111</v>
      </c>
      <c r="B84" s="227">
        <v>377</v>
      </c>
    </row>
    <row r="85" spans="1:2" x14ac:dyDescent="0.25">
      <c r="A85" s="226" t="s">
        <v>112</v>
      </c>
      <c r="B85" s="227">
        <v>393</v>
      </c>
    </row>
    <row r="86" spans="1:2" x14ac:dyDescent="0.25">
      <c r="A86" s="226" t="s">
        <v>113</v>
      </c>
      <c r="B86" s="227">
        <v>506</v>
      </c>
    </row>
    <row r="87" spans="1:2" x14ac:dyDescent="0.25">
      <c r="A87" s="3" t="s">
        <v>446</v>
      </c>
      <c r="B87" s="227">
        <v>1837</v>
      </c>
    </row>
    <row r="88" spans="1:2" x14ac:dyDescent="0.25">
      <c r="A88" s="226" t="s">
        <v>110</v>
      </c>
      <c r="B88" s="227">
        <v>458</v>
      </c>
    </row>
    <row r="89" spans="1:2" x14ac:dyDescent="0.25">
      <c r="A89" s="226" t="s">
        <v>111</v>
      </c>
      <c r="B89" s="227">
        <v>387</v>
      </c>
    </row>
    <row r="90" spans="1:2" x14ac:dyDescent="0.25">
      <c r="A90" s="226" t="s">
        <v>112</v>
      </c>
      <c r="B90" s="227">
        <v>427</v>
      </c>
    </row>
    <row r="91" spans="1:2" x14ac:dyDescent="0.25">
      <c r="A91" s="226" t="s">
        <v>113</v>
      </c>
      <c r="B91" s="227">
        <v>565</v>
      </c>
    </row>
    <row r="92" spans="1:2" x14ac:dyDescent="0.25">
      <c r="A92" s="3" t="s">
        <v>8</v>
      </c>
      <c r="B92" s="227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447</v>
      </c>
      <c r="B1" s="11" t="s">
        <v>109</v>
      </c>
    </row>
    <row r="2" spans="1:20" x14ac:dyDescent="0.25">
      <c r="A2" s="11" t="s">
        <v>96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446</v>
      </c>
      <c r="T2" t="s">
        <v>8</v>
      </c>
    </row>
    <row r="3" spans="1:20" x14ac:dyDescent="0.25">
      <c r="A3" s="3" t="s">
        <v>110</v>
      </c>
      <c r="B3" s="227">
        <v>284</v>
      </c>
      <c r="C3" s="227">
        <v>262</v>
      </c>
      <c r="D3" s="227">
        <v>272</v>
      </c>
      <c r="E3" s="227">
        <v>261</v>
      </c>
      <c r="F3" s="227">
        <v>286</v>
      </c>
      <c r="G3" s="227">
        <v>295</v>
      </c>
      <c r="H3" s="227">
        <v>279</v>
      </c>
      <c r="I3" s="227">
        <v>294</v>
      </c>
      <c r="J3" s="227">
        <v>313</v>
      </c>
      <c r="K3" s="227">
        <v>331</v>
      </c>
      <c r="L3" s="227">
        <v>335</v>
      </c>
      <c r="M3" s="227">
        <v>353</v>
      </c>
      <c r="N3" s="227">
        <v>393</v>
      </c>
      <c r="O3" s="227">
        <v>383</v>
      </c>
      <c r="P3" s="227">
        <v>387</v>
      </c>
      <c r="Q3" s="227">
        <v>410</v>
      </c>
      <c r="R3" s="227">
        <v>419</v>
      </c>
      <c r="S3" s="227">
        <v>458</v>
      </c>
      <c r="T3" s="227">
        <v>6015</v>
      </c>
    </row>
    <row r="4" spans="1:20" x14ac:dyDescent="0.25">
      <c r="A4" s="3" t="s">
        <v>111</v>
      </c>
      <c r="B4" s="227">
        <v>213</v>
      </c>
      <c r="C4" s="227">
        <v>228</v>
      </c>
      <c r="D4" s="227">
        <v>233</v>
      </c>
      <c r="E4" s="227">
        <v>227</v>
      </c>
      <c r="F4" s="227">
        <v>227</v>
      </c>
      <c r="G4" s="227">
        <v>233</v>
      </c>
      <c r="H4" s="227">
        <v>250</v>
      </c>
      <c r="I4" s="227">
        <v>255</v>
      </c>
      <c r="J4" s="227">
        <v>273</v>
      </c>
      <c r="K4" s="227">
        <v>288</v>
      </c>
      <c r="L4" s="227">
        <v>288</v>
      </c>
      <c r="M4" s="227">
        <v>316</v>
      </c>
      <c r="N4" s="227">
        <v>319</v>
      </c>
      <c r="O4" s="227">
        <v>332</v>
      </c>
      <c r="P4" s="227">
        <v>357</v>
      </c>
      <c r="Q4" s="227">
        <v>370</v>
      </c>
      <c r="R4" s="227">
        <v>377</v>
      </c>
      <c r="S4" s="227">
        <v>387</v>
      </c>
      <c r="T4" s="227">
        <v>5173</v>
      </c>
    </row>
    <row r="5" spans="1:20" x14ac:dyDescent="0.25">
      <c r="A5" s="3" t="s">
        <v>112</v>
      </c>
      <c r="B5" s="227">
        <v>227</v>
      </c>
      <c r="C5" s="227">
        <v>236</v>
      </c>
      <c r="D5" s="227">
        <v>237</v>
      </c>
      <c r="E5" s="227">
        <v>250</v>
      </c>
      <c r="F5" s="227">
        <v>260</v>
      </c>
      <c r="G5" s="227">
        <v>257</v>
      </c>
      <c r="H5" s="227">
        <v>270</v>
      </c>
      <c r="I5" s="227">
        <v>278</v>
      </c>
      <c r="J5" s="227">
        <v>300</v>
      </c>
      <c r="K5" s="227">
        <v>306</v>
      </c>
      <c r="L5" s="227">
        <v>308</v>
      </c>
      <c r="M5" s="227">
        <v>325</v>
      </c>
      <c r="N5" s="227">
        <v>327</v>
      </c>
      <c r="O5" s="227">
        <v>361</v>
      </c>
      <c r="P5" s="227">
        <v>374</v>
      </c>
      <c r="Q5" s="227">
        <v>379</v>
      </c>
      <c r="R5" s="227">
        <v>393</v>
      </c>
      <c r="S5" s="227">
        <v>427</v>
      </c>
      <c r="T5" s="227">
        <v>5515</v>
      </c>
    </row>
    <row r="6" spans="1:20" x14ac:dyDescent="0.25">
      <c r="A6" s="3" t="s">
        <v>113</v>
      </c>
      <c r="B6" s="227">
        <v>308</v>
      </c>
      <c r="C6" s="227">
        <v>320</v>
      </c>
      <c r="D6" s="227">
        <v>313</v>
      </c>
      <c r="E6" s="227">
        <v>314</v>
      </c>
      <c r="F6" s="227">
        <v>311</v>
      </c>
      <c r="G6" s="227">
        <v>339</v>
      </c>
      <c r="H6" s="227">
        <v>346</v>
      </c>
      <c r="I6" s="227">
        <v>363</v>
      </c>
      <c r="J6" s="227">
        <v>370</v>
      </c>
      <c r="K6" s="227">
        <v>386</v>
      </c>
      <c r="L6" s="227">
        <v>402</v>
      </c>
      <c r="M6" s="227">
        <v>405</v>
      </c>
      <c r="N6" s="227">
        <v>442</v>
      </c>
      <c r="O6" s="227">
        <v>446</v>
      </c>
      <c r="P6" s="227">
        <v>466</v>
      </c>
      <c r="Q6" s="227">
        <v>487</v>
      </c>
      <c r="R6" s="227">
        <v>506</v>
      </c>
      <c r="S6" s="227">
        <v>565</v>
      </c>
      <c r="T6" s="227">
        <v>7089</v>
      </c>
    </row>
    <row r="7" spans="1:20" x14ac:dyDescent="0.25">
      <c r="A7" s="3" t="s">
        <v>8</v>
      </c>
      <c r="B7" s="227">
        <v>1032</v>
      </c>
      <c r="C7" s="227">
        <v>1046</v>
      </c>
      <c r="D7" s="227">
        <v>1055</v>
      </c>
      <c r="E7" s="227">
        <v>1052</v>
      </c>
      <c r="F7" s="227">
        <v>1084</v>
      </c>
      <c r="G7" s="227">
        <v>1124</v>
      </c>
      <c r="H7" s="227">
        <v>1145</v>
      </c>
      <c r="I7" s="227">
        <v>1190</v>
      </c>
      <c r="J7" s="227">
        <v>1256</v>
      </c>
      <c r="K7" s="227">
        <v>1311</v>
      </c>
      <c r="L7" s="227">
        <v>1333</v>
      </c>
      <c r="M7" s="227">
        <v>1399</v>
      </c>
      <c r="N7" s="227">
        <v>1481</v>
      </c>
      <c r="O7" s="227">
        <v>1522</v>
      </c>
      <c r="P7" s="227">
        <v>1584</v>
      </c>
      <c r="Q7" s="227">
        <v>1646</v>
      </c>
      <c r="R7" s="227">
        <v>1695</v>
      </c>
      <c r="S7" s="227">
        <v>1837</v>
      </c>
      <c r="T7" s="227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447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429</v>
      </c>
      <c r="B3" s="227">
        <v>284</v>
      </c>
      <c r="C3" s="227">
        <v>213</v>
      </c>
      <c r="D3" s="227">
        <v>227</v>
      </c>
      <c r="E3" s="227">
        <v>308</v>
      </c>
      <c r="F3" s="227">
        <v>1032</v>
      </c>
    </row>
    <row r="4" spans="1:6" x14ac:dyDescent="0.25">
      <c r="A4" s="3" t="s">
        <v>430</v>
      </c>
      <c r="B4" s="227">
        <v>262</v>
      </c>
      <c r="C4" s="227">
        <v>228</v>
      </c>
      <c r="D4" s="227">
        <v>236</v>
      </c>
      <c r="E4" s="227">
        <v>320</v>
      </c>
      <c r="F4" s="227">
        <v>1046</v>
      </c>
    </row>
    <row r="5" spans="1:6" x14ac:dyDescent="0.25">
      <c r="A5" s="3" t="s">
        <v>431</v>
      </c>
      <c r="B5" s="227">
        <v>272</v>
      </c>
      <c r="C5" s="227">
        <v>233</v>
      </c>
      <c r="D5" s="227">
        <v>237</v>
      </c>
      <c r="E5" s="227">
        <v>313</v>
      </c>
      <c r="F5" s="227">
        <v>1055</v>
      </c>
    </row>
    <row r="6" spans="1:6" x14ac:dyDescent="0.25">
      <c r="A6" s="3" t="s">
        <v>432</v>
      </c>
      <c r="B6" s="227">
        <v>261</v>
      </c>
      <c r="C6" s="227">
        <v>227</v>
      </c>
      <c r="D6" s="227">
        <v>250</v>
      </c>
      <c r="E6" s="227">
        <v>314</v>
      </c>
      <c r="F6" s="227">
        <v>1052</v>
      </c>
    </row>
    <row r="7" spans="1:6" x14ac:dyDescent="0.25">
      <c r="A7" s="3" t="s">
        <v>433</v>
      </c>
      <c r="B7" s="227">
        <v>286</v>
      </c>
      <c r="C7" s="227">
        <v>227</v>
      </c>
      <c r="D7" s="227">
        <v>260</v>
      </c>
      <c r="E7" s="227">
        <v>311</v>
      </c>
      <c r="F7" s="227">
        <v>1084</v>
      </c>
    </row>
    <row r="8" spans="1:6" x14ac:dyDescent="0.25">
      <c r="A8" s="3" t="s">
        <v>434</v>
      </c>
      <c r="B8" s="227">
        <v>295</v>
      </c>
      <c r="C8" s="227">
        <v>233</v>
      </c>
      <c r="D8" s="227">
        <v>257</v>
      </c>
      <c r="E8" s="227">
        <v>339</v>
      </c>
      <c r="F8" s="227">
        <v>1124</v>
      </c>
    </row>
    <row r="9" spans="1:6" x14ac:dyDescent="0.25">
      <c r="A9" s="3" t="s">
        <v>435</v>
      </c>
      <c r="B9" s="227">
        <v>279</v>
      </c>
      <c r="C9" s="227">
        <v>250</v>
      </c>
      <c r="D9" s="227">
        <v>270</v>
      </c>
      <c r="E9" s="227">
        <v>346</v>
      </c>
      <c r="F9" s="227">
        <v>1145</v>
      </c>
    </row>
    <row r="10" spans="1:6" x14ac:dyDescent="0.25">
      <c r="A10" s="3" t="s">
        <v>436</v>
      </c>
      <c r="B10" s="227">
        <v>294</v>
      </c>
      <c r="C10" s="227">
        <v>255</v>
      </c>
      <c r="D10" s="227">
        <v>278</v>
      </c>
      <c r="E10" s="227">
        <v>363</v>
      </c>
      <c r="F10" s="227">
        <v>1190</v>
      </c>
    </row>
    <row r="11" spans="1:6" x14ac:dyDescent="0.25">
      <c r="A11" s="3" t="s">
        <v>437</v>
      </c>
      <c r="B11" s="227">
        <v>313</v>
      </c>
      <c r="C11" s="227">
        <v>273</v>
      </c>
      <c r="D11" s="227">
        <v>300</v>
      </c>
      <c r="E11" s="227">
        <v>370</v>
      </c>
      <c r="F11" s="227">
        <v>1256</v>
      </c>
    </row>
    <row r="12" spans="1:6" x14ac:dyDescent="0.25">
      <c r="A12" s="3" t="s">
        <v>438</v>
      </c>
      <c r="B12" s="227">
        <v>331</v>
      </c>
      <c r="C12" s="227">
        <v>288</v>
      </c>
      <c r="D12" s="227">
        <v>306</v>
      </c>
      <c r="E12" s="227">
        <v>386</v>
      </c>
      <c r="F12" s="227">
        <v>1311</v>
      </c>
    </row>
    <row r="13" spans="1:6" x14ac:dyDescent="0.25">
      <c r="A13" s="3" t="s">
        <v>439</v>
      </c>
      <c r="B13" s="227">
        <v>335</v>
      </c>
      <c r="C13" s="227">
        <v>288</v>
      </c>
      <c r="D13" s="227">
        <v>308</v>
      </c>
      <c r="E13" s="227">
        <v>402</v>
      </c>
      <c r="F13" s="227">
        <v>1333</v>
      </c>
    </row>
    <row r="14" spans="1:6" x14ac:dyDescent="0.25">
      <c r="A14" s="3" t="s">
        <v>440</v>
      </c>
      <c r="B14" s="227">
        <v>353</v>
      </c>
      <c r="C14" s="227">
        <v>316</v>
      </c>
      <c r="D14" s="227">
        <v>325</v>
      </c>
      <c r="E14" s="227">
        <v>405</v>
      </c>
      <c r="F14" s="227">
        <v>1399</v>
      </c>
    </row>
    <row r="15" spans="1:6" x14ac:dyDescent="0.25">
      <c r="A15" s="3" t="s">
        <v>441</v>
      </c>
      <c r="B15" s="227">
        <v>393</v>
      </c>
      <c r="C15" s="227">
        <v>319</v>
      </c>
      <c r="D15" s="227">
        <v>327</v>
      </c>
      <c r="E15" s="227">
        <v>442</v>
      </c>
      <c r="F15" s="227">
        <v>1481</v>
      </c>
    </row>
    <row r="16" spans="1:6" x14ac:dyDescent="0.25">
      <c r="A16" s="3" t="s">
        <v>442</v>
      </c>
      <c r="B16" s="227">
        <v>383</v>
      </c>
      <c r="C16" s="227">
        <v>332</v>
      </c>
      <c r="D16" s="227">
        <v>361</v>
      </c>
      <c r="E16" s="227">
        <v>446</v>
      </c>
      <c r="F16" s="227">
        <v>1522</v>
      </c>
    </row>
    <row r="17" spans="1:6" x14ac:dyDescent="0.25">
      <c r="A17" s="3" t="s">
        <v>443</v>
      </c>
      <c r="B17" s="227">
        <v>387</v>
      </c>
      <c r="C17" s="227">
        <v>357</v>
      </c>
      <c r="D17" s="227">
        <v>374</v>
      </c>
      <c r="E17" s="227">
        <v>466</v>
      </c>
      <c r="F17" s="227">
        <v>1584</v>
      </c>
    </row>
    <row r="18" spans="1:6" x14ac:dyDescent="0.25">
      <c r="A18" s="3" t="s">
        <v>444</v>
      </c>
      <c r="B18" s="227">
        <v>410</v>
      </c>
      <c r="C18" s="227">
        <v>370</v>
      </c>
      <c r="D18" s="227">
        <v>379</v>
      </c>
      <c r="E18" s="227">
        <v>487</v>
      </c>
      <c r="F18" s="227">
        <v>1646</v>
      </c>
    </row>
    <row r="19" spans="1:6" x14ac:dyDescent="0.25">
      <c r="A19" s="3" t="s">
        <v>445</v>
      </c>
      <c r="B19" s="227">
        <v>419</v>
      </c>
      <c r="C19" s="227">
        <v>377</v>
      </c>
      <c r="D19" s="227">
        <v>393</v>
      </c>
      <c r="E19" s="227">
        <v>506</v>
      </c>
      <c r="F19" s="227">
        <v>1695</v>
      </c>
    </row>
    <row r="20" spans="1:6" x14ac:dyDescent="0.25">
      <c r="A20" s="3" t="s">
        <v>446</v>
      </c>
      <c r="B20" s="227">
        <v>458</v>
      </c>
      <c r="C20" s="227">
        <v>387</v>
      </c>
      <c r="D20" s="227">
        <v>427</v>
      </c>
      <c r="E20" s="227">
        <v>565</v>
      </c>
      <c r="F20" s="227">
        <v>1837</v>
      </c>
    </row>
    <row r="21" spans="1:6" x14ac:dyDescent="0.25">
      <c r="A21" s="3" t="s">
        <v>8</v>
      </c>
      <c r="B21" s="227">
        <v>6015</v>
      </c>
      <c r="C21" s="227">
        <v>5173</v>
      </c>
      <c r="D21" s="227">
        <v>5515</v>
      </c>
      <c r="E21" s="227">
        <v>7089</v>
      </c>
      <c r="F21" s="227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201" customWidth="1"/>
    <col min="3" max="12" width="9.140625" style="201"/>
    <col min="13" max="13" width="19.42578125" style="201" bestFit="1" customWidth="1"/>
    <col min="14" max="14" width="11.42578125" style="201" bestFit="1" customWidth="1"/>
    <col min="15" max="15" width="11.28515625" style="201" bestFit="1" customWidth="1"/>
    <col min="16" max="16" width="55.42578125" style="201" bestFit="1" customWidth="1"/>
    <col min="17" max="17" width="10.28515625" style="201" bestFit="1" customWidth="1"/>
    <col min="18" max="16384" width="9.140625" style="201"/>
  </cols>
  <sheetData>
    <row r="1" spans="1:17" x14ac:dyDescent="0.25">
      <c r="A1" s="201" t="s">
        <v>363</v>
      </c>
      <c r="B1" s="201" t="s">
        <v>173</v>
      </c>
    </row>
    <row r="2" spans="1:17" x14ac:dyDescent="0.25">
      <c r="A2" s="201">
        <v>2008</v>
      </c>
      <c r="B2" s="201">
        <v>173</v>
      </c>
      <c r="M2" s="210" t="s">
        <v>384</v>
      </c>
      <c r="P2" s="210" t="s">
        <v>385</v>
      </c>
      <c r="Q2" s="210" t="s">
        <v>386</v>
      </c>
    </row>
    <row r="3" spans="1:17" x14ac:dyDescent="0.25">
      <c r="A3" s="201">
        <v>2009</v>
      </c>
      <c r="B3" s="201">
        <v>220</v>
      </c>
      <c r="M3" s="201" t="s">
        <v>387</v>
      </c>
      <c r="N3" s="219">
        <f>SLOPE($B$2:$B$9,$A$2:$A$9)</f>
        <v>52.88095238095238</v>
      </c>
      <c r="P3" s="220" t="s">
        <v>388</v>
      </c>
      <c r="Q3" s="201" t="s">
        <v>389</v>
      </c>
    </row>
    <row r="4" spans="1:17" x14ac:dyDescent="0.25">
      <c r="A4" s="201">
        <v>2010</v>
      </c>
      <c r="B4" s="201">
        <v>315</v>
      </c>
      <c r="M4" s="201" t="s">
        <v>390</v>
      </c>
      <c r="N4" s="219">
        <f>INTERCEPT($B$2:$B$9,$A$2:$A$9)</f>
        <v>-105999.53571428571</v>
      </c>
      <c r="P4" s="220" t="s">
        <v>391</v>
      </c>
      <c r="Q4" s="201" t="s">
        <v>392</v>
      </c>
    </row>
    <row r="5" spans="1:17" x14ac:dyDescent="0.25">
      <c r="A5" s="201">
        <v>2011</v>
      </c>
      <c r="B5" s="201">
        <v>374</v>
      </c>
    </row>
    <row r="6" spans="1:17" x14ac:dyDescent="0.25">
      <c r="A6" s="201">
        <v>2012</v>
      </c>
      <c r="B6" s="201">
        <v>405</v>
      </c>
      <c r="M6" s="201" t="s">
        <v>387</v>
      </c>
      <c r="N6" s="219">
        <f>INDEX(LINEST($B$2:$B$9,$A$2:$A$9),1,1)</f>
        <v>52.88095238095238</v>
      </c>
      <c r="P6" s="220" t="s">
        <v>393</v>
      </c>
    </row>
    <row r="7" spans="1:17" x14ac:dyDescent="0.25">
      <c r="A7" s="201">
        <v>2013</v>
      </c>
      <c r="B7" s="201">
        <v>428</v>
      </c>
      <c r="M7" s="201" t="s">
        <v>390</v>
      </c>
      <c r="N7" s="219">
        <f>INDEX(LINEST($B$2:$B$9,$A$2:$A$9),1,2)</f>
        <v>-105999.53571428571</v>
      </c>
      <c r="P7" s="220" t="s">
        <v>394</v>
      </c>
    </row>
    <row r="8" spans="1:17" x14ac:dyDescent="0.25">
      <c r="A8" s="201">
        <v>2014</v>
      </c>
      <c r="B8" s="201">
        <v>480</v>
      </c>
    </row>
    <row r="9" spans="1:17" x14ac:dyDescent="0.25">
      <c r="A9" s="201">
        <v>2015</v>
      </c>
      <c r="B9" s="201">
        <v>569</v>
      </c>
      <c r="N9" s="221" t="s">
        <v>387</v>
      </c>
      <c r="O9" s="221" t="s">
        <v>390</v>
      </c>
    </row>
    <row r="10" spans="1:17" x14ac:dyDescent="0.25">
      <c r="M10" s="201" t="s">
        <v>395</v>
      </c>
      <c r="N10" s="219">
        <f t="array" ref="N10:O10">LINEST(B2:B9,A2:A9,TRUE,FALSE)</f>
        <v>52.88095238095238</v>
      </c>
      <c r="O10" s="219">
        <v>-105999.53571428571</v>
      </c>
      <c r="P10" s="220" t="s">
        <v>396</v>
      </c>
      <c r="Q10" s="201" t="s">
        <v>397</v>
      </c>
    </row>
    <row r="11" spans="1:17" x14ac:dyDescent="0.25">
      <c r="N11" s="201" t="s">
        <v>398</v>
      </c>
      <c r="O11" s="201" t="s">
        <v>399</v>
      </c>
    </row>
    <row r="12" spans="1:17" x14ac:dyDescent="0.25">
      <c r="M12" s="201" t="s">
        <v>400</v>
      </c>
      <c r="N12" s="201">
        <f>CORREL(B2:B9,A2:A9)</f>
        <v>0.98669254989476463</v>
      </c>
      <c r="O12" s="201">
        <f>N12^2</f>
        <v>0.97356218801783256</v>
      </c>
      <c r="P12" s="201" t="s">
        <v>401</v>
      </c>
    </row>
    <row r="18" spans="14:14" x14ac:dyDescent="0.25">
      <c r="N18" s="219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7109375" style="201" bestFit="1" customWidth="1"/>
    <col min="14" max="14" width="10.5703125" style="201" bestFit="1" customWidth="1"/>
    <col min="15" max="15" width="9.140625" style="201"/>
    <col min="16" max="16" width="43.85546875" style="201" bestFit="1" customWidth="1"/>
    <col min="17" max="16384" width="9.140625" style="201"/>
  </cols>
  <sheetData>
    <row r="1" spans="1:16" x14ac:dyDescent="0.25">
      <c r="A1" s="201" t="s">
        <v>402</v>
      </c>
      <c r="B1" s="201" t="s">
        <v>173</v>
      </c>
    </row>
    <row r="2" spans="1:16" x14ac:dyDescent="0.25">
      <c r="A2" s="201">
        <v>1</v>
      </c>
      <c r="B2" s="201">
        <v>6</v>
      </c>
      <c r="M2" s="210" t="s">
        <v>403</v>
      </c>
      <c r="P2" s="210" t="s">
        <v>385</v>
      </c>
    </row>
    <row r="3" spans="1:16" x14ac:dyDescent="0.25">
      <c r="A3" s="201">
        <v>2</v>
      </c>
      <c r="B3" s="201">
        <v>12</v>
      </c>
      <c r="M3" s="201" t="s">
        <v>387</v>
      </c>
      <c r="N3" s="219">
        <f>INDEX(LINEST($B$2:$B$9,LN($A$2:$A$9)),1,1)</f>
        <v>12.846032835695151</v>
      </c>
      <c r="P3" s="220" t="s">
        <v>404</v>
      </c>
    </row>
    <row r="4" spans="1:16" x14ac:dyDescent="0.25">
      <c r="A4" s="201">
        <v>3</v>
      </c>
      <c r="B4" s="201">
        <v>22</v>
      </c>
      <c r="M4" s="201" t="s">
        <v>390</v>
      </c>
      <c r="N4" s="219">
        <f>INDEX(LINEST($B$2:$B$9,LN($A$2:$A$9)),1,2)</f>
        <v>5.9716153627283006</v>
      </c>
      <c r="P4" s="220" t="s">
        <v>405</v>
      </c>
    </row>
    <row r="5" spans="1:16" x14ac:dyDescent="0.25">
      <c r="A5" s="201">
        <v>4</v>
      </c>
      <c r="B5" s="201">
        <v>26</v>
      </c>
    </row>
    <row r="6" spans="1:16" x14ac:dyDescent="0.25">
      <c r="A6" s="201">
        <v>5</v>
      </c>
      <c r="B6" s="201">
        <v>28</v>
      </c>
    </row>
    <row r="7" spans="1:16" x14ac:dyDescent="0.25">
      <c r="A7" s="201">
        <v>6</v>
      </c>
      <c r="B7" s="201">
        <v>29</v>
      </c>
      <c r="N7" s="219"/>
    </row>
    <row r="8" spans="1:16" x14ac:dyDescent="0.25">
      <c r="A8" s="201">
        <v>7</v>
      </c>
      <c r="B8" s="201">
        <v>30</v>
      </c>
    </row>
    <row r="9" spans="1:16" x14ac:dyDescent="0.25">
      <c r="A9" s="201">
        <v>8</v>
      </c>
      <c r="B9" s="201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201" bestFit="1" customWidth="1"/>
    <col min="2" max="2" width="10.85546875" style="201" bestFit="1" customWidth="1"/>
    <col min="3" max="12" width="9.140625" style="201"/>
    <col min="13" max="13" width="16.7109375" style="201" bestFit="1" customWidth="1"/>
    <col min="14" max="14" width="10.5703125" style="201" bestFit="1" customWidth="1"/>
    <col min="15" max="15" width="9.140625" style="201"/>
    <col min="16" max="16" width="45.85546875" style="201" bestFit="1" customWidth="1"/>
    <col min="17" max="16384" width="9.140625" style="201"/>
  </cols>
  <sheetData>
    <row r="1" spans="1:16" x14ac:dyDescent="0.25">
      <c r="A1" s="201" t="s">
        <v>406</v>
      </c>
      <c r="B1" s="201" t="s">
        <v>407</v>
      </c>
    </row>
    <row r="2" spans="1:16" x14ac:dyDescent="0.25">
      <c r="A2" s="201" t="s">
        <v>408</v>
      </c>
      <c r="B2" s="201" t="s">
        <v>409</v>
      </c>
      <c r="M2" s="210" t="s">
        <v>410</v>
      </c>
      <c r="P2" s="210" t="s">
        <v>385</v>
      </c>
    </row>
    <row r="3" spans="1:16" x14ac:dyDescent="0.25">
      <c r="A3" s="201">
        <v>30</v>
      </c>
      <c r="B3" s="201">
        <v>7.4</v>
      </c>
      <c r="M3" s="201" t="s">
        <v>387</v>
      </c>
      <c r="N3" s="222">
        <f>INDEX(LINEST($B$3:$B$9,$A$3:$A$9^{1,2}),1,1)</f>
        <v>-7.4880952380952407E-3</v>
      </c>
      <c r="P3" s="220" t="s">
        <v>411</v>
      </c>
    </row>
    <row r="4" spans="1:16" x14ac:dyDescent="0.25">
      <c r="A4" s="201">
        <v>40</v>
      </c>
      <c r="B4" s="201">
        <v>11.049999999999999</v>
      </c>
      <c r="M4" s="201" t="s">
        <v>390</v>
      </c>
      <c r="N4" s="222">
        <f>INDEX(LINEST($B$3:$B$9,$A$3:$A$9^{1,2}),1,2)</f>
        <v>1.0662500000000004</v>
      </c>
      <c r="P4" s="220" t="s">
        <v>412</v>
      </c>
    </row>
    <row r="5" spans="1:16" x14ac:dyDescent="0.25">
      <c r="A5" s="201">
        <v>50</v>
      </c>
      <c r="B5" s="201">
        <v>15.1</v>
      </c>
      <c r="M5" s="201" t="s">
        <v>413</v>
      </c>
      <c r="N5" s="222">
        <f>INDEX(LINEST($B$3:$B$9,$A$3:$A$9^{1,2}),1,3)</f>
        <v>-18.661904761904772</v>
      </c>
      <c r="P5" s="220" t="s">
        <v>414</v>
      </c>
    </row>
    <row r="6" spans="1:16" x14ac:dyDescent="0.25">
      <c r="A6" s="201">
        <v>60</v>
      </c>
      <c r="B6" s="201">
        <v>18.7</v>
      </c>
      <c r="N6" s="222"/>
      <c r="P6" s="220"/>
    </row>
    <row r="7" spans="1:16" x14ac:dyDescent="0.25">
      <c r="A7" s="201">
        <v>70</v>
      </c>
      <c r="B7" s="201">
        <v>20.6</v>
      </c>
    </row>
    <row r="8" spans="1:16" x14ac:dyDescent="0.25">
      <c r="A8" s="201">
        <v>80</v>
      </c>
      <c r="B8" s="201">
        <v>18.274999999999999</v>
      </c>
    </row>
    <row r="9" spans="1:16" x14ac:dyDescent="0.25">
      <c r="A9" s="201">
        <v>90</v>
      </c>
      <c r="B9" s="201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201" customWidth="1"/>
    <col min="3" max="13" width="9.140625" style="201"/>
    <col min="14" max="14" width="10.5703125" style="201" bestFit="1" customWidth="1"/>
    <col min="15" max="15" width="9.140625" style="201"/>
    <col min="16" max="16" width="52" style="201" bestFit="1" customWidth="1"/>
    <col min="17" max="16384" width="9.140625" style="201"/>
  </cols>
  <sheetData>
    <row r="1" spans="1:16" x14ac:dyDescent="0.25">
      <c r="A1" s="201" t="s">
        <v>415</v>
      </c>
      <c r="B1" s="201" t="s">
        <v>416</v>
      </c>
    </row>
    <row r="2" spans="1:16" x14ac:dyDescent="0.25">
      <c r="A2" s="201" t="s">
        <v>417</v>
      </c>
      <c r="B2" s="201" t="s">
        <v>418</v>
      </c>
      <c r="M2" s="210" t="s">
        <v>419</v>
      </c>
      <c r="P2" s="210" t="s">
        <v>385</v>
      </c>
    </row>
    <row r="3" spans="1:16" x14ac:dyDescent="0.25">
      <c r="A3" s="201">
        <v>1</v>
      </c>
      <c r="B3" s="201">
        <v>5</v>
      </c>
      <c r="M3" s="201" t="s">
        <v>387</v>
      </c>
      <c r="N3" s="219">
        <f>EXP(INDEX(LINEST(LN($B$3:$B$12),LN($A$3:$A$12)),2))</f>
        <v>5.0256080561355931</v>
      </c>
      <c r="P3" s="220" t="s">
        <v>420</v>
      </c>
    </row>
    <row r="4" spans="1:16" x14ac:dyDescent="0.25">
      <c r="A4" s="201">
        <v>2</v>
      </c>
      <c r="B4" s="201">
        <v>21</v>
      </c>
      <c r="M4" s="201" t="s">
        <v>390</v>
      </c>
      <c r="N4" s="219">
        <f>INDEX(LINEST(LN($B$3:$B$12),LN($A$3:$A$12)),1)</f>
        <v>2.0902097668655144</v>
      </c>
      <c r="P4" s="220" t="s">
        <v>421</v>
      </c>
    </row>
    <row r="5" spans="1:16" x14ac:dyDescent="0.25">
      <c r="A5" s="201">
        <v>3</v>
      </c>
      <c r="B5" s="201">
        <v>54</v>
      </c>
    </row>
    <row r="6" spans="1:16" x14ac:dyDescent="0.25">
      <c r="A6" s="201">
        <v>4</v>
      </c>
      <c r="B6" s="201">
        <v>94</v>
      </c>
    </row>
    <row r="7" spans="1:16" x14ac:dyDescent="0.25">
      <c r="A7" s="201">
        <v>5</v>
      </c>
      <c r="B7" s="201">
        <v>141</v>
      </c>
    </row>
    <row r="8" spans="1:16" x14ac:dyDescent="0.25">
      <c r="A8" s="201">
        <v>6</v>
      </c>
      <c r="B8" s="201">
        <v>200</v>
      </c>
    </row>
    <row r="9" spans="1:16" x14ac:dyDescent="0.25">
      <c r="A9" s="201">
        <v>7</v>
      </c>
      <c r="B9" s="201">
        <v>280</v>
      </c>
    </row>
    <row r="10" spans="1:16" x14ac:dyDescent="0.25">
      <c r="A10" s="201">
        <v>8</v>
      </c>
      <c r="B10" s="201">
        <v>364</v>
      </c>
    </row>
    <row r="11" spans="1:16" x14ac:dyDescent="0.25">
      <c r="A11" s="201">
        <v>9</v>
      </c>
      <c r="B11" s="201">
        <v>509</v>
      </c>
    </row>
    <row r="12" spans="1:16" x14ac:dyDescent="0.25">
      <c r="A12" s="201">
        <v>10</v>
      </c>
      <c r="B12" s="201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140625" style="201" bestFit="1" customWidth="1"/>
    <col min="14" max="14" width="10.5703125" style="201" bestFit="1" customWidth="1"/>
    <col min="15" max="15" width="9.140625" style="201"/>
    <col min="16" max="16" width="49.140625" style="201" bestFit="1" customWidth="1"/>
    <col min="17" max="16384" width="9.140625" style="201"/>
  </cols>
  <sheetData>
    <row r="1" spans="1:16" x14ac:dyDescent="0.25">
      <c r="A1" s="201" t="s">
        <v>422</v>
      </c>
      <c r="B1" s="201" t="s">
        <v>173</v>
      </c>
    </row>
    <row r="2" spans="1:16" x14ac:dyDescent="0.25">
      <c r="A2" s="201">
        <v>1</v>
      </c>
      <c r="B2" s="201">
        <v>64</v>
      </c>
      <c r="M2" s="210" t="s">
        <v>423</v>
      </c>
      <c r="P2" s="210" t="s">
        <v>385</v>
      </c>
    </row>
    <row r="3" spans="1:16" x14ac:dyDescent="0.25">
      <c r="A3" s="201">
        <v>2</v>
      </c>
      <c r="B3" s="201">
        <v>32</v>
      </c>
      <c r="M3" s="201" t="s">
        <v>387</v>
      </c>
      <c r="N3" s="201">
        <f>EXP(INDEX(LINEST(LN($B$2:$B$7),$A$2:$A$7),1,2))</f>
        <v>127.99999999999997</v>
      </c>
      <c r="P3" s="220" t="s">
        <v>424</v>
      </c>
    </row>
    <row r="4" spans="1:16" x14ac:dyDescent="0.25">
      <c r="A4" s="201">
        <v>3</v>
      </c>
      <c r="B4" s="201">
        <v>16</v>
      </c>
      <c r="M4" s="201" t="s">
        <v>390</v>
      </c>
      <c r="N4" s="219">
        <f>INDEX(LINEST(LN($B$2:$B$7),$A$2:$A$7),1)</f>
        <v>-0.69314718055994529</v>
      </c>
      <c r="P4" s="220" t="s">
        <v>425</v>
      </c>
    </row>
    <row r="5" spans="1:16" x14ac:dyDescent="0.25">
      <c r="A5" s="201">
        <v>4</v>
      </c>
      <c r="B5" s="201">
        <v>8</v>
      </c>
    </row>
    <row r="6" spans="1:16" x14ac:dyDescent="0.25">
      <c r="A6" s="201">
        <v>5</v>
      </c>
      <c r="B6" s="201">
        <v>4</v>
      </c>
    </row>
    <row r="7" spans="1:16" x14ac:dyDescent="0.25">
      <c r="A7" s="201">
        <v>6</v>
      </c>
      <c r="B7" s="201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23" customWidth="1"/>
    <col min="3" max="16384" width="9.140625" style="223"/>
  </cols>
  <sheetData>
    <row r="1" spans="1:2" x14ac:dyDescent="0.25">
      <c r="A1" s="223" t="s">
        <v>183</v>
      </c>
      <c r="B1" s="223" t="s">
        <v>426</v>
      </c>
    </row>
    <row r="2" spans="1:2" x14ac:dyDescent="0.25">
      <c r="A2" s="223">
        <v>1</v>
      </c>
      <c r="B2" s="223">
        <v>10</v>
      </c>
    </row>
    <row r="3" spans="1:2" x14ac:dyDescent="0.25">
      <c r="A3" s="223">
        <v>2</v>
      </c>
      <c r="B3" s="223">
        <v>11</v>
      </c>
    </row>
    <row r="4" spans="1:2" x14ac:dyDescent="0.25">
      <c r="A4" s="223">
        <v>3</v>
      </c>
      <c r="B4" s="223">
        <v>15</v>
      </c>
    </row>
    <row r="5" spans="1:2" x14ac:dyDescent="0.25">
      <c r="A5" s="223">
        <v>4</v>
      </c>
      <c r="B5" s="223">
        <v>7</v>
      </c>
    </row>
    <row r="6" spans="1:2" x14ac:dyDescent="0.25">
      <c r="A6" s="223">
        <v>5</v>
      </c>
      <c r="B6" s="223">
        <v>9</v>
      </c>
    </row>
    <row r="7" spans="1:2" x14ac:dyDescent="0.25">
      <c r="A7" s="223">
        <v>6</v>
      </c>
      <c r="B7" s="223">
        <v>6</v>
      </c>
    </row>
    <row r="8" spans="1:2" x14ac:dyDescent="0.25">
      <c r="A8" s="223">
        <v>7</v>
      </c>
      <c r="B8" s="223">
        <v>7</v>
      </c>
    </row>
    <row r="9" spans="1:2" x14ac:dyDescent="0.25">
      <c r="A9" s="223">
        <v>8</v>
      </c>
      <c r="B9" s="223">
        <v>8</v>
      </c>
    </row>
    <row r="10" spans="1:2" x14ac:dyDescent="0.25">
      <c r="A10" s="223">
        <v>9</v>
      </c>
      <c r="B10" s="223">
        <v>17</v>
      </c>
    </row>
    <row r="11" spans="1:2" x14ac:dyDescent="0.25">
      <c r="A11" s="223">
        <v>10</v>
      </c>
      <c r="B11" s="223">
        <v>20</v>
      </c>
    </row>
    <row r="12" spans="1:2" x14ac:dyDescent="0.25">
      <c r="A12" s="223">
        <v>11</v>
      </c>
      <c r="B12" s="223">
        <v>14</v>
      </c>
    </row>
    <row r="13" spans="1:2" x14ac:dyDescent="0.25">
      <c r="A13" s="223">
        <v>12</v>
      </c>
      <c r="B13" s="223">
        <v>12</v>
      </c>
    </row>
    <row r="14" spans="1:2" x14ac:dyDescent="0.25">
      <c r="A14" s="223">
        <v>13</v>
      </c>
      <c r="B14" s="223">
        <v>15</v>
      </c>
    </row>
    <row r="15" spans="1:2" x14ac:dyDescent="0.25">
      <c r="A15" s="223">
        <v>14</v>
      </c>
      <c r="B15" s="223">
        <v>11</v>
      </c>
    </row>
    <row r="16" spans="1:2" x14ac:dyDescent="0.25">
      <c r="A16" s="223">
        <v>15</v>
      </c>
      <c r="B16" s="223">
        <v>10</v>
      </c>
    </row>
    <row r="17" spans="1:2" x14ac:dyDescent="0.25">
      <c r="A17" s="223">
        <v>16</v>
      </c>
      <c r="B17" s="223">
        <v>13</v>
      </c>
    </row>
    <row r="18" spans="1:2" x14ac:dyDescent="0.25">
      <c r="A18" s="223">
        <v>17</v>
      </c>
      <c r="B18" s="223">
        <v>16</v>
      </c>
    </row>
    <row r="19" spans="1:2" x14ac:dyDescent="0.25">
      <c r="A19" s="223">
        <v>18</v>
      </c>
      <c r="B19" s="223">
        <v>18</v>
      </c>
    </row>
    <row r="20" spans="1:2" x14ac:dyDescent="0.25">
      <c r="A20" s="223">
        <v>19</v>
      </c>
      <c r="B20" s="223">
        <v>14</v>
      </c>
    </row>
    <row r="21" spans="1:2" x14ac:dyDescent="0.25">
      <c r="A21" s="223">
        <v>20</v>
      </c>
      <c r="B21" s="223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201"/>
  </cols>
  <sheetData>
    <row r="1" spans="1:2" x14ac:dyDescent="0.25">
      <c r="A1" s="201" t="s">
        <v>371</v>
      </c>
      <c r="B1" s="201">
        <v>0.6</v>
      </c>
    </row>
    <row r="2" spans="1:2" x14ac:dyDescent="0.25">
      <c r="A2" s="201" t="s">
        <v>372</v>
      </c>
      <c r="B2" s="201">
        <f>1-B1</f>
        <v>0.4</v>
      </c>
    </row>
    <row r="4" spans="1:2" x14ac:dyDescent="0.25">
      <c r="A4" s="201" t="s">
        <v>373</v>
      </c>
      <c r="B4" s="201" t="s">
        <v>374</v>
      </c>
    </row>
    <row r="5" spans="1:2" x14ac:dyDescent="0.25">
      <c r="A5" s="201" t="s">
        <v>375</v>
      </c>
      <c r="B5" s="218">
        <f>$B$1</f>
        <v>0.6</v>
      </c>
    </row>
    <row r="6" spans="1:2" x14ac:dyDescent="0.25">
      <c r="A6" s="201" t="s">
        <v>376</v>
      </c>
      <c r="B6" s="218">
        <f>B5*$B$2</f>
        <v>0.24</v>
      </c>
    </row>
    <row r="7" spans="1:2" x14ac:dyDescent="0.25">
      <c r="A7" s="201" t="s">
        <v>377</v>
      </c>
      <c r="B7" s="218">
        <f>B6*$B$2</f>
        <v>9.6000000000000002E-2</v>
      </c>
    </row>
    <row r="8" spans="1:2" x14ac:dyDescent="0.25">
      <c r="A8" s="201" t="s">
        <v>378</v>
      </c>
      <c r="B8" s="218">
        <f t="shared" ref="B8:B13" si="0">B7*$B$2</f>
        <v>3.8400000000000004E-2</v>
      </c>
    </row>
    <row r="9" spans="1:2" x14ac:dyDescent="0.25">
      <c r="A9" s="201" t="s">
        <v>379</v>
      </c>
      <c r="B9" s="218">
        <f t="shared" si="0"/>
        <v>1.5360000000000002E-2</v>
      </c>
    </row>
    <row r="10" spans="1:2" x14ac:dyDescent="0.25">
      <c r="A10" s="201" t="s">
        <v>380</v>
      </c>
      <c r="B10" s="218">
        <f t="shared" si="0"/>
        <v>6.144000000000001E-3</v>
      </c>
    </row>
    <row r="11" spans="1:2" x14ac:dyDescent="0.25">
      <c r="A11" s="201" t="s">
        <v>381</v>
      </c>
      <c r="B11" s="218">
        <f t="shared" si="0"/>
        <v>2.4576000000000008E-3</v>
      </c>
    </row>
    <row r="12" spans="1:2" x14ac:dyDescent="0.25">
      <c r="A12" s="201" t="s">
        <v>382</v>
      </c>
      <c r="B12" s="218">
        <f t="shared" si="0"/>
        <v>9.8304000000000035E-4</v>
      </c>
    </row>
    <row r="13" spans="1:2" x14ac:dyDescent="0.25">
      <c r="A13" s="201" t="s">
        <v>383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7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8">
        <v>1</v>
      </c>
      <c r="C6" s="128">
        <v>2</v>
      </c>
      <c r="D6" s="128">
        <v>3</v>
      </c>
      <c r="E6" s="128">
        <v>4</v>
      </c>
      <c r="F6" s="128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8">
        <v>1</v>
      </c>
      <c r="C14" s="128">
        <v>2</v>
      </c>
      <c r="D14" s="128">
        <v>3</v>
      </c>
      <c r="E14" s="128">
        <v>4</v>
      </c>
      <c r="F14" s="128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9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6" customWidth="1"/>
    <col min="2" max="4" width="5.7109375" style="86" customWidth="1"/>
    <col min="5" max="16384" width="9.140625" style="86"/>
  </cols>
  <sheetData>
    <row r="1" spans="1:4" x14ac:dyDescent="0.2">
      <c r="B1" s="87" t="s">
        <v>132</v>
      </c>
      <c r="C1" s="87" t="s">
        <v>133</v>
      </c>
      <c r="D1" s="87" t="s">
        <v>134</v>
      </c>
    </row>
    <row r="2" spans="1:4" x14ac:dyDescent="0.2">
      <c r="A2" s="88" t="s">
        <v>265</v>
      </c>
      <c r="B2" s="130">
        <v>1255</v>
      </c>
      <c r="C2" s="130">
        <v>948</v>
      </c>
      <c r="D2" s="130">
        <v>1269</v>
      </c>
    </row>
    <row r="3" spans="1:4" x14ac:dyDescent="0.2">
      <c r="A3" s="88" t="s">
        <v>266</v>
      </c>
      <c r="B3" s="130">
        <v>2544</v>
      </c>
      <c r="C3" s="130">
        <v>1306</v>
      </c>
      <c r="D3" s="130">
        <v>379</v>
      </c>
    </row>
    <row r="4" spans="1:4" x14ac:dyDescent="0.2">
      <c r="A4" s="88" t="s">
        <v>267</v>
      </c>
      <c r="B4" s="130">
        <v>1655</v>
      </c>
      <c r="C4" s="130">
        <v>781</v>
      </c>
      <c r="D4" s="130">
        <v>1943</v>
      </c>
    </row>
    <row r="5" spans="1:4" x14ac:dyDescent="0.2">
      <c r="A5" s="88" t="s">
        <v>268</v>
      </c>
      <c r="B5" s="130">
        <v>2144</v>
      </c>
      <c r="C5" s="130">
        <v>931</v>
      </c>
      <c r="D5" s="130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7" customWidth="1"/>
    <col min="2" max="3" width="6.7109375" style="107" customWidth="1"/>
    <col min="4" max="16384" width="9.140625" style="107"/>
  </cols>
  <sheetData>
    <row r="1" spans="1:3" x14ac:dyDescent="0.2">
      <c r="B1" s="131">
        <v>2009</v>
      </c>
      <c r="C1" s="131">
        <v>2010</v>
      </c>
    </row>
    <row r="2" spans="1:3" x14ac:dyDescent="0.2">
      <c r="A2" s="108" t="s">
        <v>269</v>
      </c>
      <c r="B2" s="132">
        <v>15</v>
      </c>
      <c r="C2" s="132">
        <v>17</v>
      </c>
    </row>
    <row r="3" spans="1:3" x14ac:dyDescent="0.2">
      <c r="A3" s="108" t="s">
        <v>270</v>
      </c>
      <c r="B3" s="132">
        <v>17</v>
      </c>
      <c r="C3" s="132">
        <v>16</v>
      </c>
    </row>
    <row r="4" spans="1:3" x14ac:dyDescent="0.2">
      <c r="A4" s="108" t="s">
        <v>271</v>
      </c>
      <c r="B4" s="132">
        <v>14</v>
      </c>
      <c r="C4" s="132">
        <v>16</v>
      </c>
    </row>
    <row r="5" spans="1:3" x14ac:dyDescent="0.2">
      <c r="A5" s="108" t="s">
        <v>272</v>
      </c>
      <c r="B5" s="132">
        <v>19</v>
      </c>
      <c r="C5" s="132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63" customWidth="1"/>
    <col min="2" max="3" width="14.42578125" style="163" customWidth="1"/>
    <col min="4" max="16384" width="9.140625" style="163"/>
  </cols>
  <sheetData>
    <row r="1" spans="1:3" ht="18" x14ac:dyDescent="0.15">
      <c r="A1" s="228" t="s">
        <v>345</v>
      </c>
      <c r="B1" s="228"/>
      <c r="C1" s="228"/>
    </row>
    <row r="3" spans="1:3" x14ac:dyDescent="0.15">
      <c r="A3" s="179" t="s">
        <v>346</v>
      </c>
      <c r="B3" s="179"/>
    </row>
    <row r="4" spans="1:3" ht="15" x14ac:dyDescent="0.25">
      <c r="A4" s="163" t="s">
        <v>347</v>
      </c>
      <c r="B4" s="180">
        <v>2.5</v>
      </c>
    </row>
    <row r="5" spans="1:3" ht="15" x14ac:dyDescent="0.25">
      <c r="A5" s="163" t="s">
        <v>348</v>
      </c>
      <c r="B5" s="180">
        <v>1.7</v>
      </c>
    </row>
    <row r="6" spans="1:3" ht="15" x14ac:dyDescent="0.25">
      <c r="A6" s="163" t="s">
        <v>349</v>
      </c>
      <c r="B6" s="181">
        <v>30000</v>
      </c>
    </row>
    <row r="8" spans="1:3" x14ac:dyDescent="0.15">
      <c r="A8" s="182" t="s">
        <v>350</v>
      </c>
      <c r="B8" s="105"/>
      <c r="C8" s="105">
        <f>52*Aantal_Orders*(Opbrengst_per_Order-Kosten_per_Order)</f>
        <v>1248000</v>
      </c>
    </row>
    <row r="9" spans="1:3" ht="15" x14ac:dyDescent="0.25">
      <c r="A9" s="179"/>
      <c r="B9" s="105"/>
      <c r="C9" s="82"/>
    </row>
    <row r="10" spans="1:3" x14ac:dyDescent="0.15">
      <c r="A10" s="179" t="s">
        <v>351</v>
      </c>
      <c r="B10" s="105"/>
    </row>
    <row r="11" spans="1:3" ht="15" x14ac:dyDescent="0.25">
      <c r="A11" s="163" t="s">
        <v>209</v>
      </c>
      <c r="B11" s="180">
        <v>300000</v>
      </c>
    </row>
    <row r="12" spans="1:3" ht="15" x14ac:dyDescent="0.25">
      <c r="A12" s="163" t="s">
        <v>337</v>
      </c>
      <c r="B12" s="180">
        <v>72000</v>
      </c>
    </row>
    <row r="13" spans="1:3" ht="15" x14ac:dyDescent="0.25">
      <c r="A13" s="163" t="s">
        <v>338</v>
      </c>
      <c r="B13" s="180">
        <v>20000</v>
      </c>
    </row>
    <row r="14" spans="1:3" ht="15" x14ac:dyDescent="0.25">
      <c r="A14" s="163" t="s">
        <v>339</v>
      </c>
      <c r="B14" s="180">
        <v>200000</v>
      </c>
    </row>
    <row r="15" spans="1:3" x14ac:dyDescent="0.15">
      <c r="A15" s="182" t="s">
        <v>352</v>
      </c>
      <c r="C15" s="183">
        <f>SUM(B11:B14)</f>
        <v>592000</v>
      </c>
    </row>
    <row r="17" spans="1:3" x14ac:dyDescent="0.15">
      <c r="A17" s="182" t="s">
        <v>353</v>
      </c>
      <c r="C17" s="183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63"/>
    <col min="3" max="3" width="19.140625" style="163" customWidth="1"/>
    <col min="4" max="7" width="12.7109375" style="163" customWidth="1" outlineLevel="1"/>
    <col min="8" max="16384" width="9.140625" style="163"/>
  </cols>
  <sheetData>
    <row r="1" spans="2:7" ht="11.25" thickBot="1" x14ac:dyDescent="0.2"/>
    <row r="2" spans="2:7" ht="11.25" x14ac:dyDescent="0.15">
      <c r="B2" s="164" t="s">
        <v>325</v>
      </c>
      <c r="C2" s="164"/>
      <c r="D2" s="165"/>
      <c r="E2" s="165"/>
      <c r="F2" s="165"/>
      <c r="G2" s="165"/>
    </row>
    <row r="3" spans="2:7" ht="31.5" collapsed="1" x14ac:dyDescent="0.15">
      <c r="B3" s="166"/>
      <c r="C3" s="166"/>
      <c r="D3" s="167" t="s">
        <v>326</v>
      </c>
      <c r="E3" s="167" t="s">
        <v>327</v>
      </c>
      <c r="F3" s="167" t="s">
        <v>328</v>
      </c>
      <c r="G3" s="167" t="s">
        <v>329</v>
      </c>
    </row>
    <row r="4" spans="2:7" ht="94.5" hidden="1" outlineLevel="1" x14ac:dyDescent="0.15">
      <c r="B4" s="168"/>
      <c r="C4" s="168"/>
      <c r="D4" s="169"/>
      <c r="E4" s="170" t="s">
        <v>330</v>
      </c>
      <c r="F4" s="170" t="s">
        <v>331</v>
      </c>
      <c r="G4" s="170" t="s">
        <v>332</v>
      </c>
    </row>
    <row r="5" spans="2:7" x14ac:dyDescent="0.15">
      <c r="B5" s="171" t="s">
        <v>333</v>
      </c>
      <c r="C5" s="171"/>
      <c r="D5" s="172"/>
      <c r="E5" s="172"/>
      <c r="F5" s="172"/>
      <c r="G5" s="172"/>
    </row>
    <row r="6" spans="2:7" outlineLevel="1" x14ac:dyDescent="0.15">
      <c r="B6" s="168"/>
      <c r="C6" s="168" t="s">
        <v>334</v>
      </c>
      <c r="D6" s="173">
        <v>2.5</v>
      </c>
      <c r="E6" s="174">
        <v>2.5</v>
      </c>
      <c r="F6" s="174">
        <v>2.75</v>
      </c>
      <c r="G6" s="174">
        <v>2.625</v>
      </c>
    </row>
    <row r="7" spans="2:7" outlineLevel="1" x14ac:dyDescent="0.15">
      <c r="B7" s="168"/>
      <c r="C7" s="168" t="s">
        <v>335</v>
      </c>
      <c r="D7" s="173">
        <v>1.7</v>
      </c>
      <c r="E7" s="174">
        <v>1.7</v>
      </c>
      <c r="F7" s="174">
        <v>1.7</v>
      </c>
      <c r="G7" s="174">
        <v>1.615</v>
      </c>
    </row>
    <row r="8" spans="2:7" outlineLevel="1" x14ac:dyDescent="0.15">
      <c r="B8" s="168"/>
      <c r="C8" s="168" t="s">
        <v>336</v>
      </c>
      <c r="D8" s="175">
        <v>30000</v>
      </c>
      <c r="E8" s="176">
        <v>30000</v>
      </c>
      <c r="F8" s="176">
        <v>30000</v>
      </c>
      <c r="G8" s="176">
        <v>30000</v>
      </c>
    </row>
    <row r="9" spans="2:7" outlineLevel="1" x14ac:dyDescent="0.15">
      <c r="B9" s="168"/>
      <c r="C9" s="168" t="s">
        <v>209</v>
      </c>
      <c r="D9" s="173">
        <v>300000</v>
      </c>
      <c r="E9" s="174">
        <v>300000</v>
      </c>
      <c r="F9" s="174">
        <v>270000</v>
      </c>
      <c r="G9" s="174">
        <v>300000</v>
      </c>
    </row>
    <row r="10" spans="2:7" outlineLevel="1" x14ac:dyDescent="0.15">
      <c r="B10" s="168"/>
      <c r="C10" s="168" t="s">
        <v>337</v>
      </c>
      <c r="D10" s="173">
        <v>72000</v>
      </c>
      <c r="E10" s="174">
        <v>72000</v>
      </c>
      <c r="F10" s="174">
        <v>72000</v>
      </c>
      <c r="G10" s="174">
        <v>72000</v>
      </c>
    </row>
    <row r="11" spans="2:7" outlineLevel="1" x14ac:dyDescent="0.15">
      <c r="B11" s="168"/>
      <c r="C11" s="168" t="s">
        <v>338</v>
      </c>
      <c r="D11" s="173">
        <v>20000</v>
      </c>
      <c r="E11" s="174">
        <v>20000</v>
      </c>
      <c r="F11" s="174">
        <v>15000</v>
      </c>
      <c r="G11" s="174">
        <v>22000</v>
      </c>
    </row>
    <row r="12" spans="2:7" outlineLevel="1" x14ac:dyDescent="0.15">
      <c r="B12" s="168"/>
      <c r="C12" s="168" t="s">
        <v>339</v>
      </c>
      <c r="D12" s="173">
        <v>200000</v>
      </c>
      <c r="E12" s="174">
        <v>200000</v>
      </c>
      <c r="F12" s="174">
        <v>200000</v>
      </c>
      <c r="G12" s="174">
        <v>200000</v>
      </c>
    </row>
    <row r="13" spans="2:7" x14ac:dyDescent="0.15">
      <c r="B13" s="171" t="s">
        <v>340</v>
      </c>
      <c r="C13" s="171"/>
      <c r="D13" s="172"/>
      <c r="E13" s="172"/>
      <c r="F13" s="172"/>
      <c r="G13" s="172"/>
    </row>
    <row r="14" spans="2:7" ht="11.25" outlineLevel="1" thickBot="1" x14ac:dyDescent="0.2">
      <c r="B14" s="177"/>
      <c r="C14" s="177" t="s">
        <v>341</v>
      </c>
      <c r="D14" s="178">
        <v>656000</v>
      </c>
      <c r="E14" s="178">
        <v>656000</v>
      </c>
      <c r="F14" s="178">
        <v>1081000</v>
      </c>
      <c r="G14" s="178">
        <v>981600</v>
      </c>
    </row>
    <row r="15" spans="2:7" x14ac:dyDescent="0.15">
      <c r="B15" s="163" t="s">
        <v>342</v>
      </c>
    </row>
    <row r="16" spans="2:7" x14ac:dyDescent="0.15">
      <c r="B16" s="163" t="s">
        <v>343</v>
      </c>
    </row>
    <row r="17" spans="2:2" x14ac:dyDescent="0.15">
      <c r="B17" s="163" t="s">
        <v>344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9" customWidth="1"/>
    <col min="4" max="16384" width="9.140625" style="109"/>
  </cols>
  <sheetData>
    <row r="1" spans="1:3" x14ac:dyDescent="0.25">
      <c r="A1" s="109" t="s">
        <v>141</v>
      </c>
      <c r="C1" s="109">
        <v>4000</v>
      </c>
    </row>
    <row r="2" spans="1:3" x14ac:dyDescent="0.25">
      <c r="A2" s="109" t="s">
        <v>84</v>
      </c>
      <c r="B2" s="110">
        <v>0.25</v>
      </c>
      <c r="C2" s="109">
        <f>B2*C1</f>
        <v>1000</v>
      </c>
    </row>
    <row r="3" spans="1:3" x14ac:dyDescent="0.25">
      <c r="A3" s="109" t="s">
        <v>142</v>
      </c>
      <c r="C3" s="109">
        <f>C1+C2</f>
        <v>5000</v>
      </c>
    </row>
    <row r="5" spans="1:3" x14ac:dyDescent="0.25">
      <c r="A5" s="109" t="s">
        <v>143</v>
      </c>
      <c r="B5" s="110">
        <v>0.21</v>
      </c>
      <c r="C5" s="109">
        <f>B5*C3</f>
        <v>1050</v>
      </c>
    </row>
    <row r="6" spans="1:3" x14ac:dyDescent="0.25">
      <c r="A6" s="109" t="s">
        <v>144</v>
      </c>
      <c r="C6" s="109">
        <f>C3+C5</f>
        <v>6050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21">
        <v>20</v>
      </c>
      <c r="C2" s="121">
        <v>65</v>
      </c>
      <c r="D2" s="121">
        <f>B2*C2</f>
        <v>1300</v>
      </c>
    </row>
    <row r="3" spans="1:4" x14ac:dyDescent="0.25">
      <c r="A3" t="s">
        <v>63</v>
      </c>
      <c r="B3" s="121">
        <v>10</v>
      </c>
      <c r="C3" s="121">
        <v>80</v>
      </c>
      <c r="D3" s="121">
        <f t="shared" ref="D3:D4" si="0">B3*C3</f>
        <v>800</v>
      </c>
    </row>
    <row r="4" spans="1:4" x14ac:dyDescent="0.25">
      <c r="A4" t="s">
        <v>106</v>
      </c>
      <c r="B4" s="121">
        <v>4</v>
      </c>
      <c r="C4" s="121">
        <v>70</v>
      </c>
      <c r="D4" s="121">
        <f t="shared" si="0"/>
        <v>280</v>
      </c>
    </row>
    <row r="5" spans="1:4" x14ac:dyDescent="0.25">
      <c r="A5" t="s">
        <v>148</v>
      </c>
      <c r="B5" s="121"/>
      <c r="C5" s="121"/>
      <c r="D5" s="121">
        <f>D2+D3+D4</f>
        <v>2380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9" bestFit="1" customWidth="1"/>
    <col min="2" max="2" width="8.85546875" style="109" bestFit="1" customWidth="1"/>
    <col min="3" max="3" width="11.140625" style="109" bestFit="1" customWidth="1"/>
    <col min="4" max="4" width="10.28515625" style="109" bestFit="1" customWidth="1"/>
    <col min="5" max="16384" width="9.140625" style="109"/>
  </cols>
  <sheetData>
    <row r="1" spans="1:4" x14ac:dyDescent="0.25">
      <c r="B1" s="197" t="s">
        <v>366</v>
      </c>
      <c r="C1" s="205">
        <v>0.08</v>
      </c>
    </row>
    <row r="2" spans="1:4" x14ac:dyDescent="0.25">
      <c r="A2" s="197" t="s">
        <v>363</v>
      </c>
      <c r="B2" s="197" t="s">
        <v>364</v>
      </c>
      <c r="C2" s="197" t="s">
        <v>365</v>
      </c>
    </row>
    <row r="3" spans="1:4" x14ac:dyDescent="0.25">
      <c r="A3" s="109">
        <v>0</v>
      </c>
      <c r="B3" s="204">
        <v>-5000</v>
      </c>
      <c r="C3" s="24">
        <f>PV($C$1,A3,,-B3)</f>
        <v>-5000</v>
      </c>
    </row>
    <row r="4" spans="1:4" x14ac:dyDescent="0.25">
      <c r="A4" s="109">
        <v>1</v>
      </c>
      <c r="B4" s="204">
        <v>1400</v>
      </c>
      <c r="C4" s="24">
        <f t="shared" ref="C4:C7" si="0">PV($C$1,A4,,-B4)</f>
        <v>1296.2962962962963</v>
      </c>
    </row>
    <row r="5" spans="1:4" x14ac:dyDescent="0.25">
      <c r="A5" s="109">
        <v>2</v>
      </c>
      <c r="B5" s="204">
        <v>1500</v>
      </c>
      <c r="C5" s="24">
        <f t="shared" si="0"/>
        <v>1286.0082304526748</v>
      </c>
    </row>
    <row r="6" spans="1:4" x14ac:dyDescent="0.25">
      <c r="A6" s="109">
        <v>3</v>
      </c>
      <c r="B6" s="204">
        <v>1900</v>
      </c>
      <c r="C6" s="24">
        <f t="shared" si="0"/>
        <v>1508.2812579383221</v>
      </c>
    </row>
    <row r="7" spans="1:4" x14ac:dyDescent="0.25">
      <c r="A7" s="109">
        <v>4</v>
      </c>
      <c r="B7" s="204">
        <v>2000</v>
      </c>
      <c r="C7" s="24">
        <f t="shared" si="0"/>
        <v>1470.0597055929065</v>
      </c>
    </row>
    <row r="8" spans="1:4" x14ac:dyDescent="0.25">
      <c r="B8" s="109" t="s">
        <v>368</v>
      </c>
      <c r="C8" s="24">
        <f>SUM(C3:C7)</f>
        <v>560.64549028020019</v>
      </c>
      <c r="D8" s="206"/>
    </row>
    <row r="9" spans="1:4" x14ac:dyDescent="0.25">
      <c r="B9" s="109" t="s">
        <v>368</v>
      </c>
      <c r="C9" s="24">
        <f>B3+NPV($C$1,B4,B5,B6,B7)</f>
        <v>560.64549028019974</v>
      </c>
      <c r="D9" s="206"/>
    </row>
    <row r="10" spans="1:4" x14ac:dyDescent="0.25">
      <c r="B10" s="109" t="s">
        <v>367</v>
      </c>
      <c r="C10" s="207">
        <f>IRR(B3:B7)</f>
        <v>0.12613066814771079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201"/>
  </cols>
  <sheetData>
    <row r="4" spans="4:16" x14ac:dyDescent="0.25">
      <c r="D4" s="211" t="s">
        <v>369</v>
      </c>
      <c r="L4" s="211" t="s">
        <v>370</v>
      </c>
    </row>
    <row r="9" spans="4:16" x14ac:dyDescent="0.25">
      <c r="D9" s="208"/>
      <c r="E9" s="209"/>
      <c r="F9" s="209"/>
      <c r="G9" s="209"/>
      <c r="L9" s="208"/>
      <c r="M9" s="209"/>
      <c r="N9" s="209"/>
      <c r="O9" s="209"/>
    </row>
    <row r="10" spans="4:16" x14ac:dyDescent="0.25">
      <c r="D10" s="209"/>
      <c r="E10" s="208"/>
      <c r="F10" s="208"/>
      <c r="G10" s="208"/>
      <c r="L10" s="209"/>
      <c r="M10" s="208"/>
      <c r="N10" s="208"/>
      <c r="O10" s="208"/>
    </row>
    <row r="11" spans="4:16" x14ac:dyDescent="0.25">
      <c r="D11" s="209"/>
      <c r="E11" s="208"/>
      <c r="F11" s="208"/>
      <c r="G11" s="208"/>
      <c r="L11" s="209"/>
      <c r="M11" s="208"/>
      <c r="N11" s="208"/>
      <c r="O11" s="208"/>
      <c r="P11" s="210"/>
    </row>
    <row r="12" spans="4:16" x14ac:dyDescent="0.25">
      <c r="D12" s="209"/>
      <c r="E12" s="208"/>
      <c r="F12" s="208"/>
      <c r="G12" s="208"/>
      <c r="L12" s="209"/>
      <c r="M12" s="208"/>
      <c r="N12" s="208"/>
      <c r="O12" s="208"/>
    </row>
    <row r="13" spans="4:16" x14ac:dyDescent="0.25">
      <c r="D13" s="209"/>
      <c r="E13" s="208"/>
      <c r="F13" s="208"/>
      <c r="G13" s="208"/>
      <c r="L13" s="209"/>
      <c r="M13" s="208"/>
      <c r="N13" s="208"/>
      <c r="O13" s="208"/>
    </row>
    <row r="14" spans="4:16" x14ac:dyDescent="0.25">
      <c r="D14" s="209"/>
      <c r="E14" s="208"/>
      <c r="F14" s="208"/>
      <c r="G14" s="208"/>
      <c r="L14" s="209"/>
      <c r="M14" s="208"/>
      <c r="N14" s="208"/>
      <c r="O14" s="208"/>
    </row>
    <row r="15" spans="4:16" x14ac:dyDescent="0.25">
      <c r="D15" s="209"/>
      <c r="E15" s="208"/>
      <c r="F15" s="208"/>
      <c r="G15" s="208"/>
      <c r="L15" s="209"/>
      <c r="M15" s="208"/>
      <c r="N15" s="208"/>
      <c r="O15" s="208"/>
    </row>
    <row r="16" spans="4:16" x14ac:dyDescent="0.25">
      <c r="D16" s="209"/>
      <c r="E16" s="208"/>
      <c r="F16" s="208"/>
      <c r="G16" s="208"/>
      <c r="L16" s="209"/>
      <c r="M16" s="208"/>
      <c r="N16" s="208"/>
      <c r="O16" s="208"/>
    </row>
    <row r="25" spans="4:7" x14ac:dyDescent="0.25">
      <c r="D25" s="208"/>
      <c r="E25" s="209"/>
      <c r="F25" s="209"/>
      <c r="G25" s="209"/>
    </row>
    <row r="26" spans="4:7" x14ac:dyDescent="0.25">
      <c r="D26" s="209"/>
      <c r="E26" s="208"/>
      <c r="F26" s="208"/>
      <c r="G26" s="208"/>
    </row>
    <row r="27" spans="4:7" x14ac:dyDescent="0.25">
      <c r="D27" s="209"/>
      <c r="E27" s="208"/>
      <c r="F27" s="208"/>
      <c r="G27" s="208"/>
    </row>
    <row r="28" spans="4:7" x14ac:dyDescent="0.25">
      <c r="D28" s="209"/>
      <c r="E28" s="208"/>
      <c r="F28" s="208"/>
      <c r="G28" s="208"/>
    </row>
    <row r="29" spans="4:7" x14ac:dyDescent="0.25">
      <c r="D29" s="209"/>
      <c r="E29" s="208"/>
      <c r="F29" s="208"/>
      <c r="G29" s="208"/>
    </row>
    <row r="30" spans="4:7" x14ac:dyDescent="0.25">
      <c r="D30" s="209"/>
      <c r="E30" s="208"/>
      <c r="F30" s="208"/>
      <c r="G30" s="208"/>
    </row>
    <row r="31" spans="4:7" x14ac:dyDescent="0.25">
      <c r="D31" s="209"/>
      <c r="E31" s="208"/>
      <c r="F31" s="208"/>
      <c r="G31" s="208"/>
    </row>
    <row r="32" spans="4:7" x14ac:dyDescent="0.25">
      <c r="D32" s="209"/>
      <c r="E32" s="208"/>
      <c r="F32" s="208"/>
      <c r="G32" s="208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9">
        <v>450</v>
      </c>
    </row>
    <row r="4" spans="1:2" x14ac:dyDescent="0.25">
      <c r="A4" t="s">
        <v>67</v>
      </c>
      <c r="B4" s="109">
        <v>175</v>
      </c>
    </row>
    <row r="5" spans="1:2" x14ac:dyDescent="0.25">
      <c r="A5" t="s">
        <v>68</v>
      </c>
      <c r="B5" s="109">
        <v>5</v>
      </c>
    </row>
    <row r="6" spans="1:2" x14ac:dyDescent="0.25">
      <c r="B6" s="109"/>
    </row>
    <row r="7" spans="1:2" x14ac:dyDescent="0.25">
      <c r="A7" s="26" t="s">
        <v>69</v>
      </c>
      <c r="B7" s="109">
        <f>B5*(B3-B4)</f>
        <v>1375</v>
      </c>
    </row>
    <row r="8" spans="1:2" x14ac:dyDescent="0.25">
      <c r="A8" s="109">
        <v>5</v>
      </c>
      <c r="B8" s="109">
        <f t="dataTable" ref="B8:B17" dt2D="0" dtr="0" r1="B5"/>
        <v>1375</v>
      </c>
    </row>
    <row r="9" spans="1:2" x14ac:dyDescent="0.25">
      <c r="A9" s="109">
        <v>10</v>
      </c>
      <c r="B9" s="109">
        <v>2750</v>
      </c>
    </row>
    <row r="10" spans="1:2" x14ac:dyDescent="0.25">
      <c r="A10" s="109">
        <v>15</v>
      </c>
      <c r="B10" s="109">
        <v>4125</v>
      </c>
    </row>
    <row r="11" spans="1:2" x14ac:dyDescent="0.25">
      <c r="A11" s="109">
        <v>20</v>
      </c>
      <c r="B11" s="109">
        <v>5500</v>
      </c>
    </row>
    <row r="12" spans="1:2" x14ac:dyDescent="0.25">
      <c r="A12" s="109">
        <v>25</v>
      </c>
      <c r="B12" s="109">
        <v>6875</v>
      </c>
    </row>
    <row r="13" spans="1:2" x14ac:dyDescent="0.25">
      <c r="A13" s="109">
        <v>30</v>
      </c>
      <c r="B13" s="109">
        <v>8250</v>
      </c>
    </row>
    <row r="14" spans="1:2" x14ac:dyDescent="0.25">
      <c r="A14" s="109">
        <v>35</v>
      </c>
      <c r="B14" s="109">
        <v>9625</v>
      </c>
    </row>
    <row r="15" spans="1:2" x14ac:dyDescent="0.25">
      <c r="A15" s="109">
        <v>40</v>
      </c>
      <c r="B15" s="109">
        <v>11000</v>
      </c>
    </row>
    <row r="16" spans="1:2" x14ac:dyDescent="0.25">
      <c r="A16" s="109">
        <v>45</v>
      </c>
      <c r="B16" s="109">
        <v>12375</v>
      </c>
    </row>
    <row r="17" spans="1:2" x14ac:dyDescent="0.25">
      <c r="A17" s="109">
        <v>50</v>
      </c>
      <c r="B17" s="109">
        <v>13750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9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9"/>
      <c r="C3" s="109">
        <f>2*B1-1</f>
        <v>-1</v>
      </c>
      <c r="D3" s="109">
        <f>-3*B1+2</f>
        <v>2</v>
      </c>
      <c r="E3" s="109">
        <f>B1^2</f>
        <v>0</v>
      </c>
      <c r="F3" s="109">
        <f>B1^2-2*B1+1</f>
        <v>1</v>
      </c>
    </row>
    <row r="4" spans="1:6" x14ac:dyDescent="0.25">
      <c r="B4" s="109">
        <v>0</v>
      </c>
      <c r="C4" s="109">
        <f t="dataTable" ref="C4:F9" dt2D="0" dtr="0" r1="B1"/>
        <v>-1</v>
      </c>
      <c r="D4" s="109">
        <v>2</v>
      </c>
      <c r="E4" s="109">
        <v>0</v>
      </c>
      <c r="F4" s="109">
        <v>1</v>
      </c>
    </row>
    <row r="5" spans="1:6" x14ac:dyDescent="0.25">
      <c r="B5" s="109">
        <v>1</v>
      </c>
      <c r="C5" s="109">
        <v>1</v>
      </c>
      <c r="D5" s="109">
        <v>-1</v>
      </c>
      <c r="E5" s="109">
        <v>1</v>
      </c>
      <c r="F5" s="109">
        <v>0</v>
      </c>
    </row>
    <row r="6" spans="1:6" x14ac:dyDescent="0.25">
      <c r="B6" s="109">
        <v>2</v>
      </c>
      <c r="C6" s="109">
        <v>3</v>
      </c>
      <c r="D6" s="109">
        <v>-4</v>
      </c>
      <c r="E6" s="109">
        <v>4</v>
      </c>
      <c r="F6" s="109">
        <v>1</v>
      </c>
    </row>
    <row r="7" spans="1:6" x14ac:dyDescent="0.25">
      <c r="B7" s="109">
        <v>3</v>
      </c>
      <c r="C7" s="109">
        <v>5</v>
      </c>
      <c r="D7" s="109">
        <v>-7</v>
      </c>
      <c r="E7" s="109">
        <v>9</v>
      </c>
      <c r="F7" s="109">
        <v>4</v>
      </c>
    </row>
    <row r="8" spans="1:6" x14ac:dyDescent="0.25">
      <c r="B8" s="109">
        <v>4</v>
      </c>
      <c r="C8" s="109">
        <v>7</v>
      </c>
      <c r="D8" s="109">
        <v>-10</v>
      </c>
      <c r="E8" s="109">
        <v>16</v>
      </c>
      <c r="F8" s="109">
        <v>9</v>
      </c>
    </row>
    <row r="9" spans="1:6" x14ac:dyDescent="0.25">
      <c r="B9" s="109">
        <v>5</v>
      </c>
      <c r="C9" s="109">
        <v>9</v>
      </c>
      <c r="D9" s="109">
        <v>-13</v>
      </c>
      <c r="E9" s="109">
        <v>25</v>
      </c>
      <c r="F9" s="10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9">
        <v>450</v>
      </c>
    </row>
    <row r="4" spans="1:7" x14ac:dyDescent="0.25">
      <c r="A4" t="s">
        <v>67</v>
      </c>
      <c r="B4" s="109">
        <v>175</v>
      </c>
    </row>
    <row r="5" spans="1:7" x14ac:dyDescent="0.25">
      <c r="A5" t="s">
        <v>68</v>
      </c>
      <c r="B5" s="109">
        <v>5</v>
      </c>
    </row>
    <row r="7" spans="1:7" x14ac:dyDescent="0.25">
      <c r="A7" s="133">
        <f>B5*(B3-B4)</f>
        <v>1375</v>
      </c>
      <c r="B7" s="109">
        <v>350</v>
      </c>
      <c r="C7" s="109">
        <v>400</v>
      </c>
      <c r="D7" s="109">
        <v>450</v>
      </c>
      <c r="E7" s="109">
        <v>500</v>
      </c>
      <c r="F7" s="109">
        <v>550</v>
      </c>
      <c r="G7" s="109">
        <v>600</v>
      </c>
    </row>
    <row r="8" spans="1:7" x14ac:dyDescent="0.25">
      <c r="A8" s="109">
        <v>5</v>
      </c>
      <c r="B8" s="109">
        <f t="dataTable" ref="B8:G17" dt2D="1" dtr="1" r1="B3" r2="B5"/>
        <v>875</v>
      </c>
      <c r="C8" s="109">
        <v>1125</v>
      </c>
      <c r="D8" s="109">
        <v>1375</v>
      </c>
      <c r="E8" s="109">
        <v>1625</v>
      </c>
      <c r="F8" s="109">
        <v>1875</v>
      </c>
      <c r="G8" s="109">
        <v>2125</v>
      </c>
    </row>
    <row r="9" spans="1:7" x14ac:dyDescent="0.25">
      <c r="A9" s="109">
        <v>10</v>
      </c>
      <c r="B9" s="109">
        <v>1750</v>
      </c>
      <c r="C9" s="109">
        <v>2250</v>
      </c>
      <c r="D9" s="109">
        <v>2750</v>
      </c>
      <c r="E9" s="109">
        <v>3250</v>
      </c>
      <c r="F9" s="109">
        <v>3750</v>
      </c>
      <c r="G9" s="109">
        <v>4250</v>
      </c>
    </row>
    <row r="10" spans="1:7" x14ac:dyDescent="0.25">
      <c r="A10" s="109">
        <v>15</v>
      </c>
      <c r="B10" s="109">
        <v>2625</v>
      </c>
      <c r="C10" s="109">
        <v>3375</v>
      </c>
      <c r="D10" s="109">
        <v>4125</v>
      </c>
      <c r="E10" s="109">
        <v>4875</v>
      </c>
      <c r="F10" s="109">
        <v>5625</v>
      </c>
      <c r="G10" s="109">
        <v>6375</v>
      </c>
    </row>
    <row r="11" spans="1:7" x14ac:dyDescent="0.25">
      <c r="A11" s="109">
        <v>20</v>
      </c>
      <c r="B11" s="109">
        <v>3500</v>
      </c>
      <c r="C11" s="109">
        <v>4500</v>
      </c>
      <c r="D11" s="109">
        <v>5500</v>
      </c>
      <c r="E11" s="109">
        <v>6500</v>
      </c>
      <c r="F11" s="109">
        <v>7500</v>
      </c>
      <c r="G11" s="109">
        <v>8500</v>
      </c>
    </row>
    <row r="12" spans="1:7" x14ac:dyDescent="0.25">
      <c r="A12" s="109">
        <v>25</v>
      </c>
      <c r="B12" s="109">
        <v>4375</v>
      </c>
      <c r="C12" s="109">
        <v>5625</v>
      </c>
      <c r="D12" s="109">
        <v>6875</v>
      </c>
      <c r="E12" s="109">
        <v>8125</v>
      </c>
      <c r="F12" s="109">
        <v>9375</v>
      </c>
      <c r="G12" s="109">
        <v>10625</v>
      </c>
    </row>
    <row r="13" spans="1:7" x14ac:dyDescent="0.25">
      <c r="A13" s="109">
        <v>30</v>
      </c>
      <c r="B13" s="109">
        <v>5250</v>
      </c>
      <c r="C13" s="109">
        <v>6750</v>
      </c>
      <c r="D13" s="109">
        <v>8250</v>
      </c>
      <c r="E13" s="109">
        <v>9750</v>
      </c>
      <c r="F13" s="109">
        <v>11250</v>
      </c>
      <c r="G13" s="109">
        <v>12750</v>
      </c>
    </row>
    <row r="14" spans="1:7" x14ac:dyDescent="0.25">
      <c r="A14" s="109">
        <v>35</v>
      </c>
      <c r="B14" s="109">
        <v>6125</v>
      </c>
      <c r="C14" s="109">
        <v>7875</v>
      </c>
      <c r="D14" s="109">
        <v>9625</v>
      </c>
      <c r="E14" s="109">
        <v>11375</v>
      </c>
      <c r="F14" s="109">
        <v>13125</v>
      </c>
      <c r="G14" s="109">
        <v>14875</v>
      </c>
    </row>
    <row r="15" spans="1:7" x14ac:dyDescent="0.25">
      <c r="A15" s="109">
        <v>40</v>
      </c>
      <c r="B15" s="109">
        <v>7000</v>
      </c>
      <c r="C15" s="109">
        <v>9000</v>
      </c>
      <c r="D15" s="109">
        <v>11000</v>
      </c>
      <c r="E15" s="109">
        <v>13000</v>
      </c>
      <c r="F15" s="109">
        <v>15000</v>
      </c>
      <c r="G15" s="109">
        <v>17000</v>
      </c>
    </row>
    <row r="16" spans="1:7" x14ac:dyDescent="0.25">
      <c r="A16" s="109">
        <v>45</v>
      </c>
      <c r="B16" s="109">
        <v>7875</v>
      </c>
      <c r="C16" s="109">
        <v>10125</v>
      </c>
      <c r="D16" s="109">
        <v>12375</v>
      </c>
      <c r="E16" s="109">
        <v>14625</v>
      </c>
      <c r="F16" s="109">
        <v>16875</v>
      </c>
      <c r="G16" s="109">
        <v>19125</v>
      </c>
    </row>
    <row r="17" spans="1:7" x14ac:dyDescent="0.25">
      <c r="A17" s="109">
        <v>50</v>
      </c>
      <c r="B17" s="109">
        <v>8750</v>
      </c>
      <c r="C17" s="109">
        <v>11250</v>
      </c>
      <c r="D17" s="109">
        <v>13750</v>
      </c>
      <c r="E17" s="109">
        <v>16250</v>
      </c>
      <c r="F17" s="109">
        <v>18750</v>
      </c>
      <c r="G17" s="109">
        <v>21250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86" bestFit="1" customWidth="1"/>
    <col min="2" max="2" width="7.85546875" style="186" bestFit="1" customWidth="1"/>
    <col min="3" max="9" width="7.5703125" style="186" customWidth="1"/>
    <col min="10" max="16384" width="9.140625" style="186"/>
  </cols>
  <sheetData>
    <row r="1" spans="1:9" x14ac:dyDescent="0.2">
      <c r="A1" s="184" t="s">
        <v>76</v>
      </c>
      <c r="B1" s="185">
        <v>200000</v>
      </c>
    </row>
    <row r="2" spans="1:9" x14ac:dyDescent="0.2">
      <c r="A2" s="184" t="s">
        <v>77</v>
      </c>
      <c r="B2" s="187">
        <v>2.2499999999999999E-2</v>
      </c>
    </row>
    <row r="4" spans="1:9" x14ac:dyDescent="0.2">
      <c r="A4" s="186" t="s">
        <v>78</v>
      </c>
      <c r="B4" s="188">
        <v>0.35</v>
      </c>
    </row>
    <row r="5" spans="1:9" x14ac:dyDescent="0.2">
      <c r="A5" s="186" t="s">
        <v>79</v>
      </c>
      <c r="B5" s="188">
        <v>0.55000000000000004</v>
      </c>
    </row>
    <row r="6" spans="1:9" x14ac:dyDescent="0.2">
      <c r="A6" s="186" t="s">
        <v>81</v>
      </c>
      <c r="B6" s="188">
        <v>44</v>
      </c>
    </row>
    <row r="7" spans="1:9" x14ac:dyDescent="0.2">
      <c r="B7" s="189"/>
    </row>
    <row r="8" spans="1:9" x14ac:dyDescent="0.2">
      <c r="A8" s="186" t="s">
        <v>80</v>
      </c>
      <c r="B8" s="190">
        <f>B2*B1</f>
        <v>4500</v>
      </c>
    </row>
    <row r="9" spans="1:9" x14ac:dyDescent="0.2">
      <c r="A9" s="186" t="s">
        <v>82</v>
      </c>
      <c r="B9" s="191">
        <f>B8*B6</f>
        <v>198000</v>
      </c>
    </row>
    <row r="10" spans="1:9" x14ac:dyDescent="0.2">
      <c r="A10" s="186" t="s">
        <v>83</v>
      </c>
      <c r="B10" s="191">
        <f>B1*(B4+B5)</f>
        <v>180000</v>
      </c>
    </row>
    <row r="11" spans="1:9" x14ac:dyDescent="0.2">
      <c r="A11" s="184" t="s">
        <v>84</v>
      </c>
      <c r="B11" s="192">
        <f>B9-B10</f>
        <v>18000</v>
      </c>
    </row>
    <row r="14" spans="1:9" ht="12.75" thickBot="1" x14ac:dyDescent="0.25">
      <c r="B14" s="193">
        <f>B11</f>
        <v>18000</v>
      </c>
      <c r="C14" s="194">
        <v>1.4999999999999999E-2</v>
      </c>
      <c r="D14" s="194">
        <v>1.7500000000000002E-2</v>
      </c>
      <c r="E14" s="194">
        <v>0.02</v>
      </c>
      <c r="F14" s="194">
        <v>2.2499999999999999E-2</v>
      </c>
      <c r="G14" s="194">
        <v>2.5000000000000001E-2</v>
      </c>
      <c r="H14" s="194">
        <v>2.75E-2</v>
      </c>
      <c r="I14" s="194">
        <v>0.03</v>
      </c>
    </row>
    <row r="15" spans="1:9" x14ac:dyDescent="0.2">
      <c r="B15" s="195">
        <v>100000</v>
      </c>
      <c r="C15" s="196">
        <f t="dataTable" ref="C15:I23" dt2D="1" dtr="1" r1="B2" r2="B1"/>
        <v>-24000</v>
      </c>
      <c r="D15" s="196">
        <v>-12999.999999999985</v>
      </c>
      <c r="E15" s="196">
        <v>-2000</v>
      </c>
      <c r="F15" s="196">
        <v>9000</v>
      </c>
      <c r="G15" s="196">
        <v>20000</v>
      </c>
      <c r="H15" s="196">
        <v>31000</v>
      </c>
      <c r="I15" s="196">
        <v>42000</v>
      </c>
    </row>
    <row r="16" spans="1:9" x14ac:dyDescent="0.2">
      <c r="B16" s="195">
        <v>125000</v>
      </c>
      <c r="C16" s="196">
        <v>-30000</v>
      </c>
      <c r="D16" s="196">
        <v>-16250</v>
      </c>
      <c r="E16" s="196">
        <v>-2500</v>
      </c>
      <c r="F16" s="196">
        <v>11250</v>
      </c>
      <c r="G16" s="196">
        <v>25000</v>
      </c>
      <c r="H16" s="196">
        <v>38750</v>
      </c>
      <c r="I16" s="196">
        <v>52500</v>
      </c>
    </row>
    <row r="17" spans="2:9" x14ac:dyDescent="0.2">
      <c r="B17" s="195">
        <v>150000</v>
      </c>
      <c r="C17" s="196">
        <v>-36000</v>
      </c>
      <c r="D17" s="196">
        <v>-19499.999999999985</v>
      </c>
      <c r="E17" s="196">
        <v>-3000</v>
      </c>
      <c r="F17" s="196">
        <v>13500</v>
      </c>
      <c r="G17" s="196">
        <v>30000</v>
      </c>
      <c r="H17" s="196">
        <v>46500</v>
      </c>
      <c r="I17" s="196">
        <v>63000</v>
      </c>
    </row>
    <row r="18" spans="2:9" x14ac:dyDescent="0.2">
      <c r="B18" s="195">
        <v>175000</v>
      </c>
      <c r="C18" s="196">
        <v>-42000</v>
      </c>
      <c r="D18" s="196">
        <v>-22749.999999999971</v>
      </c>
      <c r="E18" s="196">
        <v>-3500</v>
      </c>
      <c r="F18" s="196">
        <v>15750</v>
      </c>
      <c r="G18" s="196">
        <v>35000</v>
      </c>
      <c r="H18" s="196">
        <v>54250</v>
      </c>
      <c r="I18" s="196">
        <v>73500</v>
      </c>
    </row>
    <row r="19" spans="2:9" x14ac:dyDescent="0.2">
      <c r="B19" s="195">
        <v>200000</v>
      </c>
      <c r="C19" s="196">
        <v>-48000</v>
      </c>
      <c r="D19" s="196">
        <v>-25999.999999999971</v>
      </c>
      <c r="E19" s="196">
        <v>-4000</v>
      </c>
      <c r="F19" s="196">
        <v>18000</v>
      </c>
      <c r="G19" s="196">
        <v>40000</v>
      </c>
      <c r="H19" s="196">
        <v>62000</v>
      </c>
      <c r="I19" s="196">
        <v>84000</v>
      </c>
    </row>
    <row r="20" spans="2:9" x14ac:dyDescent="0.2">
      <c r="B20" s="195">
        <v>225000</v>
      </c>
      <c r="C20" s="196">
        <v>-54000</v>
      </c>
      <c r="D20" s="196">
        <v>-29249.999999999971</v>
      </c>
      <c r="E20" s="196">
        <v>-4500</v>
      </c>
      <c r="F20" s="196">
        <v>20250</v>
      </c>
      <c r="G20" s="196">
        <v>45000</v>
      </c>
      <c r="H20" s="196">
        <v>69750</v>
      </c>
      <c r="I20" s="196">
        <v>94500</v>
      </c>
    </row>
    <row r="21" spans="2:9" x14ac:dyDescent="0.2">
      <c r="B21" s="195">
        <v>250000</v>
      </c>
      <c r="C21" s="196">
        <v>-60000</v>
      </c>
      <c r="D21" s="196">
        <v>-32500</v>
      </c>
      <c r="E21" s="196">
        <v>-5000</v>
      </c>
      <c r="F21" s="196">
        <v>22500</v>
      </c>
      <c r="G21" s="196">
        <v>50000</v>
      </c>
      <c r="H21" s="196">
        <v>77500</v>
      </c>
      <c r="I21" s="196">
        <v>105000</v>
      </c>
    </row>
    <row r="22" spans="2:9" x14ac:dyDescent="0.2">
      <c r="B22" s="195">
        <v>275000</v>
      </c>
      <c r="C22" s="196">
        <v>-66000</v>
      </c>
      <c r="D22" s="196">
        <v>-35749.999999999971</v>
      </c>
      <c r="E22" s="196">
        <v>-5500</v>
      </c>
      <c r="F22" s="196">
        <v>24750</v>
      </c>
      <c r="G22" s="196">
        <v>55000</v>
      </c>
      <c r="H22" s="196">
        <v>85250</v>
      </c>
      <c r="I22" s="196">
        <v>115500</v>
      </c>
    </row>
    <row r="23" spans="2:9" x14ac:dyDescent="0.2">
      <c r="B23" s="195">
        <v>300000</v>
      </c>
      <c r="C23" s="196">
        <v>-72000</v>
      </c>
      <c r="D23" s="196">
        <v>-38999.999999999971</v>
      </c>
      <c r="E23" s="196">
        <v>-6000</v>
      </c>
      <c r="F23" s="196">
        <v>27000</v>
      </c>
      <c r="G23" s="196">
        <v>60000</v>
      </c>
      <c r="H23" s="196">
        <v>93000</v>
      </c>
      <c r="I23" s="196">
        <v>126000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4">
        <v>2010</v>
      </c>
      <c r="C5" s="82">
        <f>inleg</f>
        <v>1000</v>
      </c>
    </row>
    <row r="6" spans="1:3" x14ac:dyDescent="0.15">
      <c r="A6" s="134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4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4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4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4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4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4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4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4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4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5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5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5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5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5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5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5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5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5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5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5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5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5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5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5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5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5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5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5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5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5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5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5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5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5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5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5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5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5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5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5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5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5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5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5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5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5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5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5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5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5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5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5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5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5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5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5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5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5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5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5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5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5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5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5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5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5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5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5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5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5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5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5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5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5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5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5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5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5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5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5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5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5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5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5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5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5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5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5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5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5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5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5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5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5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5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5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5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5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5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5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5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5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5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5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5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5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5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5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5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5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5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5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5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5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5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5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5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5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5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5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5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5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5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5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5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5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5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5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5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5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5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5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5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5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5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5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5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5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5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5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5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5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5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5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5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5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5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5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5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5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5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5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5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5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5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5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5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5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5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5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5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5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5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5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5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5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5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5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5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5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5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5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5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5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5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5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5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5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5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5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5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5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5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5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5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5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5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5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5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5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5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5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5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5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5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5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5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5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5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5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5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5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5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5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5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5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5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5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5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5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5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5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5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5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5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5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5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5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5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5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5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5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5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5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5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5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5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5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5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5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5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5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5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5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5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5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5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5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5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5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5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5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5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5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5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5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5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5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5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5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5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5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5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5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5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5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5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5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5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5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5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5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5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5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5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5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5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5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5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5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5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5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5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5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5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5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5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5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5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5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5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5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5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5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5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5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5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5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5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5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5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5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5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5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5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5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5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5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5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5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5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5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5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5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5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5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5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5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5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5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5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5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5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5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5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5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5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5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5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5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5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5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5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5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5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5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5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5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5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5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5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5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5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5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5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5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5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5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5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5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5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5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5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5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5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5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5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5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5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5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5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5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5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5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5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5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5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5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5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5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5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5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5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5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5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5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5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5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5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5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5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5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5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5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5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5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5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5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5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5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5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5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5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5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5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5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5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5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5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5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5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5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5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5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5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5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5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5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5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5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5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5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5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5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5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5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5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5">
        <v>2010369</v>
      </c>
      <c r="E400" s="34">
        <v>40516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4">
        <f>YEAR(B2)</f>
        <v>2011</v>
      </c>
      <c r="D2" s="124">
        <f>MONTH(B2)</f>
        <v>2</v>
      </c>
      <c r="E2" s="124">
        <f>DAY(B2)</f>
        <v>1</v>
      </c>
    </row>
    <row r="3" spans="1:5" x14ac:dyDescent="0.25">
      <c r="A3" t="s">
        <v>180</v>
      </c>
      <c r="B3" s="36">
        <v>40602</v>
      </c>
      <c r="C3" s="124">
        <f>YEAR(B3)</f>
        <v>2011</v>
      </c>
      <c r="D3" s="124">
        <f>MONTH(B3)</f>
        <v>2</v>
      </c>
      <c r="E3" s="124">
        <f>DAY(B3)</f>
        <v>28</v>
      </c>
    </row>
    <row r="4" spans="1:5" x14ac:dyDescent="0.25">
      <c r="A4" t="s">
        <v>181</v>
      </c>
      <c r="B4" s="124">
        <f>B3-B2</f>
        <v>27</v>
      </c>
    </row>
    <row r="5" spans="1:5" x14ac:dyDescent="0.25">
      <c r="A5" t="s">
        <v>182</v>
      </c>
      <c r="B5" s="124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4">
        <f>HOUR(B8)</f>
        <v>9</v>
      </c>
      <c r="D8" s="124">
        <f>MINUTE(B8)</f>
        <v>10</v>
      </c>
      <c r="E8" s="124">
        <f>SECOND(B8)</f>
        <v>20</v>
      </c>
    </row>
    <row r="9" spans="1:5" x14ac:dyDescent="0.25">
      <c r="A9" t="s">
        <v>177</v>
      </c>
      <c r="B9" s="52">
        <v>0.63923611111111112</v>
      </c>
      <c r="C9" s="124">
        <f>HOUR(B9)</f>
        <v>15</v>
      </c>
      <c r="D9" s="124">
        <f>MINUTE(B9)</f>
        <v>20</v>
      </c>
      <c r="E9" s="124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9">
        <v>4</v>
      </c>
      <c r="B2" t="str">
        <f>IF(A2&lt;5.5,"onvoldoende","voldoende")</f>
        <v>onvoldoende</v>
      </c>
    </row>
    <row r="3" spans="1:2" ht="15" x14ac:dyDescent="0.25">
      <c r="A3" s="109">
        <v>6</v>
      </c>
      <c r="B3" t="str">
        <f t="shared" ref="B3:B6" si="0">IF(A3&lt;5.5,"onvoldoende","voldoende")</f>
        <v>voldoende</v>
      </c>
    </row>
    <row r="4" spans="1:2" ht="15" x14ac:dyDescent="0.25">
      <c r="A4" s="109">
        <v>5.5</v>
      </c>
      <c r="B4" t="str">
        <f t="shared" si="0"/>
        <v>voldoende</v>
      </c>
    </row>
    <row r="5" spans="1:2" ht="15" x14ac:dyDescent="0.25">
      <c r="A5" s="109">
        <v>7</v>
      </c>
      <c r="B5" t="str">
        <f t="shared" si="0"/>
        <v>voldoende</v>
      </c>
    </row>
    <row r="6" spans="1:2" ht="15" x14ac:dyDescent="0.25">
      <c r="A6" s="109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9">
        <v>1.1100000000000001</v>
      </c>
    </row>
    <row r="2" spans="1:1" x14ac:dyDescent="0.25">
      <c r="A2" s="109">
        <v>2.2200000000000002</v>
      </c>
    </row>
    <row r="3" spans="1:1" x14ac:dyDescent="0.25">
      <c r="A3" s="109">
        <v>3.33</v>
      </c>
    </row>
    <row r="4" spans="1:1" x14ac:dyDescent="0.25">
      <c r="A4" s="109">
        <v>4.4400000000000004</v>
      </c>
    </row>
    <row r="5" spans="1:1" x14ac:dyDescent="0.25">
      <c r="A5" s="109">
        <v>5.55</v>
      </c>
    </row>
    <row r="6" spans="1:1" x14ac:dyDescent="0.25">
      <c r="A6" s="109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23">
        <v>38</v>
      </c>
    </row>
    <row r="2" spans="1:2" x14ac:dyDescent="0.2">
      <c r="B2" s="123">
        <v>10</v>
      </c>
    </row>
    <row r="3" spans="1:2" x14ac:dyDescent="0.2">
      <c r="B3" s="123">
        <v>60</v>
      </c>
    </row>
    <row r="4" spans="1:2" x14ac:dyDescent="0.2">
      <c r="B4" s="123">
        <v>90</v>
      </c>
    </row>
    <row r="5" spans="1:2" x14ac:dyDescent="0.2">
      <c r="B5" s="123">
        <v>88</v>
      </c>
    </row>
    <row r="6" spans="1:2" x14ac:dyDescent="0.2">
      <c r="B6" s="123">
        <v>96</v>
      </c>
    </row>
    <row r="7" spans="1:2" x14ac:dyDescent="0.2">
      <c r="B7" s="123">
        <v>2</v>
      </c>
    </row>
    <row r="8" spans="1:2" x14ac:dyDescent="0.2">
      <c r="B8" s="123">
        <v>41</v>
      </c>
    </row>
    <row r="9" spans="1:2" x14ac:dyDescent="0.2">
      <c r="A9" s="51" t="s">
        <v>172</v>
      </c>
      <c r="B9" s="122">
        <f>AVERAGE(B1:B8)</f>
        <v>53.125</v>
      </c>
    </row>
    <row r="10" spans="1:2" x14ac:dyDescent="0.2">
      <c r="A10" s="51" t="s">
        <v>173</v>
      </c>
      <c r="B10" s="123">
        <f>COUNT(B1:B8)</f>
        <v>8</v>
      </c>
    </row>
    <row r="11" spans="1:2" x14ac:dyDescent="0.2">
      <c r="A11" s="51" t="s">
        <v>174</v>
      </c>
      <c r="B11" s="123">
        <f>MIN(B1:B8)</f>
        <v>2</v>
      </c>
    </row>
    <row r="12" spans="1:2" x14ac:dyDescent="0.2">
      <c r="A12" s="51" t="s">
        <v>175</v>
      </c>
      <c r="B12" s="123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5">
        <f>LEN(A2)</f>
        <v>10</v>
      </c>
      <c r="C2" s="125">
        <f>SEARCH(" ",A2,1)</f>
        <v>6</v>
      </c>
      <c r="D2" s="126" t="str">
        <f>LEFT(A2,C2-1)</f>
        <v>roger</v>
      </c>
      <c r="E2" s="126" t="str">
        <f>RIGHT(A2,B2-C2)</f>
        <v>rood</v>
      </c>
    </row>
    <row r="3" spans="1:5" x14ac:dyDescent="0.2">
      <c r="A3" s="50" t="s">
        <v>199</v>
      </c>
      <c r="B3" s="125">
        <f>LEN(A3)</f>
        <v>12</v>
      </c>
      <c r="C3" s="125">
        <f>SEARCH(" ",A3,1)</f>
        <v>7</v>
      </c>
      <c r="D3" s="126" t="str">
        <f>LEFT(A3,C3-1)</f>
        <v>gerrit</v>
      </c>
      <c r="E3" s="126" t="str">
        <f>RIGHT(A3,B3-C3)</f>
        <v>groen</v>
      </c>
    </row>
    <row r="4" spans="1:5" x14ac:dyDescent="0.2">
      <c r="A4" s="50" t="s">
        <v>200</v>
      </c>
      <c r="B4" s="125">
        <f>LEN(A4)</f>
        <v>14</v>
      </c>
      <c r="C4" s="125">
        <f>SEARCH(" ",A4,1)</f>
        <v>6</v>
      </c>
      <c r="D4" s="126" t="str">
        <f>LEFT(A4,C4-1)</f>
        <v>trudy</v>
      </c>
      <c r="E4" s="126" t="str">
        <f>RIGHT(A4,B4-C4)</f>
        <v>turkoois</v>
      </c>
    </row>
    <row r="5" spans="1:5" x14ac:dyDescent="0.2">
      <c r="A5" s="50" t="s">
        <v>201</v>
      </c>
      <c r="B5" s="125">
        <f>LEN(A5)</f>
        <v>12</v>
      </c>
      <c r="C5" s="125">
        <f>SEARCH(" ",A5,1)</f>
        <v>5</v>
      </c>
      <c r="D5" s="126" t="str">
        <f>LEFT(A5,C5-1)</f>
        <v>mari</v>
      </c>
      <c r="E5" s="126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6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7">
        <v>208</v>
      </c>
    </row>
    <row r="4" spans="2:5" x14ac:dyDescent="0.25">
      <c r="C4" t="s">
        <v>40</v>
      </c>
      <c r="D4" s="133">
        <f>VLOOKUP(Zoeknr,Zoeklijst,1,FALSE)</f>
        <v>208</v>
      </c>
    </row>
    <row r="5" spans="2:5" x14ac:dyDescent="0.25">
      <c r="C5" t="s">
        <v>55</v>
      </c>
      <c r="D5" s="133">
        <f>VLOOKUP(Zoeknr,Zoeklijst,2,FALSE)</f>
        <v>250</v>
      </c>
    </row>
    <row r="6" spans="2:5" x14ac:dyDescent="0.25">
      <c r="C6" t="s">
        <v>41</v>
      </c>
      <c r="D6" s="136" t="str">
        <f>VLOOKUP(Zoeknr,Zoeklijst,3,FALSE)</f>
        <v>Hitachi Travelstar 7K500</v>
      </c>
    </row>
    <row r="7" spans="2:5" x14ac:dyDescent="0.25">
      <c r="C7" t="s">
        <v>42</v>
      </c>
      <c r="D7" s="162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6">
        <v>121</v>
      </c>
      <c r="C11" s="136">
        <v>120</v>
      </c>
      <c r="D11" t="s">
        <v>45</v>
      </c>
      <c r="E11" s="24">
        <v>46</v>
      </c>
    </row>
    <row r="12" spans="2:5" x14ac:dyDescent="0.25">
      <c r="B12" s="136">
        <v>143</v>
      </c>
      <c r="C12" s="136">
        <v>120</v>
      </c>
      <c r="D12" t="s">
        <v>43</v>
      </c>
      <c r="E12" s="24">
        <v>56.36</v>
      </c>
    </row>
    <row r="13" spans="2:5" x14ac:dyDescent="0.25">
      <c r="B13" s="136">
        <v>164</v>
      </c>
      <c r="C13" s="136">
        <v>147</v>
      </c>
      <c r="D13" t="s">
        <v>46</v>
      </c>
      <c r="E13" s="24">
        <v>216</v>
      </c>
    </row>
    <row r="14" spans="2:5" x14ac:dyDescent="0.25">
      <c r="B14" s="136">
        <v>191</v>
      </c>
      <c r="C14" s="136">
        <v>160</v>
      </c>
      <c r="D14" t="s">
        <v>44</v>
      </c>
      <c r="E14" s="24">
        <v>104.85</v>
      </c>
    </row>
    <row r="15" spans="2:5" x14ac:dyDescent="0.25">
      <c r="B15" s="136">
        <v>208</v>
      </c>
      <c r="C15" s="136">
        <v>250</v>
      </c>
      <c r="D15" t="s">
        <v>47</v>
      </c>
      <c r="E15" s="24">
        <v>47.49</v>
      </c>
    </row>
    <row r="16" spans="2:5" x14ac:dyDescent="0.25">
      <c r="B16" s="136">
        <v>220</v>
      </c>
      <c r="C16" s="136">
        <v>250</v>
      </c>
      <c r="D16" t="s">
        <v>49</v>
      </c>
      <c r="E16" s="24">
        <v>35.130000000000003</v>
      </c>
    </row>
    <row r="17" spans="2:5" x14ac:dyDescent="0.25">
      <c r="B17" s="136">
        <v>232</v>
      </c>
      <c r="C17" s="136">
        <v>250</v>
      </c>
      <c r="D17" t="s">
        <v>48</v>
      </c>
      <c r="E17" s="24">
        <v>59.18</v>
      </c>
    </row>
    <row r="18" spans="2:5" x14ac:dyDescent="0.25">
      <c r="B18" s="136">
        <v>343</v>
      </c>
      <c r="C18" s="136">
        <v>300</v>
      </c>
      <c r="D18" t="s">
        <v>50</v>
      </c>
      <c r="E18" s="24">
        <v>133.97999999999999</v>
      </c>
    </row>
    <row r="19" spans="2:5" x14ac:dyDescent="0.25">
      <c r="B19" s="136">
        <v>405</v>
      </c>
      <c r="C19" s="136">
        <v>400</v>
      </c>
      <c r="D19" t="s">
        <v>53</v>
      </c>
      <c r="E19" s="24">
        <v>459.35</v>
      </c>
    </row>
    <row r="20" spans="2:5" x14ac:dyDescent="0.25">
      <c r="B20" s="136">
        <v>417</v>
      </c>
      <c r="C20" s="136">
        <v>450</v>
      </c>
      <c r="D20" t="s">
        <v>51</v>
      </c>
      <c r="E20" s="24">
        <v>226.83</v>
      </c>
    </row>
    <row r="21" spans="2:5" x14ac:dyDescent="0.25">
      <c r="B21" s="136">
        <v>423</v>
      </c>
      <c r="C21" s="136">
        <v>450</v>
      </c>
      <c r="D21" t="s">
        <v>54</v>
      </c>
      <c r="E21" s="24">
        <v>379</v>
      </c>
    </row>
    <row r="22" spans="2:5" x14ac:dyDescent="0.25">
      <c r="B22" s="136">
        <v>436</v>
      </c>
      <c r="C22" s="136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9">
        <f>HLOOKUP($C$2,$C$8:$E$11,2,FALSE)</f>
        <v>42</v>
      </c>
    </row>
    <row r="5" spans="2:5" x14ac:dyDescent="0.25">
      <c r="B5" t="s">
        <v>59</v>
      </c>
      <c r="C5" s="109">
        <f>HLOOKUP($C$2,$C$8:$E$11,3,FALSE)</f>
        <v>182</v>
      </c>
    </row>
    <row r="6" spans="2:5" x14ac:dyDescent="0.25">
      <c r="B6" t="s">
        <v>60</v>
      </c>
      <c r="C6" s="109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9">
        <v>35</v>
      </c>
      <c r="D9" s="109">
        <v>42</v>
      </c>
      <c r="E9" s="109">
        <v>56</v>
      </c>
    </row>
    <row r="10" spans="2:5" x14ac:dyDescent="0.25">
      <c r="B10" t="s">
        <v>59</v>
      </c>
      <c r="C10" s="109">
        <v>178</v>
      </c>
      <c r="D10" s="109">
        <v>182</v>
      </c>
      <c r="E10" s="109">
        <v>174</v>
      </c>
    </row>
    <row r="11" spans="2:5" x14ac:dyDescent="0.25">
      <c r="B11" t="s">
        <v>60</v>
      </c>
      <c r="C11" s="109">
        <v>43</v>
      </c>
      <c r="D11" s="109">
        <v>44</v>
      </c>
      <c r="E11" s="10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6" customWidth="1"/>
    <col min="2" max="5" width="8.7109375" style="86" customWidth="1"/>
    <col min="6" max="16384" width="9.140625" style="86"/>
  </cols>
  <sheetData>
    <row r="1" spans="1:5" x14ac:dyDescent="0.2">
      <c r="B1" s="89" t="s">
        <v>273</v>
      </c>
      <c r="C1" s="89" t="s">
        <v>274</v>
      </c>
      <c r="D1" s="89" t="s">
        <v>275</v>
      </c>
      <c r="E1" s="89" t="s">
        <v>276</v>
      </c>
    </row>
    <row r="2" spans="1:5" x14ac:dyDescent="0.2">
      <c r="A2" s="86" t="s">
        <v>132</v>
      </c>
      <c r="B2" s="138">
        <v>152</v>
      </c>
      <c r="C2" s="138">
        <v>36</v>
      </c>
      <c r="D2" s="138">
        <v>123</v>
      </c>
      <c r="E2" s="138">
        <v>67</v>
      </c>
    </row>
    <row r="3" spans="1:5" x14ac:dyDescent="0.2">
      <c r="A3" s="86" t="s">
        <v>133</v>
      </c>
      <c r="B3" s="138">
        <v>160</v>
      </c>
      <c r="C3" s="138">
        <v>46</v>
      </c>
      <c r="D3" s="138">
        <v>133</v>
      </c>
      <c r="E3" s="138">
        <v>75</v>
      </c>
    </row>
    <row r="4" spans="1:5" x14ac:dyDescent="0.2">
      <c r="A4" s="86" t="s">
        <v>134</v>
      </c>
      <c r="B4" s="138">
        <v>148</v>
      </c>
      <c r="C4" s="138">
        <v>46</v>
      </c>
      <c r="D4" s="138">
        <v>137</v>
      </c>
      <c r="E4" s="138">
        <v>78</v>
      </c>
    </row>
    <row r="5" spans="1:5" x14ac:dyDescent="0.2">
      <c r="A5" s="86" t="s">
        <v>135</v>
      </c>
      <c r="B5" s="138">
        <v>155</v>
      </c>
      <c r="C5" s="138">
        <v>42</v>
      </c>
      <c r="D5" s="138">
        <v>124</v>
      </c>
      <c r="E5" s="138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213" customWidth="1"/>
    <col min="2" max="3" width="12.7109375" style="213" customWidth="1"/>
    <col min="4" max="4" width="6.7109375" style="213" customWidth="1"/>
    <col min="5" max="5" width="9.28515625" style="213" customWidth="1"/>
    <col min="6" max="6" width="10.140625" style="213" customWidth="1"/>
    <col min="7" max="7" width="7.5703125" style="213" customWidth="1"/>
    <col min="8" max="8" width="10.140625" style="213" customWidth="1"/>
    <col min="9" max="9" width="13.42578125" style="213" bestFit="1" customWidth="1"/>
    <col min="10" max="16384" width="9.140625" style="213"/>
  </cols>
  <sheetData>
    <row r="1" spans="1:8" x14ac:dyDescent="0.15">
      <c r="A1" s="212" t="s">
        <v>250</v>
      </c>
      <c r="B1" s="212" t="s">
        <v>251</v>
      </c>
      <c r="C1" s="212" t="s">
        <v>252</v>
      </c>
      <c r="D1" s="212" t="s">
        <v>173</v>
      </c>
      <c r="E1" s="212" t="s">
        <v>253</v>
      </c>
      <c r="F1" s="212" t="s">
        <v>254</v>
      </c>
      <c r="G1" s="212" t="s">
        <v>143</v>
      </c>
      <c r="H1" s="212" t="s">
        <v>255</v>
      </c>
    </row>
    <row r="2" spans="1:8" ht="15" x14ac:dyDescent="0.25">
      <c r="A2" s="214">
        <v>40588</v>
      </c>
      <c r="B2" s="213" t="s">
        <v>256</v>
      </c>
      <c r="C2" s="213" t="s">
        <v>257</v>
      </c>
      <c r="D2" s="215">
        <v>2</v>
      </c>
      <c r="E2" s="216">
        <v>44.5</v>
      </c>
      <c r="F2" s="217">
        <f>D2*E2</f>
        <v>89</v>
      </c>
      <c r="G2" s="217">
        <f>21%*F2</f>
        <v>18.689999999999998</v>
      </c>
      <c r="H2" s="217">
        <f>F2+G2</f>
        <v>107.69</v>
      </c>
    </row>
    <row r="3" spans="1:8" ht="15" x14ac:dyDescent="0.25">
      <c r="A3" s="214">
        <v>40589</v>
      </c>
      <c r="B3" s="213" t="s">
        <v>258</v>
      </c>
      <c r="C3" s="213" t="s">
        <v>259</v>
      </c>
      <c r="D3" s="215">
        <v>3</v>
      </c>
      <c r="E3" s="216">
        <v>82.7</v>
      </c>
      <c r="F3" s="217">
        <f>D3*E3</f>
        <v>248.10000000000002</v>
      </c>
      <c r="G3" s="217">
        <f t="shared" ref="G3:G4" si="0">21%*F3</f>
        <v>52.101000000000006</v>
      </c>
      <c r="H3" s="217">
        <f>F3+G3</f>
        <v>300.20100000000002</v>
      </c>
    </row>
    <row r="4" spans="1:8" ht="15" x14ac:dyDescent="0.25">
      <c r="A4" s="214">
        <v>40589</v>
      </c>
      <c r="B4" s="213" t="s">
        <v>260</v>
      </c>
      <c r="C4" s="213" t="s">
        <v>261</v>
      </c>
      <c r="D4" s="215">
        <v>2</v>
      </c>
      <c r="E4" s="216">
        <v>98.4</v>
      </c>
      <c r="F4" s="217">
        <f>D4*E4</f>
        <v>196.8</v>
      </c>
      <c r="G4" s="217">
        <f t="shared" si="0"/>
        <v>41.328000000000003</v>
      </c>
      <c r="H4" s="217">
        <f>F4+G4</f>
        <v>238.12800000000001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11"/>
  <sheetViews>
    <sheetView showGridLines="0" workbookViewId="0">
      <selection activeCell="A13" sqref="A13"/>
    </sheetView>
  </sheetViews>
  <sheetFormatPr defaultRowHeight="15" x14ac:dyDescent="0.25"/>
  <cols>
    <col min="1" max="1" width="6.28515625" customWidth="1"/>
    <col min="2" max="2" width="5.7109375" customWidth="1"/>
    <col min="3" max="8" width="6.28515625" customWidth="1"/>
  </cols>
  <sheetData>
    <row r="1" spans="2:8" ht="15.75" thickBot="1" x14ac:dyDescent="0.3"/>
    <row r="2" spans="2:8" ht="16.5" thickTop="1" thickBot="1" x14ac:dyDescent="0.3">
      <c r="B2" s="140">
        <v>1</v>
      </c>
      <c r="C2" s="102"/>
      <c r="D2" s="143">
        <v>2</v>
      </c>
      <c r="E2" s="144">
        <v>4</v>
      </c>
      <c r="F2" s="144">
        <v>6</v>
      </c>
      <c r="G2" s="144">
        <v>8</v>
      </c>
      <c r="H2" s="145">
        <v>10</v>
      </c>
    </row>
    <row r="3" spans="2:8" ht="15.75" thickTop="1" x14ac:dyDescent="0.25">
      <c r="B3" s="141">
        <v>3</v>
      </c>
      <c r="C3" s="102"/>
      <c r="D3" s="103" t="s">
        <v>282</v>
      </c>
      <c r="E3" s="102"/>
      <c r="F3" s="102"/>
      <c r="G3" s="102"/>
      <c r="H3" s="102"/>
    </row>
    <row r="4" spans="2:8" x14ac:dyDescent="0.25">
      <c r="B4" s="141">
        <v>5</v>
      </c>
      <c r="C4" s="102"/>
      <c r="D4" s="102"/>
      <c r="E4" s="102"/>
      <c r="F4" s="102"/>
      <c r="G4" s="102"/>
      <c r="H4" s="102"/>
    </row>
    <row r="5" spans="2:8" x14ac:dyDescent="0.25">
      <c r="B5" s="141">
        <v>7</v>
      </c>
      <c r="C5" s="103" t="s">
        <v>280</v>
      </c>
      <c r="E5" s="102"/>
      <c r="F5" s="102"/>
      <c r="G5" s="102"/>
      <c r="H5" s="102"/>
    </row>
    <row r="6" spans="2:8" x14ac:dyDescent="0.25">
      <c r="B6" s="141">
        <v>9</v>
      </c>
      <c r="C6" s="102"/>
      <c r="D6" s="103"/>
      <c r="E6" s="102"/>
      <c r="F6" s="102"/>
      <c r="G6" s="102"/>
      <c r="H6" s="102"/>
    </row>
    <row r="7" spans="2:8" ht="15.75" thickBot="1" x14ac:dyDescent="0.3">
      <c r="B7" s="141">
        <v>11</v>
      </c>
      <c r="C7" s="102"/>
      <c r="D7" s="103" t="s">
        <v>281</v>
      </c>
      <c r="E7" s="102"/>
      <c r="F7" s="102"/>
      <c r="G7" s="102"/>
      <c r="H7" s="102"/>
    </row>
    <row r="8" spans="2:8" ht="16.5" thickTop="1" thickBot="1" x14ac:dyDescent="0.3">
      <c r="B8" s="142">
        <v>13</v>
      </c>
      <c r="C8" s="102"/>
      <c r="D8" s="146">
        <v>1</v>
      </c>
      <c r="E8" s="147">
        <v>2</v>
      </c>
      <c r="F8" s="147">
        <v>3</v>
      </c>
      <c r="G8" s="148">
        <v>4</v>
      </c>
      <c r="H8" s="102"/>
    </row>
    <row r="9" spans="2:8" ht="15.75" thickTop="1" x14ac:dyDescent="0.25">
      <c r="B9" s="102"/>
      <c r="C9" s="102"/>
      <c r="D9" s="149">
        <v>2</v>
      </c>
      <c r="E9" s="150">
        <v>3</v>
      </c>
      <c r="F9" s="150">
        <v>4</v>
      </c>
      <c r="G9" s="151">
        <v>5</v>
      </c>
      <c r="H9" s="102"/>
    </row>
    <row r="10" spans="2:8" ht="15.75" thickBot="1" x14ac:dyDescent="0.3">
      <c r="B10" s="102"/>
      <c r="C10" s="102"/>
      <c r="D10" s="152">
        <v>3</v>
      </c>
      <c r="E10" s="153">
        <v>4</v>
      </c>
      <c r="F10" s="153">
        <v>5</v>
      </c>
      <c r="G10" s="154">
        <v>6</v>
      </c>
      <c r="H10" s="102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E2" sqref="E2:E4"/>
    </sheetView>
  </sheetViews>
  <sheetFormatPr defaultRowHeight="10.5" x14ac:dyDescent="0.15"/>
  <cols>
    <col min="1" max="2" width="6.7109375" style="15" customWidth="1"/>
    <col min="3" max="3" width="4.140625" style="15" customWidth="1"/>
    <col min="4" max="5" width="6.7109375" style="15" customWidth="1"/>
    <col min="6" max="16384" width="9.140625" style="15"/>
  </cols>
  <sheetData>
    <row r="1" spans="1:5" x14ac:dyDescent="0.15">
      <c r="A1" s="85" t="s">
        <v>283</v>
      </c>
      <c r="B1" s="85" t="s">
        <v>284</v>
      </c>
      <c r="C1" s="85"/>
      <c r="D1" s="85" t="s">
        <v>285</v>
      </c>
      <c r="E1" s="85" t="s">
        <v>286</v>
      </c>
    </row>
    <row r="2" spans="1:5" x14ac:dyDescent="0.15">
      <c r="A2" s="134">
        <v>5</v>
      </c>
      <c r="B2" s="134">
        <v>7</v>
      </c>
      <c r="C2" s="134"/>
      <c r="D2" s="134">
        <f t="array" ref="D2:D4">A2:A4+B2:B4</f>
        <v>12</v>
      </c>
      <c r="E2" s="134">
        <f t="array" ref="E2:E4">A2:A4*B2:B4</f>
        <v>35</v>
      </c>
    </row>
    <row r="3" spans="1:5" x14ac:dyDescent="0.15">
      <c r="A3" s="134">
        <v>8</v>
      </c>
      <c r="B3" s="134">
        <v>6</v>
      </c>
      <c r="C3" s="134"/>
      <c r="D3" s="134">
        <v>14</v>
      </c>
      <c r="E3" s="134">
        <v>48</v>
      </c>
    </row>
    <row r="4" spans="1:5" x14ac:dyDescent="0.15">
      <c r="A4" s="134">
        <v>9</v>
      </c>
      <c r="B4" s="134">
        <v>2</v>
      </c>
      <c r="C4" s="134"/>
      <c r="D4" s="134">
        <v>11</v>
      </c>
      <c r="E4" s="134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K6" sqref="K6"/>
    </sheetView>
  </sheetViews>
  <sheetFormatPr defaultRowHeight="10.5" x14ac:dyDescent="0.15"/>
  <cols>
    <col min="1" max="3" width="5" style="113" customWidth="1"/>
    <col min="4" max="4" width="3.28515625" style="113" customWidth="1"/>
    <col min="5" max="5" width="5" style="113" customWidth="1"/>
    <col min="6" max="6" width="3.28515625" style="113" customWidth="1"/>
    <col min="7" max="9" width="5" style="113" customWidth="1"/>
    <col min="10" max="16384" width="9.140625" style="113"/>
  </cols>
  <sheetData>
    <row r="1" spans="1:9" x14ac:dyDescent="0.15">
      <c r="A1" s="134">
        <v>1</v>
      </c>
      <c r="B1" s="134">
        <v>2</v>
      </c>
      <c r="C1" s="134">
        <v>3</v>
      </c>
      <c r="D1" s="134" t="s">
        <v>75</v>
      </c>
      <c r="E1" s="134">
        <v>4</v>
      </c>
      <c r="F1" s="155" t="s">
        <v>287</v>
      </c>
      <c r="G1" s="134">
        <f t="array" ref="G1:I1">A1:C1*E1</f>
        <v>4</v>
      </c>
      <c r="H1" s="134">
        <v>8</v>
      </c>
      <c r="I1" s="134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B9" sqref="B9"/>
    </sheetView>
  </sheetViews>
  <sheetFormatPr defaultRowHeight="10.5" x14ac:dyDescent="0.15"/>
  <cols>
    <col min="1" max="3" width="5" style="15" customWidth="1"/>
    <col min="4" max="4" width="3.28515625" style="15" customWidth="1"/>
    <col min="5" max="5" width="5" style="15" customWidth="1"/>
    <col min="6" max="6" width="3.28515625" style="15" customWidth="1"/>
    <col min="7" max="9" width="5" style="15" customWidth="1"/>
    <col min="10" max="16384" width="9.140625" style="15"/>
  </cols>
  <sheetData>
    <row r="1" spans="1:9" x14ac:dyDescent="0.15">
      <c r="A1" s="113">
        <v>1</v>
      </c>
      <c r="B1" s="113">
        <v>5</v>
      </c>
      <c r="C1" s="113">
        <v>9</v>
      </c>
      <c r="D1" s="134" t="s">
        <v>75</v>
      </c>
      <c r="E1" s="113">
        <v>10</v>
      </c>
      <c r="F1" s="155" t="s">
        <v>287</v>
      </c>
      <c r="G1" s="113">
        <f t="array" ref="G1:I4">A1:C4*E1:E4</f>
        <v>10</v>
      </c>
      <c r="H1" s="113">
        <v>50</v>
      </c>
      <c r="I1" s="113">
        <v>90</v>
      </c>
    </row>
    <row r="2" spans="1:9" x14ac:dyDescent="0.15">
      <c r="A2" s="113">
        <v>2</v>
      </c>
      <c r="B2" s="113">
        <v>6</v>
      </c>
      <c r="C2" s="113">
        <v>10</v>
      </c>
      <c r="D2" s="134" t="s">
        <v>75</v>
      </c>
      <c r="E2" s="113">
        <v>20</v>
      </c>
      <c r="F2" s="155" t="s">
        <v>287</v>
      </c>
      <c r="G2" s="113">
        <v>40</v>
      </c>
      <c r="H2" s="113">
        <v>120</v>
      </c>
      <c r="I2" s="113">
        <v>200</v>
      </c>
    </row>
    <row r="3" spans="1:9" x14ac:dyDescent="0.15">
      <c r="A3" s="113">
        <v>3</v>
      </c>
      <c r="B3" s="113">
        <v>7</v>
      </c>
      <c r="C3" s="113">
        <v>11</v>
      </c>
      <c r="D3" s="134" t="s">
        <v>75</v>
      </c>
      <c r="E3" s="113">
        <v>30</v>
      </c>
      <c r="F3" s="155" t="s">
        <v>287</v>
      </c>
      <c r="G3" s="113">
        <v>90</v>
      </c>
      <c r="H3" s="113">
        <v>210</v>
      </c>
      <c r="I3" s="113">
        <v>330</v>
      </c>
    </row>
    <row r="4" spans="1:9" x14ac:dyDescent="0.15">
      <c r="A4" s="113">
        <v>4</v>
      </c>
      <c r="B4" s="113">
        <v>8</v>
      </c>
      <c r="C4" s="113">
        <v>12</v>
      </c>
      <c r="D4" s="134" t="s">
        <v>75</v>
      </c>
      <c r="E4" s="113">
        <v>40</v>
      </c>
      <c r="F4" s="155" t="s">
        <v>287</v>
      </c>
      <c r="G4" s="113">
        <v>160</v>
      </c>
      <c r="H4" s="113">
        <v>320</v>
      </c>
      <c r="I4" s="113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A8" sqref="A8"/>
    </sheetView>
  </sheetViews>
  <sheetFormatPr defaultRowHeight="10.5" x14ac:dyDescent="0.15"/>
  <cols>
    <col min="1" max="1" width="13.140625" style="15" bestFit="1" customWidth="1"/>
    <col min="2" max="2" width="7.5703125" style="15" customWidth="1"/>
    <col min="3" max="4" width="11.85546875" style="15" customWidth="1"/>
    <col min="5" max="16384" width="9.140625" style="15"/>
  </cols>
  <sheetData>
    <row r="1" spans="1:4" x14ac:dyDescent="0.15">
      <c r="A1" s="13" t="s">
        <v>288</v>
      </c>
      <c r="B1" s="104" t="s">
        <v>173</v>
      </c>
      <c r="C1" s="104" t="s">
        <v>289</v>
      </c>
      <c r="D1" s="104" t="s">
        <v>290</v>
      </c>
    </row>
    <row r="2" spans="1:4" ht="15" x14ac:dyDescent="0.25">
      <c r="A2" s="15" t="s">
        <v>291</v>
      </c>
      <c r="B2" s="113">
        <v>1200</v>
      </c>
      <c r="C2" s="82">
        <v>5.12</v>
      </c>
      <c r="D2" s="82">
        <v>5.07</v>
      </c>
    </row>
    <row r="3" spans="1:4" ht="15" x14ac:dyDescent="0.25">
      <c r="A3" s="15" t="s">
        <v>292</v>
      </c>
      <c r="B3" s="113">
        <v>120</v>
      </c>
      <c r="C3" s="82">
        <v>42.51</v>
      </c>
      <c r="D3" s="82">
        <v>41.95</v>
      </c>
    </row>
    <row r="4" spans="1:4" ht="15" x14ac:dyDescent="0.25">
      <c r="A4" s="15" t="s">
        <v>274</v>
      </c>
      <c r="B4" s="113">
        <v>300</v>
      </c>
      <c r="C4" s="82">
        <v>22.35</v>
      </c>
      <c r="D4" s="82">
        <v>22.13</v>
      </c>
    </row>
    <row r="5" spans="1:4" ht="15" x14ac:dyDescent="0.25">
      <c r="A5" s="15" t="s">
        <v>293</v>
      </c>
      <c r="B5" s="113">
        <v>450</v>
      </c>
      <c r="C5" s="82">
        <v>24.85</v>
      </c>
      <c r="D5" s="82">
        <v>24.6</v>
      </c>
    </row>
    <row r="6" spans="1:4" x14ac:dyDescent="0.15">
      <c r="A6" s="13" t="s">
        <v>294</v>
      </c>
      <c r="C6" s="105">
        <f t="array" ref="C6">SUM($B$2:$B$5*C2:C5)</f>
        <v>29132.7</v>
      </c>
      <c r="D6" s="105">
        <f t="array" ref="D6">SUM($B$2:$B$5*D2:D5)</f>
        <v>28827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0.5" x14ac:dyDescent="0.15"/>
  <cols>
    <col min="1" max="1" width="9.28515625" style="15" customWidth="1"/>
    <col min="2" max="6" width="7.5703125" style="15" customWidth="1"/>
    <col min="7" max="16384" width="9.140625" style="15"/>
  </cols>
  <sheetData>
    <row r="1" spans="1:6" x14ac:dyDescent="0.15">
      <c r="A1" s="15" t="s">
        <v>295</v>
      </c>
      <c r="B1" s="134">
        <v>2</v>
      </c>
      <c r="C1" s="134">
        <v>2</v>
      </c>
      <c r="D1" s="134">
        <v>3</v>
      </c>
      <c r="E1" s="134">
        <v>2</v>
      </c>
      <c r="F1" s="85"/>
    </row>
    <row r="2" spans="1:6" x14ac:dyDescent="0.15"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</row>
    <row r="3" spans="1:6" x14ac:dyDescent="0.15">
      <c r="A3" s="15" t="s">
        <v>301</v>
      </c>
      <c r="B3" s="134">
        <v>6</v>
      </c>
      <c r="C3" s="134">
        <v>7</v>
      </c>
      <c r="D3" s="134">
        <v>5</v>
      </c>
      <c r="E3" s="134">
        <v>4</v>
      </c>
      <c r="F3" s="106">
        <f t="array" ref="F3">SUM($B$1:$E$1*B3:E3)/SUM($B$1:$E$1)</f>
        <v>5.4444444444444446</v>
      </c>
    </row>
    <row r="4" spans="1:6" x14ac:dyDescent="0.15">
      <c r="A4" s="15" t="s">
        <v>302</v>
      </c>
      <c r="B4" s="134">
        <v>7</v>
      </c>
      <c r="C4" s="134">
        <v>5</v>
      </c>
      <c r="D4" s="134">
        <v>6</v>
      </c>
      <c r="E4" s="134">
        <v>6</v>
      </c>
      <c r="F4" s="106">
        <f t="array" ref="F4">SUM($B$1:$E$1*B4:E4)/SUM($B$1:$E$1)</f>
        <v>6</v>
      </c>
    </row>
    <row r="5" spans="1:6" x14ac:dyDescent="0.15">
      <c r="A5" s="15" t="s">
        <v>267</v>
      </c>
      <c r="B5" s="134">
        <v>8</v>
      </c>
      <c r="C5" s="134">
        <v>8</v>
      </c>
      <c r="D5" s="134">
        <v>6</v>
      </c>
      <c r="E5" s="134">
        <v>7</v>
      </c>
      <c r="F5" s="106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A16" sqref="A16"/>
    </sheetView>
  </sheetViews>
  <sheetFormatPr defaultRowHeight="10.5" x14ac:dyDescent="0.15"/>
  <cols>
    <col min="1" max="1" width="9.28515625" style="15" customWidth="1"/>
    <col min="2" max="2" width="8.42578125" style="15" customWidth="1"/>
    <col min="3" max="3" width="6.7109375" style="15" customWidth="1"/>
    <col min="4" max="16384" width="9.140625" style="15"/>
  </cols>
  <sheetData>
    <row r="1" spans="1:3" x14ac:dyDescent="0.15">
      <c r="B1" s="16" t="s">
        <v>303</v>
      </c>
      <c r="C1" s="16" t="s">
        <v>192</v>
      </c>
    </row>
    <row r="2" spans="1:3" x14ac:dyDescent="0.15">
      <c r="A2" s="15" t="s">
        <v>304</v>
      </c>
      <c r="B2" s="85" t="s">
        <v>305</v>
      </c>
      <c r="C2" s="134">
        <v>164</v>
      </c>
    </row>
    <row r="3" spans="1:3" x14ac:dyDescent="0.15">
      <c r="A3" s="15" t="s">
        <v>306</v>
      </c>
      <c r="B3" s="85" t="s">
        <v>307</v>
      </c>
      <c r="C3" s="134">
        <v>186</v>
      </c>
    </row>
    <row r="4" spans="1:3" x14ac:dyDescent="0.15">
      <c r="A4" s="15" t="s">
        <v>308</v>
      </c>
      <c r="B4" s="85" t="s">
        <v>305</v>
      </c>
      <c r="C4" s="134">
        <v>169</v>
      </c>
    </row>
    <row r="5" spans="1:3" x14ac:dyDescent="0.15">
      <c r="A5" s="15" t="s">
        <v>309</v>
      </c>
      <c r="B5" s="85" t="s">
        <v>305</v>
      </c>
      <c r="C5" s="134">
        <v>178</v>
      </c>
    </row>
    <row r="6" spans="1:3" x14ac:dyDescent="0.15">
      <c r="A6" s="15" t="s">
        <v>310</v>
      </c>
      <c r="B6" s="85" t="s">
        <v>307</v>
      </c>
      <c r="C6" s="134">
        <v>180</v>
      </c>
    </row>
    <row r="7" spans="1:3" x14ac:dyDescent="0.15">
      <c r="A7" s="15" t="s">
        <v>311</v>
      </c>
      <c r="B7" s="85" t="s">
        <v>305</v>
      </c>
      <c r="C7" s="134">
        <v>170</v>
      </c>
    </row>
    <row r="8" spans="1:3" x14ac:dyDescent="0.15">
      <c r="A8" s="15" t="s">
        <v>312</v>
      </c>
      <c r="B8" s="85" t="s">
        <v>307</v>
      </c>
      <c r="C8" s="134">
        <v>178</v>
      </c>
    </row>
    <row r="9" spans="1:3" x14ac:dyDescent="0.15">
      <c r="A9" s="15" t="s">
        <v>313</v>
      </c>
      <c r="B9" s="85" t="s">
        <v>305</v>
      </c>
      <c r="C9" s="134">
        <v>161</v>
      </c>
    </row>
    <row r="11" spans="1:3" x14ac:dyDescent="0.15">
      <c r="A11" s="15" t="s">
        <v>172</v>
      </c>
      <c r="B11" s="85" t="s">
        <v>307</v>
      </c>
      <c r="C11" s="106">
        <f t="array" ref="C11">AVERAGE(IF(B2:B9="m",C2:C9))</f>
        <v>181.33333333333334</v>
      </c>
    </row>
    <row r="12" spans="1:3" x14ac:dyDescent="0.15">
      <c r="A12" s="15" t="s">
        <v>172</v>
      </c>
      <c r="B12" s="85" t="s">
        <v>305</v>
      </c>
      <c r="C12" s="106">
        <f t="array" ref="C12">AVERAGE(IF($B$2:$B$9="v",$C$2:$C$9))</f>
        <v>168.4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9">
        <v>62</v>
      </c>
    </row>
    <row r="3" spans="1:2" x14ac:dyDescent="0.25">
      <c r="A3" s="41">
        <v>8.3000000000000007</v>
      </c>
      <c r="B3" s="139">
        <v>68</v>
      </c>
    </row>
    <row r="4" spans="1:2" x14ac:dyDescent="0.25">
      <c r="A4" s="41">
        <v>10.7</v>
      </c>
      <c r="B4" s="139">
        <v>74</v>
      </c>
    </row>
    <row r="5" spans="1:2" x14ac:dyDescent="0.25">
      <c r="A5" s="41">
        <v>9.4</v>
      </c>
      <c r="B5" s="139">
        <v>71</v>
      </c>
    </row>
    <row r="6" spans="1:2" x14ac:dyDescent="0.25">
      <c r="A6" s="41">
        <v>12.6</v>
      </c>
      <c r="B6" s="139">
        <v>82</v>
      </c>
    </row>
    <row r="7" spans="1:2" x14ac:dyDescent="0.25">
      <c r="A7" s="41">
        <v>11.1</v>
      </c>
      <c r="B7" s="139">
        <v>76</v>
      </c>
    </row>
    <row r="8" spans="1:2" x14ac:dyDescent="0.25">
      <c r="A8" s="41">
        <v>10.3</v>
      </c>
      <c r="B8" s="139">
        <v>72</v>
      </c>
    </row>
    <row r="9" spans="1:2" x14ac:dyDescent="0.25">
      <c r="A9" s="41">
        <v>13.1</v>
      </c>
      <c r="B9" s="139">
        <v>79</v>
      </c>
    </row>
    <row r="10" spans="1:2" x14ac:dyDescent="0.25">
      <c r="A10" s="41">
        <v>9.6</v>
      </c>
      <c r="B10" s="139">
        <v>68</v>
      </c>
    </row>
    <row r="11" spans="1:2" x14ac:dyDescent="0.25">
      <c r="A11" s="41">
        <v>12.4</v>
      </c>
      <c r="B11" s="139">
        <v>77</v>
      </c>
    </row>
    <row r="19" spans="2:3" x14ac:dyDescent="0.25">
      <c r="B19" t="s">
        <v>129</v>
      </c>
      <c r="C19" s="109">
        <f>SLOPE(B2:B11,A2:A11)</f>
        <v>2.9550321199143461</v>
      </c>
    </row>
    <row r="20" spans="2:3" x14ac:dyDescent="0.25">
      <c r="B20" t="s">
        <v>130</v>
      </c>
      <c r="C20" s="109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1"/>
      <c r="C2" s="100"/>
      <c r="D2" s="99"/>
    </row>
    <row r="3" spans="2:9" ht="39.950000000000003" customHeight="1" thickBot="1" x14ac:dyDescent="0.3">
      <c r="B3" s="95"/>
      <c r="C3" s="98" t="s">
        <v>278</v>
      </c>
      <c r="D3" s="93"/>
      <c r="H3" s="233" t="s">
        <v>277</v>
      </c>
      <c r="I3" s="230"/>
    </row>
    <row r="4" spans="2:9" ht="9" customHeight="1" thickBot="1" x14ac:dyDescent="0.3">
      <c r="B4" s="95"/>
      <c r="C4" s="97"/>
      <c r="D4" s="93"/>
      <c r="G4" s="233" t="s">
        <v>279</v>
      </c>
      <c r="H4" s="230"/>
      <c r="I4" s="96"/>
    </row>
    <row r="5" spans="2:9" ht="39.950000000000003" customHeight="1" thickBot="1" x14ac:dyDescent="0.3">
      <c r="B5" s="95"/>
      <c r="C5" s="94" t="s">
        <v>279</v>
      </c>
      <c r="D5" s="93"/>
      <c r="G5" s="234"/>
      <c r="H5" s="235"/>
    </row>
    <row r="6" spans="2:9" ht="9" customHeight="1" thickBot="1" x14ac:dyDescent="0.3">
      <c r="B6" s="95"/>
      <c r="C6" s="97"/>
      <c r="D6" s="93"/>
      <c r="F6" s="229" t="s">
        <v>278</v>
      </c>
      <c r="G6" s="230"/>
      <c r="H6" s="96"/>
    </row>
    <row r="7" spans="2:9" ht="39.950000000000003" customHeight="1" thickBot="1" x14ac:dyDescent="0.3">
      <c r="B7" s="95"/>
      <c r="C7" s="94" t="s">
        <v>277</v>
      </c>
      <c r="D7" s="93"/>
      <c r="F7" s="231"/>
      <c r="G7" s="232"/>
    </row>
    <row r="8" spans="2:9" ht="9" customHeight="1" thickBot="1" x14ac:dyDescent="0.3">
      <c r="B8" s="92"/>
      <c r="C8" s="91"/>
      <c r="D8" s="90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56" t="s">
        <v>13</v>
      </c>
      <c r="B2" s="156" t="s">
        <v>14</v>
      </c>
      <c r="C2" s="156" t="s">
        <v>15</v>
      </c>
      <c r="D2" s="156">
        <v>5477</v>
      </c>
      <c r="E2" s="156" t="s">
        <v>16</v>
      </c>
    </row>
    <row r="3" spans="1:10" x14ac:dyDescent="0.25">
      <c r="A3" s="156" t="s">
        <v>13</v>
      </c>
      <c r="B3" s="156" t="s">
        <v>17</v>
      </c>
      <c r="C3" s="156" t="s">
        <v>18</v>
      </c>
      <c r="D3" s="156">
        <v>8012</v>
      </c>
      <c r="E3" s="156" t="s">
        <v>19</v>
      </c>
      <c r="G3" s="11" t="s">
        <v>7</v>
      </c>
      <c r="H3" s="11" t="s">
        <v>10</v>
      </c>
    </row>
    <row r="4" spans="1:10" x14ac:dyDescent="0.25">
      <c r="A4" s="156" t="s">
        <v>13</v>
      </c>
      <c r="B4" s="156" t="s">
        <v>14</v>
      </c>
      <c r="C4" s="156" t="s">
        <v>15</v>
      </c>
      <c r="D4" s="156">
        <v>9411</v>
      </c>
      <c r="E4" s="156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56" t="s">
        <v>13</v>
      </c>
      <c r="B5" s="156" t="s">
        <v>14</v>
      </c>
      <c r="C5" s="156" t="s">
        <v>15</v>
      </c>
      <c r="D5" s="156">
        <v>8089</v>
      </c>
      <c r="E5" s="156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56" t="s">
        <v>13</v>
      </c>
      <c r="B6" s="156" t="s">
        <v>17</v>
      </c>
      <c r="C6" s="156" t="s">
        <v>18</v>
      </c>
      <c r="D6" s="156">
        <v>9566</v>
      </c>
      <c r="E6" s="156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56" t="s">
        <v>21</v>
      </c>
      <c r="B7" s="156" t="s">
        <v>14</v>
      </c>
      <c r="C7" s="156" t="s">
        <v>15</v>
      </c>
      <c r="D7" s="156">
        <v>6805</v>
      </c>
      <c r="E7" s="156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56" t="s">
        <v>21</v>
      </c>
      <c r="B8" s="156" t="s">
        <v>17</v>
      </c>
      <c r="C8" s="156" t="s">
        <v>18</v>
      </c>
      <c r="D8" s="156">
        <v>6085</v>
      </c>
      <c r="E8" s="156" t="s">
        <v>20</v>
      </c>
    </row>
    <row r="9" spans="1:10" x14ac:dyDescent="0.25">
      <c r="A9" s="156" t="s">
        <v>21</v>
      </c>
      <c r="B9" s="156" t="s">
        <v>17</v>
      </c>
      <c r="C9" s="156" t="s">
        <v>18</v>
      </c>
      <c r="D9" s="156">
        <v>265</v>
      </c>
      <c r="E9" s="156" t="s">
        <v>19</v>
      </c>
    </row>
    <row r="10" spans="1:10" x14ac:dyDescent="0.25">
      <c r="A10" s="156" t="s">
        <v>21</v>
      </c>
      <c r="B10" s="156" t="s">
        <v>17</v>
      </c>
      <c r="C10" s="156" t="s">
        <v>15</v>
      </c>
      <c r="D10" s="156">
        <v>5575</v>
      </c>
      <c r="E10" s="156" t="s">
        <v>20</v>
      </c>
    </row>
    <row r="11" spans="1:10" x14ac:dyDescent="0.25">
      <c r="A11" s="156" t="s">
        <v>21</v>
      </c>
      <c r="B11" s="156" t="s">
        <v>14</v>
      </c>
      <c r="C11" s="156" t="s">
        <v>18</v>
      </c>
      <c r="D11" s="156">
        <v>5971</v>
      </c>
      <c r="E11" s="156" t="s">
        <v>22</v>
      </c>
    </row>
    <row r="12" spans="1:10" x14ac:dyDescent="0.25">
      <c r="A12" s="156" t="s">
        <v>21</v>
      </c>
      <c r="B12" s="156" t="s">
        <v>14</v>
      </c>
      <c r="C12" s="156" t="s">
        <v>18</v>
      </c>
      <c r="D12" s="156">
        <v>4046</v>
      </c>
      <c r="E12" s="156" t="s">
        <v>16</v>
      </c>
    </row>
    <row r="13" spans="1:10" x14ac:dyDescent="0.25">
      <c r="A13" s="156" t="s">
        <v>21</v>
      </c>
      <c r="B13" s="156" t="s">
        <v>17</v>
      </c>
      <c r="C13" s="156" t="s">
        <v>18</v>
      </c>
      <c r="D13" s="156">
        <v>1361</v>
      </c>
      <c r="E13" s="156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11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20">
        <v>120</v>
      </c>
      <c r="C6" s="112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20">
        <v>122.5</v>
      </c>
      <c r="C7" s="112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20">
        <v>125</v>
      </c>
      <c r="C8" s="112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20">
        <v>127.5</v>
      </c>
      <c r="C9" s="112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20">
        <v>130</v>
      </c>
      <c r="C10" s="112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20">
        <v>132.5</v>
      </c>
      <c r="C11" s="112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20">
        <v>135</v>
      </c>
      <c r="C12" s="112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20">
        <v>137.5</v>
      </c>
      <c r="C13" s="112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20">
        <v>140</v>
      </c>
      <c r="C14" s="112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20">
        <v>142.5</v>
      </c>
      <c r="C15" s="112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20">
        <v>145</v>
      </c>
      <c r="C16" s="112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20">
        <v>147.5</v>
      </c>
      <c r="C17" s="112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20">
        <v>150</v>
      </c>
      <c r="C18" s="112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20">
        <v>152.5</v>
      </c>
      <c r="C19" s="112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20">
        <v>155</v>
      </c>
      <c r="C20" s="112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201"/>
    <col min="2" max="2" width="24.7109375" style="201" customWidth="1"/>
    <col min="3" max="3" width="35.7109375" style="201" customWidth="1"/>
    <col min="4" max="16384" width="9.140625" style="201"/>
  </cols>
  <sheetData>
    <row r="2" spans="2:3" x14ac:dyDescent="0.25">
      <c r="B2" s="236" t="s">
        <v>354</v>
      </c>
      <c r="C2" s="236"/>
    </row>
    <row r="4" spans="2:3" ht="39.950000000000003" customHeight="1" x14ac:dyDescent="0.25">
      <c r="B4" s="202" t="s">
        <v>355</v>
      </c>
      <c r="C4" s="202" t="s">
        <v>360</v>
      </c>
    </row>
    <row r="5" spans="2:3" ht="39.950000000000003" customHeight="1" x14ac:dyDescent="0.25">
      <c r="B5" s="202" t="s">
        <v>356</v>
      </c>
      <c r="C5" s="203" t="s">
        <v>359</v>
      </c>
    </row>
    <row r="6" spans="2:3" ht="39.950000000000003" customHeight="1" x14ac:dyDescent="0.25">
      <c r="B6" s="202" t="s">
        <v>357</v>
      </c>
      <c r="C6" s="203" t="s">
        <v>361</v>
      </c>
    </row>
    <row r="7" spans="2:3" ht="39.950000000000003" customHeight="1" x14ac:dyDescent="0.25">
      <c r="B7" s="202" t="s">
        <v>358</v>
      </c>
      <c r="C7" s="203" t="s">
        <v>362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4" customWidth="1"/>
    <col min="2" max="2" width="12.140625" style="114" bestFit="1" customWidth="1"/>
    <col min="3" max="3" width="17.28515625" style="114" bestFit="1" customWidth="1"/>
    <col min="4" max="4" width="8.28515625" style="114" bestFit="1" customWidth="1"/>
    <col min="5" max="16384" width="9.140625" style="114"/>
  </cols>
  <sheetData>
    <row r="1" spans="1:4" x14ac:dyDescent="0.2">
      <c r="A1" s="117" t="s">
        <v>324</v>
      </c>
      <c r="B1" s="115"/>
      <c r="C1" s="115"/>
      <c r="D1" s="115"/>
    </row>
    <row r="2" spans="1:4" ht="15" x14ac:dyDescent="0.25">
      <c r="A2" s="115" t="s">
        <v>323</v>
      </c>
      <c r="B2" s="118">
        <v>20000</v>
      </c>
      <c r="C2" s="115"/>
      <c r="D2" s="115"/>
    </row>
    <row r="3" spans="1:4" ht="15" x14ac:dyDescent="0.25">
      <c r="A3" s="115" t="s">
        <v>316</v>
      </c>
      <c r="B3" s="118">
        <v>1000</v>
      </c>
      <c r="C3" s="115"/>
      <c r="D3" s="115"/>
    </row>
    <row r="4" spans="1:4" x14ac:dyDescent="0.2">
      <c r="A4" s="115"/>
      <c r="B4" s="115"/>
      <c r="C4" s="115"/>
      <c r="D4" s="115"/>
    </row>
    <row r="5" spans="1:4" ht="15" x14ac:dyDescent="0.25">
      <c r="A5" s="117" t="s">
        <v>322</v>
      </c>
      <c r="B5" s="118"/>
      <c r="C5" s="115"/>
      <c r="D5" s="115"/>
    </row>
    <row r="6" spans="1:4" ht="15" x14ac:dyDescent="0.25">
      <c r="A6" s="115" t="s">
        <v>321</v>
      </c>
      <c r="B6" s="118">
        <v>1345</v>
      </c>
      <c r="C6" s="115"/>
      <c r="D6" s="115"/>
    </row>
    <row r="7" spans="1:4" ht="15" x14ac:dyDescent="0.25">
      <c r="A7" s="115" t="s">
        <v>320</v>
      </c>
      <c r="B7" s="118">
        <v>1883</v>
      </c>
      <c r="C7" s="115"/>
      <c r="D7" s="115"/>
    </row>
    <row r="8" spans="1:4" ht="15" x14ac:dyDescent="0.25">
      <c r="A8" s="115" t="s">
        <v>319</v>
      </c>
      <c r="B8" s="119">
        <v>0.21</v>
      </c>
      <c r="C8" s="115"/>
      <c r="D8" s="115"/>
    </row>
    <row r="9" spans="1:4" ht="15" x14ac:dyDescent="0.25">
      <c r="A9" s="115"/>
      <c r="B9" s="119"/>
      <c r="C9" s="115"/>
      <c r="D9" s="115"/>
    </row>
    <row r="10" spans="1:4" x14ac:dyDescent="0.2">
      <c r="A10" s="117" t="s">
        <v>318</v>
      </c>
      <c r="B10" s="115"/>
      <c r="C10" s="115"/>
      <c r="D10" s="115"/>
    </row>
    <row r="11" spans="1:4" ht="15" x14ac:dyDescent="0.25">
      <c r="A11" s="115" t="s">
        <v>317</v>
      </c>
      <c r="B11" s="118">
        <f>B8*B2</f>
        <v>4200</v>
      </c>
      <c r="C11" s="115"/>
      <c r="D11" s="115"/>
    </row>
    <row r="12" spans="1:4" ht="15" x14ac:dyDescent="0.25">
      <c r="A12" s="115" t="s">
        <v>316</v>
      </c>
      <c r="B12" s="118">
        <f>B3</f>
        <v>1000</v>
      </c>
      <c r="C12" s="115"/>
      <c r="D12" s="115"/>
    </row>
    <row r="13" spans="1:4" ht="15" x14ac:dyDescent="0.25">
      <c r="A13" s="115" t="s">
        <v>315</v>
      </c>
      <c r="B13" s="118">
        <f>B11-B12</f>
        <v>3200</v>
      </c>
      <c r="C13" s="115"/>
      <c r="D13" s="115"/>
    </row>
    <row r="14" spans="1:4" ht="15" x14ac:dyDescent="0.25">
      <c r="A14" s="115" t="s">
        <v>314</v>
      </c>
      <c r="B14" s="118">
        <f>IF(B13&lt;0,0,IF(B13&gt;B7,0,IF(B13&lt;=B6,B13,2.5*(B7-B13))))</f>
        <v>0</v>
      </c>
      <c r="C14" s="115"/>
      <c r="D14" s="115"/>
    </row>
    <row r="15" spans="1:4" x14ac:dyDescent="0.2">
      <c r="A15" s="117" t="str">
        <f>IF(B13&lt;0,"Terug te ontvangen","Te betalen")</f>
        <v>Te betalen</v>
      </c>
      <c r="B15" s="116">
        <f>ABS(B13-B14)</f>
        <v>3200</v>
      </c>
      <c r="C15" s="115"/>
      <c r="D15" s="115"/>
    </row>
    <row r="16" spans="1:4" x14ac:dyDescent="0.2">
      <c r="A16" s="115"/>
      <c r="B16" s="115"/>
      <c r="C16" s="115"/>
      <c r="D16" s="115"/>
    </row>
  </sheetData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57">
        <v>375</v>
      </c>
      <c r="E4" s="157">
        <v>360</v>
      </c>
      <c r="F4" s="157">
        <f>E4-D4</f>
        <v>-15</v>
      </c>
    </row>
    <row r="5" spans="1:6" x14ac:dyDescent="0.15">
      <c r="A5" s="59" t="s">
        <v>205</v>
      </c>
      <c r="C5" s="56" t="s">
        <v>213</v>
      </c>
      <c r="D5" s="157">
        <v>150</v>
      </c>
      <c r="E5" s="157">
        <v>90</v>
      </c>
      <c r="F5" s="157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57">
        <v>75</v>
      </c>
      <c r="E6" s="157">
        <v>145</v>
      </c>
      <c r="F6" s="157">
        <f t="shared" si="0"/>
        <v>70</v>
      </c>
    </row>
    <row r="7" spans="1:6" ht="11.25" thickBot="1" x14ac:dyDescent="0.2">
      <c r="A7" s="61" t="s">
        <v>207</v>
      </c>
      <c r="D7" s="158">
        <f>SUM(D4:D6)</f>
        <v>600</v>
      </c>
      <c r="E7" s="158">
        <f t="shared" ref="E7:F7" si="1">SUM(E4:E6)</f>
        <v>595</v>
      </c>
      <c r="F7" s="158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37" t="s">
        <v>224</v>
      </c>
      <c r="C14" s="64" t="s">
        <v>218</v>
      </c>
      <c r="D14" s="64"/>
      <c r="E14" s="64"/>
      <c r="F14" s="64"/>
    </row>
    <row r="15" spans="1:6" x14ac:dyDescent="0.15">
      <c r="B15" s="238"/>
      <c r="C15" s="64" t="s">
        <v>219</v>
      </c>
      <c r="D15" s="64"/>
      <c r="E15" s="64"/>
      <c r="F15" s="64"/>
    </row>
    <row r="16" spans="1:6" x14ac:dyDescent="0.15">
      <c r="B16" s="239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59">
        <v>100</v>
      </c>
      <c r="C2" s="159">
        <v>190</v>
      </c>
      <c r="D2" s="159">
        <v>280</v>
      </c>
      <c r="E2" s="159">
        <v>410</v>
      </c>
      <c r="F2" s="159">
        <v>500</v>
      </c>
      <c r="G2" s="159">
        <v>530</v>
      </c>
    </row>
    <row r="3" spans="1:7" x14ac:dyDescent="0.2">
      <c r="A3" s="42" t="s">
        <v>139</v>
      </c>
      <c r="B3" s="159">
        <v>340</v>
      </c>
      <c r="C3" s="159">
        <v>420</v>
      </c>
      <c r="D3" s="159">
        <v>430</v>
      </c>
      <c r="E3" s="159">
        <v>410</v>
      </c>
      <c r="F3" s="159">
        <v>450</v>
      </c>
      <c r="G3" s="159">
        <v>480</v>
      </c>
    </row>
    <row r="4" spans="1:7" x14ac:dyDescent="0.2">
      <c r="A4" s="42" t="s">
        <v>140</v>
      </c>
      <c r="B4" s="159">
        <v>210</v>
      </c>
      <c r="C4" s="159">
        <v>230</v>
      </c>
      <c r="D4" s="159">
        <v>230</v>
      </c>
      <c r="E4" s="159">
        <v>240</v>
      </c>
      <c r="F4" s="159">
        <v>280</v>
      </c>
      <c r="G4" s="159">
        <v>290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9" bestFit="1" customWidth="1"/>
    <col min="2" max="3" width="9.140625" style="109"/>
    <col min="4" max="4" width="13.28515625" style="109" bestFit="1" customWidth="1"/>
    <col min="5" max="5" width="11.5703125" style="109" bestFit="1" customWidth="1"/>
    <col min="6" max="16384" width="9.140625" style="109"/>
  </cols>
  <sheetData>
    <row r="1" spans="1:5" ht="18.75" x14ac:dyDescent="0.3">
      <c r="A1" s="240" t="s">
        <v>125</v>
      </c>
      <c r="B1" s="241"/>
      <c r="C1" s="241"/>
      <c r="D1" s="241"/>
      <c r="E1" s="241"/>
    </row>
    <row r="3" spans="1:5" x14ac:dyDescent="0.25">
      <c r="A3" s="197" t="s">
        <v>126</v>
      </c>
      <c r="B3" s="198" t="s">
        <v>115</v>
      </c>
      <c r="C3" s="198" t="s">
        <v>116</v>
      </c>
    </row>
    <row r="4" spans="1:5" ht="15.75" thickBot="1" x14ac:dyDescent="0.3">
      <c r="A4" s="109" t="s">
        <v>114</v>
      </c>
      <c r="B4" s="160">
        <v>1</v>
      </c>
      <c r="C4" s="160">
        <v>1</v>
      </c>
      <c r="D4" s="198" t="s">
        <v>118</v>
      </c>
    </row>
    <row r="5" spans="1:5" ht="15.75" thickBot="1" x14ac:dyDescent="0.3">
      <c r="A5" s="109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99"/>
      <c r="C6" s="199"/>
      <c r="D6" s="200"/>
    </row>
    <row r="7" spans="1:5" x14ac:dyDescent="0.25">
      <c r="A7" s="197" t="s">
        <v>124</v>
      </c>
      <c r="D7" s="198" t="s">
        <v>120</v>
      </c>
      <c r="E7" s="198" t="s">
        <v>122</v>
      </c>
    </row>
    <row r="8" spans="1:5" x14ac:dyDescent="0.25">
      <c r="A8" s="109" t="s">
        <v>119</v>
      </c>
      <c r="B8" s="139">
        <v>1</v>
      </c>
      <c r="C8" s="139">
        <v>2</v>
      </c>
      <c r="D8" s="161">
        <f>B8*B4+C8*C4</f>
        <v>3</v>
      </c>
      <c r="E8" s="139">
        <v>32</v>
      </c>
    </row>
    <row r="9" spans="1:5" x14ac:dyDescent="0.25">
      <c r="A9" s="109" t="s">
        <v>121</v>
      </c>
      <c r="B9" s="139">
        <v>3</v>
      </c>
      <c r="C9" s="139">
        <v>4</v>
      </c>
      <c r="D9" s="139">
        <f>B9*B4+C9*C4</f>
        <v>7</v>
      </c>
      <c r="E9" s="139">
        <v>84</v>
      </c>
    </row>
    <row r="10" spans="1:5" x14ac:dyDescent="0.25">
      <c r="A10" s="109" t="s">
        <v>123</v>
      </c>
      <c r="D10" s="139">
        <f>C4</f>
        <v>1</v>
      </c>
      <c r="E10" s="139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61</vt:i4>
      </vt:variant>
      <vt:variant>
        <vt:lpstr>Benoemde bereiken</vt:lpstr>
      </vt:variant>
      <vt:variant>
        <vt:i4>17</vt:i4>
      </vt:variant>
    </vt:vector>
  </HeadingPairs>
  <TitlesOfParts>
    <vt:vector size="78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2019-11-10T12:49:30Z</dcterms:modified>
</cp:coreProperties>
</file>