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pivotCache/pivotCacheDefinition12.xml" ContentType="application/vnd.openxmlformats-officedocument.spreadsheetml.pivotCacheDefinition+xml"/>
  <Override PartName="/xl/pivotCache/pivotCacheRecords12.xml" ContentType="application/vnd.openxmlformats-officedocument.spreadsheetml.pivotCacheRecords+xml"/>
  <Override PartName="/xl/pivotCache/pivotCacheDefinition13.xml" ContentType="application/vnd.openxmlformats-officedocument.spreadsheetml.pivotCacheDefinition+xml"/>
  <Override PartName="/xl/pivotCache/pivotCacheRecords13.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tables/table3.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harts/chart6.xml" ContentType="application/vnd.openxmlformats-officedocument.drawingml.chart+xml"/>
  <Override PartName="/xl/drawings/drawing17.xml" ContentType="application/vnd.openxmlformats-officedocument.drawing+xml"/>
  <Override PartName="/xl/drawings/drawing18.xml" ContentType="application/vnd.openxmlformats-officedocument.drawing+xml"/>
  <Override PartName="/xl/charts/chart7.xml" ContentType="application/vnd.openxmlformats-officedocument.drawingml.chart+xml"/>
  <Override PartName="/xl/drawings/drawing19.xml" ContentType="application/vnd.openxmlformats-officedocument.drawingml.chartshapes+xml"/>
  <Override PartName="/xl/drawings/drawing20.xml" ContentType="application/vnd.openxmlformats-officedocument.drawing+xml"/>
  <Override PartName="/xl/charts/chart8.xml" ContentType="application/vnd.openxmlformats-officedocument.drawingml.chart+xml"/>
  <Override PartName="/xl/drawings/drawing21.xml" ContentType="application/vnd.openxmlformats-officedocument.drawing+xml"/>
  <Override PartName="/xl/charts/chart9.xml" ContentType="application/vnd.openxmlformats-officedocument.drawingml.chart+xml"/>
  <Override PartName="/xl/drawings/drawing22.xml" ContentType="application/vnd.openxmlformats-officedocument.drawing+xml"/>
  <Override PartName="/xl/charts/chart10.xml" ContentType="application/vnd.openxmlformats-officedocument.drawingml.chart+xml"/>
  <Override PartName="/xl/drawings/drawing23.xml" ContentType="application/vnd.openxmlformats-officedocument.drawingml.chartshapes+xml"/>
  <Override PartName="/xl/drawings/drawing24.xml" ContentType="application/vnd.openxmlformats-officedocument.drawing+xml"/>
  <Override PartName="/xl/charts/chart11.xml" ContentType="application/vnd.openxmlformats-officedocument.drawingml.chart+xml"/>
  <Override PartName="/xl/drawings/drawing25.xml" ContentType="application/vnd.openxmlformats-officedocument.drawing+xml"/>
  <Override PartName="/xl/charts/chart12.xml" ContentType="application/vnd.openxmlformats-officedocument.drawingml.chart+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charts/chart13.xml" ContentType="application/vnd.openxmlformats-officedocument.drawingml.chart+xml"/>
  <Override PartName="/xl/drawings/drawing35.xml" ContentType="application/vnd.openxmlformats-officedocument.drawing+xml"/>
  <Override PartName="/xl/charts/chart14.xml" ContentType="application/vnd.openxmlformats-officedocument.drawingml.chart+xml"/>
  <Override PartName="/xl/drawings/drawing36.xml" ContentType="application/vnd.openxmlformats-officedocument.drawing+xml"/>
  <Override PartName="/xl/charts/chart15.xml" ContentType="application/vnd.openxmlformats-officedocument.drawingml.chart+xml"/>
  <Override PartName="/xl/drawings/drawing37.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charts/chart16.xml" ContentType="application/vnd.openxmlformats-officedocument.drawingml.chart+xml"/>
  <Override PartName="/xl/drawings/drawing52.xml" ContentType="application/vnd.openxmlformats-officedocument.drawing+xml"/>
  <Override PartName="/xl/drawings/drawing53.xml" ContentType="application/vnd.openxmlformats-officedocument.drawing+xml"/>
  <Override PartName="/xl/charts/chart17.xml" ContentType="application/vnd.openxmlformats-officedocument.drawingml.chart+xml"/>
  <Override PartName="/xl/tables/table4.xml" ContentType="application/vnd.openxmlformats-officedocument.spreadsheetml.table+xml"/>
  <Override PartName="/xl/tables/table5.xml" ContentType="application/vnd.openxmlformats-officedocument.spreadsheetml.table+xml"/>
  <Override PartName="/xl/queryTables/queryTable2.xml" ContentType="application/vnd.openxmlformats-officedocument.spreadsheetml.queryTable+xml"/>
  <Override PartName="/xl/pivotTables/pivotTable15.xml" ContentType="application/vnd.openxmlformats-officedocument.spreadsheetml.pivotTable+xml"/>
  <Override PartName="/xl/tables/table6.xml" ContentType="application/vnd.openxmlformats-officedocument.spreadsheetml.table+xml"/>
  <Override PartName="/xl/tables/table7.xml" ContentType="application/vnd.openxmlformats-officedocument.spreadsheetml.table+xml"/>
  <Override PartName="/xl/queryTables/queryTable3.xml" ContentType="application/vnd.openxmlformats-officedocument.spreadsheetml.queryTable+xml"/>
  <Override PartName="/xl/pivotTables/pivotTable16.xml" ContentType="application/vnd.openxmlformats-officedocument.spreadsheetml.pivotTable+xml"/>
  <Override PartName="/xl/drawings/drawing54.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queryTables/queryTable4.xml" ContentType="application/vnd.openxmlformats-officedocument.spreadsheetml.queryTable+xml"/>
  <Override PartName="/xl/charts/chart18.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codeName="ThisWorkbook" defaultThemeVersion="124226"/>
  <mc:AlternateContent xmlns:mc="http://schemas.openxmlformats.org/markup-compatibility/2006">
    <mc:Choice Requires="x15">
      <x15ac:absPath xmlns:x15ac="http://schemas.microsoft.com/office/spreadsheetml/2010/11/ac" url="S:\office\leerexcel\resources\"/>
    </mc:Choice>
  </mc:AlternateContent>
  <xr:revisionPtr revIDLastSave="0" documentId="13_ncr:1_{2559D358-3DC4-47A6-A272-02CC0DC0FBB2}" xr6:coauthVersionLast="45" xr6:coauthVersionMax="45" xr10:uidLastSave="{00000000-0000-0000-0000-000000000000}"/>
  <bookViews>
    <workbookView xWindow="30015" yWindow="1035" windowWidth="21600" windowHeight="12930" tabRatio="785" firstSheet="67" activeTab="80" xr2:uid="{00000000-000D-0000-FFFF-FFFF00000000}"/>
  </bookViews>
  <sheets>
    <sheet name="Inhoud" sheetId="93" r:id="rId1"/>
    <sheet name="data001" sheetId="102" r:id="rId2"/>
    <sheet name="fcast001" sheetId="97" r:id="rId3"/>
    <sheet name="fcast002" sheetId="98" r:id="rId4"/>
    <sheet name="fcast002-voorspellingenblad" sheetId="103" r:id="rId5"/>
    <sheet name="form001" sheetId="10" r:id="rId6"/>
    <sheet name="form002" sheetId="46" r:id="rId7"/>
    <sheet name="form003" sheetId="12" r:id="rId8"/>
    <sheet name="form004" sheetId="13" r:id="rId9"/>
    <sheet name="form005" sheetId="14" r:id="rId10"/>
    <sheet name="form006" sheetId="41" r:id="rId11"/>
    <sheet name="form007" sheetId="89" r:id="rId12"/>
    <sheet name="form008" sheetId="90" r:id="rId13"/>
    <sheet name="form009" sheetId="91" r:id="rId14"/>
    <sheet name="form010" sheetId="92" r:id="rId15"/>
    <sheet name="form011" sheetId="94" r:id="rId16"/>
    <sheet name="form012" sheetId="99" r:id="rId17"/>
    <sheet name="form013" sheetId="100" r:id="rId18"/>
    <sheet name="goal001" sheetId="36" r:id="rId19"/>
    <sheet name="goal002" sheetId="47" r:id="rId20"/>
    <sheet name="goal003" sheetId="48" r:id="rId21"/>
    <sheet name="goal004" sheetId="82" r:id="rId22"/>
    <sheet name="graf001" sheetId="15" r:id="rId23"/>
    <sheet name="graf002" sheetId="22" r:id="rId24"/>
    <sheet name="graf003" sheetId="23" r:id="rId25"/>
    <sheet name="graf004" sheetId="40" r:id="rId26"/>
    <sheet name="graf005" sheetId="42" r:id="rId27"/>
    <sheet name="graf006" sheetId="88" r:id="rId28"/>
    <sheet name="list001" sheetId="18" r:id="rId29"/>
    <sheet name="list002" sheetId="19" r:id="rId30"/>
    <sheet name="list003" sheetId="20" r:id="rId31"/>
    <sheet name="list004" sheetId="21" r:id="rId32"/>
    <sheet name="macr001" sheetId="78" r:id="rId33"/>
    <sheet name="macr002" sheetId="79" r:id="rId34"/>
    <sheet name="macr003" sheetId="80" r:id="rId35"/>
    <sheet name="macr004" sheetId="81" r:id="rId36"/>
    <sheet name="math001" sheetId="29" r:id="rId37"/>
    <sheet name="math002" sheetId="30" r:id="rId38"/>
    <sheet name="math003" sheetId="27" r:id="rId39"/>
    <sheet name="math004" sheetId="32" r:id="rId40"/>
    <sheet name="matr001" sheetId="83" r:id="rId41"/>
    <sheet name="matr002" sheetId="45" r:id="rId42"/>
    <sheet name="meas001" sheetId="84" r:id="rId43"/>
    <sheet name="meas002" sheetId="85" r:id="rId44"/>
    <sheet name="meas003" sheetId="86" r:id="rId45"/>
    <sheet name="meas004" sheetId="87" r:id="rId46"/>
    <sheet name="pivo001" sheetId="37" r:id="rId47"/>
    <sheet name="pivo002" sheetId="38" r:id="rId48"/>
    <sheet name="pivo003" sheetId="50" r:id="rId49"/>
    <sheet name="pivo004" sheetId="51" r:id="rId50"/>
    <sheet name="pivo005" sheetId="52" r:id="rId51"/>
    <sheet name="pivo006" sheetId="53" r:id="rId52"/>
    <sheet name="pivo007" sheetId="54" r:id="rId53"/>
    <sheet name="pivo008" sheetId="55" r:id="rId54"/>
    <sheet name="pivo009" sheetId="56" r:id="rId55"/>
    <sheet name="pivo010" sheetId="57" r:id="rId56"/>
    <sheet name="pivo011" sheetId="58" r:id="rId57"/>
    <sheet name="pivo012" sheetId="59" r:id="rId58"/>
    <sheet name="scen001" sheetId="69" r:id="rId59"/>
    <sheet name="scen002" sheetId="70" r:id="rId60"/>
    <sheet name="scen003" sheetId="71" r:id="rId61"/>
    <sheet name="scen004" sheetId="72" r:id="rId62"/>
    <sheet name="solv001" sheetId="39" r:id="rId63"/>
    <sheet name="solv002" sheetId="60" r:id="rId64"/>
    <sheet name="solv003" sheetId="61" r:id="rId65"/>
    <sheet name="solv004" sheetId="62" r:id="rId66"/>
    <sheet name="solv005" sheetId="63" r:id="rId67"/>
    <sheet name="solv006" sheetId="64" r:id="rId68"/>
    <sheet name="solv007" sheetId="65" r:id="rId69"/>
    <sheet name="solv008" sheetId="66" r:id="rId70"/>
    <sheet name="solv009" sheetId="67" r:id="rId71"/>
    <sheet name="solv010" sheetId="68" r:id="rId72"/>
    <sheet name="stat001" sheetId="31" r:id="rId73"/>
    <sheet name="stat002" sheetId="43" r:id="rId74"/>
    <sheet name="stat003" sheetId="44" r:id="rId75"/>
    <sheet name="stat004" sheetId="49" r:id="rId76"/>
    <sheet name="tabl001" sheetId="95" r:id="rId77"/>
    <sheet name="tabl002" sheetId="96" r:id="rId78"/>
    <sheet name="tidy001" sheetId="104" r:id="rId79"/>
    <sheet name="tidy002" sheetId="105" r:id="rId80"/>
    <sheet name="tidy003" sheetId="106" r:id="rId81"/>
  </sheets>
  <definedNames>
    <definedName name="_xlnm._FilterDatabase" localSheetId="28" hidden="1">list001!$D$8:$F$16</definedName>
    <definedName name="_xlnm._FilterDatabase" localSheetId="31" hidden="1">list004!$D$8:$J$168</definedName>
    <definedName name="aantal_hazelnoot">solv001!$H$12</definedName>
    <definedName name="aantal_hazelnoot_min">solv001!$E$20</definedName>
    <definedName name="aantal_kers">solv001!$H$11</definedName>
    <definedName name="aantal_kers_min">solv001!$E$19</definedName>
    <definedName name="AOW_Datum">form003!$E$13</definedName>
    <definedName name="AOW_Leeftijd">form003!$E$10</definedName>
    <definedName name="Arbeidsloon">scen003!$E$9</definedName>
    <definedName name="Bedrijfswinst">scen003!$E$25</definedName>
    <definedName name="blikken_totaal">form013!$H$8</definedName>
    <definedName name="CommissieHoog" localSheetId="11">form007!#REF!</definedName>
    <definedName name="CommissieHoog" localSheetId="12">form008!#REF!</definedName>
    <definedName name="CommissieHoog" localSheetId="13">form009!#REF!</definedName>
    <definedName name="CommissieHoog" localSheetId="14">form010!#REF!</definedName>
    <definedName name="CommissieHoog" localSheetId="15">form011!#REF!</definedName>
    <definedName name="CommissieHoog" localSheetId="16">form012!#REF!</definedName>
    <definedName name="CommissieHoog" localSheetId="17">form013!#REF!</definedName>
    <definedName name="CommissieHoog">form004!$E$10</definedName>
    <definedName name="CommissieLaag" localSheetId="11">form007!#REF!</definedName>
    <definedName name="CommissieLaag" localSheetId="12">form008!#REF!</definedName>
    <definedName name="CommissieLaag" localSheetId="13">form009!#REF!</definedName>
    <definedName name="CommissieLaag" localSheetId="14">form010!#REF!</definedName>
    <definedName name="CommissieLaag" localSheetId="15">form011!#REF!</definedName>
    <definedName name="CommissieLaag" localSheetId="16">form012!#REF!</definedName>
    <definedName name="CommissieLaag" localSheetId="17">form013!#REF!</definedName>
    <definedName name="CommissieLaag">form004!$E$9</definedName>
    <definedName name="doos_aantal">solv001!$H$13</definedName>
    <definedName name="doos_aantal_min">solv001!$E$21</definedName>
    <definedName name="doos_gewicht">solv001!$J$13</definedName>
    <definedName name="doos_gewicht_max">solv001!$E$18</definedName>
    <definedName name="doos_gewicht_min">solv001!$E$17</definedName>
    <definedName name="doos_oppervlak">solv001!$I$13</definedName>
    <definedName name="doos_oppervlak_min">solv001!$E$16</definedName>
    <definedName name="doos_winst">solv001!$K$13</definedName>
    <definedName name="ExterneGegevens_1" localSheetId="1" hidden="1">data001!$E$8:$F$41</definedName>
    <definedName name="ExterneGegevens_1" localSheetId="78" hidden="1">tidy001!$J$8:$L$34</definedName>
    <definedName name="ExterneGegevens_1" localSheetId="79" hidden="1">tidy002!$K$8:$N$477</definedName>
    <definedName name="ExterneGegevens_1" localSheetId="80" hidden="1">tidy003!$K$9:$O$27</definedName>
    <definedName name="geboortedatum">form003!$E$9</definedName>
    <definedName name="Growth_Rate" localSheetId="78">tidy001!$B$2</definedName>
    <definedName name="Growth_Rate" localSheetId="79">tidy002!$B$2</definedName>
    <definedName name="Growth_Rate" localSheetId="80">tidy003!$B$2</definedName>
    <definedName name="Growth_Rate">tabl002!$B$2</definedName>
    <definedName name="inleg">goal004!$B$2</definedName>
    <definedName name="jaarrente">goal004!$B$3</definedName>
    <definedName name="kolom_def_matrix" localSheetId="37">{"Kledingsoort",0,"Auto","Auto",""}</definedName>
    <definedName name="kolom_def_matrix" localSheetId="39">{"Kledingsoort",0,"Auto","Auto",""}</definedName>
    <definedName name="kolom_def_matrix">{"Kledingsoort",0,"Auto","Auto",""}</definedName>
    <definedName name="Materiaalkosten">scen003!$E$10</definedName>
    <definedName name="prijs_hoog">form013!$F$9</definedName>
    <definedName name="prijs_laag">form013!$F$10</definedName>
    <definedName name="prijs_totaal">form013!$H$9</definedName>
    <definedName name="Prijs_XXX">scen001!$I$12</definedName>
    <definedName name="Prijs_YYY">scen001!$I$13</definedName>
    <definedName name="Prijs_ZZZ">scen001!$I$14</definedName>
    <definedName name="RapportDatum">form005!$E$11</definedName>
    <definedName name="rij_def_matrix" localSheetId="37">{"Jaar",0,"Auto","Auto","";"Vertegenwoordiger",0,"Auto","Auto",""}</definedName>
    <definedName name="rij_def_matrix" localSheetId="39">{"Jaar",0,"Auto","Auto","";"Vertegenwoordiger",0,"Auto","Auto",""}</definedName>
    <definedName name="rij_def_matrix">{"Jaar",0,"Auto","Auto","";"Vertegenwoordiger",0,"Auto","Auto",""}</definedName>
    <definedName name="Sales_2010" localSheetId="78">tidy001!$B$1</definedName>
    <definedName name="Sales_2010" localSheetId="79">tidy002!$B$1</definedName>
    <definedName name="Sales_2010" localSheetId="80">tidy003!$B$1</definedName>
    <definedName name="Sales_2010">tabl002!$B$1</definedName>
    <definedName name="solver_adj" localSheetId="37" hidden="1">math002!$G$9:$G$10</definedName>
    <definedName name="solver_adj" localSheetId="62" hidden="1">solv001!$H$11,solv001!$H$12</definedName>
    <definedName name="solver_adj" localSheetId="63" hidden="1">solv002!$F$9:$F$12</definedName>
    <definedName name="solver_adj" localSheetId="64" hidden="1">solv003!$H$11:$H$13</definedName>
    <definedName name="solver_adj" localSheetId="65" hidden="1">solv004!$H$10:$H$12</definedName>
    <definedName name="solver_adj" localSheetId="66" hidden="1">solv005!$H$10:$H$11</definedName>
    <definedName name="solver_adj" localSheetId="67" hidden="1">solv006!$H$10:$H$12</definedName>
    <definedName name="solver_adj" localSheetId="68" hidden="1">solv007!$G$10:$G$11</definedName>
    <definedName name="solver_adj" localSheetId="69" hidden="1">solv008!$F$18:$H$23</definedName>
    <definedName name="solver_adj" localSheetId="70" hidden="1">solv009!$E$17:$I$17</definedName>
    <definedName name="solver_adj" localSheetId="71" hidden="1">solv010!$G$9:$G$12</definedName>
    <definedName name="solver_cvg" localSheetId="37" hidden="1">0.001</definedName>
    <definedName name="solver_cvg" localSheetId="62" hidden="1">0.0001</definedName>
    <definedName name="solver_cvg" localSheetId="63" hidden="1">0.0001</definedName>
    <definedName name="solver_cvg" localSheetId="64" hidden="1">0.0001</definedName>
    <definedName name="solver_cvg" localSheetId="65" hidden="1">0.0001</definedName>
    <definedName name="solver_cvg" localSheetId="66" hidden="1">0.0001</definedName>
    <definedName name="solver_cvg" localSheetId="67" hidden="1">0.0001</definedName>
    <definedName name="solver_cvg" localSheetId="68" hidden="1">0.0001</definedName>
    <definedName name="solver_cvg" localSheetId="69" hidden="1">0.0001</definedName>
    <definedName name="solver_cvg" localSheetId="70" hidden="1">0.0001</definedName>
    <definedName name="solver_cvg" localSheetId="71" hidden="1">0.0001</definedName>
    <definedName name="solver_drv" localSheetId="37" hidden="1">1</definedName>
    <definedName name="solver_drv" localSheetId="62" hidden="1">1</definedName>
    <definedName name="solver_drv" localSheetId="63" hidden="1">1</definedName>
    <definedName name="solver_drv" localSheetId="64" hidden="1">1</definedName>
    <definedName name="solver_drv" localSheetId="65" hidden="1">1</definedName>
    <definedName name="solver_drv" localSheetId="66" hidden="1">1</definedName>
    <definedName name="solver_drv" localSheetId="67" hidden="1">1</definedName>
    <definedName name="solver_drv" localSheetId="68" hidden="1">1</definedName>
    <definedName name="solver_drv" localSheetId="69" hidden="1">1</definedName>
    <definedName name="solver_drv" localSheetId="70" hidden="1">1</definedName>
    <definedName name="solver_drv" localSheetId="71" hidden="1">1</definedName>
    <definedName name="solver_eng" localSheetId="62" hidden="1">1</definedName>
    <definedName name="solver_eng" localSheetId="63" hidden="1">2</definedName>
    <definedName name="solver_eng" localSheetId="64" hidden="1">1</definedName>
    <definedName name="solver_est" localSheetId="37" hidden="1">1</definedName>
    <definedName name="solver_est" localSheetId="62" hidden="1">1</definedName>
    <definedName name="solver_est" localSheetId="63" hidden="1">1</definedName>
    <definedName name="solver_est" localSheetId="64" hidden="1">1</definedName>
    <definedName name="solver_est" localSheetId="65" hidden="1">1</definedName>
    <definedName name="solver_est" localSheetId="66" hidden="1">1</definedName>
    <definedName name="solver_est" localSheetId="67" hidden="1">1</definedName>
    <definedName name="solver_est" localSheetId="68" hidden="1">1</definedName>
    <definedName name="solver_est" localSheetId="69" hidden="1">1</definedName>
    <definedName name="solver_est" localSheetId="70" hidden="1">1</definedName>
    <definedName name="solver_est" localSheetId="71" hidden="1">1</definedName>
    <definedName name="solver_itr" localSheetId="37" hidden="1">100</definedName>
    <definedName name="solver_itr" localSheetId="62" hidden="1">100</definedName>
    <definedName name="solver_itr" localSheetId="63" hidden="1">100</definedName>
    <definedName name="solver_itr" localSheetId="64" hidden="1">100</definedName>
    <definedName name="solver_itr" localSheetId="65" hidden="1">100</definedName>
    <definedName name="solver_itr" localSheetId="66" hidden="1">100</definedName>
    <definedName name="solver_itr" localSheetId="67" hidden="1">100</definedName>
    <definedName name="solver_itr" localSheetId="68" hidden="1">100</definedName>
    <definedName name="solver_itr" localSheetId="69" hidden="1">100</definedName>
    <definedName name="solver_itr" localSheetId="70" hidden="1">100</definedName>
    <definedName name="solver_itr" localSheetId="71" hidden="1">100</definedName>
    <definedName name="solver_lhs0" localSheetId="66" hidden="1">solv005!$I$12</definedName>
    <definedName name="solver_lhs0" localSheetId="67" hidden="1">solv006!$I$13</definedName>
    <definedName name="solver_lhs1" localSheetId="62" hidden="1">solv001!$I$13</definedName>
    <definedName name="solver_lhs1" localSheetId="63" hidden="1">solv002!$F$9:$F$12</definedName>
    <definedName name="solver_lhs1" localSheetId="64" hidden="1">solv003!$H$11</definedName>
    <definedName name="solver_lhs1" localSheetId="65" hidden="1">solv004!$H$10:$H$12</definedName>
    <definedName name="solver_lhs1" localSheetId="66" hidden="1">solv005!$H$10:$H$11</definedName>
    <definedName name="solver_lhs1" localSheetId="67" hidden="1">solv006!$K$13</definedName>
    <definedName name="solver_lhs1" localSheetId="68" hidden="1">solv007!$G$10:$G$11</definedName>
    <definedName name="solver_lhs1" localSheetId="69" hidden="1">solv008!$F$18:$H$23</definedName>
    <definedName name="solver_lhs1" localSheetId="71" hidden="1">solv010!$G$9:$G$12</definedName>
    <definedName name="solver_lhs2" localSheetId="62" hidden="1">solv001!$J$13</definedName>
    <definedName name="solver_lhs2" localSheetId="63" hidden="1">solv002!$F$9:$F$12</definedName>
    <definedName name="solver_lhs2" localSheetId="64" hidden="1">solv003!$H$11:$H$13</definedName>
    <definedName name="solver_lhs2" localSheetId="65" hidden="1">solv004!$H$10:$H$12</definedName>
    <definedName name="solver_lhs2" localSheetId="66" hidden="1">solv005!$H$10:$H$11</definedName>
    <definedName name="solver_lhs2" localSheetId="67" hidden="1">solv006!$H$10:$H$12</definedName>
    <definedName name="solver_lhs2" localSheetId="68" hidden="1">solv007!$G$10:$G$11</definedName>
    <definedName name="solver_lhs2" localSheetId="69" hidden="1">solv008!$F$18:$H$23</definedName>
    <definedName name="solver_lhs2" localSheetId="71" hidden="1">solv010!$G$9:$G$12</definedName>
    <definedName name="solver_lhs3" localSheetId="62" hidden="1">solv001!$J$13</definedName>
    <definedName name="solver_lhs3" localSheetId="63" hidden="1">solv002!$G$13</definedName>
    <definedName name="solver_lhs3" localSheetId="64" hidden="1">solv003!$H$12</definedName>
    <definedName name="solver_lhs3" localSheetId="65" hidden="1">solv004!$I$13</definedName>
    <definedName name="solver_lhs3" localSheetId="66" hidden="1">solv005!$I$12</definedName>
    <definedName name="solver_lhs3" localSheetId="67" hidden="1">solv006!$H$10</definedName>
    <definedName name="solver_lhs3" localSheetId="68" hidden="1">solv007!$H$12</definedName>
    <definedName name="solver_lhs3" localSheetId="69" hidden="1">solv008!$F$27:$H$27</definedName>
    <definedName name="solver_lhs3" localSheetId="71" hidden="1">solv010!$E$16</definedName>
    <definedName name="solver_lhs4" localSheetId="62" hidden="1">solv001!$H$13</definedName>
    <definedName name="solver_lhs4" localSheetId="64" hidden="1">solv003!$H$13</definedName>
    <definedName name="solver_lhs4" localSheetId="65" hidden="1">solv004!$J$13</definedName>
    <definedName name="solver_lhs4" localSheetId="66" hidden="1">solv005!$J$12</definedName>
    <definedName name="solver_lhs4" localSheetId="67" hidden="1">solv006!$H$11</definedName>
    <definedName name="solver_lhs4" localSheetId="68" hidden="1">solv007!$I$12</definedName>
    <definedName name="solver_lhs4" localSheetId="69" hidden="1">solv008!$E$18:$E$23</definedName>
    <definedName name="solver_lhs4" localSheetId="71" hidden="1">solv010!$E$17</definedName>
    <definedName name="solver_lhs5" localSheetId="62" hidden="1">solv001!$H$11</definedName>
    <definedName name="solver_lhs5" localSheetId="64" hidden="1">solv003!$H$11:$H$13</definedName>
    <definedName name="solver_lhs5" localSheetId="65" hidden="1">solv004!$K$13</definedName>
    <definedName name="solver_lhs5" localSheetId="66" hidden="1">solv005!$K$12</definedName>
    <definedName name="solver_lhs5" localSheetId="67" hidden="1">solv006!$H$12</definedName>
    <definedName name="solver_lhs5" localSheetId="71" hidden="1">solv010!$E$18</definedName>
    <definedName name="solver_lhs6" localSheetId="62" hidden="1">solv001!$H$12</definedName>
    <definedName name="solver_lhs6" localSheetId="64" hidden="1">solv003!$I$14</definedName>
    <definedName name="solver_lhs6" localSheetId="67" hidden="1">solv006!$I$13</definedName>
    <definedName name="solver_lhs6" localSheetId="71" hidden="1">solv010!$E$19</definedName>
    <definedName name="solver_lhs7" localSheetId="62" hidden="1">solv001!$H$11</definedName>
    <definedName name="solver_lhs7" localSheetId="64" hidden="1">solv003!$J$14</definedName>
    <definedName name="solver_lhs7" localSheetId="67" hidden="1">solv006!$J$13</definedName>
    <definedName name="solver_lhs7" localSheetId="71" hidden="1">solv010!$E$20</definedName>
    <definedName name="solver_lhs8" localSheetId="67" hidden="1">solv006!$K$13</definedName>
    <definedName name="solver_lin" localSheetId="37" hidden="1">2</definedName>
    <definedName name="solver_lin" localSheetId="62" hidden="1">2</definedName>
    <definedName name="solver_lin" localSheetId="63" hidden="1">2</definedName>
    <definedName name="solver_lin" localSheetId="64" hidden="1">2</definedName>
    <definedName name="solver_lin" localSheetId="65" hidden="1">2</definedName>
    <definedName name="solver_lin" localSheetId="66" hidden="1">2</definedName>
    <definedName name="solver_lin" localSheetId="67" hidden="1">2</definedName>
    <definedName name="solver_lin" localSheetId="68" hidden="1">2</definedName>
    <definedName name="solver_lin" localSheetId="69" hidden="1">2</definedName>
    <definedName name="solver_lin" localSheetId="70" hidden="1">2</definedName>
    <definedName name="solver_lin" localSheetId="71" hidden="1">2</definedName>
    <definedName name="solver_mip" localSheetId="63" hidden="1">2147483647</definedName>
    <definedName name="solver_mni" localSheetId="63" hidden="1">30</definedName>
    <definedName name="solver_mrt" localSheetId="63" hidden="1">0.075</definedName>
    <definedName name="solver_msl" localSheetId="63" hidden="1">2</definedName>
    <definedName name="solver_neg" localSheetId="37" hidden="1">2</definedName>
    <definedName name="solver_neg" localSheetId="62" hidden="1">2</definedName>
    <definedName name="solver_neg" localSheetId="63" hidden="1">2</definedName>
    <definedName name="solver_neg" localSheetId="64" hidden="1">2</definedName>
    <definedName name="solver_neg" localSheetId="65" hidden="1">2</definedName>
    <definedName name="solver_neg" localSheetId="66" hidden="1">2</definedName>
    <definedName name="solver_neg" localSheetId="67" hidden="1">2</definedName>
    <definedName name="solver_neg" localSheetId="68" hidden="1">2</definedName>
    <definedName name="solver_neg" localSheetId="69" hidden="1">2</definedName>
    <definedName name="solver_neg" localSheetId="70" hidden="1">2</definedName>
    <definedName name="solver_neg" localSheetId="71" hidden="1">2</definedName>
    <definedName name="solver_nod" localSheetId="63" hidden="1">2147483647</definedName>
    <definedName name="solver_num" localSheetId="37" hidden="1">0</definedName>
    <definedName name="solver_num" localSheetId="62" hidden="1">7</definedName>
    <definedName name="solver_num" localSheetId="63" hidden="1">3</definedName>
    <definedName name="solver_num" localSheetId="64" hidden="1">7</definedName>
    <definedName name="solver_num" localSheetId="65" hidden="1">5</definedName>
    <definedName name="solver_num" localSheetId="66" hidden="1">5</definedName>
    <definedName name="solver_num" localSheetId="67" hidden="1">7</definedName>
    <definedName name="solver_num" localSheetId="68" hidden="1">4</definedName>
    <definedName name="solver_num" localSheetId="69" hidden="1">4</definedName>
    <definedName name="solver_num" localSheetId="70" hidden="1">0</definedName>
    <definedName name="solver_num" localSheetId="71" hidden="1">7</definedName>
    <definedName name="solver_nwt" localSheetId="37" hidden="1">1</definedName>
    <definedName name="solver_nwt" localSheetId="62" hidden="1">1</definedName>
    <definedName name="solver_nwt" localSheetId="63" hidden="1">1</definedName>
    <definedName name="solver_nwt" localSheetId="64" hidden="1">1</definedName>
    <definedName name="solver_nwt" localSheetId="65" hidden="1">1</definedName>
    <definedName name="solver_nwt" localSheetId="66" hidden="1">1</definedName>
    <definedName name="solver_nwt" localSheetId="67" hidden="1">1</definedName>
    <definedName name="solver_nwt" localSheetId="68" hidden="1">1</definedName>
    <definedName name="solver_nwt" localSheetId="69" hidden="1">1</definedName>
    <definedName name="solver_nwt" localSheetId="70" hidden="1">1</definedName>
    <definedName name="solver_nwt" localSheetId="71" hidden="1">1</definedName>
    <definedName name="solver_opt" localSheetId="37" hidden="1">math002!$H$11</definedName>
    <definedName name="solver_opt" localSheetId="62" hidden="1">solv001!$K$13</definedName>
    <definedName name="solver_opt" localSheetId="63" hidden="1">solv002!$H$13</definedName>
    <definedName name="solver_opt" localSheetId="64" hidden="1">solv003!$M$23</definedName>
    <definedName name="solver_opt" localSheetId="65" hidden="1">solv004!$L$13</definedName>
    <definedName name="solver_opt" localSheetId="66" hidden="1">solv005!$L$12</definedName>
    <definedName name="solver_opt" localSheetId="67" hidden="1">solv006!$L$13</definedName>
    <definedName name="solver_opt" localSheetId="68" hidden="1">solv007!$J$12</definedName>
    <definedName name="solver_opt" localSheetId="69" hidden="1">solv008!$I$29</definedName>
    <definedName name="solver_opt" localSheetId="70" hidden="1">solv009!$M$15</definedName>
    <definedName name="solver_opt" localSheetId="71" hidden="1">solv010!$H$13</definedName>
    <definedName name="solver_pre" localSheetId="37" hidden="1">0.000001</definedName>
    <definedName name="solver_pre" localSheetId="62" hidden="1">0.000001</definedName>
    <definedName name="solver_pre" localSheetId="63" hidden="1">0.000001</definedName>
    <definedName name="solver_pre" localSheetId="64" hidden="1">0.000001</definedName>
    <definedName name="solver_pre" localSheetId="65" hidden="1">0.000001</definedName>
    <definedName name="solver_pre" localSheetId="66" hidden="1">0.000001</definedName>
    <definedName name="solver_pre" localSheetId="67" hidden="1">0.000001</definedName>
    <definedName name="solver_pre" localSheetId="68" hidden="1">0.000001</definedName>
    <definedName name="solver_pre" localSheetId="69" hidden="1">0.000001</definedName>
    <definedName name="solver_pre" localSheetId="70" hidden="1">0.000001</definedName>
    <definedName name="solver_pre" localSheetId="71" hidden="1">0.000001</definedName>
    <definedName name="solver_rbv" localSheetId="63" hidden="1">1</definedName>
    <definedName name="solver_rel0" localSheetId="66" hidden="1">1</definedName>
    <definedName name="solver_rel0" localSheetId="67" hidden="1">1</definedName>
    <definedName name="solver_rel1" localSheetId="62" hidden="1">3</definedName>
    <definedName name="solver_rel1" localSheetId="63" hidden="1">4</definedName>
    <definedName name="solver_rel1" localSheetId="64" hidden="1">1</definedName>
    <definedName name="solver_rel1" localSheetId="65" hidden="1">4</definedName>
    <definedName name="solver_rel1" localSheetId="66" hidden="1">4</definedName>
    <definedName name="solver_rel1" localSheetId="67" hidden="1">3</definedName>
    <definedName name="solver_rel1" localSheetId="68" hidden="1">4</definedName>
    <definedName name="solver_rel1" localSheetId="69" hidden="1">4</definedName>
    <definedName name="solver_rel1" localSheetId="71" hidden="1">4</definedName>
    <definedName name="solver_rel2" localSheetId="62" hidden="1">3</definedName>
    <definedName name="solver_rel2" localSheetId="63" hidden="1">3</definedName>
    <definedName name="solver_rel2" localSheetId="64" hidden="1">4</definedName>
    <definedName name="solver_rel2" localSheetId="65" hidden="1">3</definedName>
    <definedName name="solver_rel2" localSheetId="66" hidden="1">3</definedName>
    <definedName name="solver_rel2" localSheetId="67" hidden="1">3</definedName>
    <definedName name="solver_rel2" localSheetId="68" hidden="1">3</definedName>
    <definedName name="solver_rel2" localSheetId="69" hidden="1">3</definedName>
    <definedName name="solver_rel2" localSheetId="71" hidden="1">3</definedName>
    <definedName name="solver_rel3" localSheetId="62" hidden="1">1</definedName>
    <definedName name="solver_rel3" localSheetId="63" hidden="1">1</definedName>
    <definedName name="solver_rel3" localSheetId="64" hidden="1">1</definedName>
    <definedName name="solver_rel3" localSheetId="65" hidden="1">1</definedName>
    <definedName name="solver_rel3" localSheetId="66" hidden="1">3</definedName>
    <definedName name="solver_rel3" localSheetId="67" hidden="1">1</definedName>
    <definedName name="solver_rel3" localSheetId="68" hidden="1">3</definedName>
    <definedName name="solver_rel3" localSheetId="69" hidden="1">3</definedName>
    <definedName name="solver_rel3" localSheetId="71" hidden="1">3</definedName>
    <definedName name="solver_rel4" localSheetId="62" hidden="1">3</definedName>
    <definedName name="solver_rel4" localSheetId="64" hidden="1">1</definedName>
    <definedName name="solver_rel4" localSheetId="65" hidden="1">1</definedName>
    <definedName name="solver_rel4" localSheetId="66" hidden="1">3</definedName>
    <definedName name="solver_rel4" localSheetId="67" hidden="1">1</definedName>
    <definedName name="solver_rel4" localSheetId="68" hidden="1">3</definedName>
    <definedName name="solver_rel4" localSheetId="69" hidden="1">2</definedName>
    <definedName name="solver_rel4" localSheetId="71" hidden="1">3</definedName>
    <definedName name="solver_rel5" localSheetId="62" hidden="1">4</definedName>
    <definedName name="solver_rel5" localSheetId="64" hidden="1">3</definedName>
    <definedName name="solver_rel5" localSheetId="65" hidden="1">1</definedName>
    <definedName name="solver_rel5" localSheetId="66" hidden="1">3</definedName>
    <definedName name="solver_rel5" localSheetId="67" hidden="1">1</definedName>
    <definedName name="solver_rel5" localSheetId="71" hidden="1">1</definedName>
    <definedName name="solver_rel6" localSheetId="62" hidden="1">4</definedName>
    <definedName name="solver_rel6" localSheetId="64" hidden="1">1</definedName>
    <definedName name="solver_rel6" localSheetId="67" hidden="1">3</definedName>
    <definedName name="solver_rel6" localSheetId="71" hidden="1">1</definedName>
    <definedName name="solver_rel7" localSheetId="62" hidden="1">3</definedName>
    <definedName name="solver_rel7" localSheetId="64" hidden="1">1</definedName>
    <definedName name="solver_rel7" localSheetId="67" hidden="1">3</definedName>
    <definedName name="solver_rel7" localSheetId="71" hidden="1">1</definedName>
    <definedName name="solver_rel8" localSheetId="67" hidden="1">3</definedName>
    <definedName name="solver_rhs0" localSheetId="66" hidden="1">solv005!#REF!</definedName>
    <definedName name="solver_rhs0" localSheetId="67" hidden="1">solv006!#REF!</definedName>
    <definedName name="solver_rhs1" localSheetId="62" hidden="1">solv001!$E$16</definedName>
    <definedName name="solver_rhs1" localSheetId="63" hidden="1">geheeltallig</definedName>
    <definedName name="solver_rhs1" localSheetId="64" hidden="1">solv003!$E$18</definedName>
    <definedName name="solver_rhs1" localSheetId="65" hidden="1">integer</definedName>
    <definedName name="solver_rhs1" localSheetId="66" hidden="1">integer</definedName>
    <definedName name="solver_rhs1" localSheetId="67" hidden="1">solv006!$D$18</definedName>
    <definedName name="solver_rhs1" localSheetId="68" hidden="1">integer</definedName>
    <definedName name="solver_rhs1" localSheetId="69" hidden="1">integer</definedName>
    <definedName name="solver_rhs1" localSheetId="71" hidden="1">integer</definedName>
    <definedName name="solver_rhs2" localSheetId="62" hidden="1">solv001!$E$17</definedName>
    <definedName name="solver_rhs2" localSheetId="63" hidden="1">0</definedName>
    <definedName name="solver_rhs2" localSheetId="64" hidden="1">geheeltallig</definedName>
    <definedName name="solver_rhs2" localSheetId="65" hidden="1">0</definedName>
    <definedName name="solver_rhs2" localSheetId="66" hidden="1">0</definedName>
    <definedName name="solver_rhs2" localSheetId="67" hidden="1">0</definedName>
    <definedName name="solver_rhs2" localSheetId="68" hidden="1">0</definedName>
    <definedName name="solver_rhs2" localSheetId="69" hidden="1">0</definedName>
    <definedName name="solver_rhs2" localSheetId="71" hidden="1">0</definedName>
    <definedName name="solver_rhs3" localSheetId="62" hidden="1">solv001!$E$18</definedName>
    <definedName name="solver_rhs3" localSheetId="63" hidden="1">solv002!$G$14</definedName>
    <definedName name="solver_rhs3" localSheetId="64" hidden="1">solv003!$E$19</definedName>
    <definedName name="solver_rhs3" localSheetId="65" hidden="1">solv004!$I$15</definedName>
    <definedName name="solver_rhs3" localSheetId="66" hidden="1">solv005!$I$14</definedName>
    <definedName name="solver_rhs3" localSheetId="67" hidden="1">solv006!$D$19</definedName>
    <definedName name="solver_rhs3" localSheetId="68" hidden="1">solv007!$H$14</definedName>
    <definedName name="solver_rhs3" localSheetId="69" hidden="1">0</definedName>
    <definedName name="solver_rhs3" localSheetId="71" hidden="1">solv010!$G$16</definedName>
    <definedName name="solver_rhs4" localSheetId="62" hidden="1">solv001!$E$21</definedName>
    <definedName name="solver_rhs4" localSheetId="64" hidden="1">solv003!$E$20</definedName>
    <definedName name="solver_rhs4" localSheetId="65" hidden="1">solv004!$J$15</definedName>
    <definedName name="solver_rhs4" localSheetId="66" hidden="1">solv005!$J$14</definedName>
    <definedName name="solver_rhs4" localSheetId="67" hidden="1">solv006!$D$20</definedName>
    <definedName name="solver_rhs4" localSheetId="68" hidden="1">solv007!$I$14</definedName>
    <definedName name="solver_rhs4" localSheetId="69" hidden="1">solv008!$I$18:$I$23</definedName>
    <definedName name="solver_rhs4" localSheetId="71" hidden="1">solv010!$G$17</definedName>
    <definedName name="solver_rhs5" localSheetId="62" hidden="1">geheeltallig</definedName>
    <definedName name="solver_rhs5" localSheetId="64" hidden="1">0</definedName>
    <definedName name="solver_rhs5" localSheetId="65" hidden="1">solv004!$K$15</definedName>
    <definedName name="solver_rhs5" localSheetId="66" hidden="1">solv005!$K$14</definedName>
    <definedName name="solver_rhs5" localSheetId="67" hidden="1">solv006!$D$21</definedName>
    <definedName name="solver_rhs5" localSheetId="71" hidden="1">solv010!$G$18</definedName>
    <definedName name="solver_rhs6" localSheetId="62" hidden="1">geheeltallig</definedName>
    <definedName name="solver_rhs6" localSheetId="64" hidden="1">solv003!$E$16</definedName>
    <definedName name="solver_rhs6" localSheetId="67" hidden="1">solv006!$D$16</definedName>
    <definedName name="solver_rhs6" localSheetId="71" hidden="1">solv010!$G$19</definedName>
    <definedName name="solver_rhs7" localSheetId="62" hidden="1">solv001!$E$19</definedName>
    <definedName name="solver_rhs7" localSheetId="64" hidden="1">solv003!$E$17</definedName>
    <definedName name="solver_rhs7" localSheetId="67" hidden="1">solv006!$D$17</definedName>
    <definedName name="solver_rhs7" localSheetId="71" hidden="1">solv010!$G$20</definedName>
    <definedName name="solver_rhs8" localSheetId="67" hidden="1">solv006!$D$18</definedName>
    <definedName name="solver_rlx" localSheetId="63" hidden="1">1</definedName>
    <definedName name="solver_rsd" localSheetId="63" hidden="1">0</definedName>
    <definedName name="solver_scl" localSheetId="37" hidden="1">2</definedName>
    <definedName name="solver_scl" localSheetId="62" hidden="1">2</definedName>
    <definedName name="solver_scl" localSheetId="63" hidden="1">2</definedName>
    <definedName name="solver_scl" localSheetId="64" hidden="1">2</definedName>
    <definedName name="solver_scl" localSheetId="65" hidden="1">2</definedName>
    <definedName name="solver_scl" localSheetId="66" hidden="1">2</definedName>
    <definedName name="solver_scl" localSheetId="67" hidden="1">2</definedName>
    <definedName name="solver_scl" localSheetId="68" hidden="1">2</definedName>
    <definedName name="solver_scl" localSheetId="69" hidden="1">2</definedName>
    <definedName name="solver_scl" localSheetId="70" hidden="1">2</definedName>
    <definedName name="solver_scl" localSheetId="71" hidden="1">2</definedName>
    <definedName name="solver_sho" localSheetId="37" hidden="1">2</definedName>
    <definedName name="solver_sho" localSheetId="62" hidden="1">2</definedName>
    <definedName name="solver_sho" localSheetId="63" hidden="1">2</definedName>
    <definedName name="solver_sho" localSheetId="64" hidden="1">2</definedName>
    <definedName name="solver_sho" localSheetId="65" hidden="1">2</definedName>
    <definedName name="solver_sho" localSheetId="66" hidden="1">2</definedName>
    <definedName name="solver_sho" localSheetId="67" hidden="1">2</definedName>
    <definedName name="solver_sho" localSheetId="68" hidden="1">2</definedName>
    <definedName name="solver_sho" localSheetId="69" hidden="1">2</definedName>
    <definedName name="solver_sho" localSheetId="70" hidden="1">2</definedName>
    <definedName name="solver_sho" localSheetId="71" hidden="1">2</definedName>
    <definedName name="solver_ssz" localSheetId="63" hidden="1">100</definedName>
    <definedName name="solver_tim" localSheetId="37" hidden="1">100</definedName>
    <definedName name="solver_tim" localSheetId="62" hidden="1">100</definedName>
    <definedName name="solver_tim" localSheetId="63" hidden="1">100</definedName>
    <definedName name="solver_tim" localSheetId="64" hidden="1">100</definedName>
    <definedName name="solver_tim" localSheetId="65" hidden="1">100</definedName>
    <definedName name="solver_tim" localSheetId="66" hidden="1">100</definedName>
    <definedName name="solver_tim" localSheetId="67" hidden="1">100</definedName>
    <definedName name="solver_tim" localSheetId="68" hidden="1">100</definedName>
    <definedName name="solver_tim" localSheetId="69" hidden="1">100</definedName>
    <definedName name="solver_tim" localSheetId="70" hidden="1">100</definedName>
    <definedName name="solver_tim" localSheetId="71" hidden="1">100</definedName>
    <definedName name="solver_tol" localSheetId="37" hidden="1">0.05</definedName>
    <definedName name="solver_tol" localSheetId="62" hidden="1">0.05</definedName>
    <definedName name="solver_tol" localSheetId="63" hidden="1">0.05</definedName>
    <definedName name="solver_tol" localSheetId="64" hidden="1">0.05</definedName>
    <definedName name="solver_tol" localSheetId="65" hidden="1">0.05</definedName>
    <definedName name="solver_tol" localSheetId="66" hidden="1">0.05</definedName>
    <definedName name="solver_tol" localSheetId="67" hidden="1">0.05</definedName>
    <definedName name="solver_tol" localSheetId="68" hidden="1">0.05</definedName>
    <definedName name="solver_tol" localSheetId="69" hidden="1">0.05</definedName>
    <definedName name="solver_tol" localSheetId="70" hidden="1">0.05</definedName>
    <definedName name="solver_tol" localSheetId="71" hidden="1">0.05</definedName>
    <definedName name="solver_typ" localSheetId="37" hidden="1">2</definedName>
    <definedName name="solver_typ" localSheetId="62" hidden="1">1</definedName>
    <definedName name="solver_typ" localSheetId="63" hidden="1">1</definedName>
    <definedName name="solver_typ" localSheetId="64" hidden="1">1</definedName>
    <definedName name="solver_typ" localSheetId="65" hidden="1">1</definedName>
    <definedName name="solver_typ" localSheetId="66" hidden="1">2</definedName>
    <definedName name="solver_typ" localSheetId="67" hidden="1">2</definedName>
    <definedName name="solver_typ" localSheetId="68" hidden="1">2</definedName>
    <definedName name="solver_typ" localSheetId="69" hidden="1">2</definedName>
    <definedName name="solver_typ" localSheetId="70" hidden="1">2</definedName>
    <definedName name="solver_typ" localSheetId="71" hidden="1">1</definedName>
    <definedName name="solver_val" localSheetId="37" hidden="1">0</definedName>
    <definedName name="solver_val" localSheetId="62" hidden="1">0</definedName>
    <definedName name="solver_val" localSheetId="63" hidden="1">0</definedName>
    <definedName name="solver_val" localSheetId="64" hidden="1">0</definedName>
    <definedName name="solver_val" localSheetId="65" hidden="1">0</definedName>
    <definedName name="solver_val" localSheetId="66" hidden="1">0</definedName>
    <definedName name="solver_val" localSheetId="67" hidden="1">0</definedName>
    <definedName name="solver_val" localSheetId="68" hidden="1">0</definedName>
    <definedName name="solver_val" localSheetId="69" hidden="1">0</definedName>
    <definedName name="solver_val" localSheetId="70" hidden="1">0</definedName>
    <definedName name="solver_val" localSheetId="71" hidden="1">0</definedName>
    <definedName name="solver_ver" localSheetId="62" hidden="1">3</definedName>
    <definedName name="solver_ver" localSheetId="63" hidden="1">3</definedName>
    <definedName name="solver_ver" localSheetId="64" hidden="1">3</definedName>
    <definedName name="staffel_limiet">form013!$F$8</definedName>
    <definedName name="VerkoopDoelstelling" localSheetId="11">form007!#REF!</definedName>
    <definedName name="VerkoopDoelstelling" localSheetId="12">form008!#REF!</definedName>
    <definedName name="VerkoopDoelstelling" localSheetId="13">form009!#REF!</definedName>
    <definedName name="VerkoopDoelstelling" localSheetId="14">form010!#REF!</definedName>
    <definedName name="VerkoopDoelstelling" localSheetId="15">form011!#REF!</definedName>
    <definedName name="VerkoopDoelstelling" localSheetId="16">form012!#REF!</definedName>
    <definedName name="VerkoopDoelstelling" localSheetId="17">form013!#REF!</definedName>
    <definedName name="VerkoopDoelstelling">form004!$E$8</definedName>
    <definedName name="waarde_def_matrix" localSheetId="37">{"Verkopen","SOM(Verkopen)","JNNNN",FALSE}</definedName>
    <definedName name="waarde_def_matrix" localSheetId="39">{"Verkopen","SOM(Verkopen)","JNNNN",FALSE}</definedName>
    <definedName name="waarde_def_matrix">{"Verkopen","SOM(Verkopen)","JNNNN",FALSE}</definedName>
    <definedName name="Winstmarge">scen001!$E$8</definedName>
  </definedNames>
  <calcPr calcId="191029"/>
  <pivotCaches>
    <pivotCache cacheId="0" r:id="rId82"/>
    <pivotCache cacheId="1" r:id="rId83"/>
    <pivotCache cacheId="2" r:id="rId84"/>
    <pivotCache cacheId="3" r:id="rId85"/>
    <pivotCache cacheId="4" r:id="rId86"/>
    <pivotCache cacheId="5" r:id="rId87"/>
    <pivotCache cacheId="6" r:id="rId88"/>
    <pivotCache cacheId="7" r:id="rId89"/>
    <pivotCache cacheId="8" r:id="rId90"/>
    <pivotCache cacheId="9" r:id="rId91"/>
    <pivotCache cacheId="10" r:id="rId92"/>
    <pivotCache cacheId="11" r:id="rId93"/>
    <pivotCache cacheId="12" r:id="rId9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4" i="106" l="1"/>
  <c r="D3" i="106"/>
  <c r="D2" i="106"/>
  <c r="D4" i="105" l="1"/>
  <c r="D3" i="105"/>
  <c r="D2" i="105"/>
  <c r="D4" i="104"/>
  <c r="D3" i="104"/>
  <c r="D2" i="104"/>
  <c r="D4" i="102" l="1"/>
  <c r="D3" i="102"/>
  <c r="D2" i="102"/>
  <c r="C11" i="103"/>
  <c r="H9" i="100" l="1"/>
  <c r="G10" i="99"/>
  <c r="H10" i="99"/>
  <c r="I10" i="99"/>
  <c r="J10" i="99"/>
  <c r="K10" i="99"/>
  <c r="L10" i="99"/>
  <c r="M10" i="99"/>
  <c r="N10" i="99"/>
  <c r="O10" i="99"/>
  <c r="P10" i="99"/>
  <c r="G11" i="99"/>
  <c r="H11" i="99"/>
  <c r="I11" i="99"/>
  <c r="J11" i="99"/>
  <c r="K11" i="99"/>
  <c r="L11" i="99"/>
  <c r="M11" i="99"/>
  <c r="N11" i="99"/>
  <c r="O11" i="99"/>
  <c r="P11" i="99"/>
  <c r="G12" i="99"/>
  <c r="H12" i="99"/>
  <c r="I12" i="99"/>
  <c r="J12" i="99"/>
  <c r="K12" i="99"/>
  <c r="L12" i="99"/>
  <c r="M12" i="99"/>
  <c r="N12" i="99"/>
  <c r="O12" i="99"/>
  <c r="P12" i="99"/>
  <c r="G13" i="99"/>
  <c r="H13" i="99"/>
  <c r="I13" i="99"/>
  <c r="J13" i="99"/>
  <c r="K13" i="99"/>
  <c r="L13" i="99"/>
  <c r="M13" i="99"/>
  <c r="N13" i="99"/>
  <c r="O13" i="99"/>
  <c r="P13" i="99"/>
  <c r="G14" i="99"/>
  <c r="H14" i="99"/>
  <c r="I14" i="99"/>
  <c r="J14" i="99"/>
  <c r="K14" i="99"/>
  <c r="L14" i="99"/>
  <c r="M14" i="99"/>
  <c r="N14" i="99"/>
  <c r="O14" i="99"/>
  <c r="P14" i="99"/>
  <c r="G15" i="99"/>
  <c r="H15" i="99"/>
  <c r="I15" i="99"/>
  <c r="J15" i="99"/>
  <c r="K15" i="99"/>
  <c r="L15" i="99"/>
  <c r="M15" i="99"/>
  <c r="N15" i="99"/>
  <c r="O15" i="99"/>
  <c r="P15" i="99"/>
  <c r="G16" i="99"/>
  <c r="H16" i="99"/>
  <c r="I16" i="99"/>
  <c r="J16" i="99"/>
  <c r="K16" i="99"/>
  <c r="L16" i="99"/>
  <c r="M16" i="99"/>
  <c r="N16" i="99"/>
  <c r="O16" i="99"/>
  <c r="P16" i="99"/>
  <c r="G17" i="99"/>
  <c r="H17" i="99"/>
  <c r="I17" i="99"/>
  <c r="J17" i="99"/>
  <c r="K17" i="99"/>
  <c r="L17" i="99"/>
  <c r="M17" i="99"/>
  <c r="N17" i="99"/>
  <c r="O17" i="99"/>
  <c r="P17" i="99"/>
  <c r="G18" i="99"/>
  <c r="H18" i="99"/>
  <c r="I18" i="99"/>
  <c r="J18" i="99"/>
  <c r="K18" i="99"/>
  <c r="L18" i="99"/>
  <c r="M18" i="99"/>
  <c r="N18" i="99"/>
  <c r="O18" i="99"/>
  <c r="P18" i="99"/>
  <c r="H9" i="99"/>
  <c r="I9" i="99"/>
  <c r="J9" i="99"/>
  <c r="K9" i="99"/>
  <c r="L9" i="99"/>
  <c r="M9" i="99"/>
  <c r="N9" i="99"/>
  <c r="O9" i="99"/>
  <c r="P9" i="99"/>
  <c r="G9" i="99"/>
  <c r="D4" i="100"/>
  <c r="D3" i="100"/>
  <c r="D2" i="100"/>
  <c r="D4" i="99"/>
  <c r="D3" i="99"/>
  <c r="D2" i="99"/>
  <c r="D11" i="103"/>
  <c r="E11" i="103"/>
  <c r="D4" i="96" l="1"/>
  <c r="D4" i="95"/>
  <c r="D4" i="49"/>
  <c r="D4" i="44"/>
  <c r="D4" i="43"/>
  <c r="D4" i="31"/>
  <c r="D4" i="68"/>
  <c r="D4" i="67"/>
  <c r="D4" i="66"/>
  <c r="D4" i="65"/>
  <c r="D4" i="64"/>
  <c r="D4" i="63"/>
  <c r="D4" i="62"/>
  <c r="D4" i="61"/>
  <c r="D4" i="60"/>
  <c r="D4" i="39"/>
  <c r="D4" i="72"/>
  <c r="D4" i="71"/>
  <c r="D4" i="70"/>
  <c r="D4" i="69"/>
  <c r="D4" i="59"/>
  <c r="D4" i="58"/>
  <c r="D4" i="57"/>
  <c r="D4" i="56"/>
  <c r="D4" i="55"/>
  <c r="D4" i="54"/>
  <c r="D4" i="53"/>
  <c r="D4" i="52"/>
  <c r="D4" i="51"/>
  <c r="D4" i="50"/>
  <c r="D4" i="38"/>
  <c r="D4" i="37"/>
  <c r="D4" i="87"/>
  <c r="D4" i="86"/>
  <c r="D4" i="85"/>
  <c r="D4" i="84"/>
  <c r="D4" i="45"/>
  <c r="D4" i="83"/>
  <c r="D4" i="32"/>
  <c r="D4" i="27"/>
  <c r="D4" i="30"/>
  <c r="D4" i="29"/>
  <c r="D4" i="81"/>
  <c r="D4" i="80"/>
  <c r="D4" i="79"/>
  <c r="D4" i="78"/>
  <c r="D4" i="21"/>
  <c r="D4" i="20"/>
  <c r="D4" i="19"/>
  <c r="D4" i="18"/>
  <c r="D4" i="88"/>
  <c r="D4" i="42"/>
  <c r="D4" i="40"/>
  <c r="D4" i="23"/>
  <c r="D4" i="22"/>
  <c r="D4" i="15"/>
  <c r="D4" i="82"/>
  <c r="D4" i="48"/>
  <c r="E4" i="47"/>
  <c r="D4" i="47"/>
  <c r="D4" i="36"/>
  <c r="D4" i="94"/>
  <c r="D4" i="92"/>
  <c r="D4" i="91"/>
  <c r="D4" i="90"/>
  <c r="D4" i="89"/>
  <c r="D4" i="41"/>
  <c r="D4" i="14"/>
  <c r="D4" i="13"/>
  <c r="D4" i="12"/>
  <c r="D4" i="46"/>
  <c r="D4" i="10"/>
  <c r="D4" i="98"/>
  <c r="D3" i="96"/>
  <c r="D3" i="95"/>
  <c r="D3" i="49"/>
  <c r="D3" i="44"/>
  <c r="D3" i="43"/>
  <c r="D3" i="31"/>
  <c r="D3" i="68"/>
  <c r="D3" i="67"/>
  <c r="D3" i="66"/>
  <c r="D3" i="65"/>
  <c r="D3" i="64"/>
  <c r="D3" i="63"/>
  <c r="D3" i="62"/>
  <c r="D3" i="61"/>
  <c r="D3" i="60"/>
  <c r="D3" i="39"/>
  <c r="D3" i="72"/>
  <c r="D3" i="71"/>
  <c r="D3" i="70"/>
  <c r="D3" i="69"/>
  <c r="D3" i="59"/>
  <c r="D3" i="58"/>
  <c r="D3" i="57"/>
  <c r="D3" i="56"/>
  <c r="D3" i="55"/>
  <c r="D3" i="54"/>
  <c r="D3" i="53"/>
  <c r="D3" i="52"/>
  <c r="D3" i="51"/>
  <c r="D3" i="50"/>
  <c r="D3" i="38"/>
  <c r="D3" i="37"/>
  <c r="D3" i="87"/>
  <c r="D3" i="86"/>
  <c r="D3" i="85"/>
  <c r="D3" i="84"/>
  <c r="D3" i="45"/>
  <c r="D3" i="83"/>
  <c r="D3" i="32"/>
  <c r="D3" i="27"/>
  <c r="D3" i="30"/>
  <c r="D3" i="29"/>
  <c r="D3" i="81"/>
  <c r="D3" i="80"/>
  <c r="D3" i="79"/>
  <c r="D3" i="78"/>
  <c r="D3" i="21"/>
  <c r="D3" i="20"/>
  <c r="D3" i="19"/>
  <c r="D3" i="18"/>
  <c r="D3" i="88"/>
  <c r="D3" i="42"/>
  <c r="D3" i="40"/>
  <c r="D3" i="23"/>
  <c r="D3" i="22"/>
  <c r="D3" i="15"/>
  <c r="D3" i="82"/>
  <c r="D3" i="48"/>
  <c r="E3" i="47"/>
  <c r="D3" i="47"/>
  <c r="D3" i="36"/>
  <c r="D3" i="94"/>
  <c r="D3" i="92"/>
  <c r="D3" i="91"/>
  <c r="D3" i="90"/>
  <c r="D3" i="89"/>
  <c r="D3" i="41"/>
  <c r="D3" i="14"/>
  <c r="D3" i="13"/>
  <c r="D3" i="12"/>
  <c r="D3" i="46"/>
  <c r="D3" i="10"/>
  <c r="D3" i="98"/>
  <c r="D2" i="96"/>
  <c r="D2" i="95"/>
  <c r="D2" i="49"/>
  <c r="D2" i="44"/>
  <c r="D2" i="43"/>
  <c r="D2" i="31"/>
  <c r="D2" i="68"/>
  <c r="D2" i="67"/>
  <c r="D2" i="66"/>
  <c r="D2" i="65"/>
  <c r="D2" i="64"/>
  <c r="D2" i="63"/>
  <c r="D2" i="62"/>
  <c r="D2" i="61"/>
  <c r="D2" i="60"/>
  <c r="D2" i="39"/>
  <c r="D2" i="72"/>
  <c r="D2" i="71"/>
  <c r="D2" i="70"/>
  <c r="D2" i="69"/>
  <c r="D2" i="59"/>
  <c r="D2" i="58"/>
  <c r="D2" i="57"/>
  <c r="D2" i="56"/>
  <c r="D2" i="55"/>
  <c r="D2" i="54"/>
  <c r="D2" i="53"/>
  <c r="D2" i="52"/>
  <c r="D2" i="51"/>
  <c r="D2" i="50"/>
  <c r="D2" i="38"/>
  <c r="D2" i="37"/>
  <c r="D2" i="87"/>
  <c r="D2" i="86"/>
  <c r="D2" i="85"/>
  <c r="D2" i="84"/>
  <c r="D2" i="45"/>
  <c r="D2" i="83"/>
  <c r="D2" i="32"/>
  <c r="D2" i="27"/>
  <c r="D2" i="30"/>
  <c r="D2" i="29"/>
  <c r="D2" i="81"/>
  <c r="D2" i="80"/>
  <c r="D2" i="79"/>
  <c r="D2" i="78"/>
  <c r="D2" i="21"/>
  <c r="D2" i="20"/>
  <c r="D2" i="19"/>
  <c r="D2" i="18"/>
  <c r="D2" i="88"/>
  <c r="D2" i="42"/>
  <c r="D2" i="40"/>
  <c r="D2" i="23"/>
  <c r="D2" i="22"/>
  <c r="D2" i="15"/>
  <c r="D2" i="82"/>
  <c r="D2" i="48"/>
  <c r="E2" i="47"/>
  <c r="D2" i="47"/>
  <c r="D2" i="36"/>
  <c r="D2" i="94"/>
  <c r="D2" i="92"/>
  <c r="D2" i="91"/>
  <c r="D2" i="90"/>
  <c r="D2" i="89"/>
  <c r="D2" i="41"/>
  <c r="D2" i="14"/>
  <c r="D2" i="13"/>
  <c r="D2" i="12"/>
  <c r="D2" i="46"/>
  <c r="D2" i="10"/>
  <c r="D2" i="98"/>
  <c r="D4" i="97"/>
  <c r="D3" i="97"/>
  <c r="D2" i="97"/>
  <c r="E19" i="98" l="1"/>
  <c r="E10" i="96" l="1"/>
  <c r="E12" i="96" s="1"/>
  <c r="E11" i="95" l="1"/>
  <c r="E14" i="95" s="1"/>
  <c r="D28" i="95" l="1"/>
  <c r="D9" i="94"/>
  <c r="I11" i="39" l="1"/>
  <c r="J11" i="39"/>
  <c r="K11" i="39"/>
  <c r="I12" i="39"/>
  <c r="J12" i="39"/>
  <c r="K12" i="39"/>
  <c r="H13" i="39"/>
  <c r="I13" i="39" l="1"/>
  <c r="K13" i="39"/>
  <c r="J13" i="39"/>
  <c r="F12" i="46"/>
  <c r="F11" i="46"/>
  <c r="E11" i="92" l="1"/>
  <c r="E12" i="91"/>
  <c r="E13" i="91" s="1"/>
  <c r="F15" i="90"/>
  <c r="F14" i="90"/>
  <c r="E13" i="89"/>
  <c r="N9" i="87"/>
  <c r="N8" i="87"/>
  <c r="O9" i="86"/>
  <c r="O8" i="86"/>
  <c r="M9" i="85"/>
  <c r="M8" i="85"/>
  <c r="L9" i="84"/>
  <c r="L8" i="84"/>
  <c r="N8" i="83" a="1"/>
  <c r="N9" i="83" s="1"/>
  <c r="F12" i="82"/>
  <c r="E13" i="82" s="1"/>
  <c r="F13" i="82" s="1"/>
  <c r="E14" i="82" s="1"/>
  <c r="F14" i="82" s="1"/>
  <c r="F27" i="72"/>
  <c r="G27" i="72" s="1"/>
  <c r="F24" i="72"/>
  <c r="G24" i="72" s="1"/>
  <c r="F25" i="72"/>
  <c r="G25" i="72" s="1"/>
  <c r="F26" i="72"/>
  <c r="G26" i="72" s="1"/>
  <c r="F23" i="72"/>
  <c r="G23" i="72" s="1"/>
  <c r="E28" i="72"/>
  <c r="F17" i="72"/>
  <c r="G17" i="72" s="1"/>
  <c r="F18" i="72"/>
  <c r="G18" i="72" s="1"/>
  <c r="F19" i="72"/>
  <c r="G19" i="72" s="1"/>
  <c r="F16" i="72"/>
  <c r="E20" i="72"/>
  <c r="F18" i="71"/>
  <c r="F20" i="71" s="1"/>
  <c r="F24" i="71" s="1"/>
  <c r="G18" i="71"/>
  <c r="G20" i="71" s="1"/>
  <c r="G24" i="71" s="1"/>
  <c r="E18" i="71"/>
  <c r="E20" i="71" s="1"/>
  <c r="E24" i="71" s="1"/>
  <c r="E19" i="70"/>
  <c r="E13" i="70"/>
  <c r="F13" i="69"/>
  <c r="G13" i="69" s="1"/>
  <c r="F14" i="69"/>
  <c r="G14" i="69" s="1"/>
  <c r="F12" i="69"/>
  <c r="G12" i="69" s="1"/>
  <c r="E17" i="68"/>
  <c r="H11" i="68"/>
  <c r="H12" i="68"/>
  <c r="H10" i="68"/>
  <c r="H9" i="68"/>
  <c r="G13" i="68"/>
  <c r="E19" i="68" s="1"/>
  <c r="L11" i="67" a="1"/>
  <c r="L11" i="67" s="1"/>
  <c r="M11" i="67" s="1"/>
  <c r="L12" i="67" a="1"/>
  <c r="L12" i="67" s="1"/>
  <c r="M12" i="67" s="1"/>
  <c r="L13" i="67" a="1"/>
  <c r="L13" i="67" s="1"/>
  <c r="M13" i="67" s="1"/>
  <c r="L14" i="67" a="1"/>
  <c r="L14" i="67" s="1"/>
  <c r="M14" i="67" s="1"/>
  <c r="L10" i="67" a="1"/>
  <c r="L10" i="67" s="1"/>
  <c r="M10" i="67" s="1"/>
  <c r="G29" i="66"/>
  <c r="H29" i="66"/>
  <c r="F29" i="66"/>
  <c r="H24" i="66"/>
  <c r="H27" i="66" s="1"/>
  <c r="G24" i="66"/>
  <c r="G27" i="66" s="1"/>
  <c r="F24" i="66"/>
  <c r="F27" i="66" s="1"/>
  <c r="I23" i="66"/>
  <c r="I19" i="66"/>
  <c r="I20" i="66"/>
  <c r="I21" i="66"/>
  <c r="I22" i="66"/>
  <c r="I18" i="66"/>
  <c r="E24" i="66"/>
  <c r="J11" i="65"/>
  <c r="I11" i="65"/>
  <c r="H11" i="65"/>
  <c r="J10" i="65"/>
  <c r="I10" i="65"/>
  <c r="H10" i="65"/>
  <c r="L12" i="64"/>
  <c r="K12" i="64"/>
  <c r="J12" i="64"/>
  <c r="I12" i="64"/>
  <c r="L11" i="64"/>
  <c r="K11" i="64"/>
  <c r="J11" i="64"/>
  <c r="I11" i="64"/>
  <c r="L10" i="64"/>
  <c r="K10" i="64"/>
  <c r="J10" i="64"/>
  <c r="I10" i="64"/>
  <c r="L11" i="63"/>
  <c r="K11" i="63"/>
  <c r="J11" i="63"/>
  <c r="I11" i="63"/>
  <c r="L10" i="63"/>
  <c r="K10" i="63"/>
  <c r="J10" i="63"/>
  <c r="I10" i="63"/>
  <c r="J10" i="62"/>
  <c r="K10" i="62"/>
  <c r="L10" i="62"/>
  <c r="J11" i="62"/>
  <c r="K11" i="62"/>
  <c r="L11" i="62"/>
  <c r="J12" i="62"/>
  <c r="K12" i="62"/>
  <c r="L12" i="62"/>
  <c r="I11" i="62"/>
  <c r="I12" i="62"/>
  <c r="I10" i="62"/>
  <c r="H14" i="61"/>
  <c r="J12" i="61"/>
  <c r="K12" i="61"/>
  <c r="J13" i="61"/>
  <c r="K13" i="61"/>
  <c r="K11" i="61"/>
  <c r="J11" i="61"/>
  <c r="I12" i="61"/>
  <c r="I13" i="61"/>
  <c r="I11" i="61"/>
  <c r="H10" i="60"/>
  <c r="H11" i="60"/>
  <c r="H12" i="60"/>
  <c r="H9" i="60"/>
  <c r="G10" i="60"/>
  <c r="G11" i="60"/>
  <c r="G12" i="60"/>
  <c r="G9" i="60"/>
  <c r="I10" i="56"/>
  <c r="I11" i="56"/>
  <c r="I12" i="56"/>
  <c r="I13" i="56"/>
  <c r="I14" i="56"/>
  <c r="I15" i="56"/>
  <c r="I16" i="56"/>
  <c r="I17" i="56"/>
  <c r="I18" i="56"/>
  <c r="I19" i="56"/>
  <c r="I20" i="56"/>
  <c r="I21" i="56"/>
  <c r="I22" i="56"/>
  <c r="I23" i="56"/>
  <c r="I9" i="56"/>
  <c r="C28" i="49"/>
  <c r="C29" i="49" s="1"/>
  <c r="D12" i="49"/>
  <c r="D13" i="49"/>
  <c r="D14" i="49"/>
  <c r="D15" i="49"/>
  <c r="D16" i="49"/>
  <c r="D17" i="49"/>
  <c r="D18" i="49"/>
  <c r="D19" i="49"/>
  <c r="D20" i="49"/>
  <c r="D21" i="49"/>
  <c r="D22" i="49"/>
  <c r="I30" i="48"/>
  <c r="J30" i="48"/>
  <c r="J29" i="48"/>
  <c r="I29" i="48"/>
  <c r="D11" i="48"/>
  <c r="E11" i="48"/>
  <c r="D12" i="48"/>
  <c r="E12" i="48"/>
  <c r="D13" i="48"/>
  <c r="E13" i="48"/>
  <c r="D14" i="48"/>
  <c r="E14" i="48"/>
  <c r="D15" i="48"/>
  <c r="E15" i="48"/>
  <c r="D16" i="48"/>
  <c r="E16" i="48"/>
  <c r="D17" i="48"/>
  <c r="E17" i="48"/>
  <c r="D18" i="48"/>
  <c r="E18" i="48"/>
  <c r="D19" i="48"/>
  <c r="E19" i="48"/>
  <c r="D20" i="48"/>
  <c r="E20" i="48"/>
  <c r="D21" i="48"/>
  <c r="E21" i="48"/>
  <c r="D22" i="48"/>
  <c r="E22" i="48"/>
  <c r="D23" i="48"/>
  <c r="E23" i="48"/>
  <c r="D24" i="48"/>
  <c r="E24" i="48"/>
  <c r="D25" i="48"/>
  <c r="E25" i="48"/>
  <c r="D26" i="48"/>
  <c r="E26" i="48"/>
  <c r="D27" i="48"/>
  <c r="E27" i="48"/>
  <c r="D28" i="48"/>
  <c r="E28" i="48"/>
  <c r="D29" i="48"/>
  <c r="E29" i="48"/>
  <c r="D30" i="48"/>
  <c r="E30" i="48"/>
  <c r="D31" i="48"/>
  <c r="E31" i="48"/>
  <c r="D32" i="48"/>
  <c r="E32" i="48"/>
  <c r="D33" i="48"/>
  <c r="E33" i="48"/>
  <c r="D34" i="48"/>
  <c r="E34" i="48"/>
  <c r="D35" i="48"/>
  <c r="E35" i="48"/>
  <c r="D36" i="48"/>
  <c r="E36" i="48"/>
  <c r="D37" i="48"/>
  <c r="E37" i="48"/>
  <c r="D38" i="48"/>
  <c r="E38" i="48"/>
  <c r="D39" i="48"/>
  <c r="E39" i="48"/>
  <c r="D40" i="48"/>
  <c r="E40" i="48"/>
  <c r="D41" i="48"/>
  <c r="E41" i="48"/>
  <c r="D42" i="48"/>
  <c r="E42" i="48"/>
  <c r="D43" i="48"/>
  <c r="E43" i="48"/>
  <c r="D44" i="48"/>
  <c r="E44" i="48"/>
  <c r="D45" i="48"/>
  <c r="E45" i="48"/>
  <c r="D46" i="48"/>
  <c r="E46" i="48"/>
  <c r="D47" i="48"/>
  <c r="E47" i="48"/>
  <c r="D48" i="48"/>
  <c r="E48" i="48"/>
  <c r="D49" i="48"/>
  <c r="E49" i="48"/>
  <c r="D50" i="48"/>
  <c r="E50" i="48"/>
  <c r="D51" i="48"/>
  <c r="E51" i="48"/>
  <c r="D52" i="48"/>
  <c r="E52" i="48"/>
  <c r="D53" i="48"/>
  <c r="E53" i="48"/>
  <c r="D54" i="48"/>
  <c r="E54" i="48"/>
  <c r="D55" i="48"/>
  <c r="E55" i="48"/>
  <c r="D56" i="48"/>
  <c r="E56" i="48"/>
  <c r="D57" i="48"/>
  <c r="E57" i="48"/>
  <c r="D58" i="48"/>
  <c r="E58" i="48"/>
  <c r="D59" i="48"/>
  <c r="E59" i="48"/>
  <c r="D60" i="48"/>
  <c r="E60" i="48"/>
  <c r="D61" i="48"/>
  <c r="E61" i="48"/>
  <c r="D62" i="48"/>
  <c r="E62" i="48"/>
  <c r="D63" i="48"/>
  <c r="E63" i="48"/>
  <c r="D64" i="48"/>
  <c r="E64" i="48"/>
  <c r="D65" i="48"/>
  <c r="E65" i="48"/>
  <c r="D66" i="48"/>
  <c r="E66" i="48"/>
  <c r="D67" i="48"/>
  <c r="E67" i="48"/>
  <c r="D68" i="48"/>
  <c r="E68" i="48"/>
  <c r="D69" i="48"/>
  <c r="E69" i="48"/>
  <c r="D70" i="48"/>
  <c r="E70" i="48"/>
  <c r="D71" i="48"/>
  <c r="E71" i="48"/>
  <c r="D72" i="48"/>
  <c r="E72" i="48"/>
  <c r="D73" i="48"/>
  <c r="E73" i="48"/>
  <c r="D74" i="48"/>
  <c r="E74" i="48"/>
  <c r="D75" i="48"/>
  <c r="E75" i="48"/>
  <c r="D76" i="48"/>
  <c r="E76" i="48"/>
  <c r="D77" i="48"/>
  <c r="E77" i="48"/>
  <c r="D78" i="48"/>
  <c r="E78" i="48"/>
  <c r="D79" i="48"/>
  <c r="E79" i="48"/>
  <c r="D80" i="48"/>
  <c r="E80" i="48"/>
  <c r="D81" i="48"/>
  <c r="E81" i="48"/>
  <c r="D82" i="48"/>
  <c r="E82" i="48"/>
  <c r="D83" i="48"/>
  <c r="E83" i="48"/>
  <c r="D84" i="48"/>
  <c r="E84" i="48"/>
  <c r="D85" i="48"/>
  <c r="E85" i="48"/>
  <c r="D86" i="48"/>
  <c r="E86" i="48"/>
  <c r="D87" i="48"/>
  <c r="E87" i="48"/>
  <c r="D88" i="48"/>
  <c r="E88" i="48"/>
  <c r="D89" i="48"/>
  <c r="E89" i="48"/>
  <c r="E10" i="48"/>
  <c r="E9" i="48"/>
  <c r="D10" i="48"/>
  <c r="D9" i="48"/>
  <c r="F17" i="90" l="1"/>
  <c r="L12" i="63"/>
  <c r="L13" i="64"/>
  <c r="I12" i="63"/>
  <c r="I13" i="64"/>
  <c r="J12" i="63"/>
  <c r="J13" i="64"/>
  <c r="E14" i="86"/>
  <c r="K12" i="63"/>
  <c r="K13" i="64"/>
  <c r="E14" i="87"/>
  <c r="O8" i="83"/>
  <c r="O9" i="83"/>
  <c r="N8" i="83"/>
  <c r="E15" i="82"/>
  <c r="F15" i="82" s="1"/>
  <c r="E30" i="72"/>
  <c r="E31" i="72" s="1"/>
  <c r="E32" i="72" s="1"/>
  <c r="F20" i="72"/>
  <c r="F28" i="72"/>
  <c r="G28" i="72"/>
  <c r="G16" i="72"/>
  <c r="G20" i="72" s="1"/>
  <c r="E25" i="71"/>
  <c r="E21" i="70"/>
  <c r="H12" i="69"/>
  <c r="I12" i="69" s="1"/>
  <c r="H13" i="69"/>
  <c r="I13" i="69" s="1"/>
  <c r="H14" i="69"/>
  <c r="I14" i="69" s="1"/>
  <c r="H13" i="68"/>
  <c r="E18" i="68"/>
  <c r="E20" i="68"/>
  <c r="E16" i="68"/>
  <c r="M15" i="67"/>
  <c r="I29" i="66"/>
  <c r="I24" i="66"/>
  <c r="I12" i="65"/>
  <c r="J12" i="65"/>
  <c r="H12" i="65"/>
  <c r="I13" i="62"/>
  <c r="L13" i="62"/>
  <c r="J13" i="62"/>
  <c r="K13" i="62"/>
  <c r="J14" i="61"/>
  <c r="I14" i="61"/>
  <c r="K14" i="61"/>
  <c r="H13" i="60"/>
  <c r="G13" i="60"/>
  <c r="K30" i="48"/>
  <c r="K29" i="48"/>
  <c r="E14" i="47"/>
  <c r="F24" i="45" a="1"/>
  <c r="F24" i="45" s="1"/>
  <c r="F25" i="45" a="1"/>
  <c r="F25" i="45" s="1"/>
  <c r="F26" i="45" a="1"/>
  <c r="F26" i="45" s="1"/>
  <c r="F23" i="45" a="1"/>
  <c r="F23" i="45" s="1"/>
  <c r="D22" i="44"/>
  <c r="D23" i="44"/>
  <c r="D24" i="44"/>
  <c r="D25" i="44"/>
  <c r="D21" i="44"/>
  <c r="E33" i="43"/>
  <c r="E32" i="43"/>
  <c r="E30" i="43"/>
  <c r="E28" i="43"/>
  <c r="E27" i="43"/>
  <c r="E31" i="43"/>
  <c r="E29" i="43"/>
  <c r="E18" i="41"/>
  <c r="E19" i="41"/>
  <c r="E10" i="36"/>
  <c r="E13" i="32"/>
  <c r="E14" i="32"/>
  <c r="E15" i="32"/>
  <c r="E16" i="32"/>
  <c r="E17" i="32"/>
  <c r="E18" i="32"/>
  <c r="E19" i="32"/>
  <c r="E20" i="32"/>
  <c r="E21" i="32"/>
  <c r="E12" i="32"/>
  <c r="I23" i="31"/>
  <c r="I22" i="31"/>
  <c r="I21" i="31"/>
  <c r="I20" i="31"/>
  <c r="I19" i="31"/>
  <c r="D15" i="31"/>
  <c r="D14" i="31"/>
  <c r="D13" i="31"/>
  <c r="D12" i="31"/>
  <c r="D11" i="31"/>
  <c r="D10" i="31"/>
  <c r="D9" i="31"/>
  <c r="E32" i="27"/>
  <c r="D32" i="27"/>
  <c r="E28" i="27"/>
  <c r="D28" i="27"/>
  <c r="E27" i="27"/>
  <c r="D27" i="27"/>
  <c r="E26" i="27"/>
  <c r="D26" i="27"/>
  <c r="E25" i="27"/>
  <c r="D25" i="27"/>
  <c r="E24" i="27"/>
  <c r="D24" i="27"/>
  <c r="E23" i="27"/>
  <c r="D23" i="27"/>
  <c r="E22" i="27"/>
  <c r="D22" i="27"/>
  <c r="E21" i="27"/>
  <c r="D21" i="27"/>
  <c r="E20" i="27"/>
  <c r="D20" i="27"/>
  <c r="E19" i="27"/>
  <c r="D19" i="27"/>
  <c r="E18" i="27"/>
  <c r="D18" i="27"/>
  <c r="E17" i="27"/>
  <c r="D17" i="27"/>
  <c r="E16" i="27"/>
  <c r="D16" i="27"/>
  <c r="E15" i="27"/>
  <c r="D15" i="27"/>
  <c r="E14" i="27"/>
  <c r="D14" i="27"/>
  <c r="E13" i="27"/>
  <c r="D13" i="27"/>
  <c r="E12" i="27"/>
  <c r="D12" i="27"/>
  <c r="E11" i="27"/>
  <c r="D11" i="27"/>
  <c r="E10" i="27"/>
  <c r="D10" i="27"/>
  <c r="E9" i="27"/>
  <c r="D9" i="27"/>
  <c r="D42" i="30"/>
  <c r="D41" i="30"/>
  <c r="E39" i="30"/>
  <c r="D39" i="30"/>
  <c r="E38" i="30"/>
  <c r="D38" i="30"/>
  <c r="E37" i="30"/>
  <c r="D37" i="30"/>
  <c r="E36" i="30"/>
  <c r="D36" i="30"/>
  <c r="E35" i="30"/>
  <c r="D35" i="30"/>
  <c r="E34" i="30"/>
  <c r="D34" i="30"/>
  <c r="E33" i="30"/>
  <c r="D33" i="30"/>
  <c r="E32" i="30"/>
  <c r="D32" i="30"/>
  <c r="E31" i="30"/>
  <c r="D31" i="30"/>
  <c r="E30" i="30"/>
  <c r="D30" i="30"/>
  <c r="E29" i="30"/>
  <c r="D29" i="30"/>
  <c r="E28" i="30"/>
  <c r="D28" i="30"/>
  <c r="E27" i="30"/>
  <c r="D27" i="30"/>
  <c r="E26" i="30"/>
  <c r="D26" i="30"/>
  <c r="E25" i="30"/>
  <c r="D25" i="30"/>
  <c r="E24" i="30"/>
  <c r="D24" i="30"/>
  <c r="E23" i="30"/>
  <c r="D23" i="30"/>
  <c r="E22" i="30"/>
  <c r="D22" i="30"/>
  <c r="E21" i="30"/>
  <c r="D21" i="30"/>
  <c r="E20" i="30"/>
  <c r="D20" i="30"/>
  <c r="E19" i="30"/>
  <c r="D19" i="30"/>
  <c r="E18" i="30"/>
  <c r="D18" i="30"/>
  <c r="E17" i="30"/>
  <c r="D17" i="30"/>
  <c r="E16" i="30"/>
  <c r="D16" i="30"/>
  <c r="E15" i="30"/>
  <c r="D15" i="30"/>
  <c r="E14" i="30"/>
  <c r="D14" i="30"/>
  <c r="E13" i="30"/>
  <c r="D13" i="30"/>
  <c r="E12" i="30"/>
  <c r="D12" i="30"/>
  <c r="E11" i="30"/>
  <c r="D11" i="30"/>
  <c r="E10" i="30"/>
  <c r="D10" i="30"/>
  <c r="E9" i="30"/>
  <c r="D9" i="30"/>
  <c r="C10" i="29"/>
  <c r="C11" i="29" s="1"/>
  <c r="E9" i="29"/>
  <c r="D9" i="29"/>
  <c r="F14" i="23"/>
  <c r="F13" i="23"/>
  <c r="F12" i="23"/>
  <c r="F11" i="23"/>
  <c r="H12" i="22"/>
  <c r="G12" i="22"/>
  <c r="F12" i="22"/>
  <c r="E12" i="22"/>
  <c r="D12" i="22"/>
  <c r="I11" i="22"/>
  <c r="I10" i="22"/>
  <c r="I9" i="22"/>
  <c r="D9" i="15"/>
  <c r="I15" i="14"/>
  <c r="I16" i="14"/>
  <c r="I17" i="14"/>
  <c r="I18" i="14"/>
  <c r="I19" i="14"/>
  <c r="I20" i="14"/>
  <c r="I21" i="14"/>
  <c r="I14" i="14"/>
  <c r="H15" i="14"/>
  <c r="H16" i="14"/>
  <c r="H17" i="14"/>
  <c r="H18" i="14"/>
  <c r="H19" i="14"/>
  <c r="H20" i="14"/>
  <c r="H21" i="14"/>
  <c r="H14" i="14"/>
  <c r="G15" i="14"/>
  <c r="G16" i="14"/>
  <c r="G17" i="14"/>
  <c r="G18" i="14"/>
  <c r="G19" i="14"/>
  <c r="G20" i="14"/>
  <c r="G21" i="14"/>
  <c r="G14" i="14"/>
  <c r="J14" i="14"/>
  <c r="F13" i="13"/>
  <c r="F14" i="13"/>
  <c r="F15" i="13"/>
  <c r="E14" i="12"/>
  <c r="E13" i="12"/>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J21" i="14"/>
  <c r="J20" i="14"/>
  <c r="J19" i="14"/>
  <c r="J18" i="14"/>
  <c r="J17" i="14"/>
  <c r="J16" i="14"/>
  <c r="J15" i="14"/>
  <c r="G14" i="10"/>
  <c r="J14" i="10" s="1"/>
  <c r="G13" i="10"/>
  <c r="G12" i="10"/>
  <c r="G11" i="10"/>
  <c r="H14" i="10" l="1"/>
  <c r="I14" i="10" s="1"/>
  <c r="I12" i="22"/>
  <c r="F15" i="23"/>
  <c r="F9" i="29"/>
  <c r="F9" i="27"/>
  <c r="F10" i="27"/>
  <c r="F11" i="27"/>
  <c r="F12" i="27"/>
  <c r="F13" i="27"/>
  <c r="F14" i="27"/>
  <c r="F15" i="27"/>
  <c r="F16" i="27"/>
  <c r="F17" i="27"/>
  <c r="F18" i="27"/>
  <c r="F19" i="27"/>
  <c r="F20" i="27"/>
  <c r="F21" i="27"/>
  <c r="F22" i="27"/>
  <c r="F23" i="27"/>
  <c r="F24" i="27"/>
  <c r="F25" i="27"/>
  <c r="F26" i="27"/>
  <c r="F27" i="27"/>
  <c r="F28" i="27"/>
  <c r="H11" i="10"/>
  <c r="I11" i="10" s="1"/>
  <c r="H13" i="10"/>
  <c r="J13" i="10" s="1"/>
  <c r="H12" i="10"/>
  <c r="J12" i="10" s="1"/>
  <c r="E16" i="82"/>
  <c r="F16" i="82" s="1"/>
  <c r="G30" i="72"/>
  <c r="G31" i="72" s="1"/>
  <c r="G32" i="72" s="1"/>
  <c r="F30" i="72"/>
  <c r="E20" i="41"/>
  <c r="E21" i="41" s="1"/>
  <c r="F32" i="27"/>
  <c r="D43" i="30"/>
  <c r="C12" i="29"/>
  <c r="E11" i="29"/>
  <c r="D11" i="29"/>
  <c r="D10" i="29"/>
  <c r="E10" i="29"/>
  <c r="E15" i="12"/>
  <c r="I13" i="10" l="1"/>
  <c r="J11" i="10"/>
  <c r="F10" i="29"/>
  <c r="I12" i="10"/>
  <c r="E17" i="82"/>
  <c r="F17" i="82" s="1"/>
  <c r="F31" i="72"/>
  <c r="F32" i="72" s="1"/>
  <c r="E22" i="41"/>
  <c r="D22" i="41"/>
  <c r="C13" i="29"/>
  <c r="E12" i="29"/>
  <c r="D12" i="29"/>
  <c r="F11" i="29"/>
  <c r="F12" i="29" l="1"/>
  <c r="E18" i="82"/>
  <c r="F18" i="82" s="1"/>
  <c r="C14" i="29"/>
  <c r="E13" i="29"/>
  <c r="D13" i="29"/>
  <c r="F13" i="29" l="1"/>
  <c r="E19" i="82"/>
  <c r="F19" i="82" s="1"/>
  <c r="C15" i="29"/>
  <c r="E14" i="29"/>
  <c r="D14" i="29"/>
  <c r="E20" i="82" l="1"/>
  <c r="F20" i="82" s="1"/>
  <c r="C16" i="29"/>
  <c r="E15" i="29"/>
  <c r="D15" i="29"/>
  <c r="F14" i="29"/>
  <c r="E21" i="82" l="1"/>
  <c r="F21" i="82" s="1"/>
  <c r="C17" i="29"/>
  <c r="E16" i="29"/>
  <c r="D16" i="29"/>
  <c r="F15" i="29"/>
  <c r="E22" i="82" l="1"/>
  <c r="F22" i="82" s="1"/>
  <c r="C18" i="29"/>
  <c r="E17" i="29"/>
  <c r="D17" i="29"/>
  <c r="F16" i="29"/>
  <c r="C19" i="29" l="1"/>
  <c r="E18" i="29"/>
  <c r="D18" i="29"/>
  <c r="F17" i="29"/>
  <c r="C20" i="29" l="1"/>
  <c r="E19" i="29"/>
  <c r="D19" i="29"/>
  <c r="F18" i="29"/>
  <c r="C21" i="29" l="1"/>
  <c r="E20" i="29"/>
  <c r="D20" i="29"/>
  <c r="F19" i="29"/>
  <c r="F20" i="29" l="1"/>
  <c r="C22" i="29"/>
  <c r="E21" i="29"/>
  <c r="D21" i="29"/>
  <c r="F21" i="29" l="1"/>
  <c r="C23" i="29"/>
  <c r="E22" i="29"/>
  <c r="D22" i="29"/>
  <c r="C24" i="29" l="1"/>
  <c r="E23" i="29"/>
  <c r="D23" i="29"/>
  <c r="F22" i="29"/>
  <c r="C25" i="29" l="1"/>
  <c r="E24" i="29"/>
  <c r="D24" i="29"/>
  <c r="F23" i="29"/>
  <c r="C26" i="29" l="1"/>
  <c r="E25" i="29"/>
  <c r="D25" i="29"/>
  <c r="F24" i="29"/>
  <c r="C27" i="29" l="1"/>
  <c r="E26" i="29"/>
  <c r="D26" i="29"/>
  <c r="F25" i="29"/>
  <c r="C28" i="29" l="1"/>
  <c r="E27" i="29"/>
  <c r="D27" i="29"/>
  <c r="F26" i="29"/>
  <c r="C29" i="29" l="1"/>
  <c r="E28" i="29"/>
  <c r="D28" i="29"/>
  <c r="F27" i="29"/>
  <c r="F28" i="29" l="1"/>
  <c r="C30" i="29"/>
  <c r="E29" i="29"/>
  <c r="D29" i="29"/>
  <c r="F29" i="29" l="1"/>
  <c r="C31" i="29"/>
  <c r="E30" i="29"/>
  <c r="D30" i="29"/>
  <c r="F30" i="29" l="1"/>
  <c r="C32" i="29"/>
  <c r="E31" i="29"/>
  <c r="D31" i="29"/>
  <c r="F31" i="29" l="1"/>
  <c r="C33" i="29"/>
  <c r="E32" i="29"/>
  <c r="D32" i="29"/>
  <c r="C34" i="29" l="1"/>
  <c r="E33" i="29"/>
  <c r="D33" i="29"/>
  <c r="F32" i="29"/>
  <c r="C35" i="29" l="1"/>
  <c r="E34" i="29"/>
  <c r="D34" i="29"/>
  <c r="F33" i="29"/>
  <c r="C36" i="29" l="1"/>
  <c r="E35" i="29"/>
  <c r="D35" i="29"/>
  <c r="F34" i="29"/>
  <c r="F35" i="29" l="1"/>
  <c r="C37" i="29"/>
  <c r="E36" i="29"/>
  <c r="D36" i="29"/>
  <c r="C38" i="29" l="1"/>
  <c r="E37" i="29"/>
  <c r="D37" i="29"/>
  <c r="F36" i="29"/>
  <c r="F37" i="29" l="1"/>
  <c r="C39" i="29"/>
  <c r="E38" i="29"/>
  <c r="D38" i="29"/>
  <c r="F38" i="29" l="1"/>
  <c r="C40" i="29"/>
  <c r="E39" i="29"/>
  <c r="D39" i="29"/>
  <c r="C41" i="29" l="1"/>
  <c r="E40" i="29"/>
  <c r="D40" i="29"/>
  <c r="F39" i="29"/>
  <c r="F40" i="29" l="1"/>
  <c r="C42" i="29"/>
  <c r="E41" i="29"/>
  <c r="D41" i="29"/>
  <c r="F41" i="29" l="1"/>
  <c r="C43" i="29"/>
  <c r="E42" i="29"/>
  <c r="D42" i="29"/>
  <c r="F42" i="29" l="1"/>
  <c r="C44" i="29"/>
  <c r="E43" i="29"/>
  <c r="D43" i="29"/>
  <c r="C45" i="29" l="1"/>
  <c r="E44" i="29"/>
  <c r="D44" i="29"/>
  <c r="F43" i="29"/>
  <c r="C46" i="29" l="1"/>
  <c r="E45" i="29"/>
  <c r="D45" i="29"/>
  <c r="F44" i="29"/>
  <c r="C47" i="29" l="1"/>
  <c r="E46" i="29"/>
  <c r="D46" i="29"/>
  <c r="F45" i="29"/>
  <c r="F46" i="29" l="1"/>
  <c r="C48" i="29"/>
  <c r="E47" i="29"/>
  <c r="D47" i="29"/>
  <c r="F47" i="29" l="1"/>
  <c r="C49" i="29"/>
  <c r="E48" i="29"/>
  <c r="D48" i="29"/>
  <c r="F48" i="29" l="1"/>
  <c r="C50" i="29"/>
  <c r="E49" i="29"/>
  <c r="D49" i="29"/>
  <c r="F49" i="29" l="1"/>
  <c r="C51" i="29"/>
  <c r="E50" i="29"/>
  <c r="D50" i="29"/>
  <c r="F50" i="29" l="1"/>
  <c r="C52" i="29"/>
  <c r="E51" i="29"/>
  <c r="D51" i="29"/>
  <c r="F51" i="29" l="1"/>
  <c r="C53" i="29"/>
  <c r="E52" i="29"/>
  <c r="D52" i="29"/>
  <c r="C54" i="29" l="1"/>
  <c r="E53" i="29"/>
  <c r="D53" i="29"/>
  <c r="F52" i="29"/>
  <c r="E54" i="29" l="1"/>
  <c r="D54" i="29"/>
  <c r="F53" i="29"/>
  <c r="F54" i="29" l="1"/>
  <c r="H9" i="2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F290E00-67B1-4D81-9F7B-1D2AB844B2FC}" keepAlive="1" name="Query - tblTidy001" description="Verbinding maken met de query tblTidy001 in de werkmap." type="5" refreshedVersion="6" background="1" saveData="1">
    <dbPr connection="Provider=Microsoft.Mashup.OleDb.1;Data Source=$Workbook$;Location=tblTidy001;Extended Properties=&quot;&quot;" command="SELECT * FROM [tblTidy001]"/>
  </connection>
  <connection id="2" xr16:uid="{AFE4646D-3835-4303-B4FD-7DEA445BC7C9}" keepAlive="1" name="Query - tblTidy002" description="Verbinding maken met de query tblTidy002 in de werkmap." type="5" refreshedVersion="6" background="1" saveData="1">
    <dbPr connection="Provider=Microsoft.Mashup.OleDb.1;Data Source=$Workbook$;Location=tblTidy002;Extended Properties=&quot;&quot;" command="SELECT * FROM [tblTidy002]"/>
  </connection>
  <connection id="3" xr16:uid="{35DF68C0-D029-4E10-B1B1-698E523DC004}" keepAlive="1" name="Query - tblTidy003" description="Verbinding maken met de query tblTidy003 in de werkmap." type="5" refreshedVersion="6" background="1" saveData="1">
    <dbPr connection="Provider=Microsoft.Mashup.OleDb.1;Data Source=$Workbook$;Location=tblTidy003;Extended Properties=&quot;&quot;" command="SELECT * FROM [tblTidy003]"/>
  </connection>
  <connection id="4" xr16:uid="{7F300980-2996-4150-816E-B983B96431EF}" keepAlive="1" name="Query - Verkopen" description="Verbinding maken met de query Verkopen in de werkmap." type="5" refreshedVersion="6" background="1" saveData="1">
    <dbPr connection="Provider=Microsoft.Mashup.OleDb.1;Data Source=$Workbook$;Location=Verkopen;Extended Properties=&quot;&quot;" command="SELECT * FROM [Verkopen]"/>
  </connection>
</connections>
</file>

<file path=xl/sharedStrings.xml><?xml version="1.0" encoding="utf-8"?>
<sst xmlns="http://schemas.openxmlformats.org/spreadsheetml/2006/main" count="5948" uniqueCount="1648">
  <si>
    <t>Produktgroep</t>
  </si>
  <si>
    <t>Kosten</t>
  </si>
  <si>
    <t>Opbrengst</t>
  </si>
  <si>
    <t>Bruto Winst</t>
  </si>
  <si>
    <t>Marge
behaald</t>
  </si>
  <si>
    <t>Resultaat</t>
  </si>
  <si>
    <t>Computers</t>
  </si>
  <si>
    <t>Software</t>
  </si>
  <si>
    <t>Advisering</t>
  </si>
  <si>
    <t>Reparatie</t>
  </si>
  <si>
    <t>doel</t>
  </si>
  <si>
    <t>+</t>
  </si>
  <si>
    <t>=</t>
  </si>
  <si>
    <t>geboortedatum</t>
  </si>
  <si>
    <t>AOW datum</t>
  </si>
  <si>
    <t>Huidige datum</t>
  </si>
  <si>
    <t>aantal dagen te gaan tot AOW</t>
  </si>
  <si>
    <t>AOW leeftijd</t>
  </si>
  <si>
    <t>verkoop doelstelling</t>
  </si>
  <si>
    <t>commissie laag</t>
  </si>
  <si>
    <t>commissie hoog</t>
  </si>
  <si>
    <t>vertegenwoordiger</t>
  </si>
  <si>
    <t>verkoop</t>
  </si>
  <si>
    <t>commissie</t>
  </si>
  <si>
    <t>Jansen</t>
  </si>
  <si>
    <t>Pietersen</t>
  </si>
  <si>
    <t>Klaassen</t>
  </si>
  <si>
    <t>Naam</t>
  </si>
  <si>
    <t>Verwacht</t>
  </si>
  <si>
    <t>Hendriksen</t>
  </si>
  <si>
    <t>Barendsen</t>
  </si>
  <si>
    <t>Boswinkel</t>
  </si>
  <si>
    <t>Deppen</t>
  </si>
  <si>
    <t>Noordebos</t>
  </si>
  <si>
    <t>Rapportagedatum:</t>
  </si>
  <si>
    <t>Geboorte
datum</t>
  </si>
  <si>
    <t>Dagen
Te vroeg</t>
  </si>
  <si>
    <t>Dagen
Te laat</t>
  </si>
  <si>
    <t>Overtijd</t>
  </si>
  <si>
    <t>Moeder - Kind Centrum Oost</t>
  </si>
  <si>
    <t>Overzicht Geboorten</t>
  </si>
  <si>
    <t>Op tijd</t>
  </si>
  <si>
    <t>Resultaten computerbedrijf</t>
  </si>
  <si>
    <t>Matrixoptelling</t>
  </si>
  <si>
    <t>Datum rekenen</t>
  </si>
  <si>
    <t>Commissie bepalen</t>
  </si>
  <si>
    <t>Geboortedata</t>
  </si>
  <si>
    <t>Ga naar Inhoudsopgave</t>
  </si>
  <si>
    <t>Derdegraads grafiek</t>
  </si>
  <si>
    <t>Reizen</t>
  </si>
  <si>
    <t>Verkoopcijfers</t>
  </si>
  <si>
    <t>x</t>
  </si>
  <si>
    <t>y</t>
  </si>
  <si>
    <t>Jaar</t>
  </si>
  <si>
    <t>Egypte</t>
  </si>
  <si>
    <t>China</t>
  </si>
  <si>
    <t>Nepal</t>
  </si>
  <si>
    <t>Sahara</t>
  </si>
  <si>
    <t>Zuidpool</t>
  </si>
  <si>
    <t>totaal</t>
  </si>
  <si>
    <t>begroot</t>
  </si>
  <si>
    <t>werkelijk</t>
  </si>
  <si>
    <t>afwijking</t>
  </si>
  <si>
    <t>kwrt 1</t>
  </si>
  <si>
    <t>kwrt 2</t>
  </si>
  <si>
    <t>kwrt 3</t>
  </si>
  <si>
    <t>kwrt 4</t>
  </si>
  <si>
    <t>gemiddeld</t>
  </si>
  <si>
    <t>Selecteren</t>
  </si>
  <si>
    <t>form001</t>
  </si>
  <si>
    <t>form003</t>
  </si>
  <si>
    <t>form004</t>
  </si>
  <si>
    <t>graf001</t>
  </si>
  <si>
    <t>graf002</t>
  </si>
  <si>
    <t>graf003</t>
  </si>
  <si>
    <t>list001</t>
  </si>
  <si>
    <t>list002</t>
  </si>
  <si>
    <t>form005</t>
  </si>
  <si>
    <t>list003</t>
  </si>
  <si>
    <t>list004</t>
  </si>
  <si>
    <t>voornaam</t>
  </si>
  <si>
    <t>achternaam</t>
  </si>
  <si>
    <t>cijfer</t>
  </si>
  <si>
    <t>jan</t>
  </si>
  <si>
    <t>jansen</t>
  </si>
  <si>
    <t>piet</t>
  </si>
  <si>
    <t>pietersen</t>
  </si>
  <si>
    <t>lin</t>
  </si>
  <si>
    <t>linsen</t>
  </si>
  <si>
    <t>phi</t>
  </si>
  <si>
    <t>philips</t>
  </si>
  <si>
    <t>joost</t>
  </si>
  <si>
    <t>joosten</t>
  </si>
  <si>
    <t>wil</t>
  </si>
  <si>
    <t>willemsen</t>
  </si>
  <si>
    <t>ger</t>
  </si>
  <si>
    <t>gerritsen</t>
  </si>
  <si>
    <t>imka</t>
  </si>
  <si>
    <t>marina</t>
  </si>
  <si>
    <t>Tentamen</t>
  </si>
  <si>
    <t>Herkansing</t>
  </si>
  <si>
    <t>Eindresultaat</t>
  </si>
  <si>
    <t>student</t>
  </si>
  <si>
    <t>martin</t>
  </si>
  <si>
    <t>klaas</t>
  </si>
  <si>
    <t>kees</t>
  </si>
  <si>
    <t>paul</t>
  </si>
  <si>
    <t>peter</t>
  </si>
  <si>
    <t>henk</t>
  </si>
  <si>
    <t>gert</t>
  </si>
  <si>
    <t>rik</t>
  </si>
  <si>
    <t>frank</t>
  </si>
  <si>
    <t>erik</t>
  </si>
  <si>
    <t>bert</t>
  </si>
  <si>
    <t>Filiaal Noord</t>
  </si>
  <si>
    <t>bruin</t>
  </si>
  <si>
    <t>wit</t>
  </si>
  <si>
    <t>krenten</t>
  </si>
  <si>
    <t>januari</t>
  </si>
  <si>
    <t>maart</t>
  </si>
  <si>
    <t>juni</t>
  </si>
  <si>
    <t>Filiaal Zuid</t>
  </si>
  <si>
    <t>februari</t>
  </si>
  <si>
    <t>Totaal</t>
  </si>
  <si>
    <t>Tentamencijfers samenvoegen</t>
  </si>
  <si>
    <t>Merk</t>
  </si>
  <si>
    <t>Type</t>
  </si>
  <si>
    <t>Cylinders</t>
  </si>
  <si>
    <t>Topsnelheid</t>
  </si>
  <si>
    <t>Brandstof</t>
  </si>
  <si>
    <t>Verbruik</t>
  </si>
  <si>
    <t>Prijs</t>
  </si>
  <si>
    <t>ALFA ROMEO</t>
  </si>
  <si>
    <t xml:space="preserve">33 1 3       </t>
  </si>
  <si>
    <t xml:space="preserve">75 1 8       </t>
  </si>
  <si>
    <t xml:space="preserve">75 TURBO D   </t>
  </si>
  <si>
    <t>D</t>
  </si>
  <si>
    <t xml:space="preserve">SPIDER 2 0   </t>
  </si>
  <si>
    <t>AUDI</t>
  </si>
  <si>
    <t xml:space="preserve">80 1 8       </t>
  </si>
  <si>
    <t xml:space="preserve">80 D         </t>
  </si>
  <si>
    <t xml:space="preserve">100 1 8      </t>
  </si>
  <si>
    <t xml:space="preserve">100 D        </t>
  </si>
  <si>
    <t>AUSTIN</t>
  </si>
  <si>
    <t xml:space="preserve">METRO SP     </t>
  </si>
  <si>
    <t xml:space="preserve">MAESTRO SP   </t>
  </si>
  <si>
    <t xml:space="preserve">MONTEGO 1 3  </t>
  </si>
  <si>
    <t>BMW</t>
  </si>
  <si>
    <t xml:space="preserve">318I         </t>
  </si>
  <si>
    <t xml:space="preserve">325I         </t>
  </si>
  <si>
    <t xml:space="preserve">518I         </t>
  </si>
  <si>
    <t xml:space="preserve">520I         </t>
  </si>
  <si>
    <t xml:space="preserve">525E         </t>
  </si>
  <si>
    <t xml:space="preserve">730I         </t>
  </si>
  <si>
    <t>CITROEN</t>
  </si>
  <si>
    <t xml:space="preserve">2CV6 SPECIAL </t>
  </si>
  <si>
    <t xml:space="preserve">VISA         </t>
  </si>
  <si>
    <t xml:space="preserve">AXEL II      </t>
  </si>
  <si>
    <t xml:space="preserve">BX 14        </t>
  </si>
  <si>
    <t xml:space="preserve">CX 20RE      </t>
  </si>
  <si>
    <t xml:space="preserve">CX 22TRS     </t>
  </si>
  <si>
    <t xml:space="preserve">CX 25RD      </t>
  </si>
  <si>
    <t>DAIHATSU</t>
  </si>
  <si>
    <t xml:space="preserve">CUORE 850TS  </t>
  </si>
  <si>
    <t xml:space="preserve">CHARADE TG   </t>
  </si>
  <si>
    <t xml:space="preserve">CHARADE TSD  </t>
  </si>
  <si>
    <t xml:space="preserve">CHARMANT     </t>
  </si>
  <si>
    <t>FIAT</t>
  </si>
  <si>
    <t xml:space="preserve">PANDA 750L   </t>
  </si>
  <si>
    <t xml:space="preserve">UNO 45       </t>
  </si>
  <si>
    <t xml:space="preserve">UNO D        </t>
  </si>
  <si>
    <t xml:space="preserve">RITMO 60     </t>
  </si>
  <si>
    <t xml:space="preserve">RITMO D      </t>
  </si>
  <si>
    <t xml:space="preserve">REGATTA 70   </t>
  </si>
  <si>
    <t xml:space="preserve">REGATTA D    </t>
  </si>
  <si>
    <t xml:space="preserve">CROMA CHT    </t>
  </si>
  <si>
    <t xml:space="preserve">CROMA D      </t>
  </si>
  <si>
    <t>FORD</t>
  </si>
  <si>
    <t xml:space="preserve">FIESTA 1 0C  </t>
  </si>
  <si>
    <t xml:space="preserve">FIESTA D     </t>
  </si>
  <si>
    <t xml:space="preserve">ESCORT 1 1C  </t>
  </si>
  <si>
    <t xml:space="preserve">ESCORT D     </t>
  </si>
  <si>
    <t xml:space="preserve">ORION        </t>
  </si>
  <si>
    <t xml:space="preserve">ORION D      </t>
  </si>
  <si>
    <t xml:space="preserve">SIERRA 1600  </t>
  </si>
  <si>
    <t xml:space="preserve">SIERRA D     </t>
  </si>
  <si>
    <t xml:space="preserve">SCORPIO      </t>
  </si>
  <si>
    <t xml:space="preserve">SCORPIO D    </t>
  </si>
  <si>
    <t>FSO</t>
  </si>
  <si>
    <t xml:space="preserve">POLONEZ 1 5  </t>
  </si>
  <si>
    <t>HONDA</t>
  </si>
  <si>
    <t xml:space="preserve">CIVIC 1 2SP  </t>
  </si>
  <si>
    <t xml:space="preserve">INTEGRA 1 5  </t>
  </si>
  <si>
    <t xml:space="preserve">ACCORD 1 6   </t>
  </si>
  <si>
    <t xml:space="preserve">PRELUDE SP   </t>
  </si>
  <si>
    <t>HYUNDAI</t>
  </si>
  <si>
    <t xml:space="preserve">PONY XP 1 3  </t>
  </si>
  <si>
    <t>STELLAR 1600L</t>
  </si>
  <si>
    <t>JAGUAR</t>
  </si>
  <si>
    <t xml:space="preserve">XJ6          </t>
  </si>
  <si>
    <t>LADA</t>
  </si>
  <si>
    <t xml:space="preserve">1200S        </t>
  </si>
  <si>
    <t xml:space="preserve">SAMARA 1 3   </t>
  </si>
  <si>
    <t>LANCIA</t>
  </si>
  <si>
    <t xml:space="preserve">YPSILON      </t>
  </si>
  <si>
    <t xml:space="preserve">PRISMA       </t>
  </si>
  <si>
    <t>PRISMA TURBOD</t>
  </si>
  <si>
    <t xml:space="preserve">THEMA        </t>
  </si>
  <si>
    <t xml:space="preserve">THEMA TURBOD </t>
  </si>
  <si>
    <t>MAZDA</t>
  </si>
  <si>
    <t xml:space="preserve">323 1 1L     </t>
  </si>
  <si>
    <t xml:space="preserve">323 1 7D     </t>
  </si>
  <si>
    <t xml:space="preserve">626 1 6DX    </t>
  </si>
  <si>
    <t xml:space="preserve">929DX        </t>
  </si>
  <si>
    <t>MERCEDES</t>
  </si>
  <si>
    <t xml:space="preserve">190D         </t>
  </si>
  <si>
    <t xml:space="preserve">200D         </t>
  </si>
  <si>
    <t xml:space="preserve">250D         </t>
  </si>
  <si>
    <t xml:space="preserve">300D         </t>
  </si>
  <si>
    <t xml:space="preserve">300E         </t>
  </si>
  <si>
    <t>MITSUBISHI</t>
  </si>
  <si>
    <t xml:space="preserve">COLT 1200DL  </t>
  </si>
  <si>
    <t xml:space="preserve">COLT D       </t>
  </si>
  <si>
    <t>LANCER 1200DL</t>
  </si>
  <si>
    <t xml:space="preserve">LANCER D     </t>
  </si>
  <si>
    <t>GALANT 1600DL</t>
  </si>
  <si>
    <t xml:space="preserve">GALANT TD    </t>
  </si>
  <si>
    <t>NISSAN</t>
  </si>
  <si>
    <t xml:space="preserve">SUNNY 1 3L   </t>
  </si>
  <si>
    <t xml:space="preserve">SUNNY 1 7D   </t>
  </si>
  <si>
    <t xml:space="preserve">BLUEBIRD 1 6 </t>
  </si>
  <si>
    <t>BLUEBIRD 2 0D</t>
  </si>
  <si>
    <t xml:space="preserve">LAUREL 2 4   </t>
  </si>
  <si>
    <t xml:space="preserve">LAUREL 2 8D  </t>
  </si>
  <si>
    <t xml:space="preserve">SILVIA 1 8   </t>
  </si>
  <si>
    <t>OPEL</t>
  </si>
  <si>
    <t xml:space="preserve">CORSA 1 0    </t>
  </si>
  <si>
    <t xml:space="preserve">KADETT 1 2S  </t>
  </si>
  <si>
    <t xml:space="preserve">KADETT 1 6D  </t>
  </si>
  <si>
    <t xml:space="preserve">ASCONA 1 3S  </t>
  </si>
  <si>
    <t xml:space="preserve">ASCONA 1 6D  </t>
  </si>
  <si>
    <t xml:space="preserve">OMEGA 1 8S   </t>
  </si>
  <si>
    <t xml:space="preserve">OMEGA 2 3D   </t>
  </si>
  <si>
    <t xml:space="preserve">SENATOR 2 0I </t>
  </si>
  <si>
    <t>PEUGOT</t>
  </si>
  <si>
    <t xml:space="preserve">205XE 1 0    </t>
  </si>
  <si>
    <t xml:space="preserve">205XLD       </t>
  </si>
  <si>
    <t xml:space="preserve">305 1 3      </t>
  </si>
  <si>
    <t xml:space="preserve">305GLD       </t>
  </si>
  <si>
    <t xml:space="preserve">309 1 1      </t>
  </si>
  <si>
    <t xml:space="preserve">309D         </t>
  </si>
  <si>
    <t xml:space="preserve">505GL        </t>
  </si>
  <si>
    <t xml:space="preserve">505GLD       </t>
  </si>
  <si>
    <t>PORSCHE</t>
  </si>
  <si>
    <t xml:space="preserve">924S         </t>
  </si>
  <si>
    <t>RENAULT</t>
  </si>
  <si>
    <t xml:space="preserve">5L           </t>
  </si>
  <si>
    <t xml:space="preserve">9TC          </t>
  </si>
  <si>
    <t xml:space="preserve">9TD          </t>
  </si>
  <si>
    <t xml:space="preserve">11TC         </t>
  </si>
  <si>
    <t xml:space="preserve">11TD         </t>
  </si>
  <si>
    <t xml:space="preserve">21TL         </t>
  </si>
  <si>
    <t xml:space="preserve">21TD         </t>
  </si>
  <si>
    <t xml:space="preserve">25TS         </t>
  </si>
  <si>
    <t xml:space="preserve">25TD         </t>
  </si>
  <si>
    <t>ROVER</t>
  </si>
  <si>
    <t xml:space="preserve">213S         </t>
  </si>
  <si>
    <t xml:space="preserve">820I         </t>
  </si>
  <si>
    <t>SAAB</t>
  </si>
  <si>
    <t xml:space="preserve">9000I        </t>
  </si>
  <si>
    <t>SEAT</t>
  </si>
  <si>
    <t xml:space="preserve">MARBELLA     </t>
  </si>
  <si>
    <t xml:space="preserve">RONDA 1 2LE  </t>
  </si>
  <si>
    <t xml:space="preserve">RONDA 1 7D   </t>
  </si>
  <si>
    <t xml:space="preserve">IBIZA 900J   </t>
  </si>
  <si>
    <t xml:space="preserve">IBIZA 1 7D   </t>
  </si>
  <si>
    <t xml:space="preserve">MALAGA 1 2L  </t>
  </si>
  <si>
    <t xml:space="preserve">MALAGA 1 7D  </t>
  </si>
  <si>
    <t>SKODA</t>
  </si>
  <si>
    <t>SUBARU</t>
  </si>
  <si>
    <t xml:space="preserve">JUMBO        </t>
  </si>
  <si>
    <t xml:space="preserve">JUSTY DL     </t>
  </si>
  <si>
    <t xml:space="preserve">1 6DL        </t>
  </si>
  <si>
    <t xml:space="preserve">XT TURBO 4*4 </t>
  </si>
  <si>
    <t>SUZUKI</t>
  </si>
  <si>
    <t xml:space="preserve">ALTO         </t>
  </si>
  <si>
    <t xml:space="preserve">SWIFT        </t>
  </si>
  <si>
    <t>TOYOTA</t>
  </si>
  <si>
    <t xml:space="preserve">STARLET 1 0  </t>
  </si>
  <si>
    <t xml:space="preserve">COROLLA 1 3  </t>
  </si>
  <si>
    <t xml:space="preserve">COROLLA DXD  </t>
  </si>
  <si>
    <t xml:space="preserve">CARINA 1 6   </t>
  </si>
  <si>
    <t xml:space="preserve">CELICA 1 6ST </t>
  </si>
  <si>
    <t xml:space="preserve">CAMRY 1 8XL  </t>
  </si>
  <si>
    <t xml:space="preserve">CAMRY 2 0TD  </t>
  </si>
  <si>
    <t xml:space="preserve">MR2 1 6      </t>
  </si>
  <si>
    <t xml:space="preserve">CRESSIDA 2GL </t>
  </si>
  <si>
    <t>VOLKSWAGEN</t>
  </si>
  <si>
    <t>POLO</t>
  </si>
  <si>
    <t>POLO D</t>
  </si>
  <si>
    <t>GOLF 40KW</t>
  </si>
  <si>
    <t xml:space="preserve">GOLF D       </t>
  </si>
  <si>
    <t xml:space="preserve">JETTA 40KW   </t>
  </si>
  <si>
    <t xml:space="preserve">JETTA D      </t>
  </si>
  <si>
    <t xml:space="preserve">SCIROCCO GT  </t>
  </si>
  <si>
    <t xml:space="preserve">PASSAT 53KW  </t>
  </si>
  <si>
    <t xml:space="preserve">PASSAT D     </t>
  </si>
  <si>
    <t>VOLVO</t>
  </si>
  <si>
    <t xml:space="preserve">340 WINNER   </t>
  </si>
  <si>
    <t xml:space="preserve">340GLD       </t>
  </si>
  <si>
    <t xml:space="preserve">360 SEDAN    </t>
  </si>
  <si>
    <t>240DL</t>
  </si>
  <si>
    <t>480ES</t>
  </si>
  <si>
    <t>740GL</t>
  </si>
  <si>
    <t>740GLD</t>
  </si>
  <si>
    <t>Overzicht auto's filteren</t>
  </si>
  <si>
    <t>Wiskunde</t>
  </si>
  <si>
    <t>Maximum functie bepalen</t>
  </si>
  <si>
    <t>Verkoopprognoses</t>
  </si>
  <si>
    <t>math001</t>
  </si>
  <si>
    <t>math002</t>
  </si>
  <si>
    <t>math003</t>
  </si>
  <si>
    <t>math004</t>
  </si>
  <si>
    <t>graf004</t>
  </si>
  <si>
    <t>graf005</t>
  </si>
  <si>
    <t>form006</t>
  </si>
  <si>
    <t>Benadering functie</t>
  </si>
  <si>
    <r>
      <t xml:space="preserve">sin(x)-x
</t>
    </r>
    <r>
      <rPr>
        <sz val="10"/>
        <color theme="1"/>
        <rFont val="Tahoma"/>
        <family val="2"/>
      </rPr>
      <t>x</t>
    </r>
    <r>
      <rPr>
        <vertAlign val="superscript"/>
        <sz val="10"/>
        <rFont val="Arial"/>
        <family val="2"/>
      </rPr>
      <t>3</t>
    </r>
  </si>
  <si>
    <r>
      <t>ax</t>
    </r>
    <r>
      <rPr>
        <vertAlign val="superscript"/>
        <sz val="10"/>
        <rFont val="Arial"/>
        <family val="2"/>
      </rPr>
      <t>3</t>
    </r>
    <r>
      <rPr>
        <sz val="10"/>
        <color theme="1"/>
        <rFont val="Tahoma"/>
        <family val="2"/>
      </rPr>
      <t>+bx</t>
    </r>
    <r>
      <rPr>
        <vertAlign val="superscript"/>
        <sz val="10"/>
        <rFont val="Arial"/>
        <family val="2"/>
      </rPr>
      <t>2</t>
    </r>
    <r>
      <rPr>
        <sz val="10"/>
        <color theme="1"/>
        <rFont val="Tahoma"/>
        <family val="2"/>
      </rPr>
      <t>+cx+d</t>
    </r>
  </si>
  <si>
    <t>kwadratisch
verschil</t>
  </si>
  <si>
    <t>som kwadr.
Verschillen</t>
  </si>
  <si>
    <t>a</t>
  </si>
  <si>
    <t>b</t>
  </si>
  <si>
    <t>c</t>
  </si>
  <si>
    <t>d</t>
  </si>
  <si>
    <r>
      <t>y=x</t>
    </r>
    <r>
      <rPr>
        <vertAlign val="superscript"/>
        <sz val="10"/>
        <rFont val="Arial"/>
        <family val="2"/>
      </rPr>
      <t>2</t>
    </r>
    <r>
      <rPr>
        <sz val="10"/>
        <color theme="1"/>
        <rFont val="Tahoma"/>
        <family val="2"/>
      </rPr>
      <t>+4</t>
    </r>
  </si>
  <si>
    <t>y=x</t>
  </si>
  <si>
    <r>
      <t>punt op y=x</t>
    </r>
    <r>
      <rPr>
        <vertAlign val="superscript"/>
        <sz val="10"/>
        <rFont val="Arial"/>
        <family val="2"/>
      </rPr>
      <t>2</t>
    </r>
    <r>
      <rPr>
        <sz val="10"/>
        <color theme="1"/>
        <rFont val="Tahoma"/>
        <family val="2"/>
      </rPr>
      <t>+4</t>
    </r>
  </si>
  <si>
    <t>punt op y=x</t>
  </si>
  <si>
    <t>afstand</t>
  </si>
  <si>
    <t>X</t>
  </si>
  <si>
    <r>
      <t>Y</t>
    </r>
    <r>
      <rPr>
        <b/>
        <vertAlign val="subscript"/>
        <sz val="10"/>
        <rFont val="Arial"/>
        <family val="2"/>
      </rPr>
      <t>1</t>
    </r>
  </si>
  <si>
    <r>
      <t>Y</t>
    </r>
    <r>
      <rPr>
        <b/>
        <vertAlign val="subscript"/>
        <sz val="10"/>
        <rFont val="Arial"/>
        <family val="2"/>
      </rPr>
      <t>2</t>
    </r>
  </si>
  <si>
    <r>
      <t>Y</t>
    </r>
    <r>
      <rPr>
        <b/>
        <vertAlign val="subscript"/>
        <sz val="10"/>
        <rFont val="Arial"/>
        <family val="2"/>
      </rPr>
      <t>3</t>
    </r>
  </si>
  <si>
    <t>Y1</t>
  </si>
  <si>
    <t>Y2</t>
  </si>
  <si>
    <t>Y3</t>
  </si>
  <si>
    <t>Waarden voor gebruik oplosser</t>
  </si>
  <si>
    <t>maat</t>
  </si>
  <si>
    <t>kans</t>
  </si>
  <si>
    <t>trekking</t>
  </si>
  <si>
    <t>Verzamelbereik</t>
  </si>
  <si>
    <t>Meer</t>
  </si>
  <si>
    <t>Frequentie</t>
  </si>
  <si>
    <t>gemiddelde</t>
  </si>
  <si>
    <t>mediaan</t>
  </si>
  <si>
    <t>modus</t>
  </si>
  <si>
    <t>variantie</t>
  </si>
  <si>
    <t>standaarddeviatie</t>
  </si>
  <si>
    <t>Statistiek</t>
  </si>
  <si>
    <t>Schoenmatenverdeling</t>
  </si>
  <si>
    <t>stat001</t>
  </si>
  <si>
    <t>Doelzoeken</t>
  </si>
  <si>
    <t>groeicoefficient</t>
  </si>
  <si>
    <t>verkoop 1e jaar</t>
  </si>
  <si>
    <t>t</t>
  </si>
  <si>
    <t>Verkopen</t>
  </si>
  <si>
    <t>Freelancer</t>
  </si>
  <si>
    <t>provisie per opdracht</t>
  </si>
  <si>
    <t>totale omzet</t>
  </si>
  <si>
    <t>inkomsten uit provisie</t>
  </si>
  <si>
    <t>Persnr</t>
  </si>
  <si>
    <t>Achternaam</t>
  </si>
  <si>
    <t>Voornaam</t>
  </si>
  <si>
    <t>Functie</t>
  </si>
  <si>
    <t>Afdeling</t>
  </si>
  <si>
    <t>Divisie</t>
  </si>
  <si>
    <t>Salaris</t>
  </si>
  <si>
    <t>Begindatum</t>
  </si>
  <si>
    <t>Jong de</t>
  </si>
  <si>
    <t>Klaas</t>
  </si>
  <si>
    <t>Assist. accountant</t>
  </si>
  <si>
    <t>Accounting</t>
  </si>
  <si>
    <t>Kopieerapp.</t>
  </si>
  <si>
    <t>Peters</t>
  </si>
  <si>
    <t>Robin</t>
  </si>
  <si>
    <t>Admin. medew. groep</t>
  </si>
  <si>
    <t>Ontwerpafdeling</t>
  </si>
  <si>
    <t>Printers</t>
  </si>
  <si>
    <t>Kerstholt</t>
  </si>
  <si>
    <t>Tonia</t>
  </si>
  <si>
    <t>Faxapp.</t>
  </si>
  <si>
    <t>Bosma</t>
  </si>
  <si>
    <t>Peter</t>
  </si>
  <si>
    <t>Software-ontwikkelaar</t>
  </si>
  <si>
    <t>Nieborg</t>
  </si>
  <si>
    <t>Judith</t>
  </si>
  <si>
    <t>Vertegenwoordiger</t>
  </si>
  <si>
    <t>Marketing</t>
  </si>
  <si>
    <t>Dantuma</t>
  </si>
  <si>
    <t>Desiree</t>
  </si>
  <si>
    <t>Accountant</t>
  </si>
  <si>
    <t>Mulder</t>
  </si>
  <si>
    <t>Elsbeth</t>
  </si>
  <si>
    <t>Admin. medew.</t>
  </si>
  <si>
    <t>Administratie</t>
  </si>
  <si>
    <t>Schutter</t>
  </si>
  <si>
    <t>Aletta</t>
  </si>
  <si>
    <t>Essen van</t>
  </si>
  <si>
    <t>Bert</t>
  </si>
  <si>
    <t>Assist. vormgeving</t>
  </si>
  <si>
    <t>Vormgeving</t>
  </si>
  <si>
    <t>Geerling</t>
  </si>
  <si>
    <t>Rob</t>
  </si>
  <si>
    <t>Damhof</t>
  </si>
  <si>
    <t>Michael</t>
  </si>
  <si>
    <t>Al-Sabah</t>
  </si>
  <si>
    <t>Daoud</t>
  </si>
  <si>
    <t>Assist. technicus</t>
  </si>
  <si>
    <t>Willekes</t>
  </si>
  <si>
    <t>Sara</t>
  </si>
  <si>
    <t>Produkt-marketer</t>
  </si>
  <si>
    <t>Molenaar</t>
  </si>
  <si>
    <t>Janet</t>
  </si>
  <si>
    <t>Algra</t>
  </si>
  <si>
    <t>Erik</t>
  </si>
  <si>
    <t>Wetensch. onderzoeker</t>
  </si>
  <si>
    <t>Onderz. &amp; ontwik.</t>
  </si>
  <si>
    <t>Zandstra</t>
  </si>
  <si>
    <t>Aaron</t>
  </si>
  <si>
    <t>Stroo</t>
  </si>
  <si>
    <t>Heleen</t>
  </si>
  <si>
    <t>Specialist vormgeving</t>
  </si>
  <si>
    <t>Sauter</t>
  </si>
  <si>
    <t>Karel</t>
  </si>
  <si>
    <t>Vosman</t>
  </si>
  <si>
    <t>Overmars</t>
  </si>
  <si>
    <t>Willlem</t>
  </si>
  <si>
    <t>Smit</t>
  </si>
  <si>
    <t>Howard</t>
  </si>
  <si>
    <t>Eikelenboom</t>
  </si>
  <si>
    <t>Mirjam</t>
  </si>
  <si>
    <t>Kellerman</t>
  </si>
  <si>
    <t>Tommie</t>
  </si>
  <si>
    <t>Roelfsema</t>
  </si>
  <si>
    <t>Jan</t>
  </si>
  <si>
    <t>Leidinggev. ontwerpafd.</t>
  </si>
  <si>
    <t>Alberts</t>
  </si>
  <si>
    <t>Esther</t>
  </si>
  <si>
    <t>Lempert</t>
  </si>
  <si>
    <t>Alexandra</t>
  </si>
  <si>
    <t>Kuiper</t>
  </si>
  <si>
    <t>Linda</t>
  </si>
  <si>
    <t>Boersma</t>
  </si>
  <si>
    <t>Phillip</t>
  </si>
  <si>
    <t>Henders</t>
  </si>
  <si>
    <t>Mark</t>
  </si>
  <si>
    <t>Fontaine</t>
  </si>
  <si>
    <t>Jean</t>
  </si>
  <si>
    <t>Plant</t>
  </si>
  <si>
    <t>Alex</t>
  </si>
  <si>
    <t>Chris</t>
  </si>
  <si>
    <t>Kramer</t>
  </si>
  <si>
    <t>Maaike</t>
  </si>
  <si>
    <t>Einstein</t>
  </si>
  <si>
    <t>Isolde</t>
  </si>
  <si>
    <t>Technicus</t>
  </si>
  <si>
    <t>Davids</t>
  </si>
  <si>
    <t>Karin</t>
  </si>
  <si>
    <t>Faber</t>
  </si>
  <si>
    <t>Otto</t>
  </si>
  <si>
    <t>Wijbenga</t>
  </si>
  <si>
    <t>Sandra</t>
  </si>
  <si>
    <t>Wijnen</t>
  </si>
  <si>
    <t>Floris</t>
  </si>
  <si>
    <t>Mans</t>
  </si>
  <si>
    <t>Steven</t>
  </si>
  <si>
    <t>Maathuis</t>
  </si>
  <si>
    <t>Evelien</t>
  </si>
  <si>
    <t>Herder</t>
  </si>
  <si>
    <t>Robert</t>
  </si>
  <si>
    <t>Groothuis</t>
  </si>
  <si>
    <t>Theo</t>
  </si>
  <si>
    <t>Beerda</t>
  </si>
  <si>
    <t>Anna</t>
  </si>
  <si>
    <t>Kwant</t>
  </si>
  <si>
    <t>Frank</t>
  </si>
  <si>
    <t>Geertsema</t>
  </si>
  <si>
    <t>Antonie</t>
  </si>
  <si>
    <t>Makken</t>
  </si>
  <si>
    <t>Jose</t>
  </si>
  <si>
    <t>Paping</t>
  </si>
  <si>
    <t>Ronald</t>
  </si>
  <si>
    <t>Machinetechnicus</t>
  </si>
  <si>
    <t>Vergeer</t>
  </si>
  <si>
    <t>Maria</t>
  </si>
  <si>
    <t>Ellen</t>
  </si>
  <si>
    <t>Schaafsma</t>
  </si>
  <si>
    <t>Toine</t>
  </si>
  <si>
    <t>Kanis</t>
  </si>
  <si>
    <t>Nico</t>
  </si>
  <si>
    <t>Wegenbree</t>
  </si>
  <si>
    <t>Roos</t>
  </si>
  <si>
    <t>Bel</t>
  </si>
  <si>
    <t>Tom</t>
  </si>
  <si>
    <t>Ruiter</t>
  </si>
  <si>
    <t>Manager ontwerpafd.</t>
  </si>
  <si>
    <t>Mosselman</t>
  </si>
  <si>
    <t>Dennis</t>
  </si>
  <si>
    <t>Lange de</t>
  </si>
  <si>
    <t>Leslie</t>
  </si>
  <si>
    <t>Kourios</t>
  </si>
  <si>
    <t>Holtrop</t>
  </si>
  <si>
    <t>Bruinenberg</t>
  </si>
  <si>
    <t>Melia</t>
  </si>
  <si>
    <t>Kromhout</t>
  </si>
  <si>
    <t>Kegler</t>
  </si>
  <si>
    <t>Pamela</t>
  </si>
  <si>
    <t>Jager</t>
  </si>
  <si>
    <t>Stephanie</t>
  </si>
  <si>
    <t>Wit</t>
  </si>
  <si>
    <t>Jessica</t>
  </si>
  <si>
    <t>Handelman</t>
  </si>
  <si>
    <t>Kees</t>
  </si>
  <si>
    <t>Verkade</t>
  </si>
  <si>
    <t>Eduard</t>
  </si>
  <si>
    <t>Groepmanager</t>
  </si>
  <si>
    <t>Burger</t>
  </si>
  <si>
    <t>Dave</t>
  </si>
  <si>
    <t>Thiecke</t>
  </si>
  <si>
    <t>Herman</t>
  </si>
  <si>
    <t>Riksten</t>
  </si>
  <si>
    <t>Janette</t>
  </si>
  <si>
    <t>Barbara</t>
  </si>
  <si>
    <t>Piet</t>
  </si>
  <si>
    <t>Kleine</t>
  </si>
  <si>
    <t>Bob</t>
  </si>
  <si>
    <t>Nelson</t>
  </si>
  <si>
    <t>Maris</t>
  </si>
  <si>
    <t>Ellis</t>
  </si>
  <si>
    <t>Westra</t>
  </si>
  <si>
    <t>Sam</t>
  </si>
  <si>
    <t>Senior medew. ontwerpafd.</t>
  </si>
  <si>
    <t>Renkema</t>
  </si>
  <si>
    <t>Wouter</t>
  </si>
  <si>
    <t>Ridderbos</t>
  </si>
  <si>
    <t>Lise-Anne</t>
  </si>
  <si>
    <t>Bankler</t>
  </si>
  <si>
    <t>Rowena</t>
  </si>
  <si>
    <t>Huisman</t>
  </si>
  <si>
    <t>Hester</t>
  </si>
  <si>
    <t>Mortel</t>
  </si>
  <si>
    <t>Steen</t>
  </si>
  <si>
    <t>Cindy</t>
  </si>
  <si>
    <t>Marinez</t>
  </si>
  <si>
    <t>Gustavo</t>
  </si>
  <si>
    <t>Fijn</t>
  </si>
  <si>
    <t>Caroline</t>
  </si>
  <si>
    <t>Bartels</t>
  </si>
  <si>
    <t>Onderzoeker</t>
  </si>
  <si>
    <t>Stadtman</t>
  </si>
  <si>
    <t>Jan-Theo</t>
  </si>
  <si>
    <t>Ritsma</t>
  </si>
  <si>
    <t>Melissa</t>
  </si>
  <si>
    <t>Unitmanager</t>
  </si>
  <si>
    <t>Vreeman</t>
  </si>
  <si>
    <t>Jules</t>
  </si>
  <si>
    <t>Zwaving</t>
  </si>
  <si>
    <t>Lisa</t>
  </si>
  <si>
    <t>Helder</t>
  </si>
  <si>
    <t>Willem</t>
  </si>
  <si>
    <t>Bijkerk</t>
  </si>
  <si>
    <t>David</t>
  </si>
  <si>
    <t>Oosten</t>
  </si>
  <si>
    <t>Bart</t>
  </si>
  <si>
    <t>Mekel</t>
  </si>
  <si>
    <t>Menno</t>
  </si>
  <si>
    <t>Kruit</t>
  </si>
  <si>
    <t>Berg</t>
  </si>
  <si>
    <t>Jonge de</t>
  </si>
  <si>
    <t>Arend</t>
  </si>
  <si>
    <t>Geluk</t>
  </si>
  <si>
    <t>Betsie</t>
  </si>
  <si>
    <t>Emmerink</t>
  </si>
  <si>
    <t>Donald</t>
  </si>
  <si>
    <t>Noord</t>
  </si>
  <si>
    <t>Kroon</t>
  </si>
  <si>
    <t>Brenda</t>
  </si>
  <si>
    <t>Bloemendaal</t>
  </si>
  <si>
    <t>Boerhof</t>
  </si>
  <si>
    <t>Vossen</t>
  </si>
  <si>
    <t>Felix</t>
  </si>
  <si>
    <t>Larssen</t>
  </si>
  <si>
    <t>Erika</t>
  </si>
  <si>
    <t>Bureaumanager</t>
  </si>
  <si>
    <t>Smidt</t>
  </si>
  <si>
    <t>Rik</t>
  </si>
  <si>
    <t>Wolthuis</t>
  </si>
  <si>
    <t>Carla</t>
  </si>
  <si>
    <t>Kortlandt</t>
  </si>
  <si>
    <t>West</t>
  </si>
  <si>
    <t>Mien</t>
  </si>
  <si>
    <t>Helpman</t>
  </si>
  <si>
    <t>Grootte</t>
  </si>
  <si>
    <t>Kanon</t>
  </si>
  <si>
    <t>Susan</t>
  </si>
  <si>
    <t>Wolf</t>
  </si>
  <si>
    <t>Hilda</t>
  </si>
  <si>
    <t>Hulzenbos</t>
  </si>
  <si>
    <t>Johan</t>
  </si>
  <si>
    <t>Marja</t>
  </si>
  <si>
    <t>Ottevanger</t>
  </si>
  <si>
    <t>Lourens</t>
  </si>
  <si>
    <t>Eindtotaal</t>
  </si>
  <si>
    <t>Gemiddelde van Salaris</t>
  </si>
  <si>
    <t>Som van Salaris</t>
  </si>
  <si>
    <t>Salaris gemiddeldes</t>
  </si>
  <si>
    <t>pivo001</t>
  </si>
  <si>
    <t>goal001</t>
  </si>
  <si>
    <t>pivo002</t>
  </si>
  <si>
    <t>Oplosser</t>
  </si>
  <si>
    <t>scen001</t>
  </si>
  <si>
    <t>Per stuk</t>
  </si>
  <si>
    <t>Per doos</t>
  </si>
  <si>
    <t>bonbon</t>
  </si>
  <si>
    <t>opp</t>
  </si>
  <si>
    <t>gewicht</t>
  </si>
  <si>
    <t>winst</t>
  </si>
  <si>
    <t>aantal</t>
  </si>
  <si>
    <t>kers</t>
  </si>
  <si>
    <t>hazelnoot</t>
  </si>
  <si>
    <t>constraints</t>
  </si>
  <si>
    <t>&gt;=</t>
  </si>
  <si>
    <t>&lt;=</t>
  </si>
  <si>
    <t>Bonbondoos</t>
  </si>
  <si>
    <t>solv001</t>
  </si>
  <si>
    <t>Leeftijdsopbouw</t>
  </si>
  <si>
    <t>1950</t>
  </si>
  <si>
    <t>1960</t>
  </si>
  <si>
    <t>1970</t>
  </si>
  <si>
    <t>1980</t>
  </si>
  <si>
    <t>1990</t>
  </si>
  <si>
    <t>2000</t>
  </si>
  <si>
    <t>2010</t>
  </si>
  <si>
    <t>0 tot 10 jaar</t>
  </si>
  <si>
    <t>10 tot 20 jaar</t>
  </si>
  <si>
    <t>20 tot 30 jaar</t>
  </si>
  <si>
    <t>30 tot 40 jaar</t>
  </si>
  <si>
    <t>40 tot 50 jaar</t>
  </si>
  <si>
    <t>50 tot 60 jaar</t>
  </si>
  <si>
    <t>60 tot 70 jaar</t>
  </si>
  <si>
    <t>70 tot 80 jaar</t>
  </si>
  <si>
    <t>80 jaar of ouder</t>
  </si>
  <si>
    <t>Kortste afstand bepalen</t>
  </si>
  <si>
    <t>Verkoop (excl.)</t>
  </si>
  <si>
    <t>te betalen BTW</t>
  </si>
  <si>
    <t>Voorbelasting</t>
  </si>
  <si>
    <t>In beginsel af te dragen BTW</t>
  </si>
  <si>
    <t>vermindering RKO</t>
  </si>
  <si>
    <t>BTW aangifte</t>
  </si>
  <si>
    <t>ondergrens</t>
  </si>
  <si>
    <t>bovengrens</t>
  </si>
  <si>
    <t>Invoerbedragen</t>
  </si>
  <si>
    <t>Constanten</t>
  </si>
  <si>
    <t>Berekening</t>
  </si>
  <si>
    <t>Bedrag</t>
  </si>
  <si>
    <t>BTW percentage</t>
  </si>
  <si>
    <t>prodtijd (min)</t>
  </si>
  <si>
    <t>kostprijs (EUR)</t>
  </si>
  <si>
    <t>Relatie productietijd-kostprijs</t>
  </si>
  <si>
    <t>Anton</t>
  </si>
  <si>
    <t>Bep</t>
  </si>
  <si>
    <t>Cees</t>
  </si>
  <si>
    <t>Diana</t>
  </si>
  <si>
    <t>Femmy</t>
  </si>
  <si>
    <t>naam</t>
  </si>
  <si>
    <t>Gerard</t>
  </si>
  <si>
    <t>Janneke</t>
  </si>
  <si>
    <t>Katalin</t>
  </si>
  <si>
    <t>Lennie</t>
  </si>
  <si>
    <t>Martin</t>
  </si>
  <si>
    <t>Penny</t>
  </si>
  <si>
    <t>tijd (uur)</t>
  </si>
  <si>
    <t>Ineke</t>
  </si>
  <si>
    <t>Eddy</t>
  </si>
  <si>
    <t>Statistische gegevens</t>
  </si>
  <si>
    <t>gem. tijd</t>
  </si>
  <si>
    <t>gem. cijfer</t>
  </si>
  <si>
    <t>Aantal</t>
  </si>
  <si>
    <t>Aantal onvoldoendes</t>
  </si>
  <si>
    <t>stand.dev. Tijd</t>
  </si>
  <si>
    <t>stand.dev. Cijfer</t>
  </si>
  <si>
    <t>correlatiecoëfficient</t>
  </si>
  <si>
    <t>stat002</t>
  </si>
  <si>
    <t>Relatie studietijd-cijfer</t>
  </si>
  <si>
    <t>Afzet voorspellen</t>
  </si>
  <si>
    <t>Afzet</t>
  </si>
  <si>
    <t>Invoer:</t>
  </si>
  <si>
    <t>Uitvoer:</t>
  </si>
  <si>
    <t>Voorspellingen</t>
  </si>
  <si>
    <t>stat003</t>
  </si>
  <si>
    <t>Datum</t>
  </si>
  <si>
    <t>District</t>
  </si>
  <si>
    <t>Gas</t>
  </si>
  <si>
    <t>Water</t>
  </si>
  <si>
    <t>Electra</t>
  </si>
  <si>
    <t>Zuid</t>
  </si>
  <si>
    <t>Oost</t>
  </si>
  <si>
    <t>Samenvatting</t>
  </si>
  <si>
    <t>Aantal storingen per district</t>
  </si>
  <si>
    <t>Artnr</t>
  </si>
  <si>
    <t>Invoer</t>
  </si>
  <si>
    <t>Zoekresultaat</t>
  </si>
  <si>
    <t>Artikelgegevens opzoeken</t>
  </si>
  <si>
    <t>Canon Pixma IP4850</t>
  </si>
  <si>
    <t>Epson Stylus Photo 1400</t>
  </si>
  <si>
    <t>Canon Pixma IX4000</t>
  </si>
  <si>
    <t>HP OfficeJet H470wbt</t>
  </si>
  <si>
    <t>HP DeskJet 3000</t>
  </si>
  <si>
    <t>Canon Pixma IP2700</t>
  </si>
  <si>
    <t>HP LaserJet P1102</t>
  </si>
  <si>
    <t>Artnr:</t>
  </si>
  <si>
    <t>Naam:</t>
  </si>
  <si>
    <t>Prijs:</t>
  </si>
  <si>
    <t>Betaling lening</t>
  </si>
  <si>
    <t>Geleend bedrag</t>
  </si>
  <si>
    <t>Jaarlijks rentepercentage</t>
  </si>
  <si>
    <t>Aantal maandelijkse betalingen</t>
  </si>
  <si>
    <t>Betaling aan het  begin van de termijn</t>
  </si>
  <si>
    <t>goal002</t>
  </si>
  <si>
    <t>Break-even bepalen</t>
  </si>
  <si>
    <t>TK</t>
  </si>
  <si>
    <t>TO</t>
  </si>
  <si>
    <t>TO-TK</t>
  </si>
  <si>
    <t>break-even bepaling</t>
  </si>
  <si>
    <t>punt 1</t>
  </si>
  <si>
    <t>punt 2</t>
  </si>
  <si>
    <t>goal003</t>
  </si>
  <si>
    <t>Q</t>
  </si>
  <si>
    <t>gemid.</t>
  </si>
  <si>
    <t>standdev.</t>
  </si>
  <si>
    <t>Service graad</t>
  </si>
  <si>
    <t>Kritische voorraad berekenen:</t>
  </si>
  <si>
    <t>overschrijdingskans</t>
  </si>
  <si>
    <t>z-waarde</t>
  </si>
  <si>
    <t>Vraag</t>
  </si>
  <si>
    <t>Servicegraad</t>
  </si>
  <si>
    <t>stat004</t>
  </si>
  <si>
    <t>voorraadniveau</t>
  </si>
  <si>
    <t>Maand</t>
  </si>
  <si>
    <t>Regio</t>
  </si>
  <si>
    <t>Omzet</t>
  </si>
  <si>
    <t>Reiskosten</t>
  </si>
  <si>
    <t>Provisie</t>
  </si>
  <si>
    <t>Januari</t>
  </si>
  <si>
    <t>Februari</t>
  </si>
  <si>
    <t>Maart</t>
  </si>
  <si>
    <t>pivo003</t>
  </si>
  <si>
    <t>Salaris totalen</t>
  </si>
  <si>
    <t>Omzet, reiskosten en provisie</t>
  </si>
  <si>
    <t>Som van Omzet</t>
  </si>
  <si>
    <t>Waarden</t>
  </si>
  <si>
    <t>Som van Reiskosten</t>
  </si>
  <si>
    <t>Som van Provisie</t>
  </si>
  <si>
    <t>Gemiddeld cijfer</t>
  </si>
  <si>
    <t>Frequentieverdeling</t>
  </si>
  <si>
    <t>pivo004</t>
  </si>
  <si>
    <t>pivo005</t>
  </si>
  <si>
    <t>klas</t>
  </si>
  <si>
    <t>geslacht</t>
  </si>
  <si>
    <t>1X</t>
  </si>
  <si>
    <t>femke</t>
  </si>
  <si>
    <t>v</t>
  </si>
  <si>
    <t>ingrid</t>
  </si>
  <si>
    <t>marc</t>
  </si>
  <si>
    <t>m</t>
  </si>
  <si>
    <t>yvonne</t>
  </si>
  <si>
    <t>ilse</t>
  </si>
  <si>
    <t>1Y</t>
  </si>
  <si>
    <t>angela</t>
  </si>
  <si>
    <t>bob</t>
  </si>
  <si>
    <t>elisa</t>
  </si>
  <si>
    <t>harald</t>
  </si>
  <si>
    <t>robert</t>
  </si>
  <si>
    <t>inf</t>
  </si>
  <si>
    <t>Gemiddelde van inf</t>
  </si>
  <si>
    <t>Cijfer</t>
  </si>
  <si>
    <t>klazen</t>
  </si>
  <si>
    <t>hengen</t>
  </si>
  <si>
    <t>Kledingsoort</t>
  </si>
  <si>
    <t>heren</t>
  </si>
  <si>
    <t>dames</t>
  </si>
  <si>
    <t>Som van Verkopen</t>
  </si>
  <si>
    <t>Kledingverkoop per regio</t>
  </si>
  <si>
    <t>pivo006</t>
  </si>
  <si>
    <t>leeftijd</t>
  </si>
  <si>
    <t>voor/tegen</t>
  </si>
  <si>
    <t>midden</t>
  </si>
  <si>
    <t>tegen</t>
  </si>
  <si>
    <t>jong</t>
  </si>
  <si>
    <t>voor</t>
  </si>
  <si>
    <t>oud</t>
  </si>
  <si>
    <t>volgnr</t>
  </si>
  <si>
    <t>Aantal van voor/tegen</t>
  </si>
  <si>
    <t>Winkelsluiting</t>
  </si>
  <si>
    <t>pivo007</t>
  </si>
  <si>
    <t>pivo008</t>
  </si>
  <si>
    <t>eigen huis</t>
  </si>
  <si>
    <t>waarde</t>
  </si>
  <si>
    <t>arjen</t>
  </si>
  <si>
    <t>ja</t>
  </si>
  <si>
    <t>mischa</t>
  </si>
  <si>
    <t>diederik</t>
  </si>
  <si>
    <t>nee</t>
  </si>
  <si>
    <t>johan</t>
  </si>
  <si>
    <t>michiel</t>
  </si>
  <si>
    <t xml:space="preserve">job </t>
  </si>
  <si>
    <t>rob</t>
  </si>
  <si>
    <t>ineke</t>
  </si>
  <si>
    <t>gert jan</t>
  </si>
  <si>
    <t>friso</t>
  </si>
  <si>
    <t>sindy</t>
  </si>
  <si>
    <t>tim</t>
  </si>
  <si>
    <t>mark</t>
  </si>
  <si>
    <t>patrick</t>
  </si>
  <si>
    <t>studiejaren</t>
  </si>
  <si>
    <t>Gemiddelde van waarde</t>
  </si>
  <si>
    <t>Aantal van eigen huis</t>
  </si>
  <si>
    <t>Eigen huis en gemiddelde waarde</t>
  </si>
  <si>
    <t>inwoner</t>
  </si>
  <si>
    <t>auto</t>
  </si>
  <si>
    <t>tijd
met auto</t>
  </si>
  <si>
    <t>tijd
met bus</t>
  </si>
  <si>
    <t>afstand
&gt; 15</t>
  </si>
  <si>
    <t>Gemiddelde van tijd</t>
  </si>
  <si>
    <t>Produkt</t>
  </si>
  <si>
    <t>Braziliaanse Koffie</t>
  </si>
  <si>
    <t>April</t>
  </si>
  <si>
    <t>Mei</t>
  </si>
  <si>
    <t>Juni</t>
  </si>
  <si>
    <t>Turkse Koffie</t>
  </si>
  <si>
    <t>Franse Koffie</t>
  </si>
  <si>
    <t>Som van Opbrengst</t>
  </si>
  <si>
    <t>Opbrengst koffie per regio</t>
  </si>
  <si>
    <t>pivo009</t>
  </si>
  <si>
    <t>pivo010</t>
  </si>
  <si>
    <t>Vervoersonderzoek</t>
  </si>
  <si>
    <t>Kenmerken auto's</t>
  </si>
  <si>
    <t>Hobbyclub</t>
  </si>
  <si>
    <t>pivo011</t>
  </si>
  <si>
    <t>pivo012</t>
  </si>
  <si>
    <t>inschrijfdatum</t>
  </si>
  <si>
    <t>woonplaats</t>
  </si>
  <si>
    <t>hobby</t>
  </si>
  <si>
    <t>M</t>
  </si>
  <si>
    <t>Moddergat</t>
  </si>
  <si>
    <t>muziek</t>
  </si>
  <si>
    <t>Oeteldonk</t>
  </si>
  <si>
    <t>film</t>
  </si>
  <si>
    <t>Els</t>
  </si>
  <si>
    <t>V</t>
  </si>
  <si>
    <t>Fred</t>
  </si>
  <si>
    <t>Knollenlaand</t>
  </si>
  <si>
    <t>Luc</t>
  </si>
  <si>
    <t>Mariska</t>
  </si>
  <si>
    <t>lezen</t>
  </si>
  <si>
    <t>Pieter</t>
  </si>
  <si>
    <t>Boeskoolstad</t>
  </si>
  <si>
    <t>tennis</t>
  </si>
  <si>
    <t>Greet</t>
  </si>
  <si>
    <t>Vera</t>
  </si>
  <si>
    <t>Mathijs</t>
  </si>
  <si>
    <t>Ronnie</t>
  </si>
  <si>
    <t>fietsen</t>
  </si>
  <si>
    <t>Elke</t>
  </si>
  <si>
    <t>Sofie</t>
  </si>
  <si>
    <t>Jan-Peter</t>
  </si>
  <si>
    <t>Killegat</t>
  </si>
  <si>
    <t>Aantal leden per plaats en per geslacht:</t>
  </si>
  <si>
    <t>Percentage leden</t>
  </si>
  <si>
    <t>Aantal leden</t>
  </si>
  <si>
    <t>Percentage leden per hobby en per geslacht:</t>
  </si>
  <si>
    <t>20-29</t>
  </si>
  <si>
    <t>30-39</t>
  </si>
  <si>
    <t>40-49</t>
  </si>
  <si>
    <t>Aantal bijeenkomsten</t>
  </si>
  <si>
    <t>Deelname clubleden in  2010 per geslacht:</t>
  </si>
  <si>
    <t>A</t>
  </si>
  <si>
    <t>B</t>
  </si>
  <si>
    <t>C</t>
  </si>
  <si>
    <t>kosten/stuk
(miljoen EUR)</t>
  </si>
  <si>
    <t>omzet/stuk
(miljoen EUR)</t>
  </si>
  <si>
    <t>tot_kost</t>
  </si>
  <si>
    <t>tot_omzet</t>
  </si>
  <si>
    <t>maximale investering</t>
  </si>
  <si>
    <t>Aantal supermarkten</t>
  </si>
  <si>
    <t>model</t>
  </si>
  <si>
    <t>productietijd
(uur)</t>
  </si>
  <si>
    <t>investering
(EUR)</t>
  </si>
  <si>
    <t>winst
(EUR)</t>
  </si>
  <si>
    <t>Runner</t>
  </si>
  <si>
    <t>Lady T</t>
  </si>
  <si>
    <t>Super A</t>
  </si>
  <si>
    <t>per week</t>
  </si>
  <si>
    <t>productietijd</t>
  </si>
  <si>
    <t>investering</t>
  </si>
  <si>
    <t>Per paar</t>
  </si>
  <si>
    <t>Per week</t>
  </si>
  <si>
    <t>grenzen</t>
  </si>
  <si>
    <t>Hardloopschoenen</t>
  </si>
  <si>
    <t>solv002</t>
  </si>
  <si>
    <t>solv003</t>
  </si>
  <si>
    <t>Totalen</t>
  </si>
  <si>
    <t>zagen</t>
  </si>
  <si>
    <t>assemblage</t>
  </si>
  <si>
    <t>afwerking</t>
  </si>
  <si>
    <t>type 1</t>
  </si>
  <si>
    <t>type 2</t>
  </si>
  <si>
    <t>type 3</t>
  </si>
  <si>
    <t>maximale capaciteit:</t>
  </si>
  <si>
    <t>Productie aluminium ladders</t>
  </si>
  <si>
    <t>solv004</t>
  </si>
  <si>
    <t>mineraal</t>
  </si>
  <si>
    <t>eiwit</t>
  </si>
  <si>
    <t>vet</t>
  </si>
  <si>
    <t>kosten</t>
  </si>
  <si>
    <t>gewoon</t>
  </si>
  <si>
    <t>speciaal</t>
  </si>
  <si>
    <t>Per zak</t>
  </si>
  <si>
    <t>per periode</t>
  </si>
  <si>
    <t>Per kg</t>
  </si>
  <si>
    <t>Vit. A
(mg)</t>
  </si>
  <si>
    <t>Vit. B
(mg)</t>
  </si>
  <si>
    <t>Vit. C
(mg)</t>
  </si>
  <si>
    <t>aantal
kg</t>
  </si>
  <si>
    <t>MDB Vit. A (mg)</t>
  </si>
  <si>
    <t>MDB Vit. B (mg)</t>
  </si>
  <si>
    <t>MDB Vit. C (mg)</t>
  </si>
  <si>
    <t>max. type 1 (kg)</t>
  </si>
  <si>
    <t>max. type 2 (kg)</t>
  </si>
  <si>
    <t>max. type 3 (kg)</t>
  </si>
  <si>
    <t>Grenzen:</t>
  </si>
  <si>
    <t>Vitamines in veevoer</t>
  </si>
  <si>
    <t>Per tablet</t>
  </si>
  <si>
    <t>Totaal per dag</t>
  </si>
  <si>
    <t>merk Y</t>
  </si>
  <si>
    <t>merk Z</t>
  </si>
  <si>
    <t>Vit. B
(eenh)</t>
  </si>
  <si>
    <t>Vit. C
(eenh)</t>
  </si>
  <si>
    <t>minimale behoefte (eenh/dag)</t>
  </si>
  <si>
    <t>solv005</t>
  </si>
  <si>
    <t>solv006</t>
  </si>
  <si>
    <t>solv007</t>
  </si>
  <si>
    <t>Vitaminetabletten</t>
  </si>
  <si>
    <t>Coevorden</t>
  </si>
  <si>
    <t>Venlo</t>
  </si>
  <si>
    <t>Woerden</t>
  </si>
  <si>
    <t>Amersfoort</t>
  </si>
  <si>
    <t>Eindhoven</t>
  </si>
  <si>
    <t>Enschede</t>
  </si>
  <si>
    <t>Lelystad</t>
  </si>
  <si>
    <t>Tiel</t>
  </si>
  <si>
    <t>Zwolle</t>
  </si>
  <si>
    <t>Aantal vervoerd van</t>
  </si>
  <si>
    <t>Totaal te</t>
  </si>
  <si>
    <t>Winkel</t>
  </si>
  <si>
    <t>Nodig</t>
  </si>
  <si>
    <t>vervoeren</t>
  </si>
  <si>
    <t>Beginvoorraad:</t>
  </si>
  <si>
    <t>Eindvoorraad:</t>
  </si>
  <si>
    <t>Transportkosten:</t>
  </si>
  <si>
    <t>Transportkosten minimaliseren</t>
  </si>
  <si>
    <t>Stelsel vergelijkingen oplossen</t>
  </si>
  <si>
    <t>som:</t>
  </si>
  <si>
    <t>oplossing</t>
  </si>
  <si>
    <t>vergelijking 1</t>
  </si>
  <si>
    <t>vergelijking 2</t>
  </si>
  <si>
    <t>vergelijking 3</t>
  </si>
  <si>
    <t>vergelijking 4</t>
  </si>
  <si>
    <t>vergelijking 5</t>
  </si>
  <si>
    <t>coëfficienten van x</t>
  </si>
  <si>
    <r>
      <t>x</t>
    </r>
    <r>
      <rPr>
        <b/>
        <vertAlign val="subscript"/>
        <sz val="10"/>
        <color theme="1"/>
        <rFont val="Tahoma"/>
        <family val="2"/>
      </rPr>
      <t>1</t>
    </r>
  </si>
  <si>
    <r>
      <t>x</t>
    </r>
    <r>
      <rPr>
        <b/>
        <vertAlign val="subscript"/>
        <sz val="10"/>
        <color theme="1"/>
        <rFont val="Tahoma"/>
        <family val="2"/>
      </rPr>
      <t>2</t>
    </r>
  </si>
  <si>
    <r>
      <t>x</t>
    </r>
    <r>
      <rPr>
        <b/>
        <vertAlign val="subscript"/>
        <sz val="10"/>
        <color theme="1"/>
        <rFont val="Tahoma"/>
        <family val="2"/>
      </rPr>
      <t>3</t>
    </r>
  </si>
  <si>
    <r>
      <t>x</t>
    </r>
    <r>
      <rPr>
        <b/>
        <vertAlign val="subscript"/>
        <sz val="10"/>
        <color theme="1"/>
        <rFont val="Tahoma"/>
        <family val="2"/>
      </rPr>
      <t>4</t>
    </r>
  </si>
  <si>
    <r>
      <t>x</t>
    </r>
    <r>
      <rPr>
        <b/>
        <vertAlign val="subscript"/>
        <sz val="10"/>
        <color theme="1"/>
        <rFont val="Tahoma"/>
        <family val="2"/>
      </rPr>
      <t>5</t>
    </r>
  </si>
  <si>
    <t>waarde
linkerlid</t>
  </si>
  <si>
    <t>waarde
rechterlid</t>
  </si>
  <si>
    <t>Type Lening</t>
  </si>
  <si>
    <t>Pers. lening</t>
  </si>
  <si>
    <t>Eerste Hypotheek</t>
  </si>
  <si>
    <t>Tweede Hypotheek</t>
  </si>
  <si>
    <t>Autoleasing</t>
  </si>
  <si>
    <t>Pers. Lening</t>
  </si>
  <si>
    <t>Eerste + tweede Hypotheek</t>
  </si>
  <si>
    <t>Aandeel eerste hypotheek</t>
  </si>
  <si>
    <t>Pers. Lening + Autoleasing</t>
  </si>
  <si>
    <t>berekend</t>
  </si>
  <si>
    <t>grens</t>
  </si>
  <si>
    <t>Uitgeleend
(x 1000)</t>
  </si>
  <si>
    <t>Opbrengst
(x 1000)</t>
  </si>
  <si>
    <t>Totale belegging (x 1000)</t>
  </si>
  <si>
    <t>Spaarbank</t>
  </si>
  <si>
    <t>solv008</t>
  </si>
  <si>
    <t>solv009</t>
  </si>
  <si>
    <t>solv010</t>
  </si>
  <si>
    <t>Winstmarge</t>
  </si>
  <si>
    <t>BTW</t>
  </si>
  <si>
    <t>Inkoopprijs
(excl. BTW)</t>
  </si>
  <si>
    <t>Verkoopprijs
(excl. BTW)</t>
  </si>
  <si>
    <t>Verkoopprijs
(incl. BTW)</t>
  </si>
  <si>
    <t>Marge</t>
  </si>
  <si>
    <t>XXX</t>
  </si>
  <si>
    <t>YYY</t>
  </si>
  <si>
    <t>ZZZ</t>
  </si>
  <si>
    <t>Winstmarge en Verkoopprijs</t>
  </si>
  <si>
    <t>Inkomsten</t>
  </si>
  <si>
    <t>Contributies</t>
  </si>
  <si>
    <t>Kantine</t>
  </si>
  <si>
    <t>Uitgaven</t>
  </si>
  <si>
    <t>Materialen</t>
  </si>
  <si>
    <t>Huur</t>
  </si>
  <si>
    <t>Diversen</t>
  </si>
  <si>
    <t>Winst</t>
  </si>
  <si>
    <t>Begrotingsjaar</t>
  </si>
  <si>
    <t>Begroting club</t>
  </si>
  <si>
    <t>scen002</t>
  </si>
  <si>
    <t>Materiaalkosten</t>
  </si>
  <si>
    <t>Produkt A</t>
  </si>
  <si>
    <t>Produkt B</t>
  </si>
  <si>
    <t>Produkt C</t>
  </si>
  <si>
    <t>Uren per eenheid</t>
  </si>
  <si>
    <t>Materiaal per eenheid</t>
  </si>
  <si>
    <t>Kosten produkt</t>
  </si>
  <si>
    <t>Verkoopprijs</t>
  </si>
  <si>
    <t>Winst per eenheid</t>
  </si>
  <si>
    <t>Aantal eenheden</t>
  </si>
  <si>
    <t>Totale winst per model</t>
  </si>
  <si>
    <t>Bedrijfswinst</t>
  </si>
  <si>
    <t>per eenheid</t>
  </si>
  <si>
    <t>per uur</t>
  </si>
  <si>
    <t>Tarieven kostensoorten</t>
  </si>
  <si>
    <t>Arbeidsloon</t>
  </si>
  <si>
    <t>Productspecificaties</t>
  </si>
  <si>
    <t>Prijscalculatie</t>
  </si>
  <si>
    <t>Productie en winst</t>
  </si>
  <si>
    <t>scenario</t>
  </si>
  <si>
    <t>gunstig</t>
  </si>
  <si>
    <t>slecht</t>
  </si>
  <si>
    <t>waarschijnlijk</t>
  </si>
  <si>
    <t>arbeidsloon</t>
  </si>
  <si>
    <t>materiaalkosten</t>
  </si>
  <si>
    <t>Scenario's bedrijfswinst</t>
  </si>
  <si>
    <t>Huidig</t>
  </si>
  <si>
    <t>Inflatie:</t>
  </si>
  <si>
    <t>Groei:</t>
  </si>
  <si>
    <t>Rente:</t>
  </si>
  <si>
    <t>Belasting:</t>
  </si>
  <si>
    <t>Hardware</t>
  </si>
  <si>
    <t>Consultancy</t>
  </si>
  <si>
    <t>Cursussen</t>
  </si>
  <si>
    <t>Totale Inkomsten</t>
  </si>
  <si>
    <t>Salarissen</t>
  </si>
  <si>
    <t>Goederen</t>
  </si>
  <si>
    <t>Afschrijvingen</t>
  </si>
  <si>
    <t>Verzekeringen</t>
  </si>
  <si>
    <t>Rente</t>
  </si>
  <si>
    <t>Totale Uitgaven</t>
  </si>
  <si>
    <t>Winst voor belasting</t>
  </si>
  <si>
    <t>Belasting</t>
  </si>
  <si>
    <t>Winst na belasting</t>
  </si>
  <si>
    <t>ongunstig</t>
  </si>
  <si>
    <t>Groei</t>
  </si>
  <si>
    <t>Inflatie</t>
  </si>
  <si>
    <t>Winst computerbedrijf</t>
  </si>
  <si>
    <t>scen003</t>
  </si>
  <si>
    <t>scen004</t>
  </si>
  <si>
    <t>niveau</t>
  </si>
  <si>
    <t>Formule</t>
  </si>
  <si>
    <t>Draaitabel</t>
  </si>
  <si>
    <t>Grafiek</t>
  </si>
  <si>
    <t>Lijst</t>
  </si>
  <si>
    <t>Scenario</t>
  </si>
  <si>
    <t>Productie hondenvoer</t>
  </si>
  <si>
    <t>Niveau</t>
  </si>
  <si>
    <t>Titel:</t>
  </si>
  <si>
    <t>Categorie:</t>
  </si>
  <si>
    <t>Niveau:</t>
  </si>
  <si>
    <t>Verkoopgegevens samenvoegen</t>
  </si>
  <si>
    <t>Achtergrondkleur</t>
  </si>
  <si>
    <t>Macro</t>
  </si>
  <si>
    <t>Procentuele opmaak</t>
  </si>
  <si>
    <t>Opmaak cel A1</t>
  </si>
  <si>
    <t>Rasterlijnen afdrukken</t>
  </si>
  <si>
    <t>macr001</t>
  </si>
  <si>
    <t>macr002</t>
  </si>
  <si>
    <t>macr003</t>
  </si>
  <si>
    <t>macr004</t>
  </si>
  <si>
    <t>Storting</t>
  </si>
  <si>
    <t>Rente/Jaar</t>
  </si>
  <si>
    <t>Waarde</t>
  </si>
  <si>
    <t>Spaarbedrag</t>
  </si>
  <si>
    <t>goal004</t>
  </si>
  <si>
    <t>matr001</t>
  </si>
  <si>
    <t>matr002</t>
  </si>
  <si>
    <t>Gewicht (kg)</t>
  </si>
  <si>
    <t>Lengte(cm)</t>
  </si>
  <si>
    <t>Richting</t>
  </si>
  <si>
    <t>Snijpunt</t>
  </si>
  <si>
    <t>Lengte en gewicht</t>
  </si>
  <si>
    <t>Studietijd (hr)</t>
  </si>
  <si>
    <t>Studietijd en tentamencijfer</t>
  </si>
  <si>
    <t>Krimpperc.</t>
  </si>
  <si>
    <r>
      <t>Temp (</t>
    </r>
    <r>
      <rPr>
        <vertAlign val="superscript"/>
        <sz val="10"/>
        <color theme="1"/>
        <rFont val="Tahoma"/>
        <family val="2"/>
      </rPr>
      <t>o</t>
    </r>
    <r>
      <rPr>
        <sz val="10"/>
        <color theme="1"/>
        <rFont val="Tahoma"/>
        <family val="2"/>
      </rPr>
      <t>C)</t>
    </r>
  </si>
  <si>
    <t>Krimp en temperatuur</t>
  </si>
  <si>
    <t>Voorspelling</t>
  </si>
  <si>
    <t>Weerstand (Ohm)</t>
  </si>
  <si>
    <t>Weerstand en temperatuur</t>
  </si>
  <si>
    <t>meas001</t>
  </si>
  <si>
    <t>meas002</t>
  </si>
  <si>
    <t>meas003</t>
  </si>
  <si>
    <t>meas004</t>
  </si>
  <si>
    <t>form002</t>
  </si>
  <si>
    <t>Aantal
(per ha)</t>
  </si>
  <si>
    <t>Telling vliegenzwammen</t>
  </si>
  <si>
    <t>1985</t>
  </si>
  <si>
    <t>1986</t>
  </si>
  <si>
    <t>1987</t>
  </si>
  <si>
    <t>1988</t>
  </si>
  <si>
    <t>1989</t>
  </si>
  <si>
    <t>1991</t>
  </si>
  <si>
    <t>1992</t>
  </si>
  <si>
    <t>1993</t>
  </si>
  <si>
    <t>1994</t>
  </si>
  <si>
    <t>1995</t>
  </si>
  <si>
    <t>graf006</t>
  </si>
  <si>
    <t>Prijs kaartje</t>
  </si>
  <si>
    <t>Categorie</t>
  </si>
  <si>
    <t>Tarief</t>
  </si>
  <si>
    <t>Kinderen t/m 12 jaar</t>
  </si>
  <si>
    <t>Volwassenen</t>
  </si>
  <si>
    <t>Leeftijd</t>
  </si>
  <si>
    <t>form007</t>
  </si>
  <si>
    <t>OZB belasting</t>
  </si>
  <si>
    <t>Aanslag WOZ</t>
  </si>
  <si>
    <t>tarief eigenaar</t>
  </si>
  <si>
    <t>van de WOZ-waarde</t>
  </si>
  <si>
    <t>tarief gebruiker</t>
  </si>
  <si>
    <t>WOZ-waarde woning</t>
  </si>
  <si>
    <t>eigenaar?</t>
  </si>
  <si>
    <t>gebruiker?</t>
  </si>
  <si>
    <t>Totaal verschuldigd:</t>
  </si>
  <si>
    <t>form008</t>
  </si>
  <si>
    <t>Spaardeposito</t>
  </si>
  <si>
    <t>Rentepercentage</t>
  </si>
  <si>
    <t>Na 1 jaar:</t>
  </si>
  <si>
    <t>form009</t>
  </si>
  <si>
    <t>stroomsterkte (i)</t>
  </si>
  <si>
    <t>Ampere</t>
  </si>
  <si>
    <t>weerstand (r)</t>
  </si>
  <si>
    <t>Ohm</t>
  </si>
  <si>
    <t>sec</t>
  </si>
  <si>
    <t>cal</t>
  </si>
  <si>
    <t>warmte (Q)</t>
  </si>
  <si>
    <t>tijd (t)</t>
  </si>
  <si>
    <t>Wet van Joule</t>
  </si>
  <si>
    <t>form010</t>
  </si>
  <si>
    <t>met EN()</t>
  </si>
  <si>
    <t>met ALS()</t>
  </si>
  <si>
    <t>minimaal per periode:</t>
  </si>
  <si>
    <t>Cijfers</t>
  </si>
  <si>
    <t>Totaal jong</t>
  </si>
  <si>
    <t>Totaal midden</t>
  </si>
  <si>
    <t>Totaal oud</t>
  </si>
  <si>
    <t>Max verbruik</t>
  </si>
  <si>
    <t>Min verbruik</t>
  </si>
  <si>
    <t>Diesel</t>
  </si>
  <si>
    <t>Super</t>
  </si>
  <si>
    <t>Normaal</t>
  </si>
  <si>
    <t>Eindtotaal Som van Omzet</t>
  </si>
  <si>
    <t>Eindtotaal Som van Reiskosten</t>
  </si>
  <si>
    <t>Eindtotaal Som van Provisie</t>
  </si>
  <si>
    <t>(Alles)</t>
  </si>
  <si>
    <t>Code</t>
  </si>
  <si>
    <t>Titel-NL</t>
  </si>
  <si>
    <t>Titel-EN</t>
  </si>
  <si>
    <t>Results computer company</t>
  </si>
  <si>
    <t>Lookup article details</t>
  </si>
  <si>
    <t>Calculating with dates</t>
  </si>
  <si>
    <t>Determining commission</t>
  </si>
  <si>
    <t>Birth dates</t>
  </si>
  <si>
    <t>VAT return</t>
  </si>
  <si>
    <t>Ticket price</t>
  </si>
  <si>
    <t>Property tax</t>
  </si>
  <si>
    <t>Savings deposit</t>
  </si>
  <si>
    <t>Joule's law</t>
  </si>
  <si>
    <t>Loan payment</t>
  </si>
  <si>
    <t>Break-even point</t>
  </si>
  <si>
    <t>Savings amount</t>
  </si>
  <si>
    <t>Third-degree chart</t>
  </si>
  <si>
    <t>Travel bookings</t>
  </si>
  <si>
    <t>Sales figures</t>
  </si>
  <si>
    <t>Age structure</t>
  </si>
  <si>
    <t>Relationship production - cost</t>
  </si>
  <si>
    <t>Counting agarics</t>
  </si>
  <si>
    <t>Selecting</t>
  </si>
  <si>
    <t>Consolidating examination results</t>
  </si>
  <si>
    <t>Consolidating sales data</t>
  </si>
  <si>
    <t>Filtering overview cars</t>
  </si>
  <si>
    <t>Background color</t>
  </si>
  <si>
    <t>Percentage formatting</t>
  </si>
  <si>
    <t>Formatting cell A1</t>
  </si>
  <si>
    <t>Printing gridlines</t>
  </si>
  <si>
    <t>Function approximation</t>
  </si>
  <si>
    <t>Determining shortest distance</t>
  </si>
  <si>
    <t>Maximum of a function</t>
  </si>
  <si>
    <t>Sales forecasts</t>
  </si>
  <si>
    <t>Array addition</t>
  </si>
  <si>
    <t>Failures per district</t>
  </si>
  <si>
    <t>Height and weight</t>
  </si>
  <si>
    <t>Study time and exam grade</t>
  </si>
  <si>
    <t>Shrinkage and temperature</t>
  </si>
  <si>
    <t>Resistance and temperature</t>
  </si>
  <si>
    <t>Salary averages</t>
  </si>
  <si>
    <t>Salary totals</t>
  </si>
  <si>
    <t>Turnover, travel expenses and commission</t>
  </si>
  <si>
    <t>Average rating</t>
  </si>
  <si>
    <t>Frequency distribution figures</t>
  </si>
  <si>
    <t>Clothing sales by region</t>
  </si>
  <si>
    <t>Shop opening hours</t>
  </si>
  <si>
    <t>Own home and average value</t>
  </si>
  <si>
    <t>Transport research</t>
  </si>
  <si>
    <t>Coffee yield per region</t>
  </si>
  <si>
    <t>Fuel consumption cars</t>
  </si>
  <si>
    <t>Hobby club</t>
  </si>
  <si>
    <t>Profit margin - Sales price</t>
  </si>
  <si>
    <t>Budget sports club</t>
  </si>
  <si>
    <t>Scenarios business profit</t>
  </si>
  <si>
    <t>Gainings automation company</t>
  </si>
  <si>
    <t>Bonbon box</t>
  </si>
  <si>
    <t>Number of supermarkets</t>
  </si>
  <si>
    <t>Running shoes</t>
  </si>
  <si>
    <t>Production of aluminium ladders</t>
  </si>
  <si>
    <t>Production of dog food</t>
  </si>
  <si>
    <t>Vitamins for cattle feeding</t>
  </si>
  <si>
    <t>Vitamin pills</t>
  </si>
  <si>
    <t>Minimizing transport costs</t>
  </si>
  <si>
    <t>Solving system of linear equations</t>
  </si>
  <si>
    <t>Savings bank</t>
  </si>
  <si>
    <t>Distribution shoe sizes</t>
  </si>
  <si>
    <t>Relationship study time - mark</t>
  </si>
  <si>
    <t>Sales prognoses</t>
  </si>
  <si>
    <t>Service level</t>
  </si>
  <si>
    <t>Code:</t>
  </si>
  <si>
    <t>Cat-NL</t>
  </si>
  <si>
    <t>Cat-EN</t>
  </si>
  <si>
    <t>Goal Seek</t>
  </si>
  <si>
    <t>Formula</t>
  </si>
  <si>
    <t>Chart</t>
  </si>
  <si>
    <t>List</t>
  </si>
  <si>
    <t>Math</t>
  </si>
  <si>
    <t>Matrix formule</t>
  </si>
  <si>
    <t>Array formula</t>
  </si>
  <si>
    <t>Data analyse</t>
  </si>
  <si>
    <t>Data analysis</t>
  </si>
  <si>
    <t>Pivot table</t>
  </si>
  <si>
    <t>Solver</t>
  </si>
  <si>
    <t>Statistics</t>
  </si>
  <si>
    <t>doos_oppervlak_min</t>
  </si>
  <si>
    <t>doos_gewicht_min</t>
  </si>
  <si>
    <t>doos_gewicht_max</t>
  </si>
  <si>
    <t>aantal_kers_min</t>
  </si>
  <si>
    <t>aantal_hazelnoot_min</t>
  </si>
  <si>
    <t>doos_aantal_min</t>
  </si>
  <si>
    <t>form011</t>
  </si>
  <si>
    <t>Investering obligatie</t>
  </si>
  <si>
    <t>Huidige Waarde</t>
  </si>
  <si>
    <t>TW</t>
  </si>
  <si>
    <t>Looptijd</t>
  </si>
  <si>
    <t>Investment bond</t>
  </si>
  <si>
    <t>tabl001</t>
  </si>
  <si>
    <t>Aflossing lening</t>
  </si>
  <si>
    <t>Gegevenstabel</t>
  </si>
  <si>
    <t>bedrag lening</t>
  </si>
  <si>
    <t>jaarlijks rente</t>
  </si>
  <si>
    <t>aantal maanden</t>
  </si>
  <si>
    <t>maandbetaling</t>
  </si>
  <si>
    <t>Payment loan</t>
  </si>
  <si>
    <t>maanden</t>
  </si>
  <si>
    <t>Data table</t>
  </si>
  <si>
    <t>tabl002</t>
  </si>
  <si>
    <t>Projected sales</t>
  </si>
  <si>
    <t>Verkopen 2013</t>
  </si>
  <si>
    <t>Groeifactor</t>
  </si>
  <si>
    <t>Prognose verkoop 2014</t>
  </si>
  <si>
    <t>Kranteninkomsten uit advertenties</t>
  </si>
  <si>
    <t>week</t>
  </si>
  <si>
    <t>inkomsten
(x1000 €)</t>
  </si>
  <si>
    <t>graad</t>
  </si>
  <si>
    <t>R-kwadraat</t>
  </si>
  <si>
    <t>Omzet (x €1000)</t>
  </si>
  <si>
    <t>R2</t>
  </si>
  <si>
    <t>Lineair</t>
  </si>
  <si>
    <t>Logaritmisch</t>
  </si>
  <si>
    <t>Exponentieel</t>
  </si>
  <si>
    <t>fcast001</t>
  </si>
  <si>
    <t>Inkomsten uit advertenties</t>
  </si>
  <si>
    <t>Omzet voorspelling</t>
  </si>
  <si>
    <t>fcast002</t>
  </si>
  <si>
    <t>Prognose</t>
  </si>
  <si>
    <t>Forecasting</t>
  </si>
  <si>
    <t>Revenu from ads</t>
  </si>
  <si>
    <t>Sales forecast</t>
  </si>
  <si>
    <t>form012</t>
  </si>
  <si>
    <t>form013</t>
  </si>
  <si>
    <t>Vermenigvuldigingstabel</t>
  </si>
  <si>
    <t>Prijs olijfolie</t>
  </si>
  <si>
    <t>Multiplying table</t>
  </si>
  <si>
    <t>Price olive oil</t>
  </si>
  <si>
    <t>staffel_limiet</t>
  </si>
  <si>
    <t>prijs_hoog</t>
  </si>
  <si>
    <t xml:space="preserve">prijs_laag </t>
  </si>
  <si>
    <t>blikken_totaal</t>
  </si>
  <si>
    <t>prijs_totaal</t>
  </si>
  <si>
    <t>Verkoop</t>
  </si>
  <si>
    <t>data001</t>
  </si>
  <si>
    <t>Eenvoudig csv bestand importeren</t>
  </si>
  <si>
    <t>Data</t>
  </si>
  <si>
    <t>Import simple csv file</t>
  </si>
  <si>
    <t>Voorspellen
(Omzet (x €1000))</t>
  </si>
  <si>
    <t>Laagste betrouwbaarheidsgrens
(Omzet (x €1000))</t>
  </si>
  <si>
    <t>Hoogste betrouwbaarheidsgrens
(Omzet (x €1000))</t>
  </si>
  <si>
    <t>tidy001</t>
  </si>
  <si>
    <t>Prijzen koffiesoorten</t>
  </si>
  <si>
    <t>Tidy data</t>
  </si>
  <si>
    <t>Gestructureerde gegevens</t>
  </si>
  <si>
    <t>Coffee prices</t>
  </si>
  <si>
    <t>Product</t>
  </si>
  <si>
    <t>Tall</t>
  </si>
  <si>
    <t>Grande</t>
  </si>
  <si>
    <t>Venti</t>
  </si>
  <si>
    <t>Caffè Latte</t>
  </si>
  <si>
    <t>Cappuccino</t>
  </si>
  <si>
    <t>Espresso</t>
  </si>
  <si>
    <t>Caramel Maccchiato</t>
  </si>
  <si>
    <t>White Caffè Mocha</t>
  </si>
  <si>
    <t>Caffè Mocha</t>
  </si>
  <si>
    <t>Vanilla Latte</t>
  </si>
  <si>
    <t>Caffè Americano</t>
  </si>
  <si>
    <t>Filter Coffee</t>
  </si>
  <si>
    <t>tidy002</t>
  </si>
  <si>
    <t>Kosten levensonderhoud</t>
  </si>
  <si>
    <t>Cost of living</t>
  </si>
  <si>
    <t>Location</t>
  </si>
  <si>
    <t>Bread</t>
  </si>
  <si>
    <t>Cheese</t>
  </si>
  <si>
    <t>Milk</t>
  </si>
  <si>
    <t>Rice</t>
  </si>
  <si>
    <t>Aachen, Germany</t>
  </si>
  <si>
    <t>Amsterdam, Netherlands</t>
  </si>
  <si>
    <t>Antwerp, Belgium</t>
  </si>
  <si>
    <t>Arhus, Denmark</t>
  </si>
  <si>
    <t>Athens, Greece</t>
  </si>
  <si>
    <t>Barcelona, Spain</t>
  </si>
  <si>
    <t>Basel, Switzerland</t>
  </si>
  <si>
    <t>Belfast, United Kingdom</t>
  </si>
  <si>
    <t>Belgrade, Serbia</t>
  </si>
  <si>
    <t>Berlin, Germany</t>
  </si>
  <si>
    <t>Bern, Switzerland</t>
  </si>
  <si>
    <t>Birmingham, United Kingdom</t>
  </si>
  <si>
    <t>Bologna, Italy</t>
  </si>
  <si>
    <t>Bonn, Germany</t>
  </si>
  <si>
    <t>Brasov, Romania</t>
  </si>
  <si>
    <t>Bratislava, Slovakia</t>
  </si>
  <si>
    <t>Bremen, Germany</t>
  </si>
  <si>
    <t>Bristol, United Kingdom</t>
  </si>
  <si>
    <t>Brno, Czech Republic</t>
  </si>
  <si>
    <t>Brussels, Belgium</t>
  </si>
  <si>
    <t>Bucharest, Romania</t>
  </si>
  <si>
    <t>Budapest, Hungary</t>
  </si>
  <si>
    <t>Cambridge, United Kingdom</t>
  </si>
  <si>
    <t>Cluj-Napoca, Romania</t>
  </si>
  <si>
    <t>Cologne, Germany</t>
  </si>
  <si>
    <t>Constanta, Romania</t>
  </si>
  <si>
    <t>Copenhagen, Denmark</t>
  </si>
  <si>
    <t>Cork, Ireland</t>
  </si>
  <si>
    <t>Craiova, Romania</t>
  </si>
  <si>
    <t>Debrecen, Hungary</t>
  </si>
  <si>
    <t>Delft, Netherlands</t>
  </si>
  <si>
    <t>Dresden, Germany</t>
  </si>
  <si>
    <t>Dublin, Ireland</t>
  </si>
  <si>
    <t>Dundee, United Kingdom</t>
  </si>
  <si>
    <t>Dusseldorf, Germany</t>
  </si>
  <si>
    <t>Edinburgh, United Kingdom</t>
  </si>
  <si>
    <t>Eindhoven, Netherlands</t>
  </si>
  <si>
    <t>Florence, Italy</t>
  </si>
  <si>
    <t>Frankfurt, Germany</t>
  </si>
  <si>
    <t>Galway, Ireland</t>
  </si>
  <si>
    <t>Gdansk, Poland</t>
  </si>
  <si>
    <t>Genoa, Italy</t>
  </si>
  <si>
    <t>Gent, Belgium</t>
  </si>
  <si>
    <t>Glasgow, United Kingdom</t>
  </si>
  <si>
    <t>Gothenburg, Sweden</t>
  </si>
  <si>
    <t>Graz, Austria</t>
  </si>
  <si>
    <t>Groningen, Netherlands</t>
  </si>
  <si>
    <t>Hamburg, Germany</t>
  </si>
  <si>
    <t>Hannover, Germany</t>
  </si>
  <si>
    <t>Heidelberg, Germany</t>
  </si>
  <si>
    <t>Helsinki, Finland</t>
  </si>
  <si>
    <t>Heraklion, Greece</t>
  </si>
  <si>
    <t>Iasi, Romania</t>
  </si>
  <si>
    <t>Innsbruck, Austria</t>
  </si>
  <si>
    <t>Karlsruhe, Germany</t>
  </si>
  <si>
    <t>Katowice, Poland</t>
  </si>
  <si>
    <t>Kaunas, Lithuania</t>
  </si>
  <si>
    <t>Kharkiv, Ukraine</t>
  </si>
  <si>
    <t>Kiev, Ukraine</t>
  </si>
  <si>
    <t>Kosice, Slovakia</t>
  </si>
  <si>
    <t>Krakow, Poland</t>
  </si>
  <si>
    <t>Lausanne, Switzerland</t>
  </si>
  <si>
    <t>Leeds, United Kingdom</t>
  </si>
  <si>
    <t>Leipzig, Germany</t>
  </si>
  <si>
    <t>Linz, Austria</t>
  </si>
  <si>
    <t>Lisbon, Portugal</t>
  </si>
  <si>
    <t>Liverpool, United Kingdom</t>
  </si>
  <si>
    <t>Ljubljana, Slovenia</t>
  </si>
  <si>
    <t>Lodz, Poland</t>
  </si>
  <si>
    <t>London, United Kingdom</t>
  </si>
  <si>
    <t>Lviv, Ukraine</t>
  </si>
  <si>
    <t>Lyon, France</t>
  </si>
  <si>
    <t>Madrid, Spain</t>
  </si>
  <si>
    <t>Malaga, Spain</t>
  </si>
  <si>
    <t>Manchester, United Kingdom</t>
  </si>
  <si>
    <t>Mannheim, Germany</t>
  </si>
  <si>
    <t>Milan, Italy</t>
  </si>
  <si>
    <t>Munich, Germany</t>
  </si>
  <si>
    <t>Naples, Italy</t>
  </si>
  <si>
    <t>Newcastle upon Tyne, United Kingdom</t>
  </si>
  <si>
    <t>Nis, Serbia</t>
  </si>
  <si>
    <t>Novi Sad, Serbia</t>
  </si>
  <si>
    <t>Nuremberg, Germany</t>
  </si>
  <si>
    <t>Odessa, Ukraine</t>
  </si>
  <si>
    <t>Oslo, Norway</t>
  </si>
  <si>
    <t>Ostrava, Czech Republic</t>
  </si>
  <si>
    <t>Paris, France</t>
  </si>
  <si>
    <t>Patras, Greece</t>
  </si>
  <si>
    <t>Plovdiv, Bulgaria</t>
  </si>
  <si>
    <t>Porto, Portugal</t>
  </si>
  <si>
    <t>Poznan, Poland</t>
  </si>
  <si>
    <t>Prague, Czech Republic</t>
  </si>
  <si>
    <t>Reykjavik, Iceland</t>
  </si>
  <si>
    <t>Riga, Latvia</t>
  </si>
  <si>
    <t>Rijeka, Croatia</t>
  </si>
  <si>
    <t>Rome, Italy</t>
  </si>
  <si>
    <t>Rotterdam, Netherlands</t>
  </si>
  <si>
    <t>Sheffield, United Kingdom</t>
  </si>
  <si>
    <t>Sofia, Bulgaria</t>
  </si>
  <si>
    <t>Split, Croatia</t>
  </si>
  <si>
    <t>Stavanger, Norway</t>
  </si>
  <si>
    <t>Stockholm, Sweden</t>
  </si>
  <si>
    <t>Stuttgart, Germany</t>
  </si>
  <si>
    <t>Tallinn, Estonia</t>
  </si>
  <si>
    <t>Tartu, Estonia</t>
  </si>
  <si>
    <t>The Hague, Netherlands</t>
  </si>
  <si>
    <t>Thessaloniki, Greece</t>
  </si>
  <si>
    <t>Timisoara, Romania</t>
  </si>
  <si>
    <t>Toulouse, France</t>
  </si>
  <si>
    <t>Trondheim, Norway</t>
  </si>
  <si>
    <t>Turin, Italy</t>
  </si>
  <si>
    <t>Utrecht, Netherlands</t>
  </si>
  <si>
    <t>Valencia, Spain</t>
  </si>
  <si>
    <t>Varna, Bulgaria</t>
  </si>
  <si>
    <t>Vienna, Austria</t>
  </si>
  <si>
    <t>Vilnius, Lithuania</t>
  </si>
  <si>
    <t>Warsaw, Poland</t>
  </si>
  <si>
    <t>Wroclaw, Poland</t>
  </si>
  <si>
    <t>Zagreb, Croatia</t>
  </si>
  <si>
    <t>Zurich, Switzerland</t>
  </si>
  <si>
    <t>Stad</t>
  </si>
  <si>
    <t>Land</t>
  </si>
  <si>
    <t>Aachen</t>
  </si>
  <si>
    <t xml:space="preserve"> Germany</t>
  </si>
  <si>
    <t>Amsterdam</t>
  </si>
  <si>
    <t xml:space="preserve"> Netherlands</t>
  </si>
  <si>
    <t>Antwerp</t>
  </si>
  <si>
    <t xml:space="preserve"> Belgium</t>
  </si>
  <si>
    <t>Arhus</t>
  </si>
  <si>
    <t xml:space="preserve"> Denmark</t>
  </si>
  <si>
    <t>Athens</t>
  </si>
  <si>
    <t xml:space="preserve"> Greece</t>
  </si>
  <si>
    <t>Barcelona</t>
  </si>
  <si>
    <t xml:space="preserve"> Spain</t>
  </si>
  <si>
    <t>Basel</t>
  </si>
  <si>
    <t xml:space="preserve"> Switzerland</t>
  </si>
  <si>
    <t>Belfast</t>
  </si>
  <si>
    <t xml:space="preserve"> United Kingdom</t>
  </si>
  <si>
    <t>Belgrade</t>
  </si>
  <si>
    <t xml:space="preserve"> Serbia</t>
  </si>
  <si>
    <t>Berlin</t>
  </si>
  <si>
    <t>Bern</t>
  </si>
  <si>
    <t>Birmingham</t>
  </si>
  <si>
    <t>Bologna</t>
  </si>
  <si>
    <t xml:space="preserve"> Italy</t>
  </si>
  <si>
    <t>Bonn</t>
  </si>
  <si>
    <t>Brasov</t>
  </si>
  <si>
    <t xml:space="preserve"> Romania</t>
  </si>
  <si>
    <t>Bratislava</t>
  </si>
  <si>
    <t xml:space="preserve"> Slovakia</t>
  </si>
  <si>
    <t>Bremen</t>
  </si>
  <si>
    <t>Bristol</t>
  </si>
  <si>
    <t>Brno</t>
  </si>
  <si>
    <t xml:space="preserve"> Czech Republic</t>
  </si>
  <si>
    <t>Brussels</t>
  </si>
  <si>
    <t>Bucharest</t>
  </si>
  <si>
    <t>Budapest</t>
  </si>
  <si>
    <t xml:space="preserve"> Hungary</t>
  </si>
  <si>
    <t>Cambridge</t>
  </si>
  <si>
    <t>Cluj-Napoca</t>
  </si>
  <si>
    <t>Cologne</t>
  </si>
  <si>
    <t>Constanta</t>
  </si>
  <si>
    <t>Copenhagen</t>
  </si>
  <si>
    <t>Cork</t>
  </si>
  <si>
    <t xml:space="preserve"> Ireland</t>
  </si>
  <si>
    <t>Craiova</t>
  </si>
  <si>
    <t>Debrecen</t>
  </si>
  <si>
    <t>Delft</t>
  </si>
  <si>
    <t>Dresden</t>
  </si>
  <si>
    <t>Dublin</t>
  </si>
  <si>
    <t>Dundee</t>
  </si>
  <si>
    <t>Dusseldorf</t>
  </si>
  <si>
    <t>Edinburgh</t>
  </si>
  <si>
    <t>Florence</t>
  </si>
  <si>
    <t>Frankfurt</t>
  </si>
  <si>
    <t>Galway</t>
  </si>
  <si>
    <t>Gdansk</t>
  </si>
  <si>
    <t xml:space="preserve"> Poland</t>
  </si>
  <si>
    <t>Genoa</t>
  </si>
  <si>
    <t>Gent</t>
  </si>
  <si>
    <t>Glasgow</t>
  </si>
  <si>
    <t>Gothenburg</t>
  </si>
  <si>
    <t xml:space="preserve"> Sweden</t>
  </si>
  <si>
    <t>Graz</t>
  </si>
  <si>
    <t xml:space="preserve"> Austria</t>
  </si>
  <si>
    <t>Groningen</t>
  </si>
  <si>
    <t>Hamburg</t>
  </si>
  <si>
    <t>Hannover</t>
  </si>
  <si>
    <t>Heidelberg</t>
  </si>
  <si>
    <t>Helsinki</t>
  </si>
  <si>
    <t xml:space="preserve"> Finland</t>
  </si>
  <si>
    <t>Heraklion</t>
  </si>
  <si>
    <t>Iasi</t>
  </si>
  <si>
    <t>Innsbruck</t>
  </si>
  <si>
    <t>Karlsruhe</t>
  </si>
  <si>
    <t>Katowice</t>
  </si>
  <si>
    <t>Kaunas</t>
  </si>
  <si>
    <t xml:space="preserve"> Lithuania</t>
  </si>
  <si>
    <t>Kharkiv</t>
  </si>
  <si>
    <t xml:space="preserve"> Ukraine</t>
  </si>
  <si>
    <t>Kiev</t>
  </si>
  <si>
    <t>Kosice</t>
  </si>
  <si>
    <t>Krakow</t>
  </si>
  <si>
    <t>Lausanne</t>
  </si>
  <si>
    <t>Leeds</t>
  </si>
  <si>
    <t>Leipzig</t>
  </si>
  <si>
    <t>Linz</t>
  </si>
  <si>
    <t>Lisbon</t>
  </si>
  <si>
    <t xml:space="preserve"> Portugal</t>
  </si>
  <si>
    <t>Liverpool</t>
  </si>
  <si>
    <t>Ljubljana</t>
  </si>
  <si>
    <t xml:space="preserve"> Slovenia</t>
  </si>
  <si>
    <t>Lodz</t>
  </si>
  <si>
    <t>London</t>
  </si>
  <si>
    <t>Lviv</t>
  </si>
  <si>
    <t>Lyon</t>
  </si>
  <si>
    <t xml:space="preserve"> France</t>
  </si>
  <si>
    <t>Madrid</t>
  </si>
  <si>
    <t>Malaga</t>
  </si>
  <si>
    <t>Manchester</t>
  </si>
  <si>
    <t>Mannheim</t>
  </si>
  <si>
    <t>Milan</t>
  </si>
  <si>
    <t>Munich</t>
  </si>
  <si>
    <t>Naples</t>
  </si>
  <si>
    <t>Newcastle upon Tyne</t>
  </si>
  <si>
    <t>Nis</t>
  </si>
  <si>
    <t>Novi Sad</t>
  </si>
  <si>
    <t>Nuremberg</t>
  </si>
  <si>
    <t>Odessa</t>
  </si>
  <si>
    <t>Oslo</t>
  </si>
  <si>
    <t xml:space="preserve"> Norway</t>
  </si>
  <si>
    <t>Ostrava</t>
  </si>
  <si>
    <t>Paris</t>
  </si>
  <si>
    <t>Patras</t>
  </si>
  <si>
    <t>Plovdiv</t>
  </si>
  <si>
    <t xml:space="preserve"> Bulgaria</t>
  </si>
  <si>
    <t>Porto</t>
  </si>
  <si>
    <t>Poznan</t>
  </si>
  <si>
    <t>Prague</t>
  </si>
  <si>
    <t>Reykjavik</t>
  </si>
  <si>
    <t xml:space="preserve"> Iceland</t>
  </si>
  <si>
    <t>Riga</t>
  </si>
  <si>
    <t xml:space="preserve"> Latvia</t>
  </si>
  <si>
    <t>Rijeka</t>
  </si>
  <si>
    <t xml:space="preserve"> Croatia</t>
  </si>
  <si>
    <t>Rome</t>
  </si>
  <si>
    <t>Rotterdam</t>
  </si>
  <si>
    <t>Sheffield</t>
  </si>
  <si>
    <t>Sofia</t>
  </si>
  <si>
    <t>Split</t>
  </si>
  <si>
    <t>Stavanger</t>
  </si>
  <si>
    <t>Stockholm</t>
  </si>
  <si>
    <t>Stuttgart</t>
  </si>
  <si>
    <t>Tallinn</t>
  </si>
  <si>
    <t xml:space="preserve"> Estonia</t>
  </si>
  <si>
    <t>Tartu</t>
  </si>
  <si>
    <t>The Hague</t>
  </si>
  <si>
    <t>Thessaloniki</t>
  </si>
  <si>
    <t>Timisoara</t>
  </si>
  <si>
    <t>Toulouse</t>
  </si>
  <si>
    <t>Trondheim</t>
  </si>
  <si>
    <t>Turin</t>
  </si>
  <si>
    <t>Utrecht</t>
  </si>
  <si>
    <t>Valencia</t>
  </si>
  <si>
    <t>Varna</t>
  </si>
  <si>
    <t>Vienna</t>
  </si>
  <si>
    <t>Vilnius</t>
  </si>
  <si>
    <t>Warsaw</t>
  </si>
  <si>
    <t>Wroclaw</t>
  </si>
  <si>
    <t>Zagreb</t>
  </si>
  <si>
    <t>Zurich</t>
  </si>
  <si>
    <t>Rijlabels</t>
  </si>
  <si>
    <t>Gemiddelde van Prijs</t>
  </si>
  <si>
    <t>Seville, Spain</t>
  </si>
  <si>
    <t>Seville</t>
  </si>
  <si>
    <t>tidy003</t>
  </si>
  <si>
    <t>ID</t>
  </si>
  <si>
    <t>Toets</t>
  </si>
  <si>
    <t>Herfst</t>
  </si>
  <si>
    <t>Winter</t>
  </si>
  <si>
    <t>Lente</t>
  </si>
  <si>
    <t>Rekenen</t>
  </si>
  <si>
    <t>Taal</t>
  </si>
  <si>
    <t>2017</t>
  </si>
  <si>
    <t>2018</t>
  </si>
  <si>
    <t>Kwartaal</t>
  </si>
  <si>
    <t>Gemiddelde van Rekenen</t>
  </si>
  <si>
    <t>Gemiddelde van Taal</t>
  </si>
  <si>
    <t>Rekenen en Taal cijfers</t>
  </si>
  <si>
    <t>Math and Writing grades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</si>
</sst>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8">
    <numFmt numFmtId="5" formatCode="&quot;€&quot;\ #,##0;&quot;€&quot;\ \-#,##0"/>
    <numFmt numFmtId="7" formatCode="&quot;€&quot;\ #,##0.00;&quot;€&quot;\ \-#,##0.00"/>
    <numFmt numFmtId="8" formatCode="&quot;€&quot;\ #,##0.00;[Red]&quot;€&quot;\ \-#,##0.00"/>
    <numFmt numFmtId="42" formatCode="_ &quot;€&quot;\ * #,##0_ ;_ &quot;€&quot;\ * \-#,##0_ ;_ &quot;€&quot;\ * &quot;-&quot;_ ;_ @_ "/>
    <numFmt numFmtId="41" formatCode="_ * #,##0_ ;_ * \-#,##0_ ;_ * &quot;-&quot;_ ;_ @_ "/>
    <numFmt numFmtId="44" formatCode="_ &quot;€&quot;\ * #,##0.00_ ;_ &quot;€&quot;\ * \-#,##0.00_ ;_ &quot;€&quot;\ * &quot;-&quot;??_ ;_ @_ "/>
    <numFmt numFmtId="43" formatCode="_ * #,##0.00_ ;_ * \-#,##0.00_ ;_ * &quot;-&quot;??_ ;_ @_ "/>
    <numFmt numFmtId="164" formatCode="_ &quot;€&quot;\ * #,##0_ ;_ &quot;€&quot;\ * \-#,##0_ ;_ &quot;€&quot;\ * &quot;-&quot;??_ ;_ @_ "/>
    <numFmt numFmtId="165" formatCode="ddd\ dd/m/yyyy"/>
    <numFmt numFmtId="166" formatCode="_ * #,##0_ ;_ * \-#,##0_ ;_ * &quot;-&quot;??_ ;_ @_ "/>
    <numFmt numFmtId="167" formatCode="#\ &quot;dagen&quot;"/>
    <numFmt numFmtId="168" formatCode="0.0"/>
    <numFmt numFmtId="169" formatCode="0.000"/>
    <numFmt numFmtId="170" formatCode="0.00000"/>
    <numFmt numFmtId="171" formatCode="0.0000000000"/>
    <numFmt numFmtId="172" formatCode="0.0000"/>
    <numFmt numFmtId="173" formatCode="_-&quot;F&quot;\ * #,##0.00_-;_-&quot;F&quot;\ * #,##0.00\-;_-&quot;F&quot;\ * &quot;-&quot;??_-;_-@_-"/>
    <numFmt numFmtId="174" formatCode="_-&quot;€&quot;\ * #,##0_-;_-&quot;€&quot;\ * #,##0\-;_-&quot;€&quot;\ * &quot;-&quot;_-;_-@_-"/>
    <numFmt numFmtId="175" formatCode="0.0%"/>
    <numFmt numFmtId="176" formatCode="dd/mm/yyyy"/>
    <numFmt numFmtId="177" formatCode="&quot;€&quot;\ #,##0"/>
    <numFmt numFmtId="178" formatCode="&quot;€&quot;\ #,##0.00"/>
    <numFmt numFmtId="179" formatCode="_-* #,##0_-;_-* #,##0\-;_-* &quot;-&quot;_-;_-@_-"/>
    <numFmt numFmtId="180" formatCode="_-&quot;fl&quot;\ * #,##0_-;_-&quot;fl&quot;\ * #,##0\-;_-&quot;fl&quot;\ * &quot;-&quot;_-;_-@_-"/>
    <numFmt numFmtId="181" formatCode="0.000000"/>
    <numFmt numFmtId="182" formatCode="_ * #,##0.00000000_ ;_ * \-#,##0.00000000_ ;_ * &quot;-&quot;??_ ;_ @_ "/>
    <numFmt numFmtId="183" formatCode="0.0000%"/>
    <numFmt numFmtId="184" formatCode="_-&quot;€&quot;\ * #,##0.00_-;_-&quot;€&quot;\ * #,##0.00\-;_-&quot;€&quot;\ * &quot;-&quot;??_-;_-@_-"/>
  </numFmts>
  <fonts count="41" x14ac:knownFonts="1">
    <font>
      <sz val="10"/>
      <color theme="1"/>
      <name val="Tahoma"/>
      <family val="2"/>
    </font>
    <font>
      <sz val="11"/>
      <color theme="1"/>
      <name val="Calibri"/>
      <family val="2"/>
      <scheme val="minor"/>
    </font>
    <font>
      <sz val="11"/>
      <color theme="1"/>
      <name val="Calibri"/>
      <family val="2"/>
      <scheme val="minor"/>
    </font>
    <font>
      <sz val="11"/>
      <color theme="1"/>
      <name val="Calibri"/>
      <family val="2"/>
      <scheme val="minor"/>
    </font>
    <font>
      <sz val="8"/>
      <color theme="1"/>
      <name val="Tahoma"/>
      <family val="2"/>
    </font>
    <font>
      <sz val="8"/>
      <color theme="1"/>
      <name val="Tahoma"/>
      <family val="2"/>
    </font>
    <font>
      <sz val="8"/>
      <color theme="1"/>
      <name val="Tahoma"/>
      <family val="2"/>
    </font>
    <font>
      <sz val="8"/>
      <color theme="1"/>
      <name val="Tahoma"/>
      <family val="2"/>
    </font>
    <font>
      <sz val="8"/>
      <color theme="1"/>
      <name val="Tahoma"/>
      <family val="2"/>
    </font>
    <font>
      <sz val="8"/>
      <color theme="1"/>
      <name val="Tahoma"/>
      <family val="2"/>
    </font>
    <font>
      <sz val="10"/>
      <color theme="1"/>
      <name val="Tahoma"/>
      <family val="2"/>
    </font>
    <font>
      <b/>
      <sz val="10"/>
      <color theme="1"/>
      <name val="Tahoma"/>
      <family val="2"/>
    </font>
    <font>
      <sz val="9"/>
      <name val="Arial"/>
      <family val="2"/>
    </font>
    <font>
      <sz val="9"/>
      <name val="Arial"/>
      <family val="2"/>
    </font>
    <font>
      <b/>
      <sz val="14"/>
      <color indexed="12"/>
      <name val="Arial"/>
      <family val="2"/>
    </font>
    <font>
      <b/>
      <i/>
      <sz val="9"/>
      <color indexed="12"/>
      <name val="Arial"/>
      <family val="2"/>
    </font>
    <font>
      <b/>
      <sz val="10"/>
      <color rgb="FFFF0000"/>
      <name val="Tahoma"/>
      <family val="2"/>
    </font>
    <font>
      <b/>
      <sz val="9"/>
      <color rgb="FF00B050"/>
      <name val="Arial"/>
      <family val="2"/>
    </font>
    <font>
      <b/>
      <u/>
      <sz val="8"/>
      <color rgb="FF993366"/>
      <name val="Tahoma"/>
      <family val="2"/>
    </font>
    <font>
      <b/>
      <sz val="8"/>
      <color theme="1"/>
      <name val="Tahoma"/>
      <family val="2"/>
    </font>
    <font>
      <u/>
      <sz val="10"/>
      <name val="Arial"/>
      <family val="2"/>
    </font>
    <font>
      <vertAlign val="superscript"/>
      <sz val="10"/>
      <name val="Arial"/>
      <family val="2"/>
    </font>
    <font>
      <sz val="10"/>
      <name val="Arial"/>
      <family val="2"/>
    </font>
    <font>
      <b/>
      <sz val="10"/>
      <name val="Arial"/>
      <family val="2"/>
    </font>
    <font>
      <b/>
      <vertAlign val="subscript"/>
      <sz val="10"/>
      <name val="Arial"/>
      <family val="2"/>
    </font>
    <font>
      <b/>
      <sz val="10"/>
      <name val="Arial"/>
      <family val="2"/>
    </font>
    <font>
      <i/>
      <sz val="10"/>
      <color theme="1"/>
      <name val="Tahoma"/>
      <family val="2"/>
    </font>
    <font>
      <u/>
      <sz val="10"/>
      <color theme="10"/>
      <name val="Tahoma"/>
      <family val="2"/>
    </font>
    <font>
      <sz val="9"/>
      <color theme="1"/>
      <name val="Tahoma"/>
      <family val="2"/>
    </font>
    <font>
      <b/>
      <sz val="9"/>
      <color theme="1"/>
      <name val="Tahoma"/>
      <family val="2"/>
    </font>
    <font>
      <b/>
      <i/>
      <sz val="10"/>
      <color theme="1"/>
      <name val="Tahoma"/>
      <family val="2"/>
    </font>
    <font>
      <sz val="8"/>
      <name val="Arial"/>
      <family val="2"/>
    </font>
    <font>
      <b/>
      <sz val="8"/>
      <name val="Helv"/>
    </font>
    <font>
      <b/>
      <sz val="8"/>
      <name val="Arial"/>
      <family val="2"/>
    </font>
    <font>
      <b/>
      <vertAlign val="subscript"/>
      <sz val="10"/>
      <color theme="1"/>
      <name val="Tahoma"/>
      <family val="2"/>
    </font>
    <font>
      <vertAlign val="superscript"/>
      <sz val="10"/>
      <color theme="1"/>
      <name val="Tahoma"/>
      <family val="2"/>
    </font>
    <font>
      <b/>
      <sz val="12"/>
      <name val="Arial"/>
      <family val="2"/>
    </font>
    <font>
      <b/>
      <sz val="11"/>
      <color theme="1"/>
      <name val="Calibri"/>
      <family val="2"/>
      <scheme val="minor"/>
    </font>
    <font>
      <b/>
      <sz val="11"/>
      <color theme="1"/>
      <name val="Calibri"/>
      <family val="2"/>
      <scheme val="minor"/>
    </font>
    <font>
      <sz val="11"/>
      <color theme="1"/>
      <name val="Calibri"/>
      <family val="2"/>
      <scheme val="minor"/>
    </font>
    <font>
      <sz val="8"/>
      <name val="Tahoma"/>
      <family val="2"/>
    </font>
  </fonts>
  <fills count="7">
    <fill>
      <patternFill patternType="none"/>
    </fill>
    <fill>
      <patternFill patternType="gray125"/>
    </fill>
    <fill>
      <patternFill patternType="solid">
        <fgColor indexed="22"/>
        <bgColor indexed="64"/>
      </patternFill>
    </fill>
    <fill>
      <patternFill patternType="solid">
        <fgColor indexed="29"/>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theme="0" tint="-0.24994659260841701"/>
        <bgColor indexed="64"/>
      </patternFill>
    </fill>
  </fills>
  <borders count="32">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medium">
        <color auto="1"/>
      </top>
      <bottom style="medium">
        <color auto="1"/>
      </bottom>
      <diagonal/>
    </border>
    <border>
      <left/>
      <right/>
      <top/>
      <bottom style="medium">
        <color indexed="64"/>
      </bottom>
      <diagonal/>
    </border>
    <border>
      <left/>
      <right/>
      <top style="medium">
        <color indexed="64"/>
      </top>
      <bottom style="thin">
        <color indexed="64"/>
      </bottom>
      <diagonal/>
    </border>
    <border>
      <left style="thin">
        <color auto="1"/>
      </left>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medium">
        <color auto="1"/>
      </left>
      <right/>
      <top/>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top style="medium">
        <color auto="1"/>
      </top>
      <bottom/>
      <diagonal/>
    </border>
    <border>
      <left style="medium">
        <color auto="1"/>
      </left>
      <right style="medium">
        <color auto="1"/>
      </right>
      <top/>
      <bottom style="medium">
        <color auto="1"/>
      </bottom>
      <diagonal/>
    </border>
    <border>
      <left style="medium">
        <color auto="1"/>
      </left>
      <right/>
      <top/>
      <bottom style="medium">
        <color auto="1"/>
      </bottom>
      <diagonal/>
    </border>
    <border>
      <left/>
      <right style="medium">
        <color auto="1"/>
      </right>
      <top/>
      <bottom style="medium">
        <color indexed="64"/>
      </bottom>
      <diagonal/>
    </border>
    <border>
      <left/>
      <right style="medium">
        <color auto="1"/>
      </right>
      <top/>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diagonal/>
    </border>
    <border>
      <left/>
      <right/>
      <top style="medium">
        <color auto="1"/>
      </top>
      <bottom/>
      <diagonal/>
    </border>
  </borders>
  <cellStyleXfs count="17">
    <xf numFmtId="0" fontId="0" fillId="0" borderId="0"/>
    <xf numFmtId="44" fontId="10" fillId="0" borderId="0" applyFont="0" applyFill="0" applyBorder="0" applyAlignment="0" applyProtection="0"/>
    <xf numFmtId="9" fontId="10" fillId="0" borderId="0" applyFont="0" applyFill="0" applyBorder="0" applyAlignment="0" applyProtection="0"/>
    <xf numFmtId="43" fontId="10" fillId="0" borderId="0" applyFont="0" applyFill="0" applyBorder="0" applyAlignment="0" applyProtection="0"/>
    <xf numFmtId="0" fontId="18" fillId="0" borderId="0" applyFill="0" applyBorder="0">
      <alignment vertical="center"/>
    </xf>
    <xf numFmtId="0" fontId="9" fillId="0" borderId="0"/>
    <xf numFmtId="44" fontId="9" fillId="0" borderId="0" applyFont="0" applyFill="0" applyBorder="0" applyAlignment="0" applyProtection="0"/>
    <xf numFmtId="0" fontId="22" fillId="0" borderId="0"/>
    <xf numFmtId="173" fontId="22" fillId="0" borderId="0" applyFont="0" applyFill="0" applyBorder="0" applyAlignment="0" applyProtection="0"/>
    <xf numFmtId="0" fontId="8" fillId="0" borderId="0"/>
    <xf numFmtId="44" fontId="8" fillId="0" borderId="0" applyFont="0" applyFill="0" applyBorder="0" applyAlignment="0" applyProtection="0"/>
    <xf numFmtId="0" fontId="27" fillId="0" borderId="0" applyNumberFormat="0" applyFill="0" applyBorder="0" applyAlignment="0" applyProtection="0">
      <alignment vertical="top"/>
      <protection locked="0"/>
    </xf>
    <xf numFmtId="41" fontId="10" fillId="0" borderId="0" applyFont="0" applyFill="0" applyBorder="0" applyAlignment="0" applyProtection="0"/>
    <xf numFmtId="42" fontId="10" fillId="0" borderId="0" applyFont="0" applyFill="0" applyBorder="0" applyAlignment="0" applyProtection="0"/>
    <xf numFmtId="0" fontId="11" fillId="0" borderId="0">
      <alignment horizontal="left"/>
    </xf>
    <xf numFmtId="0" fontId="3" fillId="0" borderId="0"/>
    <xf numFmtId="0" fontId="2" fillId="0" borderId="0"/>
  </cellStyleXfs>
  <cellXfs count="376">
    <xf numFmtId="0" fontId="0" fillId="0" borderId="0" xfId="0"/>
    <xf numFmtId="0" fontId="11" fillId="0" borderId="0" xfId="0" applyFont="1"/>
    <xf numFmtId="14" fontId="0" fillId="0" borderId="0" xfId="0" applyNumberFormat="1"/>
    <xf numFmtId="0" fontId="0" fillId="0" borderId="0" xfId="0" applyAlignment="1">
      <alignment horizontal="center"/>
    </xf>
    <xf numFmtId="0" fontId="0" fillId="0" borderId="0" xfId="0"/>
    <xf numFmtId="0" fontId="19" fillId="0" borderId="0" xfId="5" applyFont="1"/>
    <xf numFmtId="0" fontId="9" fillId="0" borderId="0" xfId="5"/>
    <xf numFmtId="0" fontId="9" fillId="0" borderId="0" xfId="5" applyAlignment="1">
      <alignment horizontal="center"/>
    </xf>
    <xf numFmtId="168" fontId="9" fillId="0" borderId="0" xfId="5" applyNumberFormat="1"/>
    <xf numFmtId="164" fontId="0" fillId="0" borderId="0" xfId="6" applyNumberFormat="1" applyFont="1"/>
    <xf numFmtId="0" fontId="22" fillId="0" borderId="0" xfId="7"/>
    <xf numFmtId="0" fontId="0" fillId="0" borderId="0" xfId="0" applyNumberFormat="1" applyFill="1" applyBorder="1" applyAlignment="1"/>
    <xf numFmtId="0" fontId="0" fillId="0" borderId="0" xfId="0" applyFill="1" applyBorder="1" applyAlignment="1"/>
    <xf numFmtId="0" fontId="0" fillId="0" borderId="6" xfId="0" applyFill="1" applyBorder="1" applyAlignment="1"/>
    <xf numFmtId="0" fontId="26" fillId="0" borderId="7" xfId="0" applyFont="1" applyFill="1" applyBorder="1" applyAlignment="1">
      <alignment horizontal="center"/>
    </xf>
    <xf numFmtId="0" fontId="8" fillId="0" borderId="0" xfId="9"/>
    <xf numFmtId="0" fontId="0" fillId="0" borderId="0" xfId="0" applyFill="1"/>
    <xf numFmtId="0" fontId="0" fillId="0" borderId="0" xfId="0" applyFill="1" applyAlignment="1">
      <alignment horizontal="center" vertical="center"/>
    </xf>
    <xf numFmtId="0" fontId="0" fillId="0" borderId="0" xfId="0" quotePrefix="1" applyFill="1" applyAlignment="1">
      <alignment horizontal="center" vertical="center"/>
    </xf>
    <xf numFmtId="165" fontId="0" fillId="0" borderId="0" xfId="0" applyNumberFormat="1" applyFill="1" applyAlignment="1">
      <alignment horizontal="right"/>
    </xf>
    <xf numFmtId="166" fontId="0" fillId="0" borderId="0" xfId="3" applyNumberFormat="1" applyFont="1" applyFill="1" applyAlignment="1">
      <alignment horizontal="right"/>
    </xf>
    <xf numFmtId="10" fontId="0" fillId="0" borderId="0" xfId="2" applyNumberFormat="1" applyFont="1" applyFill="1"/>
    <xf numFmtId="164" fontId="0" fillId="0" borderId="0" xfId="1" applyNumberFormat="1" applyFont="1" applyFill="1"/>
    <xf numFmtId="0" fontId="11" fillId="0" borderId="0" xfId="0" applyFont="1" applyFill="1"/>
    <xf numFmtId="0" fontId="0" fillId="0" borderId="0" xfId="0" applyFont="1" applyFill="1"/>
    <xf numFmtId="164" fontId="11" fillId="0" borderId="0" xfId="1" applyNumberFormat="1" applyFont="1" applyFill="1"/>
    <xf numFmtId="9" fontId="11" fillId="0" borderId="0" xfId="0" applyNumberFormat="1" applyFont="1" applyFill="1"/>
    <xf numFmtId="9" fontId="0" fillId="0" borderId="0" xfId="0" applyNumberFormat="1" applyFill="1"/>
    <xf numFmtId="0" fontId="11" fillId="0" borderId="0" xfId="0" applyFont="1" applyFill="1" applyAlignment="1">
      <alignment wrapText="1"/>
    </xf>
    <xf numFmtId="9" fontId="0" fillId="0" borderId="0" xfId="2" applyFont="1" applyFill="1"/>
    <xf numFmtId="14" fontId="12" fillId="0" borderId="0" xfId="0" applyNumberFormat="1" applyFont="1" applyFill="1"/>
    <xf numFmtId="14" fontId="13" fillId="0" borderId="0" xfId="0" applyNumberFormat="1" applyFont="1" applyFill="1"/>
    <xf numFmtId="167" fontId="13" fillId="0" borderId="0" xfId="0" applyNumberFormat="1" applyFont="1" applyFill="1"/>
    <xf numFmtId="0" fontId="16" fillId="0" borderId="0" xfId="0" applyFont="1" applyFill="1" applyAlignment="1">
      <alignment horizontal="center"/>
    </xf>
    <xf numFmtId="14" fontId="0" fillId="0" borderId="0" xfId="0" applyNumberFormat="1" applyFill="1"/>
    <xf numFmtId="0" fontId="0" fillId="0" borderId="0" xfId="0" applyFill="1" applyAlignment="1">
      <alignment horizontal="right"/>
    </xf>
    <xf numFmtId="10" fontId="0" fillId="0" borderId="0" xfId="0" applyNumberFormat="1" applyFill="1"/>
    <xf numFmtId="44" fontId="0" fillId="0" borderId="0" xfId="1" applyFont="1" applyFill="1"/>
    <xf numFmtId="44" fontId="0" fillId="0" borderId="0" xfId="0" applyNumberFormat="1" applyFill="1"/>
    <xf numFmtId="0" fontId="0" fillId="0" borderId="0" xfId="0" applyFill="1" applyAlignment="1">
      <alignment horizontal="center"/>
    </xf>
    <xf numFmtId="168" fontId="0" fillId="0" borderId="0" xfId="0" applyNumberFormat="1" applyFill="1" applyAlignment="1">
      <alignment horizontal="center"/>
    </xf>
    <xf numFmtId="169" fontId="0" fillId="0" borderId="0" xfId="0" applyNumberFormat="1" applyFill="1" applyAlignment="1">
      <alignment horizontal="center"/>
    </xf>
    <xf numFmtId="0" fontId="11" fillId="0" borderId="1" xfId="0" applyFont="1" applyFill="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xf numFmtId="0" fontId="0" fillId="0" borderId="4" xfId="0" applyFill="1" applyBorder="1" applyAlignment="1">
      <alignment horizontal="center"/>
    </xf>
    <xf numFmtId="0" fontId="0" fillId="0" borderId="1" xfId="0" applyFill="1" applyBorder="1" applyAlignment="1">
      <alignment horizontal="center"/>
    </xf>
    <xf numFmtId="0" fontId="0" fillId="0" borderId="5" xfId="0" applyFill="1" applyBorder="1"/>
    <xf numFmtId="0" fontId="0" fillId="0" borderId="5" xfId="0" applyFill="1" applyBorder="1" applyAlignment="1">
      <alignment horizontal="center"/>
    </xf>
    <xf numFmtId="9" fontId="0" fillId="0" borderId="0" xfId="2" applyFont="1" applyFill="1" applyAlignment="1">
      <alignment horizontal="center"/>
    </xf>
    <xf numFmtId="9" fontId="0" fillId="0" borderId="5" xfId="0" applyNumberFormat="1" applyFill="1" applyBorder="1" applyAlignment="1">
      <alignment horizontal="center"/>
    </xf>
    <xf numFmtId="0" fontId="28" fillId="0" borderId="0" xfId="0" applyFont="1" applyFill="1"/>
    <xf numFmtId="0" fontId="29" fillId="0" borderId="0" xfId="0" applyFont="1" applyFill="1" applyAlignment="1">
      <alignment horizontal="right"/>
    </xf>
    <xf numFmtId="0" fontId="29" fillId="0" borderId="0" xfId="0" applyFont="1" applyFill="1"/>
    <xf numFmtId="175" fontId="28" fillId="0" borderId="0" xfId="2" applyNumberFormat="1" applyFont="1" applyFill="1"/>
    <xf numFmtId="0" fontId="11" fillId="0" borderId="0" xfId="0" applyFont="1" applyFill="1" applyAlignment="1">
      <alignment horizontal="center" wrapText="1"/>
    </xf>
    <xf numFmtId="44" fontId="0" fillId="0" borderId="0" xfId="1" applyFont="1" applyFill="1" applyAlignment="1">
      <alignment horizontal="center"/>
    </xf>
    <xf numFmtId="0" fontId="11" fillId="0" borderId="0" xfId="0" applyFont="1" applyFill="1" applyAlignment="1">
      <alignment horizontal="left"/>
    </xf>
    <xf numFmtId="0" fontId="0" fillId="0" borderId="0" xfId="0" applyFill="1" applyAlignment="1">
      <alignment horizontal="left"/>
    </xf>
    <xf numFmtId="0" fontId="22" fillId="0" borderId="0" xfId="7" applyFill="1"/>
    <xf numFmtId="0" fontId="22" fillId="0" borderId="0" xfId="7" applyFill="1" applyAlignment="1">
      <alignment horizontal="center"/>
    </xf>
    <xf numFmtId="0" fontId="20" fillId="0" borderId="0" xfId="7" applyFont="1" applyFill="1" applyAlignment="1">
      <alignment horizontal="center" wrapText="1"/>
    </xf>
    <xf numFmtId="0" fontId="22" fillId="0" borderId="0" xfId="7" applyFill="1" applyAlignment="1">
      <alignment horizontal="center" wrapText="1"/>
    </xf>
    <xf numFmtId="0" fontId="22" fillId="0" borderId="0" xfId="7" applyFill="1" applyAlignment="1">
      <alignment wrapText="1"/>
    </xf>
    <xf numFmtId="2" fontId="22" fillId="0" borderId="0" xfId="7" applyNumberFormat="1" applyFill="1"/>
    <xf numFmtId="170" fontId="22" fillId="0" borderId="0" xfId="7" applyNumberFormat="1" applyFill="1" applyAlignment="1">
      <alignment horizontal="center"/>
    </xf>
    <xf numFmtId="171" fontId="22" fillId="0" borderId="0" xfId="7" applyNumberFormat="1" applyFill="1" applyAlignment="1">
      <alignment horizontal="center"/>
    </xf>
    <xf numFmtId="171" fontId="22" fillId="0" borderId="0" xfId="7" applyNumberFormat="1" applyFill="1"/>
    <xf numFmtId="0" fontId="22" fillId="0" borderId="0" xfId="7" applyFill="1" applyAlignment="1">
      <alignment horizontal="right"/>
    </xf>
    <xf numFmtId="11" fontId="22" fillId="0" borderId="0" xfId="7" applyNumberFormat="1" applyFill="1"/>
    <xf numFmtId="168" fontId="22" fillId="0" borderId="0" xfId="7" applyNumberFormat="1" applyFill="1"/>
    <xf numFmtId="169" fontId="22" fillId="0" borderId="0" xfId="7" applyNumberFormat="1" applyFill="1"/>
    <xf numFmtId="0" fontId="22" fillId="0" borderId="0" xfId="7" applyFill="1" applyAlignment="1">
      <alignment horizontal="left"/>
    </xf>
    <xf numFmtId="0" fontId="23" fillId="0" borderId="0" xfId="0" applyFont="1" applyFill="1" applyAlignment="1">
      <alignment horizontal="right"/>
    </xf>
    <xf numFmtId="169" fontId="23" fillId="0" borderId="0" xfId="0" applyNumberFormat="1" applyFont="1" applyFill="1" applyAlignment="1">
      <alignment horizontal="center"/>
    </xf>
    <xf numFmtId="169" fontId="0" fillId="0" borderId="0" xfId="0" applyNumberFormat="1" applyFill="1"/>
    <xf numFmtId="0" fontId="25" fillId="0" borderId="0" xfId="0" applyFont="1" applyFill="1" applyAlignment="1">
      <alignment horizontal="right"/>
    </xf>
    <xf numFmtId="169" fontId="25" fillId="0" borderId="0" xfId="0" applyNumberFormat="1" applyFont="1" applyFill="1" applyAlignment="1">
      <alignment horizontal="right"/>
    </xf>
    <xf numFmtId="172" fontId="0" fillId="0" borderId="0" xfId="0" applyNumberFormat="1" applyFill="1"/>
    <xf numFmtId="174" fontId="22" fillId="0" borderId="0" xfId="8" applyNumberFormat="1" applyFill="1"/>
    <xf numFmtId="0" fontId="23" fillId="0" borderId="0" xfId="7" applyFont="1" applyFill="1" applyAlignment="1">
      <alignment horizontal="right"/>
    </xf>
    <xf numFmtId="0" fontId="8" fillId="0" borderId="0" xfId="9" applyFill="1"/>
    <xf numFmtId="0" fontId="19" fillId="0" borderId="0" xfId="9" applyFont="1" applyFill="1"/>
    <xf numFmtId="44" fontId="0" fillId="0" borderId="0" xfId="10" applyFont="1" applyFill="1"/>
    <xf numFmtId="14" fontId="8" fillId="0" borderId="0" xfId="9" applyNumberFormat="1" applyFill="1"/>
    <xf numFmtId="0" fontId="0" fillId="0" borderId="9" xfId="0" applyFill="1" applyBorder="1"/>
    <xf numFmtId="0" fontId="0" fillId="0" borderId="12" xfId="0" applyFill="1" applyBorder="1" applyAlignment="1">
      <alignment horizontal="right"/>
    </xf>
    <xf numFmtId="0" fontId="0" fillId="0" borderId="3" xfId="0" applyFill="1" applyBorder="1" applyAlignment="1">
      <alignment horizontal="right"/>
    </xf>
    <xf numFmtId="0" fontId="0" fillId="0" borderId="8" xfId="0" applyFill="1" applyBorder="1" applyAlignment="1">
      <alignment horizontal="right"/>
    </xf>
    <xf numFmtId="0" fontId="0" fillId="0" borderId="11" xfId="0" applyFill="1" applyBorder="1" applyAlignment="1">
      <alignment horizontal="right"/>
    </xf>
    <xf numFmtId="0" fontId="0" fillId="0" borderId="2" xfId="0" applyFill="1" applyBorder="1" applyAlignment="1">
      <alignment horizontal="right"/>
    </xf>
    <xf numFmtId="0" fontId="0" fillId="0" borderId="14" xfId="0" applyFill="1" applyBorder="1" applyAlignment="1">
      <alignment horizontal="right"/>
    </xf>
    <xf numFmtId="0" fontId="0" fillId="0" borderId="10" xfId="0" applyFill="1" applyBorder="1" applyAlignment="1">
      <alignment horizontal="right"/>
    </xf>
    <xf numFmtId="0" fontId="11" fillId="0" borderId="0" xfId="0" applyFont="1" applyFill="1" applyAlignment="1">
      <alignment horizontal="right"/>
    </xf>
    <xf numFmtId="168" fontId="0" fillId="0" borderId="0" xfId="0" applyNumberFormat="1" applyFill="1" applyAlignment="1">
      <alignment horizontal="right"/>
    </xf>
    <xf numFmtId="168" fontId="0" fillId="0" borderId="0" xfId="0" applyNumberFormat="1" applyFill="1"/>
    <xf numFmtId="2" fontId="0" fillId="0" borderId="0" xfId="0" applyNumberFormat="1" applyFill="1"/>
    <xf numFmtId="0" fontId="11" fillId="0" borderId="0" xfId="0" applyFont="1" applyAlignment="1">
      <alignment horizontal="center"/>
    </xf>
    <xf numFmtId="0" fontId="11" fillId="0" borderId="0" xfId="0" applyFont="1" applyAlignment="1">
      <alignment horizontal="right"/>
    </xf>
    <xf numFmtId="0" fontId="0" fillId="0" borderId="0" xfId="0" applyAlignment="1">
      <alignment horizontal="right"/>
    </xf>
    <xf numFmtId="7" fontId="0" fillId="0" borderId="0" xfId="1" applyNumberFormat="1" applyFont="1" applyFill="1"/>
    <xf numFmtId="164" fontId="0" fillId="0" borderId="0" xfId="1" applyNumberFormat="1" applyFont="1"/>
    <xf numFmtId="175" fontId="0" fillId="0" borderId="0" xfId="0" applyNumberFormat="1"/>
    <xf numFmtId="8" fontId="0" fillId="0" borderId="0" xfId="1" applyNumberFormat="1" applyFont="1"/>
    <xf numFmtId="172" fontId="0" fillId="0" borderId="0" xfId="0" applyNumberFormat="1"/>
    <xf numFmtId="2" fontId="0" fillId="0" borderId="0" xfId="0" applyNumberFormat="1"/>
    <xf numFmtId="175" fontId="0" fillId="0" borderId="0" xfId="2" applyNumberFormat="1" applyFont="1" applyFill="1"/>
    <xf numFmtId="9" fontId="0" fillId="0" borderId="0" xfId="0" applyNumberFormat="1"/>
    <xf numFmtId="1" fontId="0" fillId="0" borderId="0" xfId="0" applyNumberFormat="1"/>
    <xf numFmtId="0" fontId="10" fillId="0" borderId="0" xfId="0" applyFont="1"/>
    <xf numFmtId="164" fontId="10" fillId="0" borderId="0" xfId="1" applyNumberFormat="1" applyFont="1"/>
    <xf numFmtId="0" fontId="0" fillId="0" borderId="0" xfId="0" pivotButton="1"/>
    <xf numFmtId="42" fontId="0" fillId="0" borderId="0" xfId="0" applyNumberFormat="1"/>
    <xf numFmtId="168" fontId="0" fillId="0" borderId="0" xfId="0" applyNumberFormat="1"/>
    <xf numFmtId="0" fontId="0" fillId="0" borderId="0" xfId="0" applyAlignment="1">
      <alignment horizontal="left"/>
    </xf>
    <xf numFmtId="0" fontId="0" fillId="0" borderId="0" xfId="0" applyNumberFormat="1"/>
    <xf numFmtId="0" fontId="28" fillId="0" borderId="0" xfId="0" applyFont="1"/>
    <xf numFmtId="0" fontId="29" fillId="0" borderId="0" xfId="0" applyFont="1"/>
    <xf numFmtId="164" fontId="28" fillId="0" borderId="0" xfId="1" applyNumberFormat="1" applyFont="1"/>
    <xf numFmtId="0" fontId="28" fillId="0" borderId="0" xfId="0" applyFont="1" applyFill="1" applyAlignment="1">
      <alignment horizontal="center"/>
    </xf>
    <xf numFmtId="0" fontId="28" fillId="0" borderId="0" xfId="0" applyFont="1" applyAlignment="1">
      <alignment horizontal="center"/>
    </xf>
    <xf numFmtId="0" fontId="11" fillId="0" borderId="0" xfId="0" applyFont="1" applyAlignment="1">
      <alignment wrapText="1"/>
    </xf>
    <xf numFmtId="0" fontId="7" fillId="0" borderId="0" xfId="0" applyFont="1"/>
    <xf numFmtId="0" fontId="9" fillId="0" borderId="0" xfId="5" applyAlignment="1">
      <alignment horizontal="left"/>
    </xf>
    <xf numFmtId="0" fontId="19" fillId="0" borderId="0" xfId="0" applyFont="1" applyAlignment="1">
      <alignment horizontal="left"/>
    </xf>
    <xf numFmtId="176" fontId="0" fillId="0" borderId="0" xfId="0" applyNumberFormat="1" applyAlignment="1">
      <alignment horizontal="left"/>
    </xf>
    <xf numFmtId="0" fontId="30" fillId="0" borderId="0" xfId="0" applyFont="1"/>
    <xf numFmtId="0" fontId="6" fillId="0" borderId="0" xfId="0" applyFont="1" applyFill="1"/>
    <xf numFmtId="0" fontId="6" fillId="0" borderId="0" xfId="0" applyFont="1"/>
    <xf numFmtId="0" fontId="19" fillId="0" borderId="16" xfId="0" applyFont="1" applyBorder="1" applyAlignment="1">
      <alignment horizontal="center"/>
    </xf>
    <xf numFmtId="0" fontId="19" fillId="0" borderId="3" xfId="0" applyFont="1" applyFill="1" applyBorder="1"/>
    <xf numFmtId="0" fontId="19" fillId="0" borderId="12" xfId="0" applyFont="1" applyFill="1" applyBorder="1" applyAlignment="1">
      <alignment horizontal="center" wrapText="1"/>
    </xf>
    <xf numFmtId="0" fontId="19" fillId="0" borderId="13" xfId="0" applyFont="1" applyFill="1" applyBorder="1" applyAlignment="1">
      <alignment horizontal="center" wrapText="1"/>
    </xf>
    <xf numFmtId="0" fontId="19" fillId="0" borderId="10" xfId="0" applyFont="1" applyBorder="1" applyAlignment="1">
      <alignment horizontal="center" wrapText="1"/>
    </xf>
    <xf numFmtId="0" fontId="19" fillId="0" borderId="13" xfId="0" applyFont="1" applyBorder="1" applyAlignment="1">
      <alignment horizontal="center"/>
    </xf>
    <xf numFmtId="0" fontId="19" fillId="0" borderId="0" xfId="0" applyFont="1" applyFill="1"/>
    <xf numFmtId="0" fontId="19" fillId="0" borderId="0" xfId="0" applyFont="1" applyFill="1" applyAlignment="1">
      <alignment horizontal="right"/>
    </xf>
    <xf numFmtId="0" fontId="5" fillId="0" borderId="0" xfId="0" applyFont="1" applyFill="1"/>
    <xf numFmtId="0" fontId="19" fillId="0" borderId="2" xfId="0" applyFont="1" applyBorder="1" applyAlignment="1">
      <alignment horizontal="center"/>
    </xf>
    <xf numFmtId="0" fontId="5" fillId="0" borderId="4" xfId="0" applyFont="1" applyFill="1" applyBorder="1"/>
    <xf numFmtId="0" fontId="5" fillId="0" borderId="11" xfId="0" applyFont="1" applyFill="1" applyBorder="1"/>
    <xf numFmtId="0" fontId="5" fillId="0" borderId="2" xfId="0" applyFont="1" applyFill="1" applyBorder="1"/>
    <xf numFmtId="0" fontId="5" fillId="0" borderId="0" xfId="0" applyFont="1"/>
    <xf numFmtId="0" fontId="19" fillId="0" borderId="0" xfId="0" applyFont="1"/>
    <xf numFmtId="0" fontId="19" fillId="0" borderId="4" xfId="0" applyFont="1" applyBorder="1" applyAlignment="1">
      <alignment horizontal="center"/>
    </xf>
    <xf numFmtId="0" fontId="5" fillId="0" borderId="11" xfId="0" applyFont="1" applyBorder="1" applyAlignment="1">
      <alignment horizontal="center"/>
    </xf>
    <xf numFmtId="0" fontId="5" fillId="0" borderId="2" xfId="0" applyFont="1" applyBorder="1" applyAlignment="1">
      <alignment horizontal="center"/>
    </xf>
    <xf numFmtId="0" fontId="19" fillId="0" borderId="0" xfId="0" applyFont="1" applyAlignment="1">
      <alignment horizontal="center"/>
    </xf>
    <xf numFmtId="0" fontId="19" fillId="0" borderId="16" xfId="0" applyFont="1" applyFill="1" applyBorder="1" applyAlignment="1">
      <alignment horizontal="center"/>
    </xf>
    <xf numFmtId="0" fontId="5" fillId="0" borderId="0" xfId="0" applyFont="1" applyFill="1" applyBorder="1" applyAlignment="1">
      <alignment horizontal="center"/>
    </xf>
    <xf numFmtId="0" fontId="5" fillId="0" borderId="0" xfId="0" applyFont="1" applyBorder="1" applyAlignment="1">
      <alignment horizontal="center"/>
    </xf>
    <xf numFmtId="177" fontId="5" fillId="0" borderId="0" xfId="0" applyNumberFormat="1" applyFont="1" applyBorder="1" applyAlignment="1">
      <alignment horizontal="center"/>
    </xf>
    <xf numFmtId="0" fontId="5" fillId="0" borderId="19" xfId="0" applyFont="1" applyFill="1" applyBorder="1" applyAlignment="1">
      <alignment horizontal="center"/>
    </xf>
    <xf numFmtId="0" fontId="5" fillId="0" borderId="19" xfId="0" applyFont="1" applyBorder="1" applyAlignment="1">
      <alignment horizontal="center"/>
    </xf>
    <xf numFmtId="177" fontId="5" fillId="0" borderId="19" xfId="0" applyNumberFormat="1" applyFont="1" applyBorder="1" applyAlignment="1">
      <alignment horizontal="center"/>
    </xf>
    <xf numFmtId="0" fontId="19" fillId="0" borderId="15" xfId="0" applyFont="1" applyBorder="1" applyAlignment="1">
      <alignment horizontal="right"/>
    </xf>
    <xf numFmtId="0" fontId="19" fillId="0" borderId="16" xfId="0" applyFont="1" applyBorder="1" applyAlignment="1">
      <alignment horizontal="right"/>
    </xf>
    <xf numFmtId="0" fontId="19" fillId="0" borderId="14" xfId="0" applyFont="1" applyBorder="1" applyAlignment="1">
      <alignment horizontal="right"/>
    </xf>
    <xf numFmtId="0" fontId="5" fillId="0" borderId="8" xfId="0" applyFont="1" applyBorder="1" applyAlignment="1">
      <alignment horizontal="right"/>
    </xf>
    <xf numFmtId="0" fontId="5" fillId="0" borderId="0" xfId="0" applyFont="1" applyBorder="1" applyAlignment="1">
      <alignment horizontal="right"/>
    </xf>
    <xf numFmtId="177" fontId="5" fillId="0" borderId="17" xfId="0" applyNumberFormat="1" applyFont="1" applyBorder="1" applyAlignment="1">
      <alignment horizontal="right"/>
    </xf>
    <xf numFmtId="0" fontId="5" fillId="0" borderId="18" xfId="0" applyFont="1" applyBorder="1" applyAlignment="1">
      <alignment horizontal="right"/>
    </xf>
    <xf numFmtId="0" fontId="5" fillId="0" borderId="19" xfId="0" applyFont="1" applyBorder="1" applyAlignment="1">
      <alignment horizontal="right"/>
    </xf>
    <xf numFmtId="177" fontId="5" fillId="0" borderId="9" xfId="0" applyNumberFormat="1" applyFont="1" applyBorder="1" applyAlignment="1">
      <alignment horizontal="right"/>
    </xf>
    <xf numFmtId="0" fontId="5" fillId="0" borderId="12" xfId="0" applyFont="1" applyBorder="1" applyAlignment="1">
      <alignment horizontal="right"/>
    </xf>
    <xf numFmtId="0" fontId="5" fillId="0" borderId="13" xfId="0" applyFont="1" applyBorder="1" applyAlignment="1">
      <alignment horizontal="right"/>
    </xf>
    <xf numFmtId="177" fontId="5" fillId="0" borderId="10" xfId="0" applyNumberFormat="1" applyFont="1" applyBorder="1" applyAlignment="1">
      <alignment horizontal="right"/>
    </xf>
    <xf numFmtId="0" fontId="19" fillId="0" borderId="3" xfId="0" applyFont="1" applyBorder="1" applyAlignment="1">
      <alignment horizontal="center" wrapText="1"/>
    </xf>
    <xf numFmtId="0" fontId="19" fillId="0" borderId="10" xfId="0" applyFont="1" applyBorder="1" applyAlignment="1">
      <alignment horizontal="center"/>
    </xf>
    <xf numFmtId="0" fontId="5" fillId="0" borderId="9" xfId="0" applyFont="1" applyFill="1" applyBorder="1"/>
    <xf numFmtId="178" fontId="5" fillId="0" borderId="0" xfId="0" applyNumberFormat="1" applyFont="1" applyBorder="1" applyAlignment="1">
      <alignment horizontal="center"/>
    </xf>
    <xf numFmtId="178" fontId="5" fillId="0" borderId="19" xfId="0" applyNumberFormat="1" applyFont="1" applyBorder="1" applyAlignment="1">
      <alignment horizontal="center"/>
    </xf>
    <xf numFmtId="178" fontId="5" fillId="0" borderId="17" xfId="0" applyNumberFormat="1" applyFont="1" applyBorder="1" applyAlignment="1">
      <alignment horizontal="right"/>
    </xf>
    <xf numFmtId="178" fontId="5" fillId="0" borderId="9" xfId="0" applyNumberFormat="1" applyFont="1" applyBorder="1" applyAlignment="1">
      <alignment horizontal="right"/>
    </xf>
    <xf numFmtId="178" fontId="5" fillId="0" borderId="10" xfId="0" applyNumberFormat="1" applyFont="1" applyBorder="1" applyAlignment="1">
      <alignment horizontal="right"/>
    </xf>
    <xf numFmtId="169" fontId="5" fillId="0" borderId="11" xfId="0" applyNumberFormat="1" applyFont="1" applyBorder="1" applyAlignment="1">
      <alignment horizontal="center"/>
    </xf>
    <xf numFmtId="169" fontId="5" fillId="0" borderId="2" xfId="0" applyNumberFormat="1" applyFont="1" applyBorder="1" applyAlignment="1">
      <alignment horizontal="center"/>
    </xf>
    <xf numFmtId="0" fontId="4" fillId="0" borderId="11" xfId="0" applyFont="1" applyFill="1" applyBorder="1"/>
    <xf numFmtId="0" fontId="4" fillId="0" borderId="2" xfId="0" applyFont="1" applyFill="1" applyBorder="1"/>
    <xf numFmtId="1" fontId="5" fillId="0" borderId="11" xfId="0" applyNumberFormat="1" applyFont="1" applyBorder="1" applyAlignment="1">
      <alignment horizontal="center"/>
    </xf>
    <xf numFmtId="1" fontId="5" fillId="0" borderId="2" xfId="0" applyNumberFormat="1" applyFont="1" applyBorder="1" applyAlignment="1">
      <alignment horizontal="center"/>
    </xf>
    <xf numFmtId="0" fontId="11" fillId="0" borderId="0" xfId="0" applyFont="1" applyFill="1" applyAlignment="1">
      <alignment horizontal="center"/>
    </xf>
    <xf numFmtId="0" fontId="31" fillId="0" borderId="0" xfId="0" applyFont="1"/>
    <xf numFmtId="0" fontId="31" fillId="2" borderId="15" xfId="0" applyFont="1" applyFill="1" applyBorder="1"/>
    <xf numFmtId="0" fontId="32" fillId="2" borderId="16" xfId="0" applyFont="1" applyFill="1" applyBorder="1" applyAlignment="1">
      <alignment horizontal="right"/>
    </xf>
    <xf numFmtId="0" fontId="32" fillId="2" borderId="14" xfId="0" applyFont="1" applyFill="1" applyBorder="1" applyAlignment="1">
      <alignment horizontal="right"/>
    </xf>
    <xf numFmtId="0" fontId="33" fillId="2" borderId="8" xfId="0" applyFont="1" applyFill="1" applyBorder="1" applyAlignment="1">
      <alignment horizontal="center"/>
    </xf>
    <xf numFmtId="174" fontId="31" fillId="0" borderId="0" xfId="0" applyNumberFormat="1" applyFont="1"/>
    <xf numFmtId="174" fontId="31" fillId="0" borderId="17" xfId="0" applyNumberFormat="1" applyFont="1" applyBorder="1"/>
    <xf numFmtId="174" fontId="31" fillId="0" borderId="0" xfId="0" applyNumberFormat="1" applyFont="1" applyBorder="1"/>
    <xf numFmtId="0" fontId="33" fillId="2" borderId="18" xfId="0" applyFont="1" applyFill="1" applyBorder="1" applyAlignment="1">
      <alignment horizontal="center"/>
    </xf>
    <xf numFmtId="174" fontId="31" fillId="0" borderId="19" xfId="0" applyNumberFormat="1" applyFont="1" applyBorder="1"/>
    <xf numFmtId="174" fontId="31" fillId="0" borderId="9" xfId="0" applyNumberFormat="1" applyFont="1" applyBorder="1"/>
    <xf numFmtId="0" fontId="31" fillId="0" borderId="15" xfId="0" applyFont="1" applyBorder="1"/>
    <xf numFmtId="0" fontId="32" fillId="0" borderId="14" xfId="0" applyFont="1" applyBorder="1" applyAlignment="1">
      <alignment horizontal="right"/>
    </xf>
    <xf numFmtId="0" fontId="32" fillId="0" borderId="4" xfId="0" applyFont="1" applyBorder="1" applyAlignment="1">
      <alignment horizontal="centerContinuous"/>
    </xf>
    <xf numFmtId="0" fontId="32" fillId="0" borderId="4" xfId="0" applyFont="1" applyBorder="1" applyAlignment="1">
      <alignment horizontal="centerContinuous" vertical="center"/>
    </xf>
    <xf numFmtId="0" fontId="31" fillId="0" borderId="4" xfId="0" applyFont="1" applyBorder="1" applyAlignment="1">
      <alignment horizontal="centerContinuous"/>
    </xf>
    <xf numFmtId="0" fontId="33" fillId="0" borderId="4" xfId="0" applyFont="1" applyBorder="1"/>
    <xf numFmtId="0" fontId="32" fillId="0" borderId="0" xfId="0" applyFont="1" applyBorder="1" applyAlignment="1">
      <alignment horizontal="right"/>
    </xf>
    <xf numFmtId="0" fontId="32" fillId="0" borderId="18" xfId="0" applyFont="1" applyBorder="1" applyAlignment="1">
      <alignment horizontal="right" vertical="center"/>
    </xf>
    <xf numFmtId="0" fontId="32" fillId="0" borderId="9" xfId="0" applyFont="1" applyBorder="1" applyAlignment="1">
      <alignment horizontal="right"/>
    </xf>
    <xf numFmtId="179" fontId="32" fillId="0" borderId="18" xfId="12" applyNumberFormat="1" applyFont="1" applyBorder="1" applyAlignment="1">
      <alignment horizontal="right"/>
    </xf>
    <xf numFmtId="179" fontId="32" fillId="0" borderId="19" xfId="12" applyNumberFormat="1" applyFont="1" applyBorder="1" applyAlignment="1">
      <alignment horizontal="right"/>
    </xf>
    <xf numFmtId="0" fontId="33" fillId="0" borderId="2" xfId="0" applyFont="1" applyBorder="1" applyAlignment="1">
      <alignment horizontal="centerContinuous" vertical="center"/>
    </xf>
    <xf numFmtId="0" fontId="31" fillId="0" borderId="8" xfId="0" applyFont="1" applyBorder="1" applyAlignment="1">
      <alignment horizontal="right"/>
    </xf>
    <xf numFmtId="0" fontId="31" fillId="0" borderId="17" xfId="0" applyFont="1" applyBorder="1" applyAlignment="1">
      <alignment horizontal="right"/>
    </xf>
    <xf numFmtId="0" fontId="31" fillId="0" borderId="18" xfId="0" applyFont="1" applyBorder="1" applyAlignment="1">
      <alignment horizontal="right"/>
    </xf>
    <xf numFmtId="0" fontId="31" fillId="0" borderId="9" xfId="0" applyFont="1" applyBorder="1" applyAlignment="1">
      <alignment horizontal="right"/>
    </xf>
    <xf numFmtId="0" fontId="31" fillId="0" borderId="0" xfId="0" applyFont="1" applyBorder="1"/>
    <xf numFmtId="0" fontId="31" fillId="0" borderId="15" xfId="0" applyFont="1" applyBorder="1" applyAlignment="1">
      <alignment horizontal="right"/>
    </xf>
    <xf numFmtId="0" fontId="31" fillId="0" borderId="16" xfId="0" applyFont="1" applyBorder="1"/>
    <xf numFmtId="0" fontId="31" fillId="0" borderId="19" xfId="0" applyFont="1" applyBorder="1" applyAlignment="1">
      <alignment horizontal="right"/>
    </xf>
    <xf numFmtId="180" fontId="31" fillId="0" borderId="0" xfId="13" applyNumberFormat="1" applyFont="1"/>
    <xf numFmtId="0" fontId="31" fillId="0" borderId="12" xfId="0" applyFont="1" applyBorder="1"/>
    <xf numFmtId="0" fontId="31" fillId="0" borderId="13" xfId="0" applyFont="1" applyBorder="1" applyAlignment="1">
      <alignment horizontal="right"/>
    </xf>
    <xf numFmtId="174" fontId="31" fillId="0" borderId="13" xfId="13" applyNumberFormat="1" applyFont="1" applyBorder="1" applyAlignment="1">
      <alignment horizontal="center"/>
    </xf>
    <xf numFmtId="0" fontId="31" fillId="0" borderId="10" xfId="0" applyFont="1" applyBorder="1"/>
    <xf numFmtId="1" fontId="31" fillId="3" borderId="8" xfId="12" applyNumberFormat="1" applyFont="1" applyFill="1" applyBorder="1" applyAlignment="1">
      <alignment horizontal="center"/>
    </xf>
    <xf numFmtId="1" fontId="31" fillId="3" borderId="0" xfId="12" applyNumberFormat="1" applyFont="1" applyFill="1" applyBorder="1" applyAlignment="1">
      <alignment horizontal="center"/>
    </xf>
    <xf numFmtId="1" fontId="31" fillId="3" borderId="18" xfId="12" applyNumberFormat="1" applyFont="1" applyFill="1" applyBorder="1" applyAlignment="1">
      <alignment horizontal="center"/>
    </xf>
    <xf numFmtId="1" fontId="31" fillId="3" borderId="19" xfId="12" applyNumberFormat="1" applyFont="1" applyFill="1" applyBorder="1" applyAlignment="1">
      <alignment horizontal="center"/>
    </xf>
    <xf numFmtId="1" fontId="31" fillId="0" borderId="18" xfId="12" applyNumberFormat="1" applyFont="1" applyBorder="1" applyAlignment="1">
      <alignment horizontal="center"/>
    </xf>
    <xf numFmtId="1" fontId="31" fillId="0" borderId="19" xfId="12" applyNumberFormat="1" applyFont="1" applyBorder="1" applyAlignment="1">
      <alignment horizontal="center"/>
    </xf>
    <xf numFmtId="1" fontId="31" fillId="0" borderId="11" xfId="0" applyNumberFormat="1" applyFont="1" applyBorder="1" applyAlignment="1">
      <alignment horizontal="center"/>
    </xf>
    <xf numFmtId="1" fontId="31" fillId="0" borderId="2" xfId="0" applyNumberFormat="1" applyFont="1" applyBorder="1" applyAlignment="1">
      <alignment horizontal="center"/>
    </xf>
    <xf numFmtId="1" fontId="31" fillId="0" borderId="16" xfId="0" applyNumberFormat="1" applyFont="1" applyBorder="1" applyAlignment="1">
      <alignment horizontal="center"/>
    </xf>
    <xf numFmtId="1" fontId="31" fillId="0" borderId="14" xfId="0" applyNumberFormat="1" applyFont="1" applyBorder="1" applyAlignment="1">
      <alignment horizontal="center"/>
    </xf>
    <xf numFmtId="1" fontId="31" fillId="0" borderId="19" xfId="0" applyNumberFormat="1" applyFont="1" applyBorder="1" applyAlignment="1">
      <alignment horizontal="center"/>
    </xf>
    <xf numFmtId="1" fontId="31" fillId="0" borderId="9" xfId="0" applyNumberFormat="1" applyFont="1" applyBorder="1" applyAlignment="1">
      <alignment horizontal="center"/>
    </xf>
    <xf numFmtId="0" fontId="0" fillId="0" borderId="21" xfId="0" applyBorder="1" applyAlignment="1">
      <alignment horizontal="center"/>
    </xf>
    <xf numFmtId="0" fontId="11" fillId="0" borderId="24" xfId="0" applyFont="1" applyBorder="1" applyAlignment="1">
      <alignment horizontal="center"/>
    </xf>
    <xf numFmtId="0" fontId="0" fillId="0" borderId="20" xfId="0" applyFill="1" applyBorder="1" applyAlignment="1">
      <alignment horizontal="center"/>
    </xf>
    <xf numFmtId="0" fontId="11" fillId="0" borderId="25" xfId="0" applyFont="1" applyBorder="1" applyAlignment="1">
      <alignment horizontal="center"/>
    </xf>
    <xf numFmtId="0" fontId="11" fillId="0" borderId="6" xfId="0" applyFont="1" applyBorder="1" applyAlignment="1">
      <alignment horizontal="center"/>
    </xf>
    <xf numFmtId="0" fontId="11" fillId="0" borderId="26" xfId="0" applyFont="1" applyBorder="1" applyAlignment="1">
      <alignment horizontal="center"/>
    </xf>
    <xf numFmtId="0" fontId="11" fillId="0" borderId="5" xfId="0" applyFont="1" applyBorder="1" applyAlignment="1">
      <alignment wrapText="1"/>
    </xf>
    <xf numFmtId="0" fontId="11" fillId="0" borderId="28" xfId="0" applyFont="1" applyBorder="1" applyAlignment="1">
      <alignment horizontal="right" wrapText="1"/>
    </xf>
    <xf numFmtId="0" fontId="11" fillId="0" borderId="29" xfId="0" applyFont="1" applyBorder="1" applyAlignment="1">
      <alignment horizontal="right" wrapText="1"/>
    </xf>
    <xf numFmtId="181" fontId="0" fillId="0" borderId="27" xfId="0" applyNumberFormat="1" applyBorder="1"/>
    <xf numFmtId="182" fontId="0" fillId="0" borderId="20" xfId="3" applyNumberFormat="1" applyFont="1" applyBorder="1"/>
    <xf numFmtId="181" fontId="0" fillId="0" borderId="26" xfId="0" applyNumberFormat="1" applyBorder="1"/>
    <xf numFmtId="182" fontId="0" fillId="0" borderId="25" xfId="3" applyNumberFormat="1" applyFont="1" applyBorder="1"/>
    <xf numFmtId="0" fontId="0" fillId="0" borderId="30" xfId="0" applyFont="1" applyBorder="1" applyAlignment="1">
      <alignment horizontal="right"/>
    </xf>
    <xf numFmtId="182" fontId="0" fillId="0" borderId="23" xfId="0" applyNumberFormat="1" applyFont="1" applyBorder="1"/>
    <xf numFmtId="172" fontId="0" fillId="0" borderId="22" xfId="0" applyNumberFormat="1" applyBorder="1" applyAlignment="1">
      <alignment horizontal="center"/>
    </xf>
    <xf numFmtId="0" fontId="11" fillId="0" borderId="24" xfId="0" applyFont="1" applyBorder="1" applyAlignment="1">
      <alignment horizontal="center" wrapText="1"/>
    </xf>
    <xf numFmtId="9" fontId="0" fillId="0" borderId="0" xfId="2" applyFont="1"/>
    <xf numFmtId="175" fontId="0" fillId="0" borderId="0" xfId="2" applyNumberFormat="1" applyFont="1"/>
    <xf numFmtId="164" fontId="0" fillId="0" borderId="5" xfId="1" applyNumberFormat="1" applyFont="1" applyFill="1" applyBorder="1"/>
    <xf numFmtId="0" fontId="11" fillId="0" borderId="5" xfId="0" applyFont="1" applyFill="1" applyBorder="1" applyAlignment="1">
      <alignment wrapText="1"/>
    </xf>
    <xf numFmtId="164" fontId="0" fillId="0" borderId="0" xfId="0" applyNumberFormat="1"/>
    <xf numFmtId="164" fontId="0" fillId="0" borderId="5" xfId="0" applyNumberFormat="1" applyBorder="1"/>
    <xf numFmtId="44" fontId="0" fillId="0" borderId="0" xfId="0" applyNumberFormat="1"/>
    <xf numFmtId="44" fontId="0" fillId="0" borderId="0" xfId="1" applyNumberFormat="1" applyFont="1" applyFill="1"/>
    <xf numFmtId="44" fontId="0" fillId="0" borderId="0" xfId="1" applyFont="1"/>
    <xf numFmtId="44" fontId="11" fillId="0" borderId="0" xfId="1" applyFont="1"/>
    <xf numFmtId="0" fontId="11" fillId="0" borderId="5" xfId="0" applyFont="1" applyBorder="1"/>
    <xf numFmtId="0" fontId="0" fillId="0" borderId="5" xfId="0" applyBorder="1"/>
    <xf numFmtId="0" fontId="0" fillId="0" borderId="31" xfId="0" applyBorder="1"/>
    <xf numFmtId="164" fontId="0" fillId="0" borderId="31" xfId="1" applyNumberFormat="1" applyFont="1" applyBorder="1"/>
    <xf numFmtId="9" fontId="11" fillId="4" borderId="0" xfId="2" applyFont="1" applyFill="1"/>
    <xf numFmtId="0" fontId="11" fillId="0" borderId="6" xfId="0" applyFont="1" applyBorder="1"/>
    <xf numFmtId="0" fontId="11" fillId="0" borderId="26" xfId="0" applyFont="1" applyBorder="1"/>
    <xf numFmtId="0" fontId="11" fillId="0" borderId="27" xfId="0" applyFont="1" applyBorder="1"/>
    <xf numFmtId="0" fontId="0" fillId="0" borderId="0" xfId="0" applyAlignment="1">
      <alignment horizontal="center"/>
    </xf>
    <xf numFmtId="0" fontId="0" fillId="0" borderId="3" xfId="0" applyFill="1" applyBorder="1"/>
    <xf numFmtId="0" fontId="0" fillId="0" borderId="3" xfId="0" applyBorder="1"/>
    <xf numFmtId="0" fontId="0" fillId="0" borderId="0" xfId="0" applyFill="1" applyBorder="1"/>
    <xf numFmtId="0" fontId="0" fillId="5" borderId="0" xfId="0" applyFill="1" applyBorder="1"/>
    <xf numFmtId="168" fontId="0" fillId="0" borderId="0" xfId="0" applyNumberFormat="1" applyFill="1" applyBorder="1"/>
    <xf numFmtId="166" fontId="0" fillId="0" borderId="0" xfId="3" applyNumberFormat="1" applyFont="1" applyFill="1" applyAlignment="1">
      <alignment horizontal="center"/>
    </xf>
    <xf numFmtId="166" fontId="0" fillId="0" borderId="0" xfId="3" applyNumberFormat="1" applyFont="1"/>
    <xf numFmtId="0" fontId="0" fillId="0" borderId="0" xfId="0" quotePrefix="1" applyFill="1" applyAlignment="1">
      <alignment horizontal="center"/>
    </xf>
    <xf numFmtId="0" fontId="36" fillId="0" borderId="0" xfId="0" applyFont="1" applyAlignment="1">
      <alignment horizontal="left"/>
    </xf>
    <xf numFmtId="183" fontId="22" fillId="0" borderId="0" xfId="3" applyNumberFormat="1" applyFont="1"/>
    <xf numFmtId="0" fontId="0" fillId="0" borderId="0" xfId="0" applyNumberFormat="1" applyAlignment="1">
      <alignment horizontal="left"/>
    </xf>
    <xf numFmtId="0" fontId="23" fillId="0" borderId="0" xfId="0" applyFont="1" applyAlignment="1">
      <alignment horizontal="right"/>
    </xf>
    <xf numFmtId="0" fontId="0" fillId="0" borderId="29" xfId="0" applyBorder="1"/>
    <xf numFmtId="184" fontId="22" fillId="0" borderId="0" xfId="1" applyNumberFormat="1" applyFont="1" applyFill="1"/>
    <xf numFmtId="184" fontId="11" fillId="0" borderId="28" xfId="0" applyNumberFormat="1" applyFont="1" applyFill="1" applyBorder="1"/>
    <xf numFmtId="0" fontId="0" fillId="4" borderId="0" xfId="0" applyNumberFormat="1" applyFill="1" applyAlignment="1">
      <alignment horizontal="left"/>
    </xf>
    <xf numFmtId="184" fontId="22" fillId="4" borderId="0" xfId="1" applyNumberFormat="1" applyFont="1" applyFill="1"/>
    <xf numFmtId="10" fontId="0" fillId="0" borderId="0" xfId="0" applyNumberFormat="1"/>
    <xf numFmtId="0" fontId="0" fillId="0" borderId="0" xfId="0" applyAlignment="1">
      <alignment horizontal="left" indent="1"/>
    </xf>
    <xf numFmtId="0" fontId="17" fillId="0" borderId="0" xfId="0" applyNumberFormat="1" applyFont="1" applyFill="1" applyAlignment="1">
      <alignment horizontal="center"/>
    </xf>
    <xf numFmtId="0" fontId="0" fillId="6" borderId="11" xfId="0" applyFill="1" applyBorder="1" applyAlignment="1">
      <alignment horizontal="right"/>
    </xf>
    <xf numFmtId="0" fontId="0" fillId="6" borderId="2" xfId="0" applyFill="1" applyBorder="1" applyAlignment="1">
      <alignment horizontal="right"/>
    </xf>
    <xf numFmtId="0" fontId="0" fillId="4" borderId="0" xfId="0" applyFill="1"/>
    <xf numFmtId="0" fontId="4" fillId="0" borderId="0" xfId="0" applyFont="1" applyFill="1"/>
    <xf numFmtId="0" fontId="4" fillId="0" borderId="4" xfId="0" applyFont="1" applyFill="1" applyBorder="1"/>
    <xf numFmtId="2" fontId="4" fillId="0" borderId="15" xfId="0" applyNumberFormat="1" applyFont="1" applyFill="1" applyBorder="1" applyAlignment="1">
      <alignment horizontal="center"/>
    </xf>
    <xf numFmtId="5" fontId="4" fillId="0" borderId="0" xfId="1" applyNumberFormat="1" applyFont="1" applyFill="1" applyAlignment="1">
      <alignment horizontal="center"/>
    </xf>
    <xf numFmtId="5" fontId="4" fillId="0" borderId="17" xfId="1" applyNumberFormat="1" applyFont="1" applyBorder="1" applyAlignment="1">
      <alignment horizontal="center"/>
    </xf>
    <xf numFmtId="0" fontId="4" fillId="4" borderId="0" xfId="0" applyFont="1" applyFill="1" applyAlignment="1">
      <alignment horizontal="center"/>
    </xf>
    <xf numFmtId="4" fontId="4" fillId="0" borderId="15" xfId="0" applyNumberFormat="1" applyFont="1" applyBorder="1"/>
    <xf numFmtId="177" fontId="4" fillId="0" borderId="16" xfId="0" applyNumberFormat="1" applyFont="1" applyBorder="1"/>
    <xf numFmtId="177" fontId="4" fillId="0" borderId="14" xfId="0" applyNumberFormat="1" applyFont="1" applyBorder="1"/>
    <xf numFmtId="2" fontId="4" fillId="0" borderId="8" xfId="0" applyNumberFormat="1" applyFont="1" applyFill="1" applyBorder="1" applyAlignment="1">
      <alignment horizontal="center"/>
    </xf>
    <xf numFmtId="4" fontId="4" fillId="0" borderId="8" xfId="0" applyNumberFormat="1" applyFont="1" applyBorder="1"/>
    <xf numFmtId="177" fontId="4" fillId="0" borderId="0" xfId="0" applyNumberFormat="1" applyFont="1" applyBorder="1"/>
    <xf numFmtId="177" fontId="4" fillId="0" borderId="17" xfId="0" applyNumberFormat="1" applyFont="1" applyBorder="1"/>
    <xf numFmtId="2" fontId="4" fillId="0" borderId="18" xfId="0" applyNumberFormat="1" applyFont="1" applyFill="1" applyBorder="1" applyAlignment="1">
      <alignment horizontal="center"/>
    </xf>
    <xf numFmtId="5" fontId="4" fillId="0" borderId="19" xfId="1" applyNumberFormat="1" applyFont="1" applyFill="1" applyBorder="1" applyAlignment="1">
      <alignment horizontal="center"/>
    </xf>
    <xf numFmtId="5" fontId="4" fillId="0" borderId="9" xfId="1" applyNumberFormat="1" applyFont="1" applyBorder="1" applyAlignment="1">
      <alignment horizontal="center"/>
    </xf>
    <xf numFmtId="0" fontId="4" fillId="4" borderId="19" xfId="0" applyFont="1" applyFill="1" applyBorder="1" applyAlignment="1">
      <alignment horizontal="center"/>
    </xf>
    <xf numFmtId="4" fontId="4" fillId="0" borderId="18" xfId="0" applyNumberFormat="1" applyFont="1" applyBorder="1"/>
    <xf numFmtId="177" fontId="4" fillId="0" borderId="19" xfId="0" applyNumberFormat="1" applyFont="1" applyBorder="1"/>
    <xf numFmtId="0" fontId="4" fillId="0" borderId="12" xfId="0" applyFont="1" applyBorder="1"/>
    <xf numFmtId="0" fontId="4" fillId="0" borderId="3" xfId="0" applyFont="1" applyBorder="1" applyAlignment="1">
      <alignment horizontal="center"/>
    </xf>
    <xf numFmtId="4" fontId="4" fillId="0" borderId="13" xfId="0" applyNumberFormat="1" applyFont="1" applyBorder="1"/>
    <xf numFmtId="177" fontId="4" fillId="0" borderId="13" xfId="0" applyNumberFormat="1" applyFont="1" applyBorder="1"/>
    <xf numFmtId="177" fontId="4" fillId="0" borderId="10" xfId="0" applyNumberFormat="1" applyFont="1" applyBorder="1"/>
    <xf numFmtId="0" fontId="4" fillId="0" borderId="0" xfId="0" pivotButton="1" applyFont="1"/>
    <xf numFmtId="0" fontId="4" fillId="0" borderId="0" xfId="0" applyFont="1"/>
    <xf numFmtId="42" fontId="4" fillId="0" borderId="0" xfId="0" applyNumberFormat="1" applyFont="1"/>
    <xf numFmtId="0" fontId="11" fillId="0" borderId="0" xfId="14">
      <alignment horizontal="left"/>
    </xf>
    <xf numFmtId="0" fontId="0" fillId="0" borderId="0" xfId="0" applyAlignment="1">
      <alignment horizontal="left" vertical="center"/>
    </xf>
    <xf numFmtId="0" fontId="27" fillId="0" borderId="0" xfId="11" applyAlignment="1" applyProtection="1">
      <alignment horizontal="left" vertical="center"/>
    </xf>
    <xf numFmtId="0" fontId="11" fillId="0" borderId="0" xfId="14">
      <alignment horizontal="left"/>
    </xf>
    <xf numFmtId="8" fontId="0" fillId="0" borderId="0" xfId="0" applyNumberFormat="1"/>
    <xf numFmtId="0" fontId="11" fillId="0" borderId="0" xfId="14">
      <alignment horizontal="left"/>
    </xf>
    <xf numFmtId="0" fontId="11" fillId="0" borderId="0" xfId="14">
      <alignment horizontal="left"/>
    </xf>
    <xf numFmtId="8" fontId="0" fillId="0" borderId="0" xfId="0" applyNumberFormat="1" applyAlignment="1">
      <alignment horizontal="right"/>
    </xf>
    <xf numFmtId="0" fontId="37" fillId="0" borderId="0" xfId="15" applyFont="1"/>
    <xf numFmtId="0" fontId="3" fillId="0" borderId="0" xfId="15"/>
    <xf numFmtId="1" fontId="3" fillId="0" borderId="0" xfId="15" applyNumberFormat="1"/>
    <xf numFmtId="0" fontId="11" fillId="0" borderId="0" xfId="14">
      <alignment horizontal="left"/>
    </xf>
    <xf numFmtId="0" fontId="38" fillId="0" borderId="0" xfId="15" applyFont="1"/>
    <xf numFmtId="0" fontId="39" fillId="0" borderId="0" xfId="15" applyFont="1"/>
    <xf numFmtId="0" fontId="38" fillId="0" borderId="0" xfId="15" applyFont="1" applyAlignment="1">
      <alignment wrapText="1"/>
    </xf>
    <xf numFmtId="169" fontId="39" fillId="0" borderId="0" xfId="15" applyNumberFormat="1" applyFont="1"/>
    <xf numFmtId="0" fontId="11" fillId="0" borderId="0" xfId="14">
      <alignment horizontal="left"/>
    </xf>
    <xf numFmtId="0" fontId="11" fillId="0" borderId="0" xfId="14">
      <alignment horizontal="left"/>
    </xf>
    <xf numFmtId="0" fontId="11" fillId="0" borderId="0" xfId="14">
      <alignment horizontal="left"/>
    </xf>
    <xf numFmtId="0" fontId="18" fillId="0" borderId="0" xfId="4" applyFill="1">
      <alignment vertical="center"/>
    </xf>
    <xf numFmtId="0" fontId="11" fillId="0" borderId="0" xfId="14">
      <alignment horizontal="left"/>
    </xf>
    <xf numFmtId="0" fontId="11" fillId="0" borderId="0" xfId="0" applyFont="1" applyAlignment="1">
      <alignment horizontal="center" vertical="center"/>
    </xf>
    <xf numFmtId="0" fontId="0" fillId="0" borderId="0" xfId="0" applyBorder="1" applyAlignment="1">
      <alignment horizontal="center" vertical="center"/>
    </xf>
    <xf numFmtId="0" fontId="0" fillId="0" borderId="23" xfId="0" applyBorder="1" applyAlignment="1">
      <alignment horizontal="center" vertical="center"/>
    </xf>
    <xf numFmtId="0" fontId="0" fillId="0" borderId="31" xfId="0" applyBorder="1" applyAlignment="1">
      <alignment horizontal="center" vertical="center"/>
    </xf>
    <xf numFmtId="0" fontId="0" fillId="0" borderId="30" xfId="0" applyBorder="1" applyAlignment="1">
      <alignment horizontal="center" vertical="center"/>
    </xf>
    <xf numFmtId="0" fontId="0" fillId="0" borderId="20" xfId="0" applyBorder="1" applyAlignment="1">
      <alignment horizontal="center" vertical="center"/>
    </xf>
    <xf numFmtId="0" fontId="0" fillId="0" borderId="27" xfId="0" applyBorder="1" applyAlignment="1">
      <alignment horizontal="center" vertical="center"/>
    </xf>
    <xf numFmtId="0" fontId="0" fillId="0" borderId="25" xfId="0" applyBorder="1" applyAlignment="1">
      <alignment horizontal="center" vertical="center"/>
    </xf>
    <xf numFmtId="0" fontId="0" fillId="0" borderId="6" xfId="0" applyBorder="1" applyAlignment="1">
      <alignment horizontal="center" vertical="center"/>
    </xf>
    <xf numFmtId="0" fontId="0" fillId="0" borderId="26" xfId="0" applyBorder="1" applyAlignment="1">
      <alignment horizontal="center" vertical="center"/>
    </xf>
    <xf numFmtId="14" fontId="39" fillId="0" borderId="0" xfId="15" applyNumberFormat="1" applyFont="1"/>
    <xf numFmtId="0" fontId="1" fillId="0" borderId="0" xfId="15" applyFont="1" applyFill="1"/>
    <xf numFmtId="0" fontId="0" fillId="0" borderId="0" xfId="0" applyAlignment="1">
      <alignment wrapText="1"/>
    </xf>
    <xf numFmtId="0" fontId="11" fillId="0" borderId="0" xfId="14">
      <alignment horizontal="left"/>
    </xf>
    <xf numFmtId="0" fontId="0" fillId="0" borderId="0" xfId="0" applyAlignment="1">
      <alignment horizontal="center"/>
    </xf>
    <xf numFmtId="43" fontId="0" fillId="0" borderId="0" xfId="3" applyFont="1" applyAlignment="1">
      <alignment horizontal="center"/>
    </xf>
    <xf numFmtId="178" fontId="0" fillId="0" borderId="0" xfId="0" applyNumberFormat="1"/>
    <xf numFmtId="0" fontId="11" fillId="0" borderId="0" xfId="14">
      <alignment horizontal="left"/>
    </xf>
    <xf numFmtId="0" fontId="11" fillId="0" borderId="0" xfId="14">
      <alignment horizontal="left"/>
    </xf>
    <xf numFmtId="0" fontId="18" fillId="0" borderId="0" xfId="4" applyFill="1">
      <alignment vertical="center"/>
    </xf>
    <xf numFmtId="0" fontId="18" fillId="0" borderId="0" xfId="4" applyFill="1" applyAlignment="1">
      <alignment vertical="center"/>
    </xf>
    <xf numFmtId="0" fontId="0" fillId="0" borderId="0" xfId="0" applyFill="1" applyAlignment="1"/>
    <xf numFmtId="0" fontId="14" fillId="0" borderId="0" xfId="0" applyFont="1" applyFill="1" applyAlignment="1">
      <alignment horizontal="center" vertical="center"/>
    </xf>
    <xf numFmtId="0" fontId="0" fillId="0" borderId="0" xfId="0" applyAlignment="1"/>
    <xf numFmtId="0" fontId="15" fillId="0" borderId="0" xfId="0" applyFont="1" applyFill="1" applyAlignment="1">
      <alignment horizontal="center" vertical="center"/>
    </xf>
    <xf numFmtId="0" fontId="11" fillId="0" borderId="0" xfId="0" applyFont="1" applyAlignment="1"/>
    <xf numFmtId="0" fontId="11" fillId="0" borderId="0" xfId="0" applyFont="1" applyFill="1" applyAlignment="1">
      <alignment horizontal="center"/>
    </xf>
    <xf numFmtId="0" fontId="18" fillId="0" borderId="0" xfId="4">
      <alignment vertical="center"/>
    </xf>
    <xf numFmtId="0" fontId="0" fillId="0" borderId="12" xfId="0" applyFill="1" applyBorder="1" applyAlignment="1">
      <alignment horizontal="center"/>
    </xf>
    <xf numFmtId="0" fontId="0" fillId="0" borderId="13" xfId="0" applyBorder="1" applyAlignment="1">
      <alignment horizontal="center"/>
    </xf>
    <xf numFmtId="0" fontId="0" fillId="0" borderId="10" xfId="0" applyBorder="1" applyAlignment="1">
      <alignment horizontal="center"/>
    </xf>
    <xf numFmtId="0" fontId="19" fillId="0" borderId="12" xfId="0" applyFont="1" applyBorder="1" applyAlignment="1">
      <alignment horizontal="center"/>
    </xf>
    <xf numFmtId="0" fontId="19" fillId="0" borderId="12" xfId="0" applyFont="1" applyFill="1" applyBorder="1" applyAlignment="1">
      <alignment horizontal="center"/>
    </xf>
    <xf numFmtId="0" fontId="19" fillId="0" borderId="3" xfId="0" applyFont="1" applyFill="1" applyBorder="1" applyAlignment="1">
      <alignment horizontal="center"/>
    </xf>
    <xf numFmtId="0" fontId="19" fillId="0" borderId="3" xfId="0" applyFont="1" applyBorder="1" applyAlignment="1">
      <alignment horizontal="center"/>
    </xf>
    <xf numFmtId="0" fontId="19" fillId="0" borderId="10" xfId="0" applyFont="1" applyBorder="1" applyAlignment="1">
      <alignment horizontal="center"/>
    </xf>
    <xf numFmtId="0" fontId="11" fillId="0" borderId="20" xfId="0" applyFont="1" applyFill="1" applyBorder="1" applyAlignment="1">
      <alignment horizontal="center"/>
    </xf>
    <xf numFmtId="0" fontId="0" fillId="0" borderId="0" xfId="0" applyAlignment="1">
      <alignment horizontal="center"/>
    </xf>
    <xf numFmtId="0" fontId="0" fillId="0" borderId="27" xfId="0" applyBorder="1" applyAlignment="1">
      <alignment horizontal="center"/>
    </xf>
  </cellXfs>
  <cellStyles count="17">
    <cellStyle name="Hyperlink" xfId="11" builtinId="8"/>
    <cellStyle name="Hyperlink Text." xfId="4" xr:uid="{00000000-0005-0000-0000-000001000000}"/>
    <cellStyle name="Komma" xfId="3" builtinId="3"/>
    <cellStyle name="Komma [0]" xfId="12" builtinId="6"/>
    <cellStyle name="opgave" xfId="14" xr:uid="{00000000-0005-0000-0000-000004000000}"/>
    <cellStyle name="Procent" xfId="2" builtinId="5"/>
    <cellStyle name="Standaard" xfId="0" builtinId="0"/>
    <cellStyle name="Standaard 2" xfId="5" xr:uid="{00000000-0005-0000-0000-000007000000}"/>
    <cellStyle name="Standaard 3" xfId="7" xr:uid="{00000000-0005-0000-0000-000008000000}"/>
    <cellStyle name="Standaard 4" xfId="9" xr:uid="{00000000-0005-0000-0000-000009000000}"/>
    <cellStyle name="Standaard 5" xfId="15" xr:uid="{F83F5EA2-A956-47AB-8864-CF7B1FAA1095}"/>
    <cellStyle name="Standaard 6" xfId="16" xr:uid="{B3072E1E-7DD7-4E40-B891-3C36AF760DF6}"/>
    <cellStyle name="Valuta" xfId="1" builtinId="4"/>
    <cellStyle name="Valuta [0]" xfId="13" builtinId="7"/>
    <cellStyle name="Valuta 2" xfId="6" xr:uid="{00000000-0005-0000-0000-00000C000000}"/>
    <cellStyle name="Valuta 3" xfId="10" xr:uid="{00000000-0005-0000-0000-00000D000000}"/>
    <cellStyle name="Valuta_1.9" xfId="8" xr:uid="{00000000-0005-0000-0000-00000E000000}"/>
  </cellStyles>
  <dxfs count="33">
    <dxf>
      <numFmt numFmtId="0" formatCode="General"/>
    </dxf>
    <dxf>
      <numFmt numFmtId="0" formatCode="General"/>
    </dxf>
    <dxf>
      <alignment horizontal="right" vertical="bottom" textRotation="0" wrapText="0" indent="0" justifyLastLine="0" shrinkToFit="0" readingOrder="0"/>
    </dxf>
    <dxf>
      <numFmt numFmtId="0" formatCode="General"/>
    </dxf>
    <dxf>
      <numFmt numFmtId="0" formatCode="General"/>
    </dxf>
    <dxf>
      <numFmt numFmtId="0" formatCode="General"/>
    </dxf>
    <dxf>
      <numFmt numFmtId="2" formatCode="0.00"/>
    </dxf>
    <dxf>
      <numFmt numFmtId="2" formatCode="0.00"/>
    </dxf>
    <dxf>
      <numFmt numFmtId="2" formatCode="0.00"/>
    </dxf>
    <dxf>
      <numFmt numFmtId="2" formatCode="0.00"/>
    </dxf>
    <dxf>
      <numFmt numFmtId="0" formatCode="General"/>
    </dxf>
    <dxf>
      <numFmt numFmtId="0" formatCode="General"/>
    </dxf>
    <dxf>
      <font>
        <b val="0"/>
        <i val="0"/>
        <strike val="0"/>
        <condense val="0"/>
        <extend val="0"/>
        <outline val="0"/>
        <shadow val="0"/>
        <u val="none"/>
        <vertAlign val="baseline"/>
        <sz val="10"/>
        <color theme="1"/>
        <name val="Tahoma"/>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Tahoma"/>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Tahoma"/>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Tahoma"/>
        <family val="2"/>
        <scheme val="none"/>
      </font>
      <alignment horizontal="center" vertical="bottom" textRotation="0" wrapText="0" indent="0" justifyLastLine="0" shrinkToFit="0" readingOrder="0"/>
    </dxf>
    <dxf>
      <alignment horizontal="center" vertical="bottom" textRotation="0" wrapText="0" indent="0" justifyLastLine="0" shrinkToFit="0" readingOrder="0"/>
    </dxf>
    <dxf>
      <font>
        <sz val="8"/>
      </font>
    </dxf>
    <dxf>
      <alignment horizontal="right" readingOrder="0"/>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9" formatCode="d/m/yyyy"/>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protection locked="1" hidden="0"/>
    </dxf>
    <dxf>
      <alignment horizontal="left" vertical="center" textRotation="0" wrapText="0" indent="0" justifyLastLine="0" shrinkToFit="0" readingOrder="0"/>
    </dxf>
    <dxf>
      <alignment horizontal="left" vertical="center" textRotation="0" wrapText="0" indent="0" justifyLastLine="0" shrinkToFit="0" readingOrder="0"/>
    </dxf>
  </dxfs>
  <tableStyles count="0" defaultTableStyle="TableStyleMedium9" defaultPivotStyle="PivotStyleLight16"/>
  <colors>
    <mruColors>
      <color rgb="FF9933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pivotCacheDefinition" Target="pivotCache/pivotCacheDefinition3.xml"/><Relationship Id="rId89" Type="http://schemas.openxmlformats.org/officeDocument/2006/relationships/pivotCacheDefinition" Target="pivotCache/pivotCacheDefinition8.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pivotCacheDefinition" Target="pivotCache/pivotCacheDefinition9.xml"/><Relationship Id="rId95" Type="http://schemas.openxmlformats.org/officeDocument/2006/relationships/theme" Target="theme/theme1.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pivotCacheDefinition" Target="pivotCache/pivotCacheDefinition4.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pivotCacheDefinition" Target="pivotCache/pivotCacheDefinition2.xml"/><Relationship Id="rId88" Type="http://schemas.openxmlformats.org/officeDocument/2006/relationships/pivotCacheDefinition" Target="pivotCache/pivotCacheDefinition7.xml"/><Relationship Id="rId91" Type="http://schemas.openxmlformats.org/officeDocument/2006/relationships/pivotCacheDefinition" Target="pivotCache/pivotCacheDefinition10.xml"/><Relationship Id="rId96"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pivotCacheDefinition" Target="pivotCache/pivotCacheDefinition5.xml"/><Relationship Id="rId94" Type="http://schemas.openxmlformats.org/officeDocument/2006/relationships/pivotCacheDefinition" Target="pivotCache/pivotCacheDefinition13.xml"/><Relationship Id="rId9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pivotCacheDefinition" Target="pivotCache/pivotCacheDefinition1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pivotCacheDefinition" Target="pivotCache/pivotCacheDefinition6.xml"/><Relationship Id="rId61" Type="http://schemas.openxmlformats.org/officeDocument/2006/relationships/worksheet" Target="worksheets/sheet61.xml"/><Relationship Id="rId82" Type="http://schemas.openxmlformats.org/officeDocument/2006/relationships/pivotCacheDefinition" Target="pivotCache/pivotCacheDefinition1.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customXml" Target="../customXml/item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pivotCacheDefinition" Target="pivotCache/pivotCacheDefinition12.xml"/><Relationship Id="rId98"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10.xml.rels><?xml version="1.0" encoding="UTF-8" standalone="yes"?>
<Relationships xmlns="http://schemas.openxmlformats.org/package/2006/relationships"><Relationship Id="rId1" Type="http://schemas.openxmlformats.org/officeDocument/2006/relationships/chartUserShapes" Target="../drawings/drawing23.xml"/></Relationships>
</file>

<file path=xl/charts/_rels/chart1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Inkomsten uit advertenties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scatterChart>
        <c:scatterStyle val="lineMarker"/>
        <c:varyColors val="0"/>
        <c:ser>
          <c:idx val="0"/>
          <c:order val="0"/>
          <c:tx>
            <c:strRef>
              <c:f>fcast001!$E$10</c:f>
              <c:strCache>
                <c:ptCount val="1"/>
                <c:pt idx="0">
                  <c:v>inkomsten
(x1000 €)</c:v>
                </c:pt>
              </c:strCache>
            </c:strRef>
          </c:tx>
          <c:spPr>
            <a:ln w="19050" cap="rnd">
              <a:noFill/>
              <a:round/>
            </a:ln>
            <a:effectLst/>
          </c:spPr>
          <c:marker>
            <c:symbol val="circle"/>
            <c:size val="5"/>
            <c:spPr>
              <a:solidFill>
                <a:srgbClr val="0070C0"/>
              </a:solidFill>
              <a:ln w="12700">
                <a:solidFill>
                  <a:srgbClr val="0070C0"/>
                </a:solidFill>
              </a:ln>
              <a:effectLst/>
            </c:spPr>
          </c:marker>
          <c:trendline>
            <c:spPr>
              <a:ln w="19050" cap="rnd">
                <a:solidFill>
                  <a:schemeClr val="tx1"/>
                </a:solidFill>
                <a:prstDash val="sysDot"/>
              </a:ln>
              <a:effectLst/>
            </c:spPr>
            <c:trendlineType val="poly"/>
            <c:order val="4"/>
            <c:dispRSqr val="1"/>
            <c:dispEq val="1"/>
            <c:trendlineLbl>
              <c:layout>
                <c:manualLayout>
                  <c:x val="-0.18337248468941383"/>
                  <c:y val="-0.3816218427242049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trendlineLbl>
          </c:trendline>
          <c:xVal>
            <c:numRef>
              <c:f>fcast001!$D$11:$D$28</c:f>
              <c:numCache>
                <c:formatCode>General</c:formatCode>
                <c:ptCount val="18"/>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numCache>
            </c:numRef>
          </c:xVal>
          <c:yVal>
            <c:numRef>
              <c:f>fcast001!$E$11:$E$28</c:f>
              <c:numCache>
                <c:formatCode>0.000</c:formatCode>
                <c:ptCount val="18"/>
                <c:pt idx="0">
                  <c:v>2</c:v>
                </c:pt>
                <c:pt idx="1">
                  <c:v>2.4980000000000002</c:v>
                </c:pt>
                <c:pt idx="2">
                  <c:v>3.6840000000000002</c:v>
                </c:pt>
                <c:pt idx="3">
                  <c:v>5.1619999999999999</c:v>
                </c:pt>
                <c:pt idx="4">
                  <c:v>6.6120000000000001</c:v>
                </c:pt>
                <c:pt idx="5">
                  <c:v>8.375</c:v>
                </c:pt>
                <c:pt idx="6">
                  <c:v>9.4120000000000008</c:v>
                </c:pt>
                <c:pt idx="7">
                  <c:v>10.88</c:v>
                </c:pt>
                <c:pt idx="8">
                  <c:v>11.798999999999999</c:v>
                </c:pt>
                <c:pt idx="9">
                  <c:v>13.211</c:v>
                </c:pt>
                <c:pt idx="10">
                  <c:v>14.14</c:v>
                </c:pt>
                <c:pt idx="11">
                  <c:v>16.652000000000001</c:v>
                </c:pt>
                <c:pt idx="12">
                  <c:v>18.709</c:v>
                </c:pt>
                <c:pt idx="13">
                  <c:v>19.449000000000002</c:v>
                </c:pt>
                <c:pt idx="14">
                  <c:v>18.398</c:v>
                </c:pt>
                <c:pt idx="15">
                  <c:v>17.312000000000001</c:v>
                </c:pt>
                <c:pt idx="16">
                  <c:v>14.186</c:v>
                </c:pt>
                <c:pt idx="17">
                  <c:v>7.0529999999999999</c:v>
                </c:pt>
              </c:numCache>
            </c:numRef>
          </c:yVal>
          <c:smooth val="0"/>
          <c:extLst>
            <c:ext xmlns:c16="http://schemas.microsoft.com/office/drawing/2014/chart" uri="{C3380CC4-5D6E-409C-BE32-E72D297353CC}">
              <c16:uniqueId val="{00000001-B8BF-441F-B6F3-D26C1DD3F347}"/>
            </c:ext>
          </c:extLst>
        </c:ser>
        <c:dLbls>
          <c:showLegendKey val="0"/>
          <c:showVal val="0"/>
          <c:showCatName val="0"/>
          <c:showSerName val="0"/>
          <c:showPercent val="0"/>
          <c:showBubbleSize val="0"/>
        </c:dLbls>
        <c:axId val="1146808928"/>
        <c:axId val="1146803488"/>
      </c:scatterChart>
      <c:valAx>
        <c:axId val="11468089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Week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03488"/>
        <c:crosses val="autoZero"/>
        <c:crossBetween val="midCat"/>
        <c:majorUnit val="2"/>
      </c:valAx>
      <c:valAx>
        <c:axId val="1146803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Inkomsten (x 1000 euro)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0892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Inkomsten uit advertenties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scatterChart>
        <c:scatterStyle val="lineMarker"/>
        <c:varyColors val="0"/>
        <c:ser>
          <c:idx val="0"/>
          <c:order val="0"/>
          <c:tx>
            <c:strRef>
              <c:f>fcast001!$E$10</c:f>
              <c:strCache>
                <c:ptCount val="1"/>
                <c:pt idx="0">
                  <c:v>inkomsten
(x1000 €)</c:v>
                </c:pt>
              </c:strCache>
            </c:strRef>
          </c:tx>
          <c:spPr>
            <a:ln w="19050" cap="rnd">
              <a:noFill/>
              <a:round/>
            </a:ln>
            <a:effectLst/>
          </c:spPr>
          <c:marker>
            <c:symbol val="circle"/>
            <c:size val="5"/>
            <c:spPr>
              <a:solidFill>
                <a:srgbClr val="0070C0"/>
              </a:solidFill>
              <a:ln w="12700">
                <a:solidFill>
                  <a:srgbClr val="0070C0"/>
                </a:solidFill>
              </a:ln>
              <a:effectLst/>
            </c:spPr>
          </c:marker>
          <c:trendline>
            <c:spPr>
              <a:ln w="19050" cap="rnd">
                <a:solidFill>
                  <a:schemeClr val="tx1"/>
                </a:solidFill>
                <a:prstDash val="sysDot"/>
              </a:ln>
              <a:effectLst/>
            </c:spPr>
            <c:trendlineType val="poly"/>
            <c:order val="3"/>
            <c:dispRSqr val="1"/>
            <c:dispEq val="1"/>
            <c:trendlineLbl>
              <c:layout>
                <c:manualLayout>
                  <c:x val="-0.30430293088363952"/>
                  <c:y val="-0.3381838633807137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trendlineLbl>
          </c:trendline>
          <c:xVal>
            <c:numRef>
              <c:f>fcast001!$D$11:$D$28</c:f>
              <c:numCache>
                <c:formatCode>General</c:formatCode>
                <c:ptCount val="18"/>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numCache>
            </c:numRef>
          </c:xVal>
          <c:yVal>
            <c:numRef>
              <c:f>fcast001!$E$11:$E$28</c:f>
              <c:numCache>
                <c:formatCode>0.000</c:formatCode>
                <c:ptCount val="18"/>
                <c:pt idx="0">
                  <c:v>2</c:v>
                </c:pt>
                <c:pt idx="1">
                  <c:v>2.4980000000000002</c:v>
                </c:pt>
                <c:pt idx="2">
                  <c:v>3.6840000000000002</c:v>
                </c:pt>
                <c:pt idx="3">
                  <c:v>5.1619999999999999</c:v>
                </c:pt>
                <c:pt idx="4">
                  <c:v>6.6120000000000001</c:v>
                </c:pt>
                <c:pt idx="5">
                  <c:v>8.375</c:v>
                </c:pt>
                <c:pt idx="6">
                  <c:v>9.4120000000000008</c:v>
                </c:pt>
                <c:pt idx="7">
                  <c:v>10.88</c:v>
                </c:pt>
                <c:pt idx="8">
                  <c:v>11.798999999999999</c:v>
                </c:pt>
                <c:pt idx="9">
                  <c:v>13.211</c:v>
                </c:pt>
                <c:pt idx="10">
                  <c:v>14.14</c:v>
                </c:pt>
                <c:pt idx="11">
                  <c:v>16.652000000000001</c:v>
                </c:pt>
                <c:pt idx="12">
                  <c:v>18.709</c:v>
                </c:pt>
                <c:pt idx="13">
                  <c:v>19.449000000000002</c:v>
                </c:pt>
                <c:pt idx="14">
                  <c:v>18.398</c:v>
                </c:pt>
                <c:pt idx="15">
                  <c:v>17.312000000000001</c:v>
                </c:pt>
                <c:pt idx="16">
                  <c:v>14.186</c:v>
                </c:pt>
                <c:pt idx="17">
                  <c:v>7.0529999999999999</c:v>
                </c:pt>
              </c:numCache>
            </c:numRef>
          </c:yVal>
          <c:smooth val="0"/>
          <c:extLst>
            <c:ext xmlns:c16="http://schemas.microsoft.com/office/drawing/2014/chart" uri="{C3380CC4-5D6E-409C-BE32-E72D297353CC}">
              <c16:uniqueId val="{00000001-0F8D-4403-A68D-64347071BD18}"/>
            </c:ext>
          </c:extLst>
        </c:ser>
        <c:dLbls>
          <c:showLegendKey val="0"/>
          <c:showVal val="0"/>
          <c:showCatName val="0"/>
          <c:showSerName val="0"/>
          <c:showPercent val="0"/>
          <c:showBubbleSize val="0"/>
        </c:dLbls>
        <c:axId val="1146802944"/>
        <c:axId val="1146812736"/>
      </c:scatterChart>
      <c:valAx>
        <c:axId val="114680294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Week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12736"/>
        <c:crosses val="autoZero"/>
        <c:crossBetween val="midCat"/>
        <c:majorUnit val="2"/>
      </c:valAx>
      <c:valAx>
        <c:axId val="11468127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Inkomsten (x 1000 euro)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0294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Inkomsten uit advertenties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scatterChart>
        <c:scatterStyle val="lineMarker"/>
        <c:varyColors val="0"/>
        <c:ser>
          <c:idx val="0"/>
          <c:order val="0"/>
          <c:tx>
            <c:strRef>
              <c:f>fcast001!$E$10</c:f>
              <c:strCache>
                <c:ptCount val="1"/>
                <c:pt idx="0">
                  <c:v>inkomsten
(x1000 €)</c:v>
                </c:pt>
              </c:strCache>
            </c:strRef>
          </c:tx>
          <c:spPr>
            <a:ln w="19050" cap="rnd">
              <a:noFill/>
              <a:round/>
            </a:ln>
            <a:effectLst/>
          </c:spPr>
          <c:marker>
            <c:symbol val="circle"/>
            <c:size val="5"/>
            <c:spPr>
              <a:solidFill>
                <a:srgbClr val="0070C0"/>
              </a:solidFill>
              <a:ln w="12700">
                <a:solidFill>
                  <a:srgbClr val="0070C0"/>
                </a:solidFill>
              </a:ln>
              <a:effectLst/>
            </c:spPr>
          </c:marker>
          <c:trendline>
            <c:spPr>
              <a:ln w="19050" cap="rnd">
                <a:solidFill>
                  <a:schemeClr val="tx1"/>
                </a:solidFill>
                <a:prstDash val="sysDot"/>
              </a:ln>
              <a:effectLst/>
            </c:spPr>
            <c:trendlineType val="poly"/>
            <c:order val="2"/>
            <c:dispRSqr val="1"/>
            <c:dispEq val="1"/>
            <c:trendlineLbl>
              <c:layout>
                <c:manualLayout>
                  <c:x val="-0.41412248468941382"/>
                  <c:y val="-0.2122432423219824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trendlineLbl>
          </c:trendline>
          <c:xVal>
            <c:numRef>
              <c:f>fcast001!$D$11:$D$28</c:f>
              <c:numCache>
                <c:formatCode>General</c:formatCode>
                <c:ptCount val="18"/>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numCache>
            </c:numRef>
          </c:xVal>
          <c:yVal>
            <c:numRef>
              <c:f>fcast001!$E$11:$E$28</c:f>
              <c:numCache>
                <c:formatCode>0.000</c:formatCode>
                <c:ptCount val="18"/>
                <c:pt idx="0">
                  <c:v>2</c:v>
                </c:pt>
                <c:pt idx="1">
                  <c:v>2.4980000000000002</c:v>
                </c:pt>
                <c:pt idx="2">
                  <c:v>3.6840000000000002</c:v>
                </c:pt>
                <c:pt idx="3">
                  <c:v>5.1619999999999999</c:v>
                </c:pt>
                <c:pt idx="4">
                  <c:v>6.6120000000000001</c:v>
                </c:pt>
                <c:pt idx="5">
                  <c:v>8.375</c:v>
                </c:pt>
                <c:pt idx="6">
                  <c:v>9.4120000000000008</c:v>
                </c:pt>
                <c:pt idx="7">
                  <c:v>10.88</c:v>
                </c:pt>
                <c:pt idx="8">
                  <c:v>11.798999999999999</c:v>
                </c:pt>
                <c:pt idx="9">
                  <c:v>13.211</c:v>
                </c:pt>
                <c:pt idx="10">
                  <c:v>14.14</c:v>
                </c:pt>
                <c:pt idx="11">
                  <c:v>16.652000000000001</c:v>
                </c:pt>
                <c:pt idx="12">
                  <c:v>18.709</c:v>
                </c:pt>
                <c:pt idx="13">
                  <c:v>19.449000000000002</c:v>
                </c:pt>
                <c:pt idx="14">
                  <c:v>18.398</c:v>
                </c:pt>
                <c:pt idx="15">
                  <c:v>17.312000000000001</c:v>
                </c:pt>
                <c:pt idx="16">
                  <c:v>14.186</c:v>
                </c:pt>
                <c:pt idx="17">
                  <c:v>7.0529999999999999</c:v>
                </c:pt>
              </c:numCache>
            </c:numRef>
          </c:yVal>
          <c:smooth val="0"/>
          <c:extLst>
            <c:ext xmlns:c16="http://schemas.microsoft.com/office/drawing/2014/chart" uri="{C3380CC4-5D6E-409C-BE32-E72D297353CC}">
              <c16:uniqueId val="{00000001-FE15-4007-A05F-40E67667BBD2}"/>
            </c:ext>
          </c:extLst>
        </c:ser>
        <c:dLbls>
          <c:showLegendKey val="0"/>
          <c:showVal val="0"/>
          <c:showCatName val="0"/>
          <c:showSerName val="0"/>
          <c:showPercent val="0"/>
          <c:showBubbleSize val="0"/>
        </c:dLbls>
        <c:axId val="1146798048"/>
        <c:axId val="1146799680"/>
      </c:scatterChart>
      <c:valAx>
        <c:axId val="114679804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Week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799680"/>
        <c:crosses val="autoZero"/>
        <c:crossBetween val="midCat"/>
        <c:majorUnit val="2"/>
      </c:valAx>
      <c:valAx>
        <c:axId val="11467996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Inkomsten (x 1000 euro)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79804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scatterChart>
        <c:scatterStyle val="lineMarker"/>
        <c:varyColors val="0"/>
        <c:ser>
          <c:idx val="0"/>
          <c:order val="0"/>
          <c:tx>
            <c:strRef>
              <c:f>fcast002!$E$8</c:f>
              <c:strCache>
                <c:ptCount val="1"/>
                <c:pt idx="0">
                  <c:v>Omzet (x €1000)</c:v>
                </c:pt>
              </c:strCache>
            </c:strRef>
          </c:tx>
          <c:spPr>
            <a:ln w="19050" cap="rnd">
              <a:noFill/>
              <a:round/>
            </a:ln>
            <a:effectLst/>
          </c:spPr>
          <c:marker>
            <c:symbol val="circle"/>
            <c:size val="5"/>
            <c:spPr>
              <a:solidFill>
                <a:schemeClr val="accent1"/>
              </a:solidFill>
              <a:ln w="12700">
                <a:solidFill>
                  <a:srgbClr val="0070C0"/>
                </a:solidFill>
              </a:ln>
              <a:effectLst/>
            </c:spPr>
          </c:marker>
          <c:trendline>
            <c:spPr>
              <a:ln w="19050" cap="rnd">
                <a:solidFill>
                  <a:schemeClr val="tx1"/>
                </a:solidFill>
                <a:prstDash val="sysDot"/>
              </a:ln>
              <a:effectLst/>
            </c:spPr>
            <c:trendlineType val="exp"/>
            <c:forward val="3"/>
            <c:dispRSqr val="1"/>
            <c:dispEq val="1"/>
            <c:trendlineLbl>
              <c:layout>
                <c:manualLayout>
                  <c:x val="-0.37868941382327209"/>
                  <c:y val="-2.8983304170312044E-2"/>
                </c:manualLayout>
              </c:layout>
              <c:numFmt formatCode="General" sourceLinked="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rendlineLbl>
          </c:trendline>
          <c:xVal>
            <c:numRef>
              <c:f>fcast002!$D$9:$D$17</c:f>
              <c:numCache>
                <c:formatCode>General</c:formatCode>
                <c:ptCount val="9"/>
                <c:pt idx="0">
                  <c:v>2007</c:v>
                </c:pt>
                <c:pt idx="1">
                  <c:v>2008</c:v>
                </c:pt>
                <c:pt idx="2">
                  <c:v>2009</c:v>
                </c:pt>
                <c:pt idx="3">
                  <c:v>2010</c:v>
                </c:pt>
                <c:pt idx="4">
                  <c:v>2011</c:v>
                </c:pt>
                <c:pt idx="5">
                  <c:v>2012</c:v>
                </c:pt>
                <c:pt idx="6">
                  <c:v>2013</c:v>
                </c:pt>
                <c:pt idx="7">
                  <c:v>2014</c:v>
                </c:pt>
                <c:pt idx="8">
                  <c:v>2015</c:v>
                </c:pt>
              </c:numCache>
            </c:numRef>
          </c:xVal>
          <c:yVal>
            <c:numRef>
              <c:f>fcast002!$E$9:$E$17</c:f>
              <c:numCache>
                <c:formatCode>General</c:formatCode>
                <c:ptCount val="9"/>
                <c:pt idx="0">
                  <c:v>5975</c:v>
                </c:pt>
                <c:pt idx="1">
                  <c:v>6880</c:v>
                </c:pt>
                <c:pt idx="2">
                  <c:v>8970</c:v>
                </c:pt>
                <c:pt idx="3">
                  <c:v>9021</c:v>
                </c:pt>
                <c:pt idx="4">
                  <c:v>9901</c:v>
                </c:pt>
                <c:pt idx="5">
                  <c:v>11994</c:v>
                </c:pt>
                <c:pt idx="6">
                  <c:v>14287</c:v>
                </c:pt>
                <c:pt idx="7">
                  <c:v>15552</c:v>
                </c:pt>
                <c:pt idx="8">
                  <c:v>17963</c:v>
                </c:pt>
              </c:numCache>
            </c:numRef>
          </c:yVal>
          <c:smooth val="0"/>
          <c:extLst>
            <c:ext xmlns:c16="http://schemas.microsoft.com/office/drawing/2014/chart" uri="{C3380CC4-5D6E-409C-BE32-E72D297353CC}">
              <c16:uniqueId val="{00000001-264B-4067-8C02-81C82D0CAF73}"/>
            </c:ext>
          </c:extLst>
        </c:ser>
        <c:dLbls>
          <c:showLegendKey val="0"/>
          <c:showVal val="0"/>
          <c:showCatName val="0"/>
          <c:showSerName val="0"/>
          <c:showPercent val="0"/>
          <c:showBubbleSize val="0"/>
        </c:dLbls>
        <c:axId val="1146801856"/>
        <c:axId val="1146813280"/>
      </c:scatterChart>
      <c:valAx>
        <c:axId val="11468018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Jaar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13280"/>
        <c:crosses val="autoZero"/>
        <c:crossBetween val="midCat"/>
      </c:valAx>
      <c:valAx>
        <c:axId val="1146813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Omzet (x1000 €)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0185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998152900364702E-2"/>
          <c:y val="4.3781094527363187E-2"/>
          <c:w val="0.89662867508413169"/>
          <c:h val="0.63254279782191403"/>
        </c:manualLayout>
      </c:layout>
      <c:lineChart>
        <c:grouping val="standard"/>
        <c:varyColors val="0"/>
        <c:ser>
          <c:idx val="0"/>
          <c:order val="0"/>
          <c:tx>
            <c:strRef>
              <c:f>'fcast002-voorspellingenblad'!$B$1</c:f>
              <c:strCache>
                <c:ptCount val="1"/>
                <c:pt idx="0">
                  <c:v>Omzet (x €1000)</c:v>
                </c:pt>
              </c:strCache>
            </c:strRef>
          </c:tx>
          <c:spPr>
            <a:ln w="28575" cap="rnd">
              <a:solidFill>
                <a:schemeClr val="accent1"/>
              </a:solidFill>
              <a:round/>
            </a:ln>
            <a:effectLst/>
          </c:spPr>
          <c:marker>
            <c:symbol val="none"/>
          </c:marker>
          <c:val>
            <c:numRef>
              <c:f>'fcast002-voorspellingenblad'!$B$2:$B$11</c:f>
              <c:numCache>
                <c:formatCode>General</c:formatCode>
                <c:ptCount val="10"/>
                <c:pt idx="0">
                  <c:v>5975</c:v>
                </c:pt>
                <c:pt idx="1">
                  <c:v>6880</c:v>
                </c:pt>
                <c:pt idx="2">
                  <c:v>8970</c:v>
                </c:pt>
                <c:pt idx="3">
                  <c:v>9021</c:v>
                </c:pt>
                <c:pt idx="4">
                  <c:v>9901</c:v>
                </c:pt>
                <c:pt idx="5">
                  <c:v>11994</c:v>
                </c:pt>
                <c:pt idx="6">
                  <c:v>14287</c:v>
                </c:pt>
                <c:pt idx="7">
                  <c:v>15552</c:v>
                </c:pt>
                <c:pt idx="8">
                  <c:v>17963</c:v>
                </c:pt>
              </c:numCache>
            </c:numRef>
          </c:val>
          <c:smooth val="0"/>
          <c:extLst>
            <c:ext xmlns:c16="http://schemas.microsoft.com/office/drawing/2014/chart" uri="{C3380CC4-5D6E-409C-BE32-E72D297353CC}">
              <c16:uniqueId val="{00000000-ABEF-4C8E-AB1A-6FE47BCA6C38}"/>
            </c:ext>
          </c:extLst>
        </c:ser>
        <c:ser>
          <c:idx val="1"/>
          <c:order val="1"/>
          <c:tx>
            <c:strRef>
              <c:f>'fcast002-voorspellingenblad'!$C$1</c:f>
              <c:strCache>
                <c:ptCount val="1"/>
                <c:pt idx="0">
                  <c:v>Voorspellen
(Omzet (x €1000))</c:v>
                </c:pt>
              </c:strCache>
            </c:strRef>
          </c:tx>
          <c:spPr>
            <a:ln w="25400" cap="rnd">
              <a:solidFill>
                <a:schemeClr val="accent2"/>
              </a:solidFill>
              <a:round/>
            </a:ln>
            <a:effectLst/>
          </c:spPr>
          <c:marker>
            <c:symbol val="none"/>
          </c:marker>
          <c:cat>
            <c:numRef>
              <c:f>'fcast002-voorspellingenblad'!$A$2:$A$11</c:f>
              <c:numCache>
                <c:formatCode>General</c:formatCode>
                <c:ptCount val="10"/>
                <c:pt idx="0">
                  <c:v>2007</c:v>
                </c:pt>
                <c:pt idx="1">
                  <c:v>2008</c:v>
                </c:pt>
                <c:pt idx="2">
                  <c:v>2009</c:v>
                </c:pt>
                <c:pt idx="3">
                  <c:v>2010</c:v>
                </c:pt>
                <c:pt idx="4">
                  <c:v>2011</c:v>
                </c:pt>
                <c:pt idx="5">
                  <c:v>2012</c:v>
                </c:pt>
                <c:pt idx="6">
                  <c:v>2013</c:v>
                </c:pt>
                <c:pt idx="7">
                  <c:v>2014</c:v>
                </c:pt>
                <c:pt idx="8">
                  <c:v>2015</c:v>
                </c:pt>
                <c:pt idx="9">
                  <c:v>2016</c:v>
                </c:pt>
              </c:numCache>
            </c:numRef>
          </c:cat>
          <c:val>
            <c:numRef>
              <c:f>'fcast002-voorspellingenblad'!$C$2:$C$11</c:f>
              <c:numCache>
                <c:formatCode>General</c:formatCode>
                <c:ptCount val="10"/>
                <c:pt idx="8">
                  <c:v>17963</c:v>
                </c:pt>
                <c:pt idx="9">
                  <c:v>19328.669729250836</c:v>
                </c:pt>
              </c:numCache>
            </c:numRef>
          </c:val>
          <c:smooth val="0"/>
          <c:extLst>
            <c:ext xmlns:c16="http://schemas.microsoft.com/office/drawing/2014/chart" uri="{C3380CC4-5D6E-409C-BE32-E72D297353CC}">
              <c16:uniqueId val="{00000001-ABEF-4C8E-AB1A-6FE47BCA6C38}"/>
            </c:ext>
          </c:extLst>
        </c:ser>
        <c:ser>
          <c:idx val="2"/>
          <c:order val="2"/>
          <c:tx>
            <c:strRef>
              <c:f>'fcast002-voorspellingenblad'!$D$1</c:f>
              <c:strCache>
                <c:ptCount val="1"/>
                <c:pt idx="0">
                  <c:v>Laagste betrouwbaarheidsgrens
(Omzet (x €1000))</c:v>
                </c:pt>
              </c:strCache>
            </c:strRef>
          </c:tx>
          <c:spPr>
            <a:ln w="12700" cap="rnd">
              <a:solidFill>
                <a:srgbClr val="C0504D"/>
              </a:solidFill>
              <a:prstDash val="solid"/>
              <a:round/>
            </a:ln>
            <a:effectLst/>
          </c:spPr>
          <c:marker>
            <c:symbol val="none"/>
          </c:marker>
          <c:cat>
            <c:numRef>
              <c:f>'fcast002-voorspellingenblad'!$A$2:$A$11</c:f>
              <c:numCache>
                <c:formatCode>General</c:formatCode>
                <c:ptCount val="10"/>
                <c:pt idx="0">
                  <c:v>2007</c:v>
                </c:pt>
                <c:pt idx="1">
                  <c:v>2008</c:v>
                </c:pt>
                <c:pt idx="2">
                  <c:v>2009</c:v>
                </c:pt>
                <c:pt idx="3">
                  <c:v>2010</c:v>
                </c:pt>
                <c:pt idx="4">
                  <c:v>2011</c:v>
                </c:pt>
                <c:pt idx="5">
                  <c:v>2012</c:v>
                </c:pt>
                <c:pt idx="6">
                  <c:v>2013</c:v>
                </c:pt>
                <c:pt idx="7">
                  <c:v>2014</c:v>
                </c:pt>
                <c:pt idx="8">
                  <c:v>2015</c:v>
                </c:pt>
                <c:pt idx="9">
                  <c:v>2016</c:v>
                </c:pt>
              </c:numCache>
            </c:numRef>
          </c:cat>
          <c:val>
            <c:numRef>
              <c:f>'fcast002-voorspellingenblad'!$D$2:$D$11</c:f>
              <c:numCache>
                <c:formatCode>General</c:formatCode>
                <c:ptCount val="10"/>
                <c:pt idx="8" formatCode="0.00">
                  <c:v>17963</c:v>
                </c:pt>
                <c:pt idx="9" formatCode="0.00">
                  <c:v>17870.237604376249</c:v>
                </c:pt>
              </c:numCache>
            </c:numRef>
          </c:val>
          <c:smooth val="0"/>
          <c:extLst>
            <c:ext xmlns:c16="http://schemas.microsoft.com/office/drawing/2014/chart" uri="{C3380CC4-5D6E-409C-BE32-E72D297353CC}">
              <c16:uniqueId val="{00000002-ABEF-4C8E-AB1A-6FE47BCA6C38}"/>
            </c:ext>
          </c:extLst>
        </c:ser>
        <c:ser>
          <c:idx val="3"/>
          <c:order val="3"/>
          <c:tx>
            <c:strRef>
              <c:f>'fcast002-voorspellingenblad'!$E$1</c:f>
              <c:strCache>
                <c:ptCount val="1"/>
                <c:pt idx="0">
                  <c:v>Hoogste betrouwbaarheidsgrens
(Omzet (x €1000))</c:v>
                </c:pt>
              </c:strCache>
            </c:strRef>
          </c:tx>
          <c:spPr>
            <a:ln w="12700" cap="rnd">
              <a:solidFill>
                <a:srgbClr val="C0504D"/>
              </a:solidFill>
              <a:prstDash val="solid"/>
              <a:round/>
            </a:ln>
            <a:effectLst/>
          </c:spPr>
          <c:marker>
            <c:symbol val="none"/>
          </c:marker>
          <c:cat>
            <c:numRef>
              <c:f>'fcast002-voorspellingenblad'!$A$2:$A$11</c:f>
              <c:numCache>
                <c:formatCode>General</c:formatCode>
                <c:ptCount val="10"/>
                <c:pt idx="0">
                  <c:v>2007</c:v>
                </c:pt>
                <c:pt idx="1">
                  <c:v>2008</c:v>
                </c:pt>
                <c:pt idx="2">
                  <c:v>2009</c:v>
                </c:pt>
                <c:pt idx="3">
                  <c:v>2010</c:v>
                </c:pt>
                <c:pt idx="4">
                  <c:v>2011</c:v>
                </c:pt>
                <c:pt idx="5">
                  <c:v>2012</c:v>
                </c:pt>
                <c:pt idx="6">
                  <c:v>2013</c:v>
                </c:pt>
                <c:pt idx="7">
                  <c:v>2014</c:v>
                </c:pt>
                <c:pt idx="8">
                  <c:v>2015</c:v>
                </c:pt>
                <c:pt idx="9">
                  <c:v>2016</c:v>
                </c:pt>
              </c:numCache>
            </c:numRef>
          </c:cat>
          <c:val>
            <c:numRef>
              <c:f>'fcast002-voorspellingenblad'!$E$2:$E$11</c:f>
              <c:numCache>
                <c:formatCode>General</c:formatCode>
                <c:ptCount val="10"/>
                <c:pt idx="8" formatCode="0.00">
                  <c:v>17963</c:v>
                </c:pt>
                <c:pt idx="9" formatCode="0.00">
                  <c:v>20787.101854125423</c:v>
                </c:pt>
              </c:numCache>
            </c:numRef>
          </c:val>
          <c:smooth val="0"/>
          <c:extLst>
            <c:ext xmlns:c16="http://schemas.microsoft.com/office/drawing/2014/chart" uri="{C3380CC4-5D6E-409C-BE32-E72D297353CC}">
              <c16:uniqueId val="{00000003-ABEF-4C8E-AB1A-6FE47BCA6C38}"/>
            </c:ext>
          </c:extLst>
        </c:ser>
        <c:dLbls>
          <c:showLegendKey val="0"/>
          <c:showVal val="0"/>
          <c:showCatName val="0"/>
          <c:showSerName val="0"/>
          <c:showPercent val="0"/>
          <c:showBubbleSize val="0"/>
        </c:dLbls>
        <c:smooth val="0"/>
        <c:axId val="2054191119"/>
        <c:axId val="2052603199"/>
      </c:lineChart>
      <c:catAx>
        <c:axId val="2054191119"/>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2052603199"/>
        <c:crosses val="autoZero"/>
        <c:auto val="1"/>
        <c:lblAlgn val="ctr"/>
        <c:lblOffset val="100"/>
        <c:noMultiLvlLbl val="0"/>
      </c:catAx>
      <c:valAx>
        <c:axId val="2052603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2054191119"/>
        <c:crosses val="autoZero"/>
        <c:crossBetween val="between"/>
      </c:valAx>
      <c:spPr>
        <a:noFill/>
        <a:ln>
          <a:noFill/>
        </a:ln>
        <a:effectLst/>
      </c:spPr>
    </c:plotArea>
    <c:legend>
      <c:legendPos val="b"/>
      <c:layout>
        <c:manualLayout>
          <c:xMode val="edge"/>
          <c:yMode val="edge"/>
          <c:x val="0.19450193393339532"/>
          <c:y val="0.77661550515140831"/>
          <c:w val="0.61099613213320936"/>
          <c:h val="0.199503897833666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400" baseline="0"/>
              <a:t>Kosten en Opbrengsten</a:t>
            </a:r>
          </a:p>
        </c:rich>
      </c:tx>
      <c:layout>
        <c:manualLayout>
          <c:xMode val="edge"/>
          <c:yMode val="edge"/>
          <c:x val="7.8694444444444483E-2"/>
          <c:y val="3.7037037037037056E-2"/>
        </c:manualLayout>
      </c:layout>
      <c:overlay val="0"/>
    </c:title>
    <c:autoTitleDeleted val="0"/>
    <c:plotArea>
      <c:layout>
        <c:manualLayout>
          <c:layoutTarget val="inner"/>
          <c:xMode val="edge"/>
          <c:yMode val="edge"/>
          <c:x val="9.8571741032371027E-2"/>
          <c:y val="0.1818307086614174"/>
          <c:w val="0.85679636920384961"/>
          <c:h val="0.6677949110527962"/>
        </c:manualLayout>
      </c:layout>
      <c:scatterChart>
        <c:scatterStyle val="smoothMarker"/>
        <c:varyColors val="0"/>
        <c:ser>
          <c:idx val="0"/>
          <c:order val="0"/>
          <c:tx>
            <c:strRef>
              <c:f>goal003!$D$8</c:f>
              <c:strCache>
                <c:ptCount val="1"/>
                <c:pt idx="0">
                  <c:v>TK</c:v>
                </c:pt>
              </c:strCache>
            </c:strRef>
          </c:tx>
          <c:spPr>
            <a:ln w="38100">
              <a:solidFill>
                <a:schemeClr val="accent1"/>
              </a:solidFill>
            </a:ln>
          </c:spPr>
          <c:marker>
            <c:symbol val="none"/>
          </c:marker>
          <c:xVal>
            <c:numRef>
              <c:f>goal003!$C$9:$C$89</c:f>
              <c:numCache>
                <c:formatCode>0.0</c:formatCode>
                <c:ptCount val="81"/>
                <c:pt idx="0">
                  <c:v>0</c:v>
                </c:pt>
                <c:pt idx="1">
                  <c:v>0.2</c:v>
                </c:pt>
                <c:pt idx="2">
                  <c:v>0.4</c:v>
                </c:pt>
                <c:pt idx="3">
                  <c:v>0.6</c:v>
                </c:pt>
                <c:pt idx="4">
                  <c:v>0.8</c:v>
                </c:pt>
                <c:pt idx="5">
                  <c:v>1</c:v>
                </c:pt>
                <c:pt idx="6">
                  <c:v>1.2</c:v>
                </c:pt>
                <c:pt idx="7">
                  <c:v>1.4</c:v>
                </c:pt>
                <c:pt idx="8">
                  <c:v>1.6</c:v>
                </c:pt>
                <c:pt idx="9">
                  <c:v>1.8</c:v>
                </c:pt>
                <c:pt idx="10">
                  <c:v>2</c:v>
                </c:pt>
                <c:pt idx="11">
                  <c:v>2.2000000000000002</c:v>
                </c:pt>
                <c:pt idx="12">
                  <c:v>2.4</c:v>
                </c:pt>
                <c:pt idx="13">
                  <c:v>2.6</c:v>
                </c:pt>
                <c:pt idx="14">
                  <c:v>2.8</c:v>
                </c:pt>
                <c:pt idx="15">
                  <c:v>3</c:v>
                </c:pt>
                <c:pt idx="16">
                  <c:v>3.2</c:v>
                </c:pt>
                <c:pt idx="17">
                  <c:v>3.4</c:v>
                </c:pt>
                <c:pt idx="18">
                  <c:v>3.6</c:v>
                </c:pt>
                <c:pt idx="19">
                  <c:v>3.8</c:v>
                </c:pt>
                <c:pt idx="20">
                  <c:v>4</c:v>
                </c:pt>
                <c:pt idx="21">
                  <c:v>4.2</c:v>
                </c:pt>
                <c:pt idx="22">
                  <c:v>4.4000000000000004</c:v>
                </c:pt>
                <c:pt idx="23">
                  <c:v>4.5999999999999996</c:v>
                </c:pt>
                <c:pt idx="24">
                  <c:v>4.8</c:v>
                </c:pt>
                <c:pt idx="25">
                  <c:v>5</c:v>
                </c:pt>
                <c:pt idx="26">
                  <c:v>5.2</c:v>
                </c:pt>
                <c:pt idx="27">
                  <c:v>5.4</c:v>
                </c:pt>
                <c:pt idx="28">
                  <c:v>5.6</c:v>
                </c:pt>
                <c:pt idx="29">
                  <c:v>5.8</c:v>
                </c:pt>
                <c:pt idx="30">
                  <c:v>6</c:v>
                </c:pt>
                <c:pt idx="31">
                  <c:v>6.2</c:v>
                </c:pt>
                <c:pt idx="32">
                  <c:v>6.4</c:v>
                </c:pt>
                <c:pt idx="33">
                  <c:v>6.6</c:v>
                </c:pt>
                <c:pt idx="34">
                  <c:v>6.8</c:v>
                </c:pt>
                <c:pt idx="35">
                  <c:v>7</c:v>
                </c:pt>
                <c:pt idx="36">
                  <c:v>7.2</c:v>
                </c:pt>
                <c:pt idx="37">
                  <c:v>7.4</c:v>
                </c:pt>
                <c:pt idx="38">
                  <c:v>7.6</c:v>
                </c:pt>
                <c:pt idx="39">
                  <c:v>7.8</c:v>
                </c:pt>
                <c:pt idx="40">
                  <c:v>8</c:v>
                </c:pt>
                <c:pt idx="41">
                  <c:v>8.1999999999999993</c:v>
                </c:pt>
                <c:pt idx="42">
                  <c:v>8.4</c:v>
                </c:pt>
                <c:pt idx="43">
                  <c:v>8.6</c:v>
                </c:pt>
                <c:pt idx="44">
                  <c:v>8.8000000000000007</c:v>
                </c:pt>
                <c:pt idx="45">
                  <c:v>9</c:v>
                </c:pt>
                <c:pt idx="46">
                  <c:v>9.1999999999999993</c:v>
                </c:pt>
                <c:pt idx="47">
                  <c:v>9.4</c:v>
                </c:pt>
                <c:pt idx="48">
                  <c:v>9.6</c:v>
                </c:pt>
                <c:pt idx="49">
                  <c:v>9.8000000000000007</c:v>
                </c:pt>
                <c:pt idx="50">
                  <c:v>10</c:v>
                </c:pt>
                <c:pt idx="51">
                  <c:v>10.199999999999999</c:v>
                </c:pt>
                <c:pt idx="52">
                  <c:v>10.4</c:v>
                </c:pt>
                <c:pt idx="53">
                  <c:v>10.6</c:v>
                </c:pt>
                <c:pt idx="54">
                  <c:v>10.8</c:v>
                </c:pt>
                <c:pt idx="55">
                  <c:v>11</c:v>
                </c:pt>
                <c:pt idx="56">
                  <c:v>11.2</c:v>
                </c:pt>
                <c:pt idx="57">
                  <c:v>11.4</c:v>
                </c:pt>
                <c:pt idx="58">
                  <c:v>11.6</c:v>
                </c:pt>
                <c:pt idx="59">
                  <c:v>11.8</c:v>
                </c:pt>
                <c:pt idx="60">
                  <c:v>12</c:v>
                </c:pt>
                <c:pt idx="61">
                  <c:v>12.2</c:v>
                </c:pt>
                <c:pt idx="62">
                  <c:v>12.4</c:v>
                </c:pt>
                <c:pt idx="63">
                  <c:v>12.6</c:v>
                </c:pt>
                <c:pt idx="64">
                  <c:v>12.8</c:v>
                </c:pt>
                <c:pt idx="65">
                  <c:v>13</c:v>
                </c:pt>
                <c:pt idx="66">
                  <c:v>13.2</c:v>
                </c:pt>
                <c:pt idx="67">
                  <c:v>13.4</c:v>
                </c:pt>
                <c:pt idx="68">
                  <c:v>13.6</c:v>
                </c:pt>
                <c:pt idx="69">
                  <c:v>13.8</c:v>
                </c:pt>
                <c:pt idx="70">
                  <c:v>14</c:v>
                </c:pt>
                <c:pt idx="71">
                  <c:v>14.2</c:v>
                </c:pt>
                <c:pt idx="72">
                  <c:v>14.4</c:v>
                </c:pt>
                <c:pt idx="73">
                  <c:v>14.6</c:v>
                </c:pt>
                <c:pt idx="74">
                  <c:v>14.8</c:v>
                </c:pt>
                <c:pt idx="75">
                  <c:v>15</c:v>
                </c:pt>
                <c:pt idx="76">
                  <c:v>15.2</c:v>
                </c:pt>
                <c:pt idx="77">
                  <c:v>15.4</c:v>
                </c:pt>
                <c:pt idx="78">
                  <c:v>15.6</c:v>
                </c:pt>
                <c:pt idx="79">
                  <c:v>15.8</c:v>
                </c:pt>
                <c:pt idx="80">
                  <c:v>16</c:v>
                </c:pt>
              </c:numCache>
            </c:numRef>
          </c:xVal>
          <c:yVal>
            <c:numRef>
              <c:f>goal003!$D$9:$D$89</c:f>
              <c:numCache>
                <c:formatCode>0.0</c:formatCode>
                <c:ptCount val="81"/>
                <c:pt idx="0">
                  <c:v>15</c:v>
                </c:pt>
                <c:pt idx="1">
                  <c:v>16.64</c:v>
                </c:pt>
                <c:pt idx="2">
                  <c:v>18.36</c:v>
                </c:pt>
                <c:pt idx="3">
                  <c:v>20.16</c:v>
                </c:pt>
                <c:pt idx="4">
                  <c:v>22.04</c:v>
                </c:pt>
                <c:pt idx="5">
                  <c:v>24</c:v>
                </c:pt>
                <c:pt idx="6">
                  <c:v>26.04</c:v>
                </c:pt>
                <c:pt idx="7">
                  <c:v>28.159999999999997</c:v>
                </c:pt>
                <c:pt idx="8">
                  <c:v>30.36</c:v>
                </c:pt>
                <c:pt idx="9">
                  <c:v>32.64</c:v>
                </c:pt>
                <c:pt idx="10">
                  <c:v>35</c:v>
                </c:pt>
                <c:pt idx="11">
                  <c:v>37.44</c:v>
                </c:pt>
                <c:pt idx="12">
                  <c:v>39.96</c:v>
                </c:pt>
                <c:pt idx="13">
                  <c:v>42.56</c:v>
                </c:pt>
                <c:pt idx="14">
                  <c:v>45.239999999999995</c:v>
                </c:pt>
                <c:pt idx="15">
                  <c:v>48</c:v>
                </c:pt>
                <c:pt idx="16">
                  <c:v>50.84</c:v>
                </c:pt>
                <c:pt idx="17">
                  <c:v>53.76</c:v>
                </c:pt>
                <c:pt idx="18">
                  <c:v>56.760000000000005</c:v>
                </c:pt>
                <c:pt idx="19">
                  <c:v>59.839999999999996</c:v>
                </c:pt>
                <c:pt idx="20">
                  <c:v>63</c:v>
                </c:pt>
                <c:pt idx="21">
                  <c:v>66.240000000000009</c:v>
                </c:pt>
                <c:pt idx="22">
                  <c:v>69.56</c:v>
                </c:pt>
                <c:pt idx="23">
                  <c:v>72.959999999999994</c:v>
                </c:pt>
                <c:pt idx="24">
                  <c:v>76.44</c:v>
                </c:pt>
                <c:pt idx="25">
                  <c:v>80</c:v>
                </c:pt>
                <c:pt idx="26">
                  <c:v>83.64</c:v>
                </c:pt>
                <c:pt idx="27">
                  <c:v>87.360000000000014</c:v>
                </c:pt>
                <c:pt idx="28">
                  <c:v>91.16</c:v>
                </c:pt>
                <c:pt idx="29">
                  <c:v>95.039999999999992</c:v>
                </c:pt>
                <c:pt idx="30">
                  <c:v>99</c:v>
                </c:pt>
                <c:pt idx="31">
                  <c:v>103.04</c:v>
                </c:pt>
                <c:pt idx="32">
                  <c:v>107.16000000000001</c:v>
                </c:pt>
                <c:pt idx="33">
                  <c:v>111.35999999999999</c:v>
                </c:pt>
                <c:pt idx="34">
                  <c:v>115.63999999999999</c:v>
                </c:pt>
                <c:pt idx="35">
                  <c:v>120</c:v>
                </c:pt>
                <c:pt idx="36">
                  <c:v>124.44</c:v>
                </c:pt>
                <c:pt idx="37">
                  <c:v>128.96</c:v>
                </c:pt>
                <c:pt idx="38">
                  <c:v>133.56</c:v>
                </c:pt>
                <c:pt idx="39">
                  <c:v>138.24</c:v>
                </c:pt>
                <c:pt idx="40">
                  <c:v>143</c:v>
                </c:pt>
                <c:pt idx="41">
                  <c:v>147.83999999999997</c:v>
                </c:pt>
                <c:pt idx="42">
                  <c:v>152.76</c:v>
                </c:pt>
                <c:pt idx="43">
                  <c:v>157.76</c:v>
                </c:pt>
                <c:pt idx="44">
                  <c:v>162.84000000000003</c:v>
                </c:pt>
                <c:pt idx="45">
                  <c:v>168</c:v>
                </c:pt>
                <c:pt idx="46">
                  <c:v>173.23999999999998</c:v>
                </c:pt>
                <c:pt idx="47">
                  <c:v>178.56</c:v>
                </c:pt>
                <c:pt idx="48">
                  <c:v>183.95999999999998</c:v>
                </c:pt>
                <c:pt idx="49">
                  <c:v>189.44000000000003</c:v>
                </c:pt>
                <c:pt idx="50">
                  <c:v>195</c:v>
                </c:pt>
                <c:pt idx="51">
                  <c:v>200.64</c:v>
                </c:pt>
                <c:pt idx="52">
                  <c:v>206.36</c:v>
                </c:pt>
                <c:pt idx="53">
                  <c:v>212.16</c:v>
                </c:pt>
                <c:pt idx="54">
                  <c:v>218.04000000000002</c:v>
                </c:pt>
                <c:pt idx="55">
                  <c:v>224</c:v>
                </c:pt>
                <c:pt idx="56">
                  <c:v>230.03999999999996</c:v>
                </c:pt>
                <c:pt idx="57">
                  <c:v>236.16000000000003</c:v>
                </c:pt>
                <c:pt idx="58">
                  <c:v>242.36</c:v>
                </c:pt>
                <c:pt idx="59">
                  <c:v>248.64000000000001</c:v>
                </c:pt>
                <c:pt idx="60">
                  <c:v>255</c:v>
                </c:pt>
                <c:pt idx="61">
                  <c:v>261.43999999999994</c:v>
                </c:pt>
                <c:pt idx="62">
                  <c:v>267.96000000000004</c:v>
                </c:pt>
                <c:pt idx="63">
                  <c:v>274.56</c:v>
                </c:pt>
                <c:pt idx="64">
                  <c:v>281.24</c:v>
                </c:pt>
                <c:pt idx="65">
                  <c:v>288</c:v>
                </c:pt>
                <c:pt idx="66">
                  <c:v>294.83999999999997</c:v>
                </c:pt>
                <c:pt idx="67">
                  <c:v>301.76</c:v>
                </c:pt>
                <c:pt idx="68">
                  <c:v>308.76</c:v>
                </c:pt>
                <c:pt idx="69">
                  <c:v>315.84000000000003</c:v>
                </c:pt>
                <c:pt idx="70">
                  <c:v>323</c:v>
                </c:pt>
                <c:pt idx="71">
                  <c:v>330.24</c:v>
                </c:pt>
                <c:pt idx="72">
                  <c:v>337.56</c:v>
                </c:pt>
                <c:pt idx="73">
                  <c:v>344.96</c:v>
                </c:pt>
                <c:pt idx="74">
                  <c:v>352.44000000000005</c:v>
                </c:pt>
                <c:pt idx="75">
                  <c:v>360</c:v>
                </c:pt>
                <c:pt idx="76">
                  <c:v>367.64</c:v>
                </c:pt>
                <c:pt idx="77">
                  <c:v>375.36</c:v>
                </c:pt>
                <c:pt idx="78">
                  <c:v>383.15999999999997</c:v>
                </c:pt>
                <c:pt idx="79">
                  <c:v>391.04</c:v>
                </c:pt>
                <c:pt idx="80">
                  <c:v>399</c:v>
                </c:pt>
              </c:numCache>
            </c:numRef>
          </c:yVal>
          <c:smooth val="1"/>
          <c:extLst>
            <c:ext xmlns:c16="http://schemas.microsoft.com/office/drawing/2014/chart" uri="{C3380CC4-5D6E-409C-BE32-E72D297353CC}">
              <c16:uniqueId val="{00000000-53B7-47AE-91C0-CDAE3C278CA6}"/>
            </c:ext>
          </c:extLst>
        </c:ser>
        <c:ser>
          <c:idx val="1"/>
          <c:order val="1"/>
          <c:tx>
            <c:strRef>
              <c:f>goal003!$E$8</c:f>
              <c:strCache>
                <c:ptCount val="1"/>
                <c:pt idx="0">
                  <c:v>TO</c:v>
                </c:pt>
              </c:strCache>
            </c:strRef>
          </c:tx>
          <c:spPr>
            <a:ln w="38100">
              <a:solidFill>
                <a:schemeClr val="accent6"/>
              </a:solidFill>
            </a:ln>
          </c:spPr>
          <c:marker>
            <c:symbol val="none"/>
          </c:marker>
          <c:xVal>
            <c:numRef>
              <c:f>goal003!$C$9:$C$89</c:f>
              <c:numCache>
                <c:formatCode>0.0</c:formatCode>
                <c:ptCount val="81"/>
                <c:pt idx="0">
                  <c:v>0</c:v>
                </c:pt>
                <c:pt idx="1">
                  <c:v>0.2</c:v>
                </c:pt>
                <c:pt idx="2">
                  <c:v>0.4</c:v>
                </c:pt>
                <c:pt idx="3">
                  <c:v>0.6</c:v>
                </c:pt>
                <c:pt idx="4">
                  <c:v>0.8</c:v>
                </c:pt>
                <c:pt idx="5">
                  <c:v>1</c:v>
                </c:pt>
                <c:pt idx="6">
                  <c:v>1.2</c:v>
                </c:pt>
                <c:pt idx="7">
                  <c:v>1.4</c:v>
                </c:pt>
                <c:pt idx="8">
                  <c:v>1.6</c:v>
                </c:pt>
                <c:pt idx="9">
                  <c:v>1.8</c:v>
                </c:pt>
                <c:pt idx="10">
                  <c:v>2</c:v>
                </c:pt>
                <c:pt idx="11">
                  <c:v>2.2000000000000002</c:v>
                </c:pt>
                <c:pt idx="12">
                  <c:v>2.4</c:v>
                </c:pt>
                <c:pt idx="13">
                  <c:v>2.6</c:v>
                </c:pt>
                <c:pt idx="14">
                  <c:v>2.8</c:v>
                </c:pt>
                <c:pt idx="15">
                  <c:v>3</c:v>
                </c:pt>
                <c:pt idx="16">
                  <c:v>3.2</c:v>
                </c:pt>
                <c:pt idx="17">
                  <c:v>3.4</c:v>
                </c:pt>
                <c:pt idx="18">
                  <c:v>3.6</c:v>
                </c:pt>
                <c:pt idx="19">
                  <c:v>3.8</c:v>
                </c:pt>
                <c:pt idx="20">
                  <c:v>4</c:v>
                </c:pt>
                <c:pt idx="21">
                  <c:v>4.2</c:v>
                </c:pt>
                <c:pt idx="22">
                  <c:v>4.4000000000000004</c:v>
                </c:pt>
                <c:pt idx="23">
                  <c:v>4.5999999999999996</c:v>
                </c:pt>
                <c:pt idx="24">
                  <c:v>4.8</c:v>
                </c:pt>
                <c:pt idx="25">
                  <c:v>5</c:v>
                </c:pt>
                <c:pt idx="26">
                  <c:v>5.2</c:v>
                </c:pt>
                <c:pt idx="27">
                  <c:v>5.4</c:v>
                </c:pt>
                <c:pt idx="28">
                  <c:v>5.6</c:v>
                </c:pt>
                <c:pt idx="29">
                  <c:v>5.8</c:v>
                </c:pt>
                <c:pt idx="30">
                  <c:v>6</c:v>
                </c:pt>
                <c:pt idx="31">
                  <c:v>6.2</c:v>
                </c:pt>
                <c:pt idx="32">
                  <c:v>6.4</c:v>
                </c:pt>
                <c:pt idx="33">
                  <c:v>6.6</c:v>
                </c:pt>
                <c:pt idx="34">
                  <c:v>6.8</c:v>
                </c:pt>
                <c:pt idx="35">
                  <c:v>7</c:v>
                </c:pt>
                <c:pt idx="36">
                  <c:v>7.2</c:v>
                </c:pt>
                <c:pt idx="37">
                  <c:v>7.4</c:v>
                </c:pt>
                <c:pt idx="38">
                  <c:v>7.6</c:v>
                </c:pt>
                <c:pt idx="39">
                  <c:v>7.8</c:v>
                </c:pt>
                <c:pt idx="40">
                  <c:v>8</c:v>
                </c:pt>
                <c:pt idx="41">
                  <c:v>8.1999999999999993</c:v>
                </c:pt>
                <c:pt idx="42">
                  <c:v>8.4</c:v>
                </c:pt>
                <c:pt idx="43">
                  <c:v>8.6</c:v>
                </c:pt>
                <c:pt idx="44">
                  <c:v>8.8000000000000007</c:v>
                </c:pt>
                <c:pt idx="45">
                  <c:v>9</c:v>
                </c:pt>
                <c:pt idx="46">
                  <c:v>9.1999999999999993</c:v>
                </c:pt>
                <c:pt idx="47">
                  <c:v>9.4</c:v>
                </c:pt>
                <c:pt idx="48">
                  <c:v>9.6</c:v>
                </c:pt>
                <c:pt idx="49">
                  <c:v>9.8000000000000007</c:v>
                </c:pt>
                <c:pt idx="50">
                  <c:v>10</c:v>
                </c:pt>
                <c:pt idx="51">
                  <c:v>10.199999999999999</c:v>
                </c:pt>
                <c:pt idx="52">
                  <c:v>10.4</c:v>
                </c:pt>
                <c:pt idx="53">
                  <c:v>10.6</c:v>
                </c:pt>
                <c:pt idx="54">
                  <c:v>10.8</c:v>
                </c:pt>
                <c:pt idx="55">
                  <c:v>11</c:v>
                </c:pt>
                <c:pt idx="56">
                  <c:v>11.2</c:v>
                </c:pt>
                <c:pt idx="57">
                  <c:v>11.4</c:v>
                </c:pt>
                <c:pt idx="58">
                  <c:v>11.6</c:v>
                </c:pt>
                <c:pt idx="59">
                  <c:v>11.8</c:v>
                </c:pt>
                <c:pt idx="60">
                  <c:v>12</c:v>
                </c:pt>
                <c:pt idx="61">
                  <c:v>12.2</c:v>
                </c:pt>
                <c:pt idx="62">
                  <c:v>12.4</c:v>
                </c:pt>
                <c:pt idx="63">
                  <c:v>12.6</c:v>
                </c:pt>
                <c:pt idx="64">
                  <c:v>12.8</c:v>
                </c:pt>
                <c:pt idx="65">
                  <c:v>13</c:v>
                </c:pt>
                <c:pt idx="66">
                  <c:v>13.2</c:v>
                </c:pt>
                <c:pt idx="67">
                  <c:v>13.4</c:v>
                </c:pt>
                <c:pt idx="68">
                  <c:v>13.6</c:v>
                </c:pt>
                <c:pt idx="69">
                  <c:v>13.8</c:v>
                </c:pt>
                <c:pt idx="70">
                  <c:v>14</c:v>
                </c:pt>
                <c:pt idx="71">
                  <c:v>14.2</c:v>
                </c:pt>
                <c:pt idx="72">
                  <c:v>14.4</c:v>
                </c:pt>
                <c:pt idx="73">
                  <c:v>14.6</c:v>
                </c:pt>
                <c:pt idx="74">
                  <c:v>14.8</c:v>
                </c:pt>
                <c:pt idx="75">
                  <c:v>15</c:v>
                </c:pt>
                <c:pt idx="76">
                  <c:v>15.2</c:v>
                </c:pt>
                <c:pt idx="77">
                  <c:v>15.4</c:v>
                </c:pt>
                <c:pt idx="78">
                  <c:v>15.6</c:v>
                </c:pt>
                <c:pt idx="79">
                  <c:v>15.8</c:v>
                </c:pt>
                <c:pt idx="80">
                  <c:v>16</c:v>
                </c:pt>
              </c:numCache>
            </c:numRef>
          </c:xVal>
          <c:yVal>
            <c:numRef>
              <c:f>goal003!$E$9:$E$89</c:f>
              <c:numCache>
                <c:formatCode>0.0</c:formatCode>
                <c:ptCount val="81"/>
                <c:pt idx="0">
                  <c:v>0</c:v>
                </c:pt>
                <c:pt idx="1">
                  <c:v>15.8</c:v>
                </c:pt>
                <c:pt idx="2">
                  <c:v>31.2</c:v>
                </c:pt>
                <c:pt idx="3">
                  <c:v>46.2</c:v>
                </c:pt>
                <c:pt idx="4">
                  <c:v>60.8</c:v>
                </c:pt>
                <c:pt idx="5">
                  <c:v>75</c:v>
                </c:pt>
                <c:pt idx="6">
                  <c:v>88.8</c:v>
                </c:pt>
                <c:pt idx="7">
                  <c:v>102.2</c:v>
                </c:pt>
                <c:pt idx="8">
                  <c:v>115.2</c:v>
                </c:pt>
                <c:pt idx="9">
                  <c:v>127.8</c:v>
                </c:pt>
                <c:pt idx="10">
                  <c:v>140</c:v>
                </c:pt>
                <c:pt idx="11">
                  <c:v>151.80000000000001</c:v>
                </c:pt>
                <c:pt idx="12">
                  <c:v>163.19999999999999</c:v>
                </c:pt>
                <c:pt idx="13">
                  <c:v>174.2</c:v>
                </c:pt>
                <c:pt idx="14">
                  <c:v>184.8</c:v>
                </c:pt>
                <c:pt idx="15">
                  <c:v>195</c:v>
                </c:pt>
                <c:pt idx="16">
                  <c:v>204.79999999999998</c:v>
                </c:pt>
                <c:pt idx="17">
                  <c:v>214.2</c:v>
                </c:pt>
                <c:pt idx="18">
                  <c:v>223.2</c:v>
                </c:pt>
                <c:pt idx="19">
                  <c:v>231.8</c:v>
                </c:pt>
                <c:pt idx="20">
                  <c:v>240</c:v>
                </c:pt>
                <c:pt idx="21">
                  <c:v>247.8</c:v>
                </c:pt>
                <c:pt idx="22">
                  <c:v>255.2</c:v>
                </c:pt>
                <c:pt idx="23">
                  <c:v>262.20000000000005</c:v>
                </c:pt>
                <c:pt idx="24">
                  <c:v>268.8</c:v>
                </c:pt>
                <c:pt idx="25">
                  <c:v>275</c:v>
                </c:pt>
                <c:pt idx="26">
                  <c:v>280.79999999999995</c:v>
                </c:pt>
                <c:pt idx="27">
                  <c:v>286.2</c:v>
                </c:pt>
                <c:pt idx="28">
                  <c:v>291.20000000000005</c:v>
                </c:pt>
                <c:pt idx="29">
                  <c:v>295.8</c:v>
                </c:pt>
                <c:pt idx="30">
                  <c:v>300</c:v>
                </c:pt>
                <c:pt idx="31">
                  <c:v>303.79999999999995</c:v>
                </c:pt>
                <c:pt idx="32">
                  <c:v>307.19999999999993</c:v>
                </c:pt>
                <c:pt idx="33">
                  <c:v>310.20000000000005</c:v>
                </c:pt>
                <c:pt idx="34">
                  <c:v>312.8</c:v>
                </c:pt>
                <c:pt idx="35">
                  <c:v>315</c:v>
                </c:pt>
                <c:pt idx="36">
                  <c:v>316.79999999999995</c:v>
                </c:pt>
                <c:pt idx="37">
                  <c:v>318.2</c:v>
                </c:pt>
                <c:pt idx="38">
                  <c:v>319.2</c:v>
                </c:pt>
                <c:pt idx="39">
                  <c:v>319.8</c:v>
                </c:pt>
                <c:pt idx="40">
                  <c:v>320</c:v>
                </c:pt>
                <c:pt idx="41">
                  <c:v>319.8</c:v>
                </c:pt>
                <c:pt idx="42">
                  <c:v>319.2</c:v>
                </c:pt>
                <c:pt idx="43">
                  <c:v>318.20000000000005</c:v>
                </c:pt>
                <c:pt idx="44">
                  <c:v>316.79999999999995</c:v>
                </c:pt>
                <c:pt idx="45">
                  <c:v>315</c:v>
                </c:pt>
                <c:pt idx="46">
                  <c:v>312.80000000000007</c:v>
                </c:pt>
                <c:pt idx="47">
                  <c:v>310.19999999999993</c:v>
                </c:pt>
                <c:pt idx="48">
                  <c:v>307.20000000000005</c:v>
                </c:pt>
                <c:pt idx="49">
                  <c:v>303.7999999999999</c:v>
                </c:pt>
                <c:pt idx="50">
                  <c:v>300</c:v>
                </c:pt>
                <c:pt idx="51">
                  <c:v>295.80000000000007</c:v>
                </c:pt>
                <c:pt idx="52">
                  <c:v>291.19999999999993</c:v>
                </c:pt>
                <c:pt idx="53">
                  <c:v>286.20000000000005</c:v>
                </c:pt>
                <c:pt idx="54">
                  <c:v>280.79999999999995</c:v>
                </c:pt>
                <c:pt idx="55">
                  <c:v>275</c:v>
                </c:pt>
                <c:pt idx="56">
                  <c:v>268.80000000000007</c:v>
                </c:pt>
                <c:pt idx="57">
                  <c:v>262.19999999999993</c:v>
                </c:pt>
                <c:pt idx="58">
                  <c:v>255.20000000000005</c:v>
                </c:pt>
                <c:pt idx="59">
                  <c:v>247.79999999999995</c:v>
                </c:pt>
                <c:pt idx="60">
                  <c:v>240</c:v>
                </c:pt>
                <c:pt idx="61">
                  <c:v>231.80000000000018</c:v>
                </c:pt>
                <c:pt idx="62">
                  <c:v>223.19999999999993</c:v>
                </c:pt>
                <c:pt idx="63">
                  <c:v>214.20000000000005</c:v>
                </c:pt>
                <c:pt idx="64">
                  <c:v>204.79999999999984</c:v>
                </c:pt>
                <c:pt idx="65">
                  <c:v>195</c:v>
                </c:pt>
                <c:pt idx="66">
                  <c:v>184.80000000000007</c:v>
                </c:pt>
                <c:pt idx="67">
                  <c:v>174.20000000000005</c:v>
                </c:pt>
                <c:pt idx="68">
                  <c:v>163.20000000000005</c:v>
                </c:pt>
                <c:pt idx="69">
                  <c:v>151.79999999999984</c:v>
                </c:pt>
                <c:pt idx="70">
                  <c:v>140</c:v>
                </c:pt>
                <c:pt idx="71">
                  <c:v>127.80000000000007</c:v>
                </c:pt>
                <c:pt idx="72">
                  <c:v>115.19999999999982</c:v>
                </c:pt>
                <c:pt idx="73">
                  <c:v>102.20000000000005</c:v>
                </c:pt>
                <c:pt idx="74">
                  <c:v>88.799999999999955</c:v>
                </c:pt>
                <c:pt idx="75">
                  <c:v>75</c:v>
                </c:pt>
                <c:pt idx="76">
                  <c:v>60.799999999999955</c:v>
                </c:pt>
                <c:pt idx="77">
                  <c:v>46.199999999999818</c:v>
                </c:pt>
                <c:pt idx="78">
                  <c:v>31.200000000000045</c:v>
                </c:pt>
                <c:pt idx="79">
                  <c:v>15.799999999999955</c:v>
                </c:pt>
                <c:pt idx="80">
                  <c:v>0</c:v>
                </c:pt>
              </c:numCache>
            </c:numRef>
          </c:yVal>
          <c:smooth val="1"/>
          <c:extLst>
            <c:ext xmlns:c16="http://schemas.microsoft.com/office/drawing/2014/chart" uri="{C3380CC4-5D6E-409C-BE32-E72D297353CC}">
              <c16:uniqueId val="{00000001-53B7-47AE-91C0-CDAE3C278CA6}"/>
            </c:ext>
          </c:extLst>
        </c:ser>
        <c:dLbls>
          <c:showLegendKey val="0"/>
          <c:showVal val="0"/>
          <c:showCatName val="0"/>
          <c:showSerName val="0"/>
          <c:showPercent val="0"/>
          <c:showBubbleSize val="0"/>
        </c:dLbls>
        <c:axId val="129148800"/>
        <c:axId val="129155072"/>
      </c:scatterChart>
      <c:valAx>
        <c:axId val="129148800"/>
        <c:scaling>
          <c:orientation val="minMax"/>
          <c:max val="16"/>
          <c:min val="0"/>
        </c:scaling>
        <c:delete val="0"/>
        <c:axPos val="b"/>
        <c:title>
          <c:tx>
            <c:rich>
              <a:bodyPr/>
              <a:lstStyle/>
              <a:p>
                <a:pPr>
                  <a:defRPr/>
                </a:pPr>
                <a:r>
                  <a:rPr lang="nl-NL"/>
                  <a:t>Q</a:t>
                </a:r>
              </a:p>
            </c:rich>
          </c:tx>
          <c:overlay val="0"/>
        </c:title>
        <c:numFmt formatCode="0" sourceLinked="0"/>
        <c:majorTickMark val="out"/>
        <c:minorTickMark val="none"/>
        <c:tickLblPos val="nextTo"/>
        <c:crossAx val="129155072"/>
        <c:crosses val="autoZero"/>
        <c:crossBetween val="midCat"/>
        <c:majorUnit val="1"/>
        <c:minorUnit val="1"/>
      </c:valAx>
      <c:valAx>
        <c:axId val="129155072"/>
        <c:scaling>
          <c:orientation val="minMax"/>
          <c:max val="500"/>
          <c:min val="0"/>
        </c:scaling>
        <c:delete val="0"/>
        <c:axPos val="l"/>
        <c:numFmt formatCode="0" sourceLinked="0"/>
        <c:majorTickMark val="out"/>
        <c:minorTickMark val="none"/>
        <c:tickLblPos val="nextTo"/>
        <c:crossAx val="129148800"/>
        <c:crosses val="autoZero"/>
        <c:crossBetween val="midCat"/>
        <c:majorUnit val="100"/>
      </c:valAx>
    </c:plotArea>
    <c:legend>
      <c:legendPos val="t"/>
      <c:layout>
        <c:manualLayout>
          <c:xMode val="edge"/>
          <c:yMode val="edge"/>
          <c:x val="0.68128040244970056"/>
          <c:y val="6.0601851851851893E-2"/>
          <c:w val="0.29449194444444482"/>
          <c:h val="8.3717191601050026E-2"/>
        </c:manualLayout>
      </c:layout>
      <c:overlay val="0"/>
    </c:legend>
    <c:plotVisOnly val="1"/>
    <c:dispBlanksAs val="gap"/>
    <c:showDLblsOverMax val="0"/>
  </c:chart>
  <c:printSettings>
    <c:headerFooter/>
    <c:pageMargins b="0.75000000000000622" l="0.70000000000000062" r="0.70000000000000062" t="0.75000000000000622"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4152887139108929E-2"/>
          <c:y val="4.6296296296296523E-2"/>
          <c:w val="0.89984711286090002"/>
          <c:h val="0.90645815106445027"/>
        </c:manualLayout>
      </c:layout>
      <c:scatterChart>
        <c:scatterStyle val="lineMarker"/>
        <c:varyColors val="0"/>
        <c:ser>
          <c:idx val="0"/>
          <c:order val="0"/>
          <c:spPr>
            <a:ln w="28575">
              <a:noFill/>
            </a:ln>
            <a:effectLst/>
          </c:spPr>
          <c:marker>
            <c:symbol val="circle"/>
            <c:size val="3"/>
            <c:spPr>
              <a:solidFill>
                <a:schemeClr val="tx1"/>
              </a:solidFill>
              <a:ln>
                <a:noFill/>
              </a:ln>
              <a:effectLst/>
            </c:spPr>
          </c:marker>
          <c:trendline>
            <c:trendlineType val="log"/>
            <c:dispRSqr val="0"/>
            <c:dispEq val="0"/>
          </c:trendline>
          <c:xVal>
            <c:numRef>
              <c:f>graf001!$C$9:$C$39</c:f>
              <c:numCache>
                <c:formatCode>0.0</c:formatCode>
                <c:ptCount val="31"/>
                <c:pt idx="0">
                  <c:v>-1</c:v>
                </c:pt>
                <c:pt idx="1">
                  <c:v>-0.9</c:v>
                </c:pt>
                <c:pt idx="2">
                  <c:v>-0.8</c:v>
                </c:pt>
                <c:pt idx="3">
                  <c:v>-0.7</c:v>
                </c:pt>
                <c:pt idx="4">
                  <c:v>-0.6</c:v>
                </c:pt>
                <c:pt idx="5">
                  <c:v>-0.5</c:v>
                </c:pt>
                <c:pt idx="6">
                  <c:v>-0.4</c:v>
                </c:pt>
                <c:pt idx="7">
                  <c:v>-0.3</c:v>
                </c:pt>
                <c:pt idx="8">
                  <c:v>-0.2</c:v>
                </c:pt>
                <c:pt idx="9">
                  <c:v>-0.1</c:v>
                </c:pt>
                <c:pt idx="10">
                  <c:v>0</c:v>
                </c:pt>
                <c:pt idx="11">
                  <c:v>9.9999999999999645E-2</c:v>
                </c:pt>
                <c:pt idx="12">
                  <c:v>0.2</c:v>
                </c:pt>
                <c:pt idx="13">
                  <c:v>0.3</c:v>
                </c:pt>
                <c:pt idx="14">
                  <c:v>0.4</c:v>
                </c:pt>
                <c:pt idx="15">
                  <c:v>0.5</c:v>
                </c:pt>
                <c:pt idx="16">
                  <c:v>0.6</c:v>
                </c:pt>
                <c:pt idx="17">
                  <c:v>0.7</c:v>
                </c:pt>
                <c:pt idx="18">
                  <c:v>0.8</c:v>
                </c:pt>
                <c:pt idx="19">
                  <c:v>0.89999999999999947</c:v>
                </c:pt>
                <c:pt idx="20">
                  <c:v>1</c:v>
                </c:pt>
                <c:pt idx="21">
                  <c:v>1.1000000000000001</c:v>
                </c:pt>
                <c:pt idx="22">
                  <c:v>1.2</c:v>
                </c:pt>
                <c:pt idx="23">
                  <c:v>1.3</c:v>
                </c:pt>
                <c:pt idx="24">
                  <c:v>1.4</c:v>
                </c:pt>
                <c:pt idx="25">
                  <c:v>1.5</c:v>
                </c:pt>
                <c:pt idx="26">
                  <c:v>1.6</c:v>
                </c:pt>
                <c:pt idx="27">
                  <c:v>1.7</c:v>
                </c:pt>
                <c:pt idx="28">
                  <c:v>1.8</c:v>
                </c:pt>
                <c:pt idx="29">
                  <c:v>1.9</c:v>
                </c:pt>
                <c:pt idx="30">
                  <c:v>2</c:v>
                </c:pt>
              </c:numCache>
            </c:numRef>
          </c:xVal>
          <c:yVal>
            <c:numRef>
              <c:f>graf001!$D$9:$D$39</c:f>
              <c:numCache>
                <c:formatCode>0.000</c:formatCode>
                <c:ptCount val="31"/>
                <c:pt idx="0">
                  <c:v>-3.375</c:v>
                </c:pt>
                <c:pt idx="1">
                  <c:v>-2.7439999999999993</c:v>
                </c:pt>
                <c:pt idx="2">
                  <c:v>-2.1970000000000005</c:v>
                </c:pt>
                <c:pt idx="3">
                  <c:v>-1.728</c:v>
                </c:pt>
                <c:pt idx="4">
                  <c:v>-1.3310000000000004</c:v>
                </c:pt>
                <c:pt idx="5">
                  <c:v>-1</c:v>
                </c:pt>
                <c:pt idx="6">
                  <c:v>-0.72900000000000009</c:v>
                </c:pt>
                <c:pt idx="7">
                  <c:v>-0.51200000000000012</c:v>
                </c:pt>
                <c:pt idx="8">
                  <c:v>-0.34299999999999992</c:v>
                </c:pt>
                <c:pt idx="9">
                  <c:v>-0.216</c:v>
                </c:pt>
                <c:pt idx="10">
                  <c:v>-0.125</c:v>
                </c:pt>
                <c:pt idx="11">
                  <c:v>-6.4000000000000168E-2</c:v>
                </c:pt>
                <c:pt idx="12">
                  <c:v>-2.7E-2</c:v>
                </c:pt>
                <c:pt idx="13">
                  <c:v>-8.0000000000000019E-3</c:v>
                </c:pt>
                <c:pt idx="14">
                  <c:v>-9.9999999999999937E-4</c:v>
                </c:pt>
                <c:pt idx="15">
                  <c:v>0</c:v>
                </c:pt>
                <c:pt idx="16">
                  <c:v>9.9999999999999937E-4</c:v>
                </c:pt>
                <c:pt idx="17">
                  <c:v>7.999999999999995E-3</c:v>
                </c:pt>
                <c:pt idx="18">
                  <c:v>2.700000000000001E-2</c:v>
                </c:pt>
                <c:pt idx="19">
                  <c:v>6.3999999999999752E-2</c:v>
                </c:pt>
                <c:pt idx="20">
                  <c:v>0.125</c:v>
                </c:pt>
                <c:pt idx="21">
                  <c:v>0.21600000000000008</c:v>
                </c:pt>
                <c:pt idx="22">
                  <c:v>0.34299999999999992</c:v>
                </c:pt>
                <c:pt idx="23">
                  <c:v>0.51200000000000012</c:v>
                </c:pt>
                <c:pt idx="24">
                  <c:v>0.72899999999999976</c:v>
                </c:pt>
                <c:pt idx="25">
                  <c:v>1</c:v>
                </c:pt>
                <c:pt idx="26">
                  <c:v>1.3310000000000004</c:v>
                </c:pt>
                <c:pt idx="27">
                  <c:v>1.728</c:v>
                </c:pt>
                <c:pt idx="28">
                  <c:v>2.1970000000000005</c:v>
                </c:pt>
                <c:pt idx="29">
                  <c:v>2.7439999999999993</c:v>
                </c:pt>
                <c:pt idx="30">
                  <c:v>3.375</c:v>
                </c:pt>
              </c:numCache>
            </c:numRef>
          </c:yVal>
          <c:smooth val="0"/>
          <c:extLst>
            <c:ext xmlns:c16="http://schemas.microsoft.com/office/drawing/2014/chart" uri="{C3380CC4-5D6E-409C-BE32-E72D297353CC}">
              <c16:uniqueId val="{00000001-D410-4A34-A960-C566DB28D4EC}"/>
            </c:ext>
          </c:extLst>
        </c:ser>
        <c:dLbls>
          <c:showLegendKey val="0"/>
          <c:showVal val="0"/>
          <c:showCatName val="0"/>
          <c:showSerName val="0"/>
          <c:showPercent val="0"/>
          <c:showBubbleSize val="0"/>
        </c:dLbls>
        <c:axId val="150662528"/>
        <c:axId val="150697472"/>
      </c:scatterChart>
      <c:valAx>
        <c:axId val="150662528"/>
        <c:scaling>
          <c:orientation val="minMax"/>
        </c:scaling>
        <c:delete val="0"/>
        <c:axPos val="b"/>
        <c:title>
          <c:tx>
            <c:rich>
              <a:bodyPr/>
              <a:lstStyle/>
              <a:p>
                <a:pPr>
                  <a:defRPr/>
                </a:pPr>
                <a:r>
                  <a:rPr lang="nl-NL"/>
                  <a:t>Y-as</a:t>
                </a:r>
              </a:p>
            </c:rich>
          </c:tx>
          <c:layout>
            <c:manualLayout>
              <c:xMode val="edge"/>
              <c:yMode val="edge"/>
              <c:x val="0.41493744531933507"/>
              <c:y val="5.4606299212599033E-2"/>
            </c:manualLayout>
          </c:layout>
          <c:overlay val="0"/>
        </c:title>
        <c:numFmt formatCode="0.0" sourceLinked="1"/>
        <c:majorTickMark val="cross"/>
        <c:minorTickMark val="none"/>
        <c:tickLblPos val="nextTo"/>
        <c:spPr>
          <a:ln>
            <a:solidFill>
              <a:schemeClr val="tx1"/>
            </a:solidFill>
          </a:ln>
        </c:spPr>
        <c:txPr>
          <a:bodyPr/>
          <a:lstStyle/>
          <a:p>
            <a:pPr>
              <a:defRPr sz="800" baseline="0">
                <a:latin typeface="Arial" pitchFamily="34" charset="0"/>
              </a:defRPr>
            </a:pPr>
            <a:endParaRPr lang="nl-NL"/>
          </a:p>
        </c:txPr>
        <c:crossAx val="150697472"/>
        <c:crosses val="autoZero"/>
        <c:crossBetween val="midCat"/>
      </c:valAx>
      <c:valAx>
        <c:axId val="150697472"/>
        <c:scaling>
          <c:orientation val="minMax"/>
        </c:scaling>
        <c:delete val="0"/>
        <c:axPos val="l"/>
        <c:title>
          <c:tx>
            <c:rich>
              <a:bodyPr rot="0" vert="horz"/>
              <a:lstStyle/>
              <a:p>
                <a:pPr>
                  <a:defRPr/>
                </a:pPr>
                <a:r>
                  <a:rPr lang="nl-NL"/>
                  <a:t>X-as</a:t>
                </a:r>
              </a:p>
            </c:rich>
          </c:tx>
          <c:layout>
            <c:manualLayout>
              <c:xMode val="edge"/>
              <c:yMode val="edge"/>
              <c:x val="0.85555555555555562"/>
              <c:y val="0.58701370662000552"/>
            </c:manualLayout>
          </c:layout>
          <c:overlay val="0"/>
        </c:title>
        <c:numFmt formatCode="0.0" sourceLinked="0"/>
        <c:majorTickMark val="cross"/>
        <c:minorTickMark val="none"/>
        <c:tickLblPos val="nextTo"/>
        <c:spPr>
          <a:ln>
            <a:solidFill>
              <a:schemeClr val="tx1"/>
            </a:solidFill>
          </a:ln>
        </c:spPr>
        <c:txPr>
          <a:bodyPr/>
          <a:lstStyle/>
          <a:p>
            <a:pPr>
              <a:defRPr sz="800" baseline="0">
                <a:latin typeface="Arial" pitchFamily="34" charset="0"/>
              </a:defRPr>
            </a:pPr>
            <a:endParaRPr lang="nl-NL"/>
          </a:p>
        </c:txPr>
        <c:crossAx val="150662528"/>
        <c:crosses val="autoZero"/>
        <c:crossBetween val="midCat"/>
      </c:valAx>
    </c:plotArea>
    <c:plotVisOnly val="1"/>
    <c:dispBlanksAs val="gap"/>
    <c:showDLblsOverMax val="0"/>
  </c:chart>
  <c:printSettings>
    <c:headerFooter/>
    <c:pageMargins b="0.75000000000000966" l="0.70000000000000062" r="0.70000000000000062" t="0.75000000000000966" header="0.30000000000000032" footer="0.30000000000000032"/>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400"/>
              <a:t>Boekingen 2008 2010</a:t>
            </a:r>
          </a:p>
        </c:rich>
      </c:tx>
      <c:overlay val="0"/>
    </c:title>
    <c:autoTitleDeleted val="0"/>
    <c:plotArea>
      <c:layout/>
      <c:barChart>
        <c:barDir val="col"/>
        <c:grouping val="stacked"/>
        <c:varyColors val="0"/>
        <c:ser>
          <c:idx val="0"/>
          <c:order val="0"/>
          <c:tx>
            <c:strRef>
              <c:f>graf002!$D$8</c:f>
              <c:strCache>
                <c:ptCount val="1"/>
                <c:pt idx="0">
                  <c:v>Egypte</c:v>
                </c:pt>
              </c:strCache>
            </c:strRef>
          </c:tx>
          <c:invertIfNegative val="0"/>
          <c:cat>
            <c:numRef>
              <c:f>graf002!$C$9:$C$11</c:f>
              <c:numCache>
                <c:formatCode>General</c:formatCode>
                <c:ptCount val="3"/>
                <c:pt idx="0">
                  <c:v>2008</c:v>
                </c:pt>
                <c:pt idx="1">
                  <c:v>2009</c:v>
                </c:pt>
                <c:pt idx="2">
                  <c:v>2010</c:v>
                </c:pt>
              </c:numCache>
            </c:numRef>
          </c:cat>
          <c:val>
            <c:numRef>
              <c:f>graf002!$D$9:$D$11</c:f>
              <c:numCache>
                <c:formatCode>General</c:formatCode>
                <c:ptCount val="3"/>
                <c:pt idx="0">
                  <c:v>180</c:v>
                </c:pt>
                <c:pt idx="1">
                  <c:v>210</c:v>
                </c:pt>
                <c:pt idx="2">
                  <c:v>200</c:v>
                </c:pt>
              </c:numCache>
            </c:numRef>
          </c:val>
          <c:extLst>
            <c:ext xmlns:c16="http://schemas.microsoft.com/office/drawing/2014/chart" uri="{C3380CC4-5D6E-409C-BE32-E72D297353CC}">
              <c16:uniqueId val="{00000000-AA6C-41CE-9AD3-0E7E06532C9C}"/>
            </c:ext>
          </c:extLst>
        </c:ser>
        <c:ser>
          <c:idx val="1"/>
          <c:order val="1"/>
          <c:tx>
            <c:strRef>
              <c:f>graf002!$E$8</c:f>
              <c:strCache>
                <c:ptCount val="1"/>
                <c:pt idx="0">
                  <c:v>China</c:v>
                </c:pt>
              </c:strCache>
            </c:strRef>
          </c:tx>
          <c:invertIfNegative val="0"/>
          <c:cat>
            <c:numRef>
              <c:f>graf002!$C$9:$C$11</c:f>
              <c:numCache>
                <c:formatCode>General</c:formatCode>
                <c:ptCount val="3"/>
                <c:pt idx="0">
                  <c:v>2008</c:v>
                </c:pt>
                <c:pt idx="1">
                  <c:v>2009</c:v>
                </c:pt>
                <c:pt idx="2">
                  <c:v>2010</c:v>
                </c:pt>
              </c:numCache>
            </c:numRef>
          </c:cat>
          <c:val>
            <c:numRef>
              <c:f>graf002!$E$9:$E$11</c:f>
              <c:numCache>
                <c:formatCode>General</c:formatCode>
                <c:ptCount val="3"/>
                <c:pt idx="0">
                  <c:v>350</c:v>
                </c:pt>
                <c:pt idx="1">
                  <c:v>400</c:v>
                </c:pt>
                <c:pt idx="2">
                  <c:v>450</c:v>
                </c:pt>
              </c:numCache>
            </c:numRef>
          </c:val>
          <c:extLst>
            <c:ext xmlns:c16="http://schemas.microsoft.com/office/drawing/2014/chart" uri="{C3380CC4-5D6E-409C-BE32-E72D297353CC}">
              <c16:uniqueId val="{00000001-AA6C-41CE-9AD3-0E7E06532C9C}"/>
            </c:ext>
          </c:extLst>
        </c:ser>
        <c:ser>
          <c:idx val="2"/>
          <c:order val="2"/>
          <c:tx>
            <c:strRef>
              <c:f>graf002!$F$8</c:f>
              <c:strCache>
                <c:ptCount val="1"/>
                <c:pt idx="0">
                  <c:v>Nepal</c:v>
                </c:pt>
              </c:strCache>
            </c:strRef>
          </c:tx>
          <c:invertIfNegative val="0"/>
          <c:cat>
            <c:numRef>
              <c:f>graf002!$C$9:$C$11</c:f>
              <c:numCache>
                <c:formatCode>General</c:formatCode>
                <c:ptCount val="3"/>
                <c:pt idx="0">
                  <c:v>2008</c:v>
                </c:pt>
                <c:pt idx="1">
                  <c:v>2009</c:v>
                </c:pt>
                <c:pt idx="2">
                  <c:v>2010</c:v>
                </c:pt>
              </c:numCache>
            </c:numRef>
          </c:cat>
          <c:val>
            <c:numRef>
              <c:f>graf002!$F$9:$F$11</c:f>
              <c:numCache>
                <c:formatCode>General</c:formatCode>
                <c:ptCount val="3"/>
                <c:pt idx="0">
                  <c:v>145</c:v>
                </c:pt>
                <c:pt idx="1">
                  <c:v>110</c:v>
                </c:pt>
                <c:pt idx="2">
                  <c:v>95</c:v>
                </c:pt>
              </c:numCache>
            </c:numRef>
          </c:val>
          <c:extLst>
            <c:ext xmlns:c16="http://schemas.microsoft.com/office/drawing/2014/chart" uri="{C3380CC4-5D6E-409C-BE32-E72D297353CC}">
              <c16:uniqueId val="{00000002-AA6C-41CE-9AD3-0E7E06532C9C}"/>
            </c:ext>
          </c:extLst>
        </c:ser>
        <c:ser>
          <c:idx val="3"/>
          <c:order val="3"/>
          <c:tx>
            <c:strRef>
              <c:f>graf002!$G$8</c:f>
              <c:strCache>
                <c:ptCount val="1"/>
                <c:pt idx="0">
                  <c:v>Sahara</c:v>
                </c:pt>
              </c:strCache>
            </c:strRef>
          </c:tx>
          <c:invertIfNegative val="0"/>
          <c:cat>
            <c:numRef>
              <c:f>graf002!$C$9:$C$11</c:f>
              <c:numCache>
                <c:formatCode>General</c:formatCode>
                <c:ptCount val="3"/>
                <c:pt idx="0">
                  <c:v>2008</c:v>
                </c:pt>
                <c:pt idx="1">
                  <c:v>2009</c:v>
                </c:pt>
                <c:pt idx="2">
                  <c:v>2010</c:v>
                </c:pt>
              </c:numCache>
            </c:numRef>
          </c:cat>
          <c:val>
            <c:numRef>
              <c:f>graf002!$G$9:$G$11</c:f>
              <c:numCache>
                <c:formatCode>General</c:formatCode>
                <c:ptCount val="3"/>
                <c:pt idx="0">
                  <c:v>330</c:v>
                </c:pt>
                <c:pt idx="1">
                  <c:v>350</c:v>
                </c:pt>
                <c:pt idx="2">
                  <c:v>320</c:v>
                </c:pt>
              </c:numCache>
            </c:numRef>
          </c:val>
          <c:extLst>
            <c:ext xmlns:c16="http://schemas.microsoft.com/office/drawing/2014/chart" uri="{C3380CC4-5D6E-409C-BE32-E72D297353CC}">
              <c16:uniqueId val="{00000003-AA6C-41CE-9AD3-0E7E06532C9C}"/>
            </c:ext>
          </c:extLst>
        </c:ser>
        <c:ser>
          <c:idx val="4"/>
          <c:order val="4"/>
          <c:tx>
            <c:strRef>
              <c:f>graf002!$H$8</c:f>
              <c:strCache>
                <c:ptCount val="1"/>
                <c:pt idx="0">
                  <c:v>Zuidpool</c:v>
                </c:pt>
              </c:strCache>
            </c:strRef>
          </c:tx>
          <c:invertIfNegative val="0"/>
          <c:cat>
            <c:numRef>
              <c:f>graf002!$C$9:$C$11</c:f>
              <c:numCache>
                <c:formatCode>General</c:formatCode>
                <c:ptCount val="3"/>
                <c:pt idx="0">
                  <c:v>2008</c:v>
                </c:pt>
                <c:pt idx="1">
                  <c:v>2009</c:v>
                </c:pt>
                <c:pt idx="2">
                  <c:v>2010</c:v>
                </c:pt>
              </c:numCache>
            </c:numRef>
          </c:cat>
          <c:val>
            <c:numRef>
              <c:f>graf002!$H$9:$H$11</c:f>
              <c:numCache>
                <c:formatCode>General</c:formatCode>
                <c:ptCount val="3"/>
                <c:pt idx="0">
                  <c:v>267</c:v>
                </c:pt>
                <c:pt idx="1">
                  <c:v>305</c:v>
                </c:pt>
                <c:pt idx="2">
                  <c:v>380</c:v>
                </c:pt>
              </c:numCache>
            </c:numRef>
          </c:val>
          <c:extLst>
            <c:ext xmlns:c16="http://schemas.microsoft.com/office/drawing/2014/chart" uri="{C3380CC4-5D6E-409C-BE32-E72D297353CC}">
              <c16:uniqueId val="{00000004-AA6C-41CE-9AD3-0E7E06532C9C}"/>
            </c:ext>
          </c:extLst>
        </c:ser>
        <c:dLbls>
          <c:showLegendKey val="0"/>
          <c:showVal val="0"/>
          <c:showCatName val="0"/>
          <c:showSerName val="0"/>
          <c:showPercent val="0"/>
          <c:showBubbleSize val="0"/>
        </c:dLbls>
        <c:gapWidth val="60"/>
        <c:overlap val="100"/>
        <c:axId val="128563456"/>
        <c:axId val="128573440"/>
      </c:barChart>
      <c:catAx>
        <c:axId val="128563456"/>
        <c:scaling>
          <c:orientation val="minMax"/>
        </c:scaling>
        <c:delete val="0"/>
        <c:axPos val="b"/>
        <c:numFmt formatCode="General" sourceLinked="1"/>
        <c:majorTickMark val="out"/>
        <c:minorTickMark val="none"/>
        <c:tickLblPos val="nextTo"/>
        <c:crossAx val="128573440"/>
        <c:crosses val="autoZero"/>
        <c:auto val="1"/>
        <c:lblAlgn val="ctr"/>
        <c:lblOffset val="100"/>
        <c:noMultiLvlLbl val="0"/>
      </c:catAx>
      <c:valAx>
        <c:axId val="128573440"/>
        <c:scaling>
          <c:orientation val="minMax"/>
        </c:scaling>
        <c:delete val="0"/>
        <c:axPos val="l"/>
        <c:majorGridlines/>
        <c:numFmt formatCode="General" sourceLinked="1"/>
        <c:majorTickMark val="out"/>
        <c:minorTickMark val="none"/>
        <c:tickLblPos val="nextTo"/>
        <c:crossAx val="128563456"/>
        <c:crosses val="autoZero"/>
        <c:crossBetween val="between"/>
      </c:valAx>
    </c:plotArea>
    <c:legend>
      <c:legendPos val="r"/>
      <c:overlay val="0"/>
    </c:legend>
    <c:plotVisOnly val="1"/>
    <c:dispBlanksAs val="gap"/>
    <c:showDLblsOverMax val="0"/>
  </c:chart>
  <c:printSettings>
    <c:headerFooter/>
    <c:pageMargins b="0.75000000000000921" l="0.70000000000000062" r="0.70000000000000062" t="0.75000000000000921"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600"/>
              <a:t>Verkopen</a:t>
            </a:r>
            <a:r>
              <a:rPr lang="nl-NL" sz="1600" baseline="0"/>
              <a:t> 2010</a:t>
            </a:r>
            <a:endParaRPr lang="nl-NL" sz="1600"/>
          </a:p>
        </c:rich>
      </c:tx>
      <c:layout>
        <c:manualLayout>
          <c:xMode val="edge"/>
          <c:yMode val="edge"/>
          <c:x val="0.17786811023622354"/>
          <c:y val="2.7777777777778734E-2"/>
        </c:manualLayout>
      </c:layout>
      <c:overlay val="0"/>
    </c:title>
    <c:autoTitleDeleted val="0"/>
    <c:plotArea>
      <c:layout>
        <c:manualLayout>
          <c:layoutTarget val="inner"/>
          <c:xMode val="edge"/>
          <c:yMode val="edge"/>
          <c:x val="0.1807524059492564"/>
          <c:y val="0.21332203266258384"/>
          <c:w val="0.79796981627296593"/>
          <c:h val="0.63630358705161849"/>
        </c:manualLayout>
      </c:layout>
      <c:barChart>
        <c:barDir val="col"/>
        <c:grouping val="clustered"/>
        <c:varyColors val="0"/>
        <c:ser>
          <c:idx val="0"/>
          <c:order val="0"/>
          <c:tx>
            <c:strRef>
              <c:f>graf003!$D$10</c:f>
              <c:strCache>
                <c:ptCount val="1"/>
                <c:pt idx="0">
                  <c:v>begroot</c:v>
                </c:pt>
              </c:strCache>
            </c:strRef>
          </c:tx>
          <c:invertIfNegative val="0"/>
          <c:cat>
            <c:strRef>
              <c:f>graf003!$C$11:$C$14</c:f>
              <c:strCache>
                <c:ptCount val="4"/>
                <c:pt idx="0">
                  <c:v>kwrt 1</c:v>
                </c:pt>
                <c:pt idx="1">
                  <c:v>kwrt 2</c:v>
                </c:pt>
                <c:pt idx="2">
                  <c:v>kwrt 3</c:v>
                </c:pt>
                <c:pt idx="3">
                  <c:v>kwrt 4</c:v>
                </c:pt>
              </c:strCache>
            </c:strRef>
          </c:cat>
          <c:val>
            <c:numRef>
              <c:f>graf003!$D$11:$D$14</c:f>
              <c:numCache>
                <c:formatCode>_ "€"\ * #,##0_ ;_ "€"\ * \-#,##0_ ;_ "€"\ * "-"??_ ;_ @_ </c:formatCode>
                <c:ptCount val="4"/>
                <c:pt idx="0">
                  <c:v>85000</c:v>
                </c:pt>
                <c:pt idx="1">
                  <c:v>100000</c:v>
                </c:pt>
                <c:pt idx="2">
                  <c:v>115000</c:v>
                </c:pt>
                <c:pt idx="3">
                  <c:v>120000</c:v>
                </c:pt>
              </c:numCache>
            </c:numRef>
          </c:val>
          <c:extLst>
            <c:ext xmlns:c16="http://schemas.microsoft.com/office/drawing/2014/chart" uri="{C3380CC4-5D6E-409C-BE32-E72D297353CC}">
              <c16:uniqueId val="{00000000-8D0C-4458-8458-1F916FCAA87F}"/>
            </c:ext>
          </c:extLst>
        </c:ser>
        <c:dLbls>
          <c:showLegendKey val="0"/>
          <c:showVal val="0"/>
          <c:showCatName val="0"/>
          <c:showSerName val="0"/>
          <c:showPercent val="0"/>
          <c:showBubbleSize val="0"/>
        </c:dLbls>
        <c:gapWidth val="100"/>
        <c:axId val="128942464"/>
        <c:axId val="128944000"/>
      </c:barChart>
      <c:lineChart>
        <c:grouping val="standard"/>
        <c:varyColors val="0"/>
        <c:ser>
          <c:idx val="1"/>
          <c:order val="1"/>
          <c:tx>
            <c:strRef>
              <c:f>graf003!$E$10</c:f>
              <c:strCache>
                <c:ptCount val="1"/>
                <c:pt idx="0">
                  <c:v>werkelijk</c:v>
                </c:pt>
              </c:strCache>
            </c:strRef>
          </c:tx>
          <c:cat>
            <c:strRef>
              <c:f>graf003!$C$11:$C$14</c:f>
              <c:strCache>
                <c:ptCount val="4"/>
                <c:pt idx="0">
                  <c:v>kwrt 1</c:v>
                </c:pt>
                <c:pt idx="1">
                  <c:v>kwrt 2</c:v>
                </c:pt>
                <c:pt idx="2">
                  <c:v>kwrt 3</c:v>
                </c:pt>
                <c:pt idx="3">
                  <c:v>kwrt 4</c:v>
                </c:pt>
              </c:strCache>
            </c:strRef>
          </c:cat>
          <c:val>
            <c:numRef>
              <c:f>graf003!$E$11:$E$14</c:f>
              <c:numCache>
                <c:formatCode>_ "€"\ * #,##0_ ;_ "€"\ * \-#,##0_ ;_ "€"\ * "-"??_ ;_ @_ </c:formatCode>
                <c:ptCount val="4"/>
                <c:pt idx="0">
                  <c:v>75000</c:v>
                </c:pt>
                <c:pt idx="1">
                  <c:v>80000</c:v>
                </c:pt>
                <c:pt idx="2">
                  <c:v>90000</c:v>
                </c:pt>
                <c:pt idx="3">
                  <c:v>100000</c:v>
                </c:pt>
              </c:numCache>
            </c:numRef>
          </c:val>
          <c:smooth val="0"/>
          <c:extLst>
            <c:ext xmlns:c16="http://schemas.microsoft.com/office/drawing/2014/chart" uri="{C3380CC4-5D6E-409C-BE32-E72D297353CC}">
              <c16:uniqueId val="{00000001-8D0C-4458-8458-1F916FCAA87F}"/>
            </c:ext>
          </c:extLst>
        </c:ser>
        <c:dLbls>
          <c:showLegendKey val="0"/>
          <c:showVal val="0"/>
          <c:showCatName val="0"/>
          <c:showSerName val="0"/>
          <c:showPercent val="0"/>
          <c:showBubbleSize val="0"/>
        </c:dLbls>
        <c:marker val="1"/>
        <c:smooth val="0"/>
        <c:axId val="128942464"/>
        <c:axId val="128944000"/>
      </c:lineChart>
      <c:catAx>
        <c:axId val="128942464"/>
        <c:scaling>
          <c:orientation val="minMax"/>
        </c:scaling>
        <c:delete val="0"/>
        <c:axPos val="b"/>
        <c:numFmt formatCode="General" sourceLinked="1"/>
        <c:majorTickMark val="out"/>
        <c:minorTickMark val="none"/>
        <c:tickLblPos val="nextTo"/>
        <c:crossAx val="128944000"/>
        <c:crosses val="autoZero"/>
        <c:auto val="1"/>
        <c:lblAlgn val="ctr"/>
        <c:lblOffset val="100"/>
        <c:noMultiLvlLbl val="0"/>
      </c:catAx>
      <c:valAx>
        <c:axId val="128944000"/>
        <c:scaling>
          <c:orientation val="minMax"/>
        </c:scaling>
        <c:delete val="0"/>
        <c:axPos val="l"/>
        <c:majorGridlines>
          <c:spPr>
            <a:ln>
              <a:prstDash val="sysDash"/>
            </a:ln>
          </c:spPr>
        </c:majorGridlines>
        <c:numFmt formatCode="_ &quot;€&quot;\ * #,##0_ ;_ &quot;€&quot;\ * \-#,##0_ ;_ &quot;€&quot;\ * &quot;-&quot;??_ ;_ @_ " sourceLinked="1"/>
        <c:majorTickMark val="out"/>
        <c:minorTickMark val="none"/>
        <c:tickLblPos val="nextTo"/>
        <c:crossAx val="128942464"/>
        <c:crosses val="autoZero"/>
        <c:crossBetween val="between"/>
      </c:valAx>
    </c:plotArea>
    <c:legend>
      <c:legendPos val="r"/>
      <c:layout>
        <c:manualLayout>
          <c:xMode val="edge"/>
          <c:yMode val="edge"/>
          <c:x val="0.57872222222222214"/>
          <c:y val="2.9650772820064841E-2"/>
          <c:w val="0.29093579648697765"/>
          <c:h val="0.14891586468358123"/>
        </c:manualLayout>
      </c:layout>
      <c:overlay val="0"/>
    </c:legend>
    <c:plotVisOnly val="1"/>
    <c:dispBlanksAs val="gap"/>
    <c:showDLblsOverMax val="0"/>
  </c:chart>
  <c:printSettings>
    <c:headerFooter/>
    <c:pageMargins b="0.7500000000000091" l="0.70000000000000062" r="0.70000000000000062" t="0.7500000000000091" header="0.30000000000000032" footer="0.3000000000000003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400"/>
              <a:t>Leeftijdsopbouw</a:t>
            </a:r>
          </a:p>
        </c:rich>
      </c:tx>
      <c:overlay val="0"/>
    </c:title>
    <c:autoTitleDeleted val="0"/>
    <c:plotArea>
      <c:layout/>
      <c:lineChart>
        <c:grouping val="standard"/>
        <c:varyColors val="0"/>
        <c:ser>
          <c:idx val="0"/>
          <c:order val="0"/>
          <c:tx>
            <c:strRef>
              <c:f>graf004!$D$9</c:f>
              <c:strCache>
                <c:ptCount val="1"/>
                <c:pt idx="0">
                  <c:v>0 tot 10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graf004!$E$9:$K$9</c:f>
              <c:numCache>
                <c:formatCode>0.0%</c:formatCode>
                <c:ptCount val="7"/>
                <c:pt idx="0">
                  <c:v>0.21067276580411265</c:v>
                </c:pt>
                <c:pt idx="1">
                  <c:v>0.19760031615307849</c:v>
                </c:pt>
                <c:pt idx="2">
                  <c:v>0.18525314176113039</c:v>
                </c:pt>
                <c:pt idx="3">
                  <c:v>0.13919622817775926</c:v>
                </c:pt>
                <c:pt idx="4">
                  <c:v>0.1218389111244302</c:v>
                </c:pt>
                <c:pt idx="5">
                  <c:v>0.12513661477753019</c:v>
                </c:pt>
                <c:pt idx="6">
                  <c:v>0.1163276790108277</c:v>
                </c:pt>
              </c:numCache>
            </c:numRef>
          </c:val>
          <c:smooth val="0"/>
          <c:extLst>
            <c:ext xmlns:c16="http://schemas.microsoft.com/office/drawing/2014/chart" uri="{C3380CC4-5D6E-409C-BE32-E72D297353CC}">
              <c16:uniqueId val="{00000000-E0DD-479D-8573-4A5A506FBA4B}"/>
            </c:ext>
          </c:extLst>
        </c:ser>
        <c:ser>
          <c:idx val="1"/>
          <c:order val="1"/>
          <c:tx>
            <c:strRef>
              <c:f>graf004!$D$10</c:f>
              <c:strCache>
                <c:ptCount val="1"/>
                <c:pt idx="0">
                  <c:v>10 tot 20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graf004!$E$10:$K$10</c:f>
              <c:numCache>
                <c:formatCode>0.0%</c:formatCode>
                <c:ptCount val="7"/>
                <c:pt idx="0">
                  <c:v>0.16257783037473772</c:v>
                </c:pt>
                <c:pt idx="1">
                  <c:v>0.1817415115753753</c:v>
                </c:pt>
                <c:pt idx="2">
                  <c:v>0.17419601946993202</c:v>
                </c:pt>
                <c:pt idx="3">
                  <c:v>0.17531520442744575</c:v>
                </c:pt>
                <c:pt idx="4">
                  <c:v>0.1348128268491397</c:v>
                </c:pt>
                <c:pt idx="5">
                  <c:v>0.11900232918031134</c:v>
                </c:pt>
                <c:pt idx="6">
                  <c:v>0.12067603785438409</c:v>
                </c:pt>
              </c:numCache>
            </c:numRef>
          </c:val>
          <c:smooth val="0"/>
          <c:extLst>
            <c:ext xmlns:c16="http://schemas.microsoft.com/office/drawing/2014/chart" uri="{C3380CC4-5D6E-409C-BE32-E72D297353CC}">
              <c16:uniqueId val="{00000001-E0DD-479D-8573-4A5A506FBA4B}"/>
            </c:ext>
          </c:extLst>
        </c:ser>
        <c:ser>
          <c:idx val="2"/>
          <c:order val="2"/>
          <c:tx>
            <c:strRef>
              <c:f>graf004!$D$11</c:f>
              <c:strCache>
                <c:ptCount val="1"/>
                <c:pt idx="0">
                  <c:v>20 tot 30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graf004!$E$11:$K$11</c:f>
              <c:numCache>
                <c:formatCode>0.0%</c:formatCode>
                <c:ptCount val="7"/>
                <c:pt idx="0">
                  <c:v>0.15907690340650976</c:v>
                </c:pt>
                <c:pt idx="1">
                  <c:v>0.13789760655232861</c:v>
                </c:pt>
                <c:pt idx="2">
                  <c:v>0.15996470339732888</c:v>
                </c:pt>
                <c:pt idx="3">
                  <c:v>0.16592801625205963</c:v>
                </c:pt>
                <c:pt idx="4">
                  <c:v>0.17156456634024447</c:v>
                </c:pt>
                <c:pt idx="5">
                  <c:v>0.13440265507644691</c:v>
                </c:pt>
                <c:pt idx="6">
                  <c:v>0.12140370047907724</c:v>
                </c:pt>
              </c:numCache>
            </c:numRef>
          </c:val>
          <c:smooth val="0"/>
          <c:extLst>
            <c:ext xmlns:c16="http://schemas.microsoft.com/office/drawing/2014/chart" uri="{C3380CC4-5D6E-409C-BE32-E72D297353CC}">
              <c16:uniqueId val="{00000002-E0DD-479D-8573-4A5A506FBA4B}"/>
            </c:ext>
          </c:extLst>
        </c:ser>
        <c:ser>
          <c:idx val="3"/>
          <c:order val="3"/>
          <c:tx>
            <c:strRef>
              <c:f>graf004!$D$12</c:f>
              <c:strCache>
                <c:ptCount val="1"/>
                <c:pt idx="0">
                  <c:v>30 tot 40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graf004!$E$12:$K$12</c:f>
              <c:numCache>
                <c:formatCode>0.0%</c:formatCode>
                <c:ptCount val="7"/>
                <c:pt idx="0">
                  <c:v>0.13527193644455698</c:v>
                </c:pt>
                <c:pt idx="1">
                  <c:v>0.13351432840155786</c:v>
                </c:pt>
                <c:pt idx="2">
                  <c:v>0.12175074421454371</c:v>
                </c:pt>
                <c:pt idx="3">
                  <c:v>0.1492784692428806</c:v>
                </c:pt>
                <c:pt idx="4">
                  <c:v>0.15827284121603155</c:v>
                </c:pt>
                <c:pt idx="5">
                  <c:v>0.16574352541454052</c:v>
                </c:pt>
                <c:pt idx="6">
                  <c:v>0.13155405412335416</c:v>
                </c:pt>
              </c:numCache>
            </c:numRef>
          </c:val>
          <c:smooth val="0"/>
          <c:extLst>
            <c:ext xmlns:c16="http://schemas.microsoft.com/office/drawing/2014/chart" uri="{C3380CC4-5D6E-409C-BE32-E72D297353CC}">
              <c16:uniqueId val="{00000003-E0DD-479D-8573-4A5A506FBA4B}"/>
            </c:ext>
          </c:extLst>
        </c:ser>
        <c:ser>
          <c:idx val="4"/>
          <c:order val="4"/>
          <c:tx>
            <c:strRef>
              <c:f>graf004!$D$13</c:f>
              <c:strCache>
                <c:ptCount val="1"/>
                <c:pt idx="0">
                  <c:v>40 tot 50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graf004!$E$13:$K$13</c:f>
              <c:numCache>
                <c:formatCode>0.0%</c:formatCode>
                <c:ptCount val="7"/>
                <c:pt idx="0">
                  <c:v>0.12280631066445805</c:v>
                </c:pt>
                <c:pt idx="1">
                  <c:v>0.11551726886342373</c:v>
                </c:pt>
                <c:pt idx="2">
                  <c:v>0.116333546103872</c:v>
                </c:pt>
                <c:pt idx="3">
                  <c:v>0.11158465955679273</c:v>
                </c:pt>
                <c:pt idx="4">
                  <c:v>0.13934938312208486</c:v>
                </c:pt>
                <c:pt idx="5">
                  <c:v>0.1480571988691341</c:v>
                </c:pt>
                <c:pt idx="6">
                  <c:v>0.15597820306245755</c:v>
                </c:pt>
              </c:numCache>
            </c:numRef>
          </c:val>
          <c:smooth val="0"/>
          <c:extLst>
            <c:ext xmlns:c16="http://schemas.microsoft.com/office/drawing/2014/chart" uri="{C3380CC4-5D6E-409C-BE32-E72D297353CC}">
              <c16:uniqueId val="{00000004-E0DD-479D-8573-4A5A506FBA4B}"/>
            </c:ext>
          </c:extLst>
        </c:ser>
        <c:ser>
          <c:idx val="5"/>
          <c:order val="5"/>
          <c:tx>
            <c:strRef>
              <c:f>graf004!$D$14</c:f>
              <c:strCache>
                <c:ptCount val="1"/>
                <c:pt idx="0">
                  <c:v>50 tot 60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graf004!$E$14:$K$14</c:f>
              <c:numCache>
                <c:formatCode>0.0%</c:formatCode>
                <c:ptCount val="7"/>
                <c:pt idx="0">
                  <c:v>9.5487950111167369E-2</c:v>
                </c:pt>
                <c:pt idx="1">
                  <c:v>0.10320248634216249</c:v>
                </c:pt>
                <c:pt idx="2">
                  <c:v>9.7572617689620653E-2</c:v>
                </c:pt>
                <c:pt idx="3">
                  <c:v>0.10273455125372809</c:v>
                </c:pt>
                <c:pt idx="4">
                  <c:v>0.10123401099098114</c:v>
                </c:pt>
                <c:pt idx="5">
                  <c:v>0.1263728138326205</c:v>
                </c:pt>
                <c:pt idx="6">
                  <c:v>0.13636274509744772</c:v>
                </c:pt>
              </c:numCache>
            </c:numRef>
          </c:val>
          <c:smooth val="0"/>
          <c:extLst>
            <c:ext xmlns:c16="http://schemas.microsoft.com/office/drawing/2014/chart" uri="{C3380CC4-5D6E-409C-BE32-E72D297353CC}">
              <c16:uniqueId val="{00000005-E0DD-479D-8573-4A5A506FBA4B}"/>
            </c:ext>
          </c:extLst>
        </c:ser>
        <c:ser>
          <c:idx val="6"/>
          <c:order val="6"/>
          <c:tx>
            <c:strRef>
              <c:f>graf004!$D$15</c:f>
              <c:strCache>
                <c:ptCount val="1"/>
                <c:pt idx="0">
                  <c:v>60 tot 70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graf004!$E$15:$K$15</c:f>
              <c:numCache>
                <c:formatCode>0.0%</c:formatCode>
                <c:ptCount val="7"/>
                <c:pt idx="0">
                  <c:v>6.7249054107438158E-2</c:v>
                </c:pt>
                <c:pt idx="1">
                  <c:v>7.4680391624816267E-2</c:v>
                </c:pt>
                <c:pt idx="2">
                  <c:v>8.0371311986976626E-2</c:v>
                </c:pt>
                <c:pt idx="3">
                  <c:v>7.9669922973605728E-2</c:v>
                </c:pt>
                <c:pt idx="4">
                  <c:v>8.7209235958807391E-2</c:v>
                </c:pt>
                <c:pt idx="5">
                  <c:v>8.6228965673744565E-2</c:v>
                </c:pt>
                <c:pt idx="6">
                  <c:v>0.11136996832999406</c:v>
                </c:pt>
              </c:numCache>
            </c:numRef>
          </c:val>
          <c:smooth val="0"/>
          <c:extLst>
            <c:ext xmlns:c16="http://schemas.microsoft.com/office/drawing/2014/chart" uri="{C3380CC4-5D6E-409C-BE32-E72D297353CC}">
              <c16:uniqueId val="{00000006-E0DD-479D-8573-4A5A506FBA4B}"/>
            </c:ext>
          </c:extLst>
        </c:ser>
        <c:ser>
          <c:idx val="7"/>
          <c:order val="7"/>
          <c:tx>
            <c:strRef>
              <c:f>graf004!$D$16</c:f>
              <c:strCache>
                <c:ptCount val="1"/>
                <c:pt idx="0">
                  <c:v>70 tot 80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graf004!$E$16:$K$16</c:f>
              <c:numCache>
                <c:formatCode>0.0%</c:formatCode>
                <c:ptCount val="7"/>
                <c:pt idx="0">
                  <c:v>3.6923943525997843E-2</c:v>
                </c:pt>
                <c:pt idx="1">
                  <c:v>4.2322786197101336E-2</c:v>
                </c:pt>
                <c:pt idx="2">
                  <c:v>4.7444974660086139E-2</c:v>
                </c:pt>
                <c:pt idx="3">
                  <c:v>5.4159906448180382E-2</c:v>
                </c:pt>
                <c:pt idx="4">
                  <c:v>5.6998205951503081E-2</c:v>
                </c:pt>
                <c:pt idx="5">
                  <c:v>6.3516526464089965E-2</c:v>
                </c:pt>
                <c:pt idx="6">
                  <c:v>6.7232925463781609E-2</c:v>
                </c:pt>
              </c:numCache>
            </c:numRef>
          </c:val>
          <c:smooth val="0"/>
          <c:extLst>
            <c:ext xmlns:c16="http://schemas.microsoft.com/office/drawing/2014/chart" uri="{C3380CC4-5D6E-409C-BE32-E72D297353CC}">
              <c16:uniqueId val="{00000007-E0DD-479D-8573-4A5A506FBA4B}"/>
            </c:ext>
          </c:extLst>
        </c:ser>
        <c:ser>
          <c:idx val="8"/>
          <c:order val="8"/>
          <c:tx>
            <c:strRef>
              <c:f>graf004!$D$17</c:f>
              <c:strCache>
                <c:ptCount val="1"/>
                <c:pt idx="0">
                  <c:v>80 jaar of ouder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graf004!$E$17:$K$17</c:f>
              <c:numCache>
                <c:formatCode>0.0%</c:formatCode>
                <c:ptCount val="7"/>
                <c:pt idx="0">
                  <c:v>9.9333055610214775E-3</c:v>
                </c:pt>
                <c:pt idx="1">
                  <c:v>1.3523304290155934E-2</c:v>
                </c:pt>
                <c:pt idx="2">
                  <c:v>1.7112940716509612E-2</c:v>
                </c:pt>
                <c:pt idx="3">
                  <c:v>2.2133041667547843E-2</c:v>
                </c:pt>
                <c:pt idx="4">
                  <c:v>2.872001844677757E-2</c:v>
                </c:pt>
                <c:pt idx="5">
                  <c:v>3.1539370711581922E-2</c:v>
                </c:pt>
                <c:pt idx="6">
                  <c:v>3.9094686578675861E-2</c:v>
                </c:pt>
              </c:numCache>
            </c:numRef>
          </c:val>
          <c:smooth val="0"/>
          <c:extLst>
            <c:ext xmlns:c16="http://schemas.microsoft.com/office/drawing/2014/chart" uri="{C3380CC4-5D6E-409C-BE32-E72D297353CC}">
              <c16:uniqueId val="{00000008-E0DD-479D-8573-4A5A506FBA4B}"/>
            </c:ext>
          </c:extLst>
        </c:ser>
        <c:dLbls>
          <c:showLegendKey val="0"/>
          <c:showVal val="0"/>
          <c:showCatName val="0"/>
          <c:showSerName val="0"/>
          <c:showPercent val="0"/>
          <c:showBubbleSize val="0"/>
        </c:dLbls>
        <c:marker val="1"/>
        <c:smooth val="0"/>
        <c:axId val="151221760"/>
        <c:axId val="151223296"/>
      </c:lineChart>
      <c:catAx>
        <c:axId val="151221760"/>
        <c:scaling>
          <c:orientation val="minMax"/>
        </c:scaling>
        <c:delete val="0"/>
        <c:axPos val="b"/>
        <c:numFmt formatCode="General" sourceLinked="0"/>
        <c:majorTickMark val="out"/>
        <c:minorTickMark val="none"/>
        <c:tickLblPos val="nextTo"/>
        <c:crossAx val="151223296"/>
        <c:crosses val="autoZero"/>
        <c:auto val="1"/>
        <c:lblAlgn val="ctr"/>
        <c:lblOffset val="100"/>
        <c:noMultiLvlLbl val="0"/>
      </c:catAx>
      <c:valAx>
        <c:axId val="151223296"/>
        <c:scaling>
          <c:orientation val="minMax"/>
        </c:scaling>
        <c:delete val="0"/>
        <c:axPos val="l"/>
        <c:majorGridlines/>
        <c:numFmt formatCode="0%" sourceLinked="0"/>
        <c:majorTickMark val="out"/>
        <c:minorTickMark val="none"/>
        <c:tickLblPos val="nextTo"/>
        <c:crossAx val="151221760"/>
        <c:crosses val="autoZero"/>
        <c:crossBetween val="between"/>
      </c:valAx>
    </c:plotArea>
    <c:legend>
      <c:legendPos val="r"/>
      <c:overlay val="0"/>
    </c:legend>
    <c:plotVisOnly val="1"/>
    <c:dispBlanksAs val="gap"/>
    <c:showDLblsOverMax val="0"/>
  </c:chart>
  <c:printSettings>
    <c:headerFooter/>
    <c:pageMargins b="0.75000000000000711" l="0.70000000000000062" r="0.70000000000000062" t="0.75000000000000711" header="0.30000000000000032" footer="0.30000000000000032"/>
    <c:pageSetup/>
  </c:printSettings>
  <c:userShapes r:id="rId1"/>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400"/>
              <a:t>Kostprijs - Productietijd</a:t>
            </a:r>
          </a:p>
        </c:rich>
      </c:tx>
      <c:layout>
        <c:manualLayout>
          <c:xMode val="edge"/>
          <c:yMode val="edge"/>
          <c:x val="5.2340332458442912E-2"/>
          <c:y val="5.5555555555555455E-2"/>
        </c:manualLayout>
      </c:layout>
      <c:overlay val="0"/>
    </c:title>
    <c:autoTitleDeleted val="0"/>
    <c:plotArea>
      <c:layout/>
      <c:scatterChart>
        <c:scatterStyle val="lineMarker"/>
        <c:varyColors val="0"/>
        <c:ser>
          <c:idx val="0"/>
          <c:order val="0"/>
          <c:tx>
            <c:v>meetwaarden</c:v>
          </c:tx>
          <c:spPr>
            <a:ln w="28575">
              <a:noFill/>
            </a:ln>
          </c:spPr>
          <c:marker>
            <c:spPr>
              <a:solidFill>
                <a:schemeClr val="tx1"/>
              </a:solidFill>
            </c:spPr>
          </c:marker>
          <c:trendline>
            <c:trendlineType val="linear"/>
            <c:dispRSqr val="0"/>
            <c:dispEq val="1"/>
            <c:trendlineLbl>
              <c:layout>
                <c:manualLayout>
                  <c:x val="-0.4760485564304463"/>
                  <c:y val="4.0391513560804886E-2"/>
                </c:manualLayout>
              </c:layout>
              <c:numFmt formatCode="General" sourceLinked="0"/>
            </c:trendlineLbl>
          </c:trendline>
          <c:trendline>
            <c:trendlineType val="linear"/>
            <c:dispRSqr val="0"/>
            <c:dispEq val="0"/>
          </c:trendline>
          <c:xVal>
            <c:numRef>
              <c:f>graf005!$D$9:$D$18</c:f>
              <c:numCache>
                <c:formatCode>General</c:formatCode>
                <c:ptCount val="10"/>
                <c:pt idx="0">
                  <c:v>62</c:v>
                </c:pt>
                <c:pt idx="1">
                  <c:v>66</c:v>
                </c:pt>
                <c:pt idx="2">
                  <c:v>67</c:v>
                </c:pt>
                <c:pt idx="3">
                  <c:v>68</c:v>
                </c:pt>
                <c:pt idx="4">
                  <c:v>71</c:v>
                </c:pt>
                <c:pt idx="5">
                  <c:v>74</c:v>
                </c:pt>
                <c:pt idx="6">
                  <c:v>75</c:v>
                </c:pt>
                <c:pt idx="7">
                  <c:v>76</c:v>
                </c:pt>
                <c:pt idx="8">
                  <c:v>79</c:v>
                </c:pt>
                <c:pt idx="9">
                  <c:v>82</c:v>
                </c:pt>
              </c:numCache>
            </c:numRef>
          </c:xVal>
          <c:yVal>
            <c:numRef>
              <c:f>graf005!$E$9:$E$18</c:f>
              <c:numCache>
                <c:formatCode>_("€"* #,##0.00_);_("€"* \(#,##0.00\);_("€"* "-"??_);_(@_)</c:formatCode>
                <c:ptCount val="10"/>
                <c:pt idx="0">
                  <c:v>7.1</c:v>
                </c:pt>
                <c:pt idx="1">
                  <c:v>8.3000000000000007</c:v>
                </c:pt>
                <c:pt idx="2">
                  <c:v>8.1</c:v>
                </c:pt>
                <c:pt idx="3">
                  <c:v>9.6</c:v>
                </c:pt>
                <c:pt idx="4">
                  <c:v>10.3</c:v>
                </c:pt>
                <c:pt idx="5">
                  <c:v>10.7</c:v>
                </c:pt>
                <c:pt idx="6">
                  <c:v>12.4</c:v>
                </c:pt>
                <c:pt idx="7">
                  <c:v>11.1</c:v>
                </c:pt>
                <c:pt idx="8">
                  <c:v>13.1</c:v>
                </c:pt>
                <c:pt idx="9">
                  <c:v>12.6</c:v>
                </c:pt>
              </c:numCache>
            </c:numRef>
          </c:yVal>
          <c:smooth val="0"/>
          <c:extLst>
            <c:ext xmlns:c16="http://schemas.microsoft.com/office/drawing/2014/chart" uri="{C3380CC4-5D6E-409C-BE32-E72D297353CC}">
              <c16:uniqueId val="{00000002-94E5-4AFD-958F-A59E99BDF112}"/>
            </c:ext>
          </c:extLst>
        </c:ser>
        <c:dLbls>
          <c:showLegendKey val="0"/>
          <c:showVal val="0"/>
          <c:showCatName val="0"/>
          <c:showSerName val="0"/>
          <c:showPercent val="0"/>
          <c:showBubbleSize val="0"/>
        </c:dLbls>
        <c:axId val="151340160"/>
        <c:axId val="151342080"/>
      </c:scatterChart>
      <c:valAx>
        <c:axId val="151340160"/>
        <c:scaling>
          <c:orientation val="minMax"/>
          <c:max val="82"/>
          <c:min val="62"/>
        </c:scaling>
        <c:delete val="0"/>
        <c:axPos val="b"/>
        <c:title>
          <c:tx>
            <c:rich>
              <a:bodyPr/>
              <a:lstStyle/>
              <a:p>
                <a:pPr>
                  <a:defRPr/>
                </a:pPr>
                <a:r>
                  <a:rPr lang="nl-NL"/>
                  <a:t>Productietietijd</a:t>
                </a:r>
                <a:r>
                  <a:rPr lang="nl-NL" baseline="0"/>
                  <a:t> (min)</a:t>
                </a:r>
                <a:endParaRPr lang="nl-NL"/>
              </a:p>
            </c:rich>
          </c:tx>
          <c:overlay val="0"/>
        </c:title>
        <c:numFmt formatCode="#,##0" sourceLinked="0"/>
        <c:majorTickMark val="out"/>
        <c:minorTickMark val="none"/>
        <c:tickLblPos val="nextTo"/>
        <c:crossAx val="151342080"/>
        <c:crosses val="autoZero"/>
        <c:crossBetween val="midCat"/>
        <c:majorUnit val="5"/>
        <c:minorUnit val="1"/>
      </c:valAx>
      <c:valAx>
        <c:axId val="151342080"/>
        <c:scaling>
          <c:orientation val="minMax"/>
          <c:max val="14"/>
          <c:min val="5"/>
        </c:scaling>
        <c:delete val="0"/>
        <c:axPos val="l"/>
        <c:majorGridlines>
          <c:spPr>
            <a:ln>
              <a:solidFill>
                <a:schemeClr val="accent1"/>
              </a:solidFill>
              <a:prstDash val="sysDash"/>
            </a:ln>
          </c:spPr>
        </c:majorGridlines>
        <c:title>
          <c:tx>
            <c:rich>
              <a:bodyPr rot="-5400000" vert="horz"/>
              <a:lstStyle/>
              <a:p>
                <a:pPr>
                  <a:defRPr/>
                </a:pPr>
                <a:r>
                  <a:rPr lang="nl-NL"/>
                  <a:t>Kostprijs</a:t>
                </a:r>
              </a:p>
            </c:rich>
          </c:tx>
          <c:overlay val="0"/>
        </c:title>
        <c:numFmt formatCode="_(&quot;€&quot;* #,##0.00_);_(&quot;€&quot;* \(#,##0.00\);_(&quot;€&quot;* &quot;-&quot;??_);_(@_)" sourceLinked="1"/>
        <c:majorTickMark val="out"/>
        <c:minorTickMark val="none"/>
        <c:tickLblPos val="nextTo"/>
        <c:crossAx val="151340160"/>
        <c:crosses val="autoZero"/>
        <c:crossBetween val="midCat"/>
        <c:majorUnit val="1"/>
      </c:valAx>
    </c:plotArea>
    <c:legend>
      <c:legendPos val="t"/>
      <c:layout>
        <c:manualLayout>
          <c:xMode val="edge"/>
          <c:yMode val="edge"/>
          <c:x val="0.72837576552930883"/>
          <c:y val="7.9120370370370383E-2"/>
          <c:w val="0.27162423447069117"/>
          <c:h val="8.3717191601050026E-2"/>
        </c:manualLayout>
      </c:layout>
      <c:overlay val="0"/>
    </c:legend>
    <c:plotVisOnly val="1"/>
    <c:dispBlanksAs val="gap"/>
    <c:showDLblsOverMax val="0"/>
  </c:chart>
  <c:printSettings>
    <c:headerFooter/>
    <c:pageMargins b="0.75000000000000699" l="0.70000000000000062" r="0.70000000000000062" t="0.75000000000000699" header="0.30000000000000032" footer="0.30000000000000032"/>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baseline="0"/>
              <a:t>Aantal vliegenzwammen per ha.</a:t>
            </a:r>
            <a:endParaRPr lang="en-US"/>
          </a:p>
        </c:rich>
      </c:tx>
      <c:overlay val="0"/>
    </c:title>
    <c:autoTitleDeleted val="0"/>
    <c:plotArea>
      <c:layout>
        <c:manualLayout>
          <c:layoutTarget val="inner"/>
          <c:xMode val="edge"/>
          <c:yMode val="edge"/>
          <c:x val="0.25524431321084984"/>
          <c:y val="0.23580052493438317"/>
          <c:w val="0.43951159230096415"/>
          <c:h val="0.71990777194517364"/>
        </c:manualLayout>
      </c:layout>
      <c:radarChart>
        <c:radarStyle val="marker"/>
        <c:varyColors val="0"/>
        <c:ser>
          <c:idx val="0"/>
          <c:order val="0"/>
          <c:tx>
            <c:strRef>
              <c:f>graf006!$E$8</c:f>
              <c:strCache>
                <c:ptCount val="1"/>
                <c:pt idx="0">
                  <c:v>Aantal
(per ha)</c:v>
                </c:pt>
              </c:strCache>
            </c:strRef>
          </c:tx>
          <c:marker>
            <c:symbol val="none"/>
          </c:marker>
          <c:cat>
            <c:strRef>
              <c:f>graf006!$D$9:$D$19</c:f>
              <c:strCache>
                <c:ptCount val="11"/>
                <c:pt idx="0">
                  <c:v>1985</c:v>
                </c:pt>
                <c:pt idx="1">
                  <c:v>1986</c:v>
                </c:pt>
                <c:pt idx="2">
                  <c:v>1987</c:v>
                </c:pt>
                <c:pt idx="3">
                  <c:v>1988</c:v>
                </c:pt>
                <c:pt idx="4">
                  <c:v>1989</c:v>
                </c:pt>
                <c:pt idx="5">
                  <c:v>1990</c:v>
                </c:pt>
                <c:pt idx="6">
                  <c:v>1991</c:v>
                </c:pt>
                <c:pt idx="7">
                  <c:v>1992</c:v>
                </c:pt>
                <c:pt idx="8">
                  <c:v>1993</c:v>
                </c:pt>
                <c:pt idx="9">
                  <c:v>1994</c:v>
                </c:pt>
                <c:pt idx="10">
                  <c:v>1995</c:v>
                </c:pt>
              </c:strCache>
            </c:strRef>
          </c:cat>
          <c:val>
            <c:numRef>
              <c:f>graf006!$E$9:$E$19</c:f>
              <c:numCache>
                <c:formatCode>_ * #,##0_ ;_ * \-#,##0_ ;_ * "-"??_ ;_ @_ </c:formatCode>
                <c:ptCount val="11"/>
                <c:pt idx="0">
                  <c:v>10</c:v>
                </c:pt>
                <c:pt idx="1">
                  <c:v>9</c:v>
                </c:pt>
                <c:pt idx="2">
                  <c:v>15</c:v>
                </c:pt>
                <c:pt idx="3">
                  <c:v>12</c:v>
                </c:pt>
                <c:pt idx="4">
                  <c:v>18</c:v>
                </c:pt>
                <c:pt idx="5">
                  <c:v>10</c:v>
                </c:pt>
                <c:pt idx="6">
                  <c:v>19</c:v>
                </c:pt>
                <c:pt idx="7">
                  <c:v>33</c:v>
                </c:pt>
                <c:pt idx="8">
                  <c:v>39</c:v>
                </c:pt>
                <c:pt idx="9">
                  <c:v>15</c:v>
                </c:pt>
                <c:pt idx="10">
                  <c:v>10</c:v>
                </c:pt>
              </c:numCache>
            </c:numRef>
          </c:val>
          <c:extLst>
            <c:ext xmlns:c16="http://schemas.microsoft.com/office/drawing/2014/chart" uri="{C3380CC4-5D6E-409C-BE32-E72D297353CC}">
              <c16:uniqueId val="{00000000-FED4-4702-914D-20E589D2AF43}"/>
            </c:ext>
          </c:extLst>
        </c:ser>
        <c:dLbls>
          <c:showLegendKey val="0"/>
          <c:showVal val="0"/>
          <c:showCatName val="0"/>
          <c:showSerName val="0"/>
          <c:showPercent val="0"/>
          <c:showBubbleSize val="0"/>
        </c:dLbls>
        <c:axId val="151446272"/>
        <c:axId val="151447808"/>
      </c:radarChart>
      <c:catAx>
        <c:axId val="151446272"/>
        <c:scaling>
          <c:orientation val="minMax"/>
        </c:scaling>
        <c:delete val="0"/>
        <c:axPos val="b"/>
        <c:majorGridlines/>
        <c:numFmt formatCode="General" sourceLinked="0"/>
        <c:majorTickMark val="out"/>
        <c:minorTickMark val="none"/>
        <c:tickLblPos val="nextTo"/>
        <c:crossAx val="151447808"/>
        <c:crosses val="autoZero"/>
        <c:auto val="1"/>
        <c:lblAlgn val="ctr"/>
        <c:lblOffset val="100"/>
        <c:noMultiLvlLbl val="0"/>
      </c:catAx>
      <c:valAx>
        <c:axId val="151447808"/>
        <c:scaling>
          <c:orientation val="minMax"/>
        </c:scaling>
        <c:delete val="0"/>
        <c:axPos val="l"/>
        <c:majorGridlines/>
        <c:numFmt formatCode="_ * #,##0_ ;_ * \-#,##0_ ;_ * &quot;-&quot;??_ ;_ @_ " sourceLinked="1"/>
        <c:majorTickMark val="cross"/>
        <c:minorTickMark val="none"/>
        <c:tickLblPos val="nextTo"/>
        <c:crossAx val="151446272"/>
        <c:crosses val="autoZero"/>
        <c:crossBetween val="between"/>
      </c:valAx>
    </c:plotArea>
    <c:plotVisOnly val="1"/>
    <c:dispBlanksAs val="gap"/>
    <c:showDLblsOverMax val="0"/>
  </c:chart>
  <c:printSettings>
    <c:headerFooter/>
    <c:pageMargins b="0.75000000000000222" l="0.70000000000000062" r="0.70000000000000062" t="0.75000000000000222" header="0.30000000000000032" footer="0.30000000000000032"/>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143937732554829"/>
          <c:y val="0.192983117403774"/>
          <c:w val="0.81885955293739165"/>
          <c:h val="0.7298270621815558"/>
        </c:manualLayout>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trendline>
            <c:spPr>
              <a:ln w="25400">
                <a:solidFill>
                  <a:srgbClr val="000000"/>
                </a:solidFill>
                <a:prstDash val="solid"/>
              </a:ln>
            </c:spPr>
            <c:trendlineType val="poly"/>
            <c:order val="3"/>
            <c:dispRSqr val="0"/>
            <c:dispEq val="1"/>
            <c:trendlineLbl>
              <c:numFmt formatCode="General" sourceLinked="0"/>
              <c:spPr>
                <a:noFill/>
                <a:ln w="25400">
                  <a:noFill/>
                </a:ln>
              </c:spPr>
              <c:txPr>
                <a:bodyPr/>
                <a:lstStyle/>
                <a:p>
                  <a:pPr>
                    <a:defRPr sz="900" b="0" i="0" u="none" strike="noStrike" baseline="0">
                      <a:solidFill>
                        <a:srgbClr val="000000"/>
                      </a:solidFill>
                      <a:latin typeface="Arial"/>
                      <a:ea typeface="Arial"/>
                      <a:cs typeface="Arial"/>
                    </a:defRPr>
                  </a:pPr>
                  <a:endParaRPr lang="nl-NL"/>
                </a:p>
              </c:txPr>
            </c:trendlineLbl>
          </c:trendline>
          <c:xVal>
            <c:numRef>
              <c:f>math001!$C$9:$C$54</c:f>
              <c:numCache>
                <c:formatCode>0.00</c:formatCode>
                <c:ptCount val="46"/>
                <c:pt idx="0">
                  <c:v>0.1</c:v>
                </c:pt>
                <c:pt idx="1">
                  <c:v>0.12000000000000001</c:v>
                </c:pt>
                <c:pt idx="2">
                  <c:v>0.14000000000000001</c:v>
                </c:pt>
                <c:pt idx="3">
                  <c:v>0.16</c:v>
                </c:pt>
                <c:pt idx="4">
                  <c:v>0.18</c:v>
                </c:pt>
                <c:pt idx="5">
                  <c:v>0.19999999999999998</c:v>
                </c:pt>
                <c:pt idx="6">
                  <c:v>0.21999999999999997</c:v>
                </c:pt>
                <c:pt idx="7">
                  <c:v>0.23999999999999996</c:v>
                </c:pt>
                <c:pt idx="8">
                  <c:v>0.25999999999999995</c:v>
                </c:pt>
                <c:pt idx="9">
                  <c:v>0.27999999999999997</c:v>
                </c:pt>
                <c:pt idx="10">
                  <c:v>0.3</c:v>
                </c:pt>
                <c:pt idx="11">
                  <c:v>0.32</c:v>
                </c:pt>
                <c:pt idx="12">
                  <c:v>0.34</c:v>
                </c:pt>
                <c:pt idx="13">
                  <c:v>0.36000000000000004</c:v>
                </c:pt>
                <c:pt idx="14">
                  <c:v>0.38000000000000006</c:v>
                </c:pt>
                <c:pt idx="15">
                  <c:v>0.40000000000000008</c:v>
                </c:pt>
                <c:pt idx="16">
                  <c:v>0.4200000000000001</c:v>
                </c:pt>
                <c:pt idx="17">
                  <c:v>0.44000000000000011</c:v>
                </c:pt>
                <c:pt idx="18">
                  <c:v>0.46000000000000013</c:v>
                </c:pt>
                <c:pt idx="19">
                  <c:v>0.48000000000000015</c:v>
                </c:pt>
                <c:pt idx="20">
                  <c:v>0.50000000000000011</c:v>
                </c:pt>
                <c:pt idx="21">
                  <c:v>0.52000000000000013</c:v>
                </c:pt>
                <c:pt idx="22">
                  <c:v>0.54000000000000015</c:v>
                </c:pt>
                <c:pt idx="23">
                  <c:v>0.56000000000000016</c:v>
                </c:pt>
                <c:pt idx="24">
                  <c:v>0.58000000000000018</c:v>
                </c:pt>
                <c:pt idx="25">
                  <c:v>0.6000000000000002</c:v>
                </c:pt>
                <c:pt idx="26">
                  <c:v>0.62000000000000022</c:v>
                </c:pt>
                <c:pt idx="27">
                  <c:v>0.64000000000000024</c:v>
                </c:pt>
                <c:pt idx="28">
                  <c:v>0.66000000000000025</c:v>
                </c:pt>
                <c:pt idx="29">
                  <c:v>0.68000000000000027</c:v>
                </c:pt>
                <c:pt idx="30">
                  <c:v>0.70000000000000029</c:v>
                </c:pt>
                <c:pt idx="31">
                  <c:v>0.72000000000000031</c:v>
                </c:pt>
                <c:pt idx="32">
                  <c:v>0.74000000000000032</c:v>
                </c:pt>
                <c:pt idx="33">
                  <c:v>0.76000000000000034</c:v>
                </c:pt>
                <c:pt idx="34">
                  <c:v>0.78000000000000036</c:v>
                </c:pt>
                <c:pt idx="35">
                  <c:v>0.80000000000000038</c:v>
                </c:pt>
                <c:pt idx="36">
                  <c:v>0.8200000000000004</c:v>
                </c:pt>
                <c:pt idx="37">
                  <c:v>0.84000000000000041</c:v>
                </c:pt>
                <c:pt idx="38">
                  <c:v>0.86000000000000043</c:v>
                </c:pt>
                <c:pt idx="39">
                  <c:v>0.88000000000000045</c:v>
                </c:pt>
                <c:pt idx="40">
                  <c:v>0.90000000000000047</c:v>
                </c:pt>
                <c:pt idx="41">
                  <c:v>0.92000000000000048</c:v>
                </c:pt>
                <c:pt idx="42">
                  <c:v>0.9400000000000005</c:v>
                </c:pt>
                <c:pt idx="43">
                  <c:v>0.96000000000000052</c:v>
                </c:pt>
                <c:pt idx="44">
                  <c:v>0.98000000000000054</c:v>
                </c:pt>
                <c:pt idx="45">
                  <c:v>1.0000000000000004</c:v>
                </c:pt>
              </c:numCache>
            </c:numRef>
          </c:xVal>
          <c:yVal>
            <c:numRef>
              <c:f>math001!$D$9:$D$54</c:f>
              <c:numCache>
                <c:formatCode>0.00000</c:formatCode>
                <c:ptCount val="46"/>
                <c:pt idx="0">
                  <c:v>-0.16658335317185077</c:v>
                </c:pt>
                <c:pt idx="1">
                  <c:v>-0.16654670780129269</c:v>
                </c:pt>
                <c:pt idx="2">
                  <c:v>-0.16650340953481044</c:v>
                </c:pt>
                <c:pt idx="3">
                  <c:v>-0.16645346331885397</c:v>
                </c:pt>
                <c:pt idx="4">
                  <c:v>-0.16639687485867877</c:v>
                </c:pt>
                <c:pt idx="5">
                  <c:v>-0.16633365061734937</c:v>
                </c:pt>
                <c:pt idx="6">
                  <c:v>-0.16626379781467684</c:v>
                </c:pt>
                <c:pt idx="7">
                  <c:v>-0.16618732442602821</c:v>
                </c:pt>
                <c:pt idx="8">
                  <c:v>-0.1661042391809793</c:v>
                </c:pt>
                <c:pt idx="9">
                  <c:v>-0.16601455156187422</c:v>
                </c:pt>
                <c:pt idx="10">
                  <c:v>-0.16591827180223861</c:v>
                </c:pt>
                <c:pt idx="11">
                  <c:v>-0.1658154108850782</c:v>
                </c:pt>
                <c:pt idx="12">
                  <c:v>-0.1657059805410549</c:v>
                </c:pt>
                <c:pt idx="13">
                  <c:v>-0.16558999324652868</c:v>
                </c:pt>
                <c:pt idx="14">
                  <c:v>-0.16546746222148492</c:v>
                </c:pt>
                <c:pt idx="15">
                  <c:v>-0.16533840142733586</c:v>
                </c:pt>
                <c:pt idx="16">
                  <c:v>-0.16520282556459651</c:v>
                </c:pt>
                <c:pt idx="17">
                  <c:v>-0.16506075007044022</c:v>
                </c:pt>
                <c:pt idx="18">
                  <c:v>-0.16491219111613609</c:v>
                </c:pt>
                <c:pt idx="19">
                  <c:v>-0.16475716560435766</c:v>
                </c:pt>
                <c:pt idx="20">
                  <c:v>-0.16459569116637585</c:v>
                </c:pt>
                <c:pt idx="21">
                  <c:v>-0.16442778615913256</c:v>
                </c:pt>
                <c:pt idx="22">
                  <c:v>-0.16425346966218907</c:v>
                </c:pt>
                <c:pt idx="23">
                  <c:v>-0.16407276147456173</c:v>
                </c:pt>
                <c:pt idx="24">
                  <c:v>-0.16388568211143592</c:v>
                </c:pt>
                <c:pt idx="25">
                  <c:v>-0.16369225280076241</c:v>
                </c:pt>
                <c:pt idx="26">
                  <c:v>-0.16349249547973746</c:v>
                </c:pt>
                <c:pt idx="27">
                  <c:v>-0.16328643279116811</c:v>
                </c:pt>
                <c:pt idx="28">
                  <c:v>-0.16307408807971654</c:v>
                </c:pt>
                <c:pt idx="29">
                  <c:v>-0.16285548538803782</c:v>
                </c:pt>
                <c:pt idx="30">
                  <c:v>-0.16263064945279587</c:v>
                </c:pt>
                <c:pt idx="31">
                  <c:v>-0.16239960570057119</c:v>
                </c:pt>
                <c:pt idx="32">
                  <c:v>-0.16216238024365526</c:v>
                </c:pt>
                <c:pt idx="33">
                  <c:v>-0.16191899987573058</c:v>
                </c:pt>
                <c:pt idx="34">
                  <c:v>-0.16166949206744416</c:v>
                </c:pt>
                <c:pt idx="35">
                  <c:v>-0.16141388496186965</c:v>
                </c:pt>
                <c:pt idx="36">
                  <c:v>-0.1611522073698585</c:v>
                </c:pt>
                <c:pt idx="37">
                  <c:v>-0.16088448876528694</c:v>
                </c:pt>
                <c:pt idx="38">
                  <c:v>-0.16061075928019386</c:v>
                </c:pt>
                <c:pt idx="39">
                  <c:v>-0.16033104969981271</c:v>
                </c:pt>
                <c:pt idx="40">
                  <c:v>-0.16004539145749885</c:v>
                </c:pt>
                <c:pt idx="41">
                  <c:v>-0.15975381662955371</c:v>
                </c:pt>
                <c:pt idx="42">
                  <c:v>-0.15945635792994536</c:v>
                </c:pt>
                <c:pt idx="43">
                  <c:v>-0.15915304870492633</c:v>
                </c:pt>
                <c:pt idx="44">
                  <c:v>-0.15884392292755303</c:v>
                </c:pt>
                <c:pt idx="45">
                  <c:v>-0.1585290151921035</c:v>
                </c:pt>
              </c:numCache>
            </c:numRef>
          </c:yVal>
          <c:smooth val="0"/>
          <c:extLst>
            <c:ext xmlns:c16="http://schemas.microsoft.com/office/drawing/2014/chart" uri="{C3380CC4-5D6E-409C-BE32-E72D297353CC}">
              <c16:uniqueId val="{00000001-CDC2-40DF-A067-D79125E8B56C}"/>
            </c:ext>
          </c:extLst>
        </c:ser>
        <c:dLbls>
          <c:showLegendKey val="0"/>
          <c:showVal val="0"/>
          <c:showCatName val="0"/>
          <c:showSerName val="0"/>
          <c:showPercent val="0"/>
          <c:showBubbleSize val="0"/>
        </c:dLbls>
        <c:axId val="150873216"/>
        <c:axId val="150875136"/>
      </c:scatterChart>
      <c:valAx>
        <c:axId val="150873216"/>
        <c:scaling>
          <c:orientation val="minMax"/>
        </c:scaling>
        <c:delete val="0"/>
        <c:axPos val="b"/>
        <c:title>
          <c:tx>
            <c:rich>
              <a:bodyPr/>
              <a:lstStyle/>
              <a:p>
                <a:pPr>
                  <a:defRPr sz="950" b="1" i="0" u="none" strike="noStrike" baseline="0">
                    <a:solidFill>
                      <a:srgbClr val="000000"/>
                    </a:solidFill>
                    <a:latin typeface="Arial"/>
                    <a:ea typeface="Arial"/>
                    <a:cs typeface="Arial"/>
                  </a:defRPr>
                </a:pPr>
                <a:r>
                  <a:rPr lang="nl-NL"/>
                  <a:t>x</a:t>
                </a:r>
              </a:p>
            </c:rich>
          </c:tx>
          <c:layout>
            <c:manualLayout>
              <c:xMode val="edge"/>
              <c:yMode val="edge"/>
              <c:x val="0.4764273200341273"/>
              <c:y val="2.1052631578947382E-2"/>
            </c:manualLayout>
          </c:layout>
          <c:overlay val="0"/>
          <c:spPr>
            <a:noFill/>
            <a:ln w="25400">
              <a:noFill/>
            </a:ln>
          </c:spPr>
        </c:title>
        <c:numFmt formatCode="0.00" sourceLinked="1"/>
        <c:majorTickMark val="in"/>
        <c:minorTickMark val="none"/>
        <c:tickLblPos val="high"/>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nl-NL"/>
          </a:p>
        </c:txPr>
        <c:crossAx val="150875136"/>
        <c:crosses val="autoZero"/>
        <c:crossBetween val="midCat"/>
      </c:valAx>
      <c:valAx>
        <c:axId val="150875136"/>
        <c:scaling>
          <c:orientation val="minMax"/>
        </c:scaling>
        <c:delete val="0"/>
        <c:axPos val="l"/>
        <c:title>
          <c:tx>
            <c:rich>
              <a:bodyPr rot="0" vert="horz"/>
              <a:lstStyle/>
              <a:p>
                <a:pPr algn="ctr">
                  <a:defRPr sz="950" b="1" i="0" u="none" strike="noStrike" baseline="0">
                    <a:solidFill>
                      <a:srgbClr val="000000"/>
                    </a:solidFill>
                    <a:latin typeface="Arial"/>
                    <a:ea typeface="Arial"/>
                    <a:cs typeface="Arial"/>
                  </a:defRPr>
                </a:pPr>
                <a:r>
                  <a:rPr lang="nl-NL"/>
                  <a:t>y</a:t>
                </a:r>
              </a:p>
            </c:rich>
          </c:tx>
          <c:layout>
            <c:manualLayout>
              <c:xMode val="edge"/>
              <c:yMode val="edge"/>
              <c:x val="1.2406947890818859E-2"/>
              <c:y val="0.51930008748906387"/>
            </c:manualLayout>
          </c:layout>
          <c:overlay val="0"/>
          <c:spPr>
            <a:noFill/>
            <a:ln w="25400">
              <a:noFill/>
            </a:ln>
          </c:spPr>
        </c:title>
        <c:numFmt formatCode="0.000" sourceLinked="0"/>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nl-NL"/>
          </a:p>
        </c:txPr>
        <c:crossAx val="150873216"/>
        <c:crosses val="autoZero"/>
        <c:crossBetween val="midCat"/>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075" b="0" i="0" u="none" strike="noStrike" baseline="0">
          <a:solidFill>
            <a:srgbClr val="000000"/>
          </a:solidFill>
          <a:latin typeface="Arial"/>
          <a:ea typeface="Arial"/>
          <a:cs typeface="Arial"/>
        </a:defRPr>
      </a:pPr>
      <a:endParaRPr lang="nl-NL"/>
    </a:p>
  </c:txPr>
  <c:printSettings>
    <c:headerFooter alignWithMargins="0"/>
    <c:pageMargins b="1" l="0.75000000000000855" r="0.75000000000000855" t="1" header="0.5" footer="0.5"/>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strRef>
              <c:f>math002!$D$8</c:f>
              <c:strCache>
                <c:ptCount val="1"/>
                <c:pt idx="0">
                  <c:v>y=x2+4</c:v>
                </c:pt>
              </c:strCache>
            </c:strRef>
          </c:tx>
          <c:spPr>
            <a:ln>
              <a:solidFill>
                <a:schemeClr val="tx1"/>
              </a:solidFill>
            </a:ln>
          </c:spPr>
          <c:marker>
            <c:symbol val="none"/>
          </c:marker>
          <c:xVal>
            <c:numRef>
              <c:f>math002!$C$9:$C$39</c:f>
              <c:numCache>
                <c:formatCode>0.0</c:formatCode>
                <c:ptCount val="31"/>
                <c:pt idx="0">
                  <c:v>0</c:v>
                </c:pt>
                <c:pt idx="1">
                  <c:v>0.1</c:v>
                </c:pt>
                <c:pt idx="2">
                  <c:v>0.2</c:v>
                </c:pt>
                <c:pt idx="3">
                  <c:v>0.3</c:v>
                </c:pt>
                <c:pt idx="4">
                  <c:v>0.4</c:v>
                </c:pt>
                <c:pt idx="5">
                  <c:v>0.5</c:v>
                </c:pt>
                <c:pt idx="6">
                  <c:v>0.6</c:v>
                </c:pt>
                <c:pt idx="7">
                  <c:v>0.7</c:v>
                </c:pt>
                <c:pt idx="8">
                  <c:v>0.8</c:v>
                </c:pt>
                <c:pt idx="9">
                  <c:v>0.9</c:v>
                </c:pt>
                <c:pt idx="10">
                  <c:v>1</c:v>
                </c:pt>
                <c:pt idx="11">
                  <c:v>1.1000000000000001</c:v>
                </c:pt>
                <c:pt idx="12">
                  <c:v>1.2</c:v>
                </c:pt>
                <c:pt idx="13">
                  <c:v>1.3</c:v>
                </c:pt>
                <c:pt idx="14">
                  <c:v>1.4</c:v>
                </c:pt>
                <c:pt idx="15">
                  <c:v>1.5</c:v>
                </c:pt>
                <c:pt idx="16">
                  <c:v>1.6</c:v>
                </c:pt>
                <c:pt idx="17">
                  <c:v>1.7</c:v>
                </c:pt>
                <c:pt idx="18">
                  <c:v>1.8</c:v>
                </c:pt>
                <c:pt idx="19">
                  <c:v>1.9</c:v>
                </c:pt>
                <c:pt idx="20">
                  <c:v>2</c:v>
                </c:pt>
                <c:pt idx="21">
                  <c:v>2.1</c:v>
                </c:pt>
                <c:pt idx="22">
                  <c:v>2.2000000000000002</c:v>
                </c:pt>
                <c:pt idx="23">
                  <c:v>2.2999999999999998</c:v>
                </c:pt>
                <c:pt idx="24">
                  <c:v>2.4</c:v>
                </c:pt>
                <c:pt idx="25">
                  <c:v>2.5</c:v>
                </c:pt>
                <c:pt idx="26">
                  <c:v>2.6</c:v>
                </c:pt>
                <c:pt idx="27">
                  <c:v>2.7</c:v>
                </c:pt>
                <c:pt idx="28">
                  <c:v>2.8</c:v>
                </c:pt>
                <c:pt idx="29">
                  <c:v>2.9</c:v>
                </c:pt>
                <c:pt idx="30">
                  <c:v>3</c:v>
                </c:pt>
              </c:numCache>
            </c:numRef>
          </c:xVal>
          <c:yVal>
            <c:numRef>
              <c:f>math002!$D$9:$D$39</c:f>
              <c:numCache>
                <c:formatCode>0.00</c:formatCode>
                <c:ptCount val="31"/>
                <c:pt idx="0">
                  <c:v>4</c:v>
                </c:pt>
                <c:pt idx="1">
                  <c:v>4.01</c:v>
                </c:pt>
                <c:pt idx="2">
                  <c:v>4.04</c:v>
                </c:pt>
                <c:pt idx="3">
                  <c:v>4.09</c:v>
                </c:pt>
                <c:pt idx="4">
                  <c:v>4.16</c:v>
                </c:pt>
                <c:pt idx="5">
                  <c:v>4.25</c:v>
                </c:pt>
                <c:pt idx="6">
                  <c:v>4.3600000000000003</c:v>
                </c:pt>
                <c:pt idx="7">
                  <c:v>4.49</c:v>
                </c:pt>
                <c:pt idx="8">
                  <c:v>4.6400000000000006</c:v>
                </c:pt>
                <c:pt idx="9">
                  <c:v>4.8100000000000005</c:v>
                </c:pt>
                <c:pt idx="10">
                  <c:v>5</c:v>
                </c:pt>
                <c:pt idx="11">
                  <c:v>5.21</c:v>
                </c:pt>
                <c:pt idx="12">
                  <c:v>5.4399999999999995</c:v>
                </c:pt>
                <c:pt idx="13">
                  <c:v>5.69</c:v>
                </c:pt>
                <c:pt idx="14">
                  <c:v>5.96</c:v>
                </c:pt>
                <c:pt idx="15">
                  <c:v>6.25</c:v>
                </c:pt>
                <c:pt idx="16">
                  <c:v>6.5600000000000005</c:v>
                </c:pt>
                <c:pt idx="17">
                  <c:v>6.89</c:v>
                </c:pt>
                <c:pt idx="18">
                  <c:v>7.24</c:v>
                </c:pt>
                <c:pt idx="19">
                  <c:v>7.6099999999999994</c:v>
                </c:pt>
                <c:pt idx="20">
                  <c:v>8</c:v>
                </c:pt>
                <c:pt idx="21">
                  <c:v>8.41</c:v>
                </c:pt>
                <c:pt idx="22">
                  <c:v>8.84</c:v>
                </c:pt>
                <c:pt idx="23">
                  <c:v>9.2899999999999991</c:v>
                </c:pt>
                <c:pt idx="24">
                  <c:v>9.76</c:v>
                </c:pt>
                <c:pt idx="25">
                  <c:v>10.25</c:v>
                </c:pt>
                <c:pt idx="26">
                  <c:v>10.760000000000002</c:v>
                </c:pt>
                <c:pt idx="27">
                  <c:v>11.290000000000001</c:v>
                </c:pt>
                <c:pt idx="28">
                  <c:v>11.84</c:v>
                </c:pt>
                <c:pt idx="29">
                  <c:v>12.41</c:v>
                </c:pt>
                <c:pt idx="30">
                  <c:v>13</c:v>
                </c:pt>
              </c:numCache>
            </c:numRef>
          </c:yVal>
          <c:smooth val="1"/>
          <c:extLst>
            <c:ext xmlns:c16="http://schemas.microsoft.com/office/drawing/2014/chart" uri="{C3380CC4-5D6E-409C-BE32-E72D297353CC}">
              <c16:uniqueId val="{00000000-6DE7-4706-91E7-50692BAECEB0}"/>
            </c:ext>
          </c:extLst>
        </c:ser>
        <c:ser>
          <c:idx val="1"/>
          <c:order val="1"/>
          <c:tx>
            <c:strRef>
              <c:f>math002!$E$8</c:f>
              <c:strCache>
                <c:ptCount val="1"/>
                <c:pt idx="0">
                  <c:v>y=x</c:v>
                </c:pt>
              </c:strCache>
            </c:strRef>
          </c:tx>
          <c:spPr>
            <a:ln>
              <a:solidFill>
                <a:srgbClr val="0070C0"/>
              </a:solidFill>
            </a:ln>
          </c:spPr>
          <c:marker>
            <c:symbol val="none"/>
          </c:marker>
          <c:xVal>
            <c:numRef>
              <c:f>math002!$C$9:$C$39</c:f>
              <c:numCache>
                <c:formatCode>0.0</c:formatCode>
                <c:ptCount val="31"/>
                <c:pt idx="0">
                  <c:v>0</c:v>
                </c:pt>
                <c:pt idx="1">
                  <c:v>0.1</c:v>
                </c:pt>
                <c:pt idx="2">
                  <c:v>0.2</c:v>
                </c:pt>
                <c:pt idx="3">
                  <c:v>0.3</c:v>
                </c:pt>
                <c:pt idx="4">
                  <c:v>0.4</c:v>
                </c:pt>
                <c:pt idx="5">
                  <c:v>0.5</c:v>
                </c:pt>
                <c:pt idx="6">
                  <c:v>0.6</c:v>
                </c:pt>
                <c:pt idx="7">
                  <c:v>0.7</c:v>
                </c:pt>
                <c:pt idx="8">
                  <c:v>0.8</c:v>
                </c:pt>
                <c:pt idx="9">
                  <c:v>0.9</c:v>
                </c:pt>
                <c:pt idx="10">
                  <c:v>1</c:v>
                </c:pt>
                <c:pt idx="11">
                  <c:v>1.1000000000000001</c:v>
                </c:pt>
                <c:pt idx="12">
                  <c:v>1.2</c:v>
                </c:pt>
                <c:pt idx="13">
                  <c:v>1.3</c:v>
                </c:pt>
                <c:pt idx="14">
                  <c:v>1.4</c:v>
                </c:pt>
                <c:pt idx="15">
                  <c:v>1.5</c:v>
                </c:pt>
                <c:pt idx="16">
                  <c:v>1.6</c:v>
                </c:pt>
                <c:pt idx="17">
                  <c:v>1.7</c:v>
                </c:pt>
                <c:pt idx="18">
                  <c:v>1.8</c:v>
                </c:pt>
                <c:pt idx="19">
                  <c:v>1.9</c:v>
                </c:pt>
                <c:pt idx="20">
                  <c:v>2</c:v>
                </c:pt>
                <c:pt idx="21">
                  <c:v>2.1</c:v>
                </c:pt>
                <c:pt idx="22">
                  <c:v>2.2000000000000002</c:v>
                </c:pt>
                <c:pt idx="23">
                  <c:v>2.2999999999999998</c:v>
                </c:pt>
                <c:pt idx="24">
                  <c:v>2.4</c:v>
                </c:pt>
                <c:pt idx="25">
                  <c:v>2.5</c:v>
                </c:pt>
                <c:pt idx="26">
                  <c:v>2.6</c:v>
                </c:pt>
                <c:pt idx="27">
                  <c:v>2.7</c:v>
                </c:pt>
                <c:pt idx="28">
                  <c:v>2.8</c:v>
                </c:pt>
                <c:pt idx="29">
                  <c:v>2.9</c:v>
                </c:pt>
                <c:pt idx="30">
                  <c:v>3</c:v>
                </c:pt>
              </c:numCache>
            </c:numRef>
          </c:xVal>
          <c:yVal>
            <c:numRef>
              <c:f>math002!$E$9:$E$39</c:f>
              <c:numCache>
                <c:formatCode>0.0</c:formatCode>
                <c:ptCount val="31"/>
                <c:pt idx="0">
                  <c:v>0</c:v>
                </c:pt>
                <c:pt idx="1">
                  <c:v>0.1</c:v>
                </c:pt>
                <c:pt idx="2">
                  <c:v>0.2</c:v>
                </c:pt>
                <c:pt idx="3">
                  <c:v>0.3</c:v>
                </c:pt>
                <c:pt idx="4">
                  <c:v>0.4</c:v>
                </c:pt>
                <c:pt idx="5">
                  <c:v>0.5</c:v>
                </c:pt>
                <c:pt idx="6">
                  <c:v>0.6</c:v>
                </c:pt>
                <c:pt idx="7">
                  <c:v>0.7</c:v>
                </c:pt>
                <c:pt idx="8">
                  <c:v>0.8</c:v>
                </c:pt>
                <c:pt idx="9">
                  <c:v>0.9</c:v>
                </c:pt>
                <c:pt idx="10">
                  <c:v>1</c:v>
                </c:pt>
                <c:pt idx="11">
                  <c:v>1.1000000000000001</c:v>
                </c:pt>
                <c:pt idx="12">
                  <c:v>1.2</c:v>
                </c:pt>
                <c:pt idx="13">
                  <c:v>1.3</c:v>
                </c:pt>
                <c:pt idx="14">
                  <c:v>1.4</c:v>
                </c:pt>
                <c:pt idx="15">
                  <c:v>1.5</c:v>
                </c:pt>
                <c:pt idx="16">
                  <c:v>1.6</c:v>
                </c:pt>
                <c:pt idx="17">
                  <c:v>1.7</c:v>
                </c:pt>
                <c:pt idx="18">
                  <c:v>1.8</c:v>
                </c:pt>
                <c:pt idx="19">
                  <c:v>1.9</c:v>
                </c:pt>
                <c:pt idx="20">
                  <c:v>2</c:v>
                </c:pt>
                <c:pt idx="21">
                  <c:v>2.1</c:v>
                </c:pt>
                <c:pt idx="22">
                  <c:v>2.2000000000000002</c:v>
                </c:pt>
                <c:pt idx="23">
                  <c:v>2.2999999999999998</c:v>
                </c:pt>
                <c:pt idx="24">
                  <c:v>2.4</c:v>
                </c:pt>
                <c:pt idx="25">
                  <c:v>2.5</c:v>
                </c:pt>
                <c:pt idx="26">
                  <c:v>2.6</c:v>
                </c:pt>
                <c:pt idx="27">
                  <c:v>2.7</c:v>
                </c:pt>
                <c:pt idx="28">
                  <c:v>2.8</c:v>
                </c:pt>
                <c:pt idx="29">
                  <c:v>2.9</c:v>
                </c:pt>
                <c:pt idx="30">
                  <c:v>3</c:v>
                </c:pt>
              </c:numCache>
            </c:numRef>
          </c:yVal>
          <c:smooth val="1"/>
          <c:extLst>
            <c:ext xmlns:c16="http://schemas.microsoft.com/office/drawing/2014/chart" uri="{C3380CC4-5D6E-409C-BE32-E72D297353CC}">
              <c16:uniqueId val="{00000001-6DE7-4706-91E7-50692BAECEB0}"/>
            </c:ext>
          </c:extLst>
        </c:ser>
        <c:ser>
          <c:idx val="2"/>
          <c:order val="2"/>
          <c:tx>
            <c:v>afstand</c:v>
          </c:tx>
          <c:spPr>
            <a:ln>
              <a:solidFill>
                <a:srgbClr val="FF0000"/>
              </a:solidFill>
            </a:ln>
          </c:spPr>
          <c:marker>
            <c:symbol val="none"/>
          </c:marker>
          <c:xVal>
            <c:numRef>
              <c:f>math002!$C$41:$C$42</c:f>
              <c:numCache>
                <c:formatCode>0.000</c:formatCode>
                <c:ptCount val="2"/>
                <c:pt idx="0">
                  <c:v>0.49999183617315285</c:v>
                </c:pt>
                <c:pt idx="1">
                  <c:v>2.3750451965083097</c:v>
                </c:pt>
              </c:numCache>
            </c:numRef>
          </c:xVal>
          <c:yVal>
            <c:numRef>
              <c:f>math002!$D$41:$D$42</c:f>
              <c:numCache>
                <c:formatCode>0.000</c:formatCode>
                <c:ptCount val="2"/>
                <c:pt idx="0">
                  <c:v>4.2499918362398006</c:v>
                </c:pt>
                <c:pt idx="1">
                  <c:v>2.3750451965083097</c:v>
                </c:pt>
              </c:numCache>
            </c:numRef>
          </c:yVal>
          <c:smooth val="1"/>
          <c:extLst>
            <c:ext xmlns:c16="http://schemas.microsoft.com/office/drawing/2014/chart" uri="{C3380CC4-5D6E-409C-BE32-E72D297353CC}">
              <c16:uniqueId val="{00000002-6DE7-4706-91E7-50692BAECEB0}"/>
            </c:ext>
          </c:extLst>
        </c:ser>
        <c:dLbls>
          <c:showLegendKey val="0"/>
          <c:showVal val="0"/>
          <c:showCatName val="0"/>
          <c:showSerName val="0"/>
          <c:showPercent val="0"/>
          <c:showBubbleSize val="0"/>
        </c:dLbls>
        <c:axId val="150972672"/>
        <c:axId val="150974464"/>
      </c:scatterChart>
      <c:valAx>
        <c:axId val="150972672"/>
        <c:scaling>
          <c:orientation val="minMax"/>
        </c:scaling>
        <c:delete val="0"/>
        <c:axPos val="b"/>
        <c:numFmt formatCode="0" sourceLinked="0"/>
        <c:majorTickMark val="out"/>
        <c:minorTickMark val="none"/>
        <c:tickLblPos val="nextTo"/>
        <c:crossAx val="150974464"/>
        <c:crosses val="autoZero"/>
        <c:crossBetween val="midCat"/>
        <c:majorUnit val="1"/>
      </c:valAx>
      <c:valAx>
        <c:axId val="150974464"/>
        <c:scaling>
          <c:orientation val="minMax"/>
        </c:scaling>
        <c:delete val="0"/>
        <c:axPos val="l"/>
        <c:numFmt formatCode="0" sourceLinked="0"/>
        <c:majorTickMark val="out"/>
        <c:minorTickMark val="none"/>
        <c:tickLblPos val="nextTo"/>
        <c:crossAx val="150972672"/>
        <c:crosses val="autoZero"/>
        <c:crossBetween val="midCat"/>
        <c:majorUnit val="1"/>
      </c:valAx>
    </c:plotArea>
    <c:legend>
      <c:legendPos val="r"/>
      <c:overlay val="0"/>
    </c:legend>
    <c:plotVisOnly val="1"/>
    <c:dispBlanksAs val="gap"/>
    <c:showDLblsOverMax val="0"/>
  </c:chart>
  <c:printSettings>
    <c:headerFooter/>
    <c:pageMargins b="0.75000000000000833" l="0.70000000000000062" r="0.70000000000000062" t="0.75000000000000833" header="0.30000000000000032" footer="0.30000000000000032"/>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v>y1</c:v>
          </c:tx>
          <c:marker>
            <c:symbol val="none"/>
          </c:marker>
          <c:xVal>
            <c:numRef>
              <c:f>math003!$C$9:$C$28</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xVal>
          <c:yVal>
            <c:numRef>
              <c:f>math003!$D$9:$D$28</c:f>
              <c:numCache>
                <c:formatCode>0.000</c:formatCode>
                <c:ptCount val="20"/>
                <c:pt idx="0">
                  <c:v>0</c:v>
                </c:pt>
                <c:pt idx="1">
                  <c:v>0.6020599913279624</c:v>
                </c:pt>
                <c:pt idx="2">
                  <c:v>0.95424250943932487</c:v>
                </c:pt>
                <c:pt idx="3">
                  <c:v>1.2041199826559248</c:v>
                </c:pt>
                <c:pt idx="4">
                  <c:v>1.3979400086720377</c:v>
                </c:pt>
                <c:pt idx="5">
                  <c:v>1.5563025007672873</c:v>
                </c:pt>
                <c:pt idx="6">
                  <c:v>1.6901960800285136</c:v>
                </c:pt>
                <c:pt idx="7">
                  <c:v>1.8061799739838871</c:v>
                </c:pt>
                <c:pt idx="8">
                  <c:v>1.9084850188786497</c:v>
                </c:pt>
                <c:pt idx="9">
                  <c:v>2</c:v>
                </c:pt>
                <c:pt idx="10">
                  <c:v>2.0827853703164503</c:v>
                </c:pt>
                <c:pt idx="11">
                  <c:v>2.1583624920952498</c:v>
                </c:pt>
                <c:pt idx="12">
                  <c:v>2.2278867046136734</c:v>
                </c:pt>
                <c:pt idx="13">
                  <c:v>2.2922560713564759</c:v>
                </c:pt>
                <c:pt idx="14">
                  <c:v>2.3521825181113627</c:v>
                </c:pt>
                <c:pt idx="15">
                  <c:v>2.4082399653118496</c:v>
                </c:pt>
                <c:pt idx="16">
                  <c:v>2.4608978427565478</c:v>
                </c:pt>
                <c:pt idx="17">
                  <c:v>2.510545010206612</c:v>
                </c:pt>
                <c:pt idx="18">
                  <c:v>2.5575072019056577</c:v>
                </c:pt>
                <c:pt idx="19">
                  <c:v>2.6020599913279625</c:v>
                </c:pt>
              </c:numCache>
            </c:numRef>
          </c:yVal>
          <c:smooth val="1"/>
          <c:extLst>
            <c:ext xmlns:c16="http://schemas.microsoft.com/office/drawing/2014/chart" uri="{C3380CC4-5D6E-409C-BE32-E72D297353CC}">
              <c16:uniqueId val="{00000000-D215-4628-9C0F-B64ACA2AF958}"/>
            </c:ext>
          </c:extLst>
        </c:ser>
        <c:ser>
          <c:idx val="1"/>
          <c:order val="1"/>
          <c:tx>
            <c:v>y2</c:v>
          </c:tx>
          <c:marker>
            <c:symbol val="none"/>
          </c:marker>
          <c:xVal>
            <c:numRef>
              <c:f>math003!$C$9:$C$28</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xVal>
          <c:yVal>
            <c:numRef>
              <c:f>math003!$E$9:$E$28</c:f>
              <c:numCache>
                <c:formatCode>0.000</c:formatCode>
                <c:ptCount val="20"/>
                <c:pt idx="0">
                  <c:v>-0.99</c:v>
                </c:pt>
                <c:pt idx="1">
                  <c:v>-0.96</c:v>
                </c:pt>
                <c:pt idx="2">
                  <c:v>-0.91</c:v>
                </c:pt>
                <c:pt idx="3">
                  <c:v>-0.84</c:v>
                </c:pt>
                <c:pt idx="4">
                  <c:v>-0.75</c:v>
                </c:pt>
                <c:pt idx="5">
                  <c:v>-0.64</c:v>
                </c:pt>
                <c:pt idx="6">
                  <c:v>-0.51</c:v>
                </c:pt>
                <c:pt idx="7">
                  <c:v>-0.36</c:v>
                </c:pt>
                <c:pt idx="8">
                  <c:v>-0.18999999999999995</c:v>
                </c:pt>
                <c:pt idx="9">
                  <c:v>0</c:v>
                </c:pt>
                <c:pt idx="10">
                  <c:v>0.20999999999999996</c:v>
                </c:pt>
                <c:pt idx="11">
                  <c:v>0.43999999999999995</c:v>
                </c:pt>
                <c:pt idx="12">
                  <c:v>0.69</c:v>
                </c:pt>
                <c:pt idx="13">
                  <c:v>0.96</c:v>
                </c:pt>
                <c:pt idx="14">
                  <c:v>1.25</c:v>
                </c:pt>
                <c:pt idx="15">
                  <c:v>1.56</c:v>
                </c:pt>
                <c:pt idx="16">
                  <c:v>1.8900000000000001</c:v>
                </c:pt>
                <c:pt idx="17">
                  <c:v>2.2400000000000002</c:v>
                </c:pt>
                <c:pt idx="18">
                  <c:v>2.61</c:v>
                </c:pt>
                <c:pt idx="19">
                  <c:v>3</c:v>
                </c:pt>
              </c:numCache>
            </c:numRef>
          </c:yVal>
          <c:smooth val="1"/>
          <c:extLst>
            <c:ext xmlns:c16="http://schemas.microsoft.com/office/drawing/2014/chart" uri="{C3380CC4-5D6E-409C-BE32-E72D297353CC}">
              <c16:uniqueId val="{00000001-D215-4628-9C0F-B64ACA2AF958}"/>
            </c:ext>
          </c:extLst>
        </c:ser>
        <c:ser>
          <c:idx val="2"/>
          <c:order val="2"/>
          <c:tx>
            <c:v>y3</c:v>
          </c:tx>
          <c:marker>
            <c:symbol val="none"/>
          </c:marker>
          <c:xVal>
            <c:numRef>
              <c:f>math003!$C$9:$C$28</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xVal>
          <c:yVal>
            <c:numRef>
              <c:f>math003!$F$9:$F$28</c:f>
              <c:numCache>
                <c:formatCode>0.000</c:formatCode>
                <c:ptCount val="20"/>
                <c:pt idx="0">
                  <c:v>0.99</c:v>
                </c:pt>
                <c:pt idx="1">
                  <c:v>1.5620599913279625</c:v>
                </c:pt>
                <c:pt idx="2">
                  <c:v>1.8642425094393249</c:v>
                </c:pt>
                <c:pt idx="3">
                  <c:v>2.0441199826559249</c:v>
                </c:pt>
                <c:pt idx="4">
                  <c:v>2.1479400086720375</c:v>
                </c:pt>
                <c:pt idx="5">
                  <c:v>2.1963025007672874</c:v>
                </c:pt>
                <c:pt idx="6">
                  <c:v>2.2001960800285136</c:v>
                </c:pt>
                <c:pt idx="7">
                  <c:v>2.166179973983887</c:v>
                </c:pt>
                <c:pt idx="8">
                  <c:v>2.0984850188786499</c:v>
                </c:pt>
                <c:pt idx="9">
                  <c:v>2</c:v>
                </c:pt>
                <c:pt idx="10">
                  <c:v>1.8727853703164503</c:v>
                </c:pt>
                <c:pt idx="11">
                  <c:v>1.7183624920952498</c:v>
                </c:pt>
                <c:pt idx="12">
                  <c:v>1.5378867046136735</c:v>
                </c:pt>
                <c:pt idx="13">
                  <c:v>1.3322560713564759</c:v>
                </c:pt>
                <c:pt idx="14">
                  <c:v>1.1021825181113627</c:v>
                </c:pt>
                <c:pt idx="15">
                  <c:v>0.84823996531184953</c:v>
                </c:pt>
                <c:pt idx="16">
                  <c:v>0.57089784275654765</c:v>
                </c:pt>
                <c:pt idx="17">
                  <c:v>0.27054501020661181</c:v>
                </c:pt>
                <c:pt idx="18">
                  <c:v>-5.2492798094342152E-2</c:v>
                </c:pt>
                <c:pt idx="19">
                  <c:v>-0.39794000867203749</c:v>
                </c:pt>
              </c:numCache>
            </c:numRef>
          </c:yVal>
          <c:smooth val="1"/>
          <c:extLst>
            <c:ext xmlns:c16="http://schemas.microsoft.com/office/drawing/2014/chart" uri="{C3380CC4-5D6E-409C-BE32-E72D297353CC}">
              <c16:uniqueId val="{00000002-D215-4628-9C0F-B64ACA2AF958}"/>
            </c:ext>
          </c:extLst>
        </c:ser>
        <c:dLbls>
          <c:showLegendKey val="0"/>
          <c:showVal val="0"/>
          <c:showCatName val="0"/>
          <c:showSerName val="0"/>
          <c:showPercent val="0"/>
          <c:showBubbleSize val="0"/>
        </c:dLbls>
        <c:axId val="152127744"/>
        <c:axId val="152137728"/>
      </c:scatterChart>
      <c:valAx>
        <c:axId val="152127744"/>
        <c:scaling>
          <c:orientation val="minMax"/>
        </c:scaling>
        <c:delete val="0"/>
        <c:axPos val="b"/>
        <c:numFmt formatCode="General" sourceLinked="1"/>
        <c:majorTickMark val="out"/>
        <c:minorTickMark val="none"/>
        <c:tickLblPos val="nextTo"/>
        <c:crossAx val="152137728"/>
        <c:crosses val="autoZero"/>
        <c:crossBetween val="midCat"/>
      </c:valAx>
      <c:valAx>
        <c:axId val="152137728"/>
        <c:scaling>
          <c:orientation val="minMax"/>
        </c:scaling>
        <c:delete val="0"/>
        <c:axPos val="l"/>
        <c:majorGridlines/>
        <c:numFmt formatCode="0.000" sourceLinked="1"/>
        <c:majorTickMark val="out"/>
        <c:minorTickMark val="none"/>
        <c:tickLblPos val="nextTo"/>
        <c:crossAx val="152127744"/>
        <c:crosses val="autoZero"/>
        <c:crossBetween val="midCat"/>
      </c:valAx>
    </c:plotArea>
    <c:legend>
      <c:legendPos val="r"/>
      <c:overlay val="0"/>
    </c:legend>
    <c:plotVisOnly val="1"/>
    <c:dispBlanksAs val="gap"/>
    <c:showDLblsOverMax val="0"/>
  </c:chart>
  <c:printSettings>
    <c:headerFooter/>
    <c:pageMargins b="0.75000000000000822" l="0.70000000000000062" r="0.70000000000000062" t="0.75000000000000822" header="0.30000000000000032" footer="0.30000000000000032"/>
    <c:pageSetup paperSize="9" orientation="landscape"/>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a:t>Relatie </a:t>
            </a:r>
            <a:r>
              <a:rPr lang="en-US" sz="1400" baseline="0"/>
              <a:t> studietijd - cijfer</a:t>
            </a:r>
            <a:endParaRPr lang="en-US" sz="1400"/>
          </a:p>
        </c:rich>
      </c:tx>
      <c:overlay val="0"/>
    </c:title>
    <c:autoTitleDeleted val="0"/>
    <c:plotArea>
      <c:layout/>
      <c:scatterChart>
        <c:scatterStyle val="lineMarker"/>
        <c:varyColors val="0"/>
        <c:ser>
          <c:idx val="0"/>
          <c:order val="0"/>
          <c:tx>
            <c:strRef>
              <c:f>stat002!$E$8</c:f>
              <c:strCache>
                <c:ptCount val="1"/>
                <c:pt idx="0">
                  <c:v>cijfer</c:v>
                </c:pt>
              </c:strCache>
            </c:strRef>
          </c:tx>
          <c:spPr>
            <a:ln w="28575">
              <a:noFill/>
            </a:ln>
          </c:spPr>
          <c:marker>
            <c:symbol val="circle"/>
            <c:size val="5"/>
            <c:spPr>
              <a:solidFill>
                <a:schemeClr val="tx1"/>
              </a:solidFill>
            </c:spPr>
          </c:marker>
          <c:trendline>
            <c:trendlineType val="linear"/>
            <c:dispRSqr val="0"/>
            <c:dispEq val="0"/>
          </c:trendline>
          <c:xVal>
            <c:numRef>
              <c:f>stat002!$D$9:$D$23</c:f>
              <c:numCache>
                <c:formatCode>General</c:formatCode>
                <c:ptCount val="15"/>
                <c:pt idx="0">
                  <c:v>18</c:v>
                </c:pt>
                <c:pt idx="1">
                  <c:v>20</c:v>
                </c:pt>
                <c:pt idx="2">
                  <c:v>10</c:v>
                </c:pt>
                <c:pt idx="3">
                  <c:v>12</c:v>
                </c:pt>
                <c:pt idx="4">
                  <c:v>15</c:v>
                </c:pt>
                <c:pt idx="5">
                  <c:v>9</c:v>
                </c:pt>
                <c:pt idx="6">
                  <c:v>14</c:v>
                </c:pt>
                <c:pt idx="7">
                  <c:v>8</c:v>
                </c:pt>
                <c:pt idx="8">
                  <c:v>16</c:v>
                </c:pt>
                <c:pt idx="9">
                  <c:v>11</c:v>
                </c:pt>
                <c:pt idx="10">
                  <c:v>19</c:v>
                </c:pt>
                <c:pt idx="11">
                  <c:v>16</c:v>
                </c:pt>
                <c:pt idx="12">
                  <c:v>10</c:v>
                </c:pt>
                <c:pt idx="13">
                  <c:v>13</c:v>
                </c:pt>
                <c:pt idx="14">
                  <c:v>17</c:v>
                </c:pt>
              </c:numCache>
            </c:numRef>
          </c:xVal>
          <c:yVal>
            <c:numRef>
              <c:f>stat002!$E$9:$E$23</c:f>
              <c:numCache>
                <c:formatCode>0.0</c:formatCode>
                <c:ptCount val="15"/>
                <c:pt idx="0">
                  <c:v>6.3</c:v>
                </c:pt>
                <c:pt idx="1">
                  <c:v>7.8</c:v>
                </c:pt>
                <c:pt idx="2">
                  <c:v>4.5</c:v>
                </c:pt>
                <c:pt idx="3">
                  <c:v>6</c:v>
                </c:pt>
                <c:pt idx="4">
                  <c:v>7</c:v>
                </c:pt>
                <c:pt idx="5">
                  <c:v>5.5</c:v>
                </c:pt>
                <c:pt idx="6">
                  <c:v>5.8</c:v>
                </c:pt>
                <c:pt idx="7">
                  <c:v>5</c:v>
                </c:pt>
                <c:pt idx="8">
                  <c:v>7.3</c:v>
                </c:pt>
                <c:pt idx="9">
                  <c:v>5.2</c:v>
                </c:pt>
                <c:pt idx="10">
                  <c:v>7.5</c:v>
                </c:pt>
                <c:pt idx="11">
                  <c:v>6.3</c:v>
                </c:pt>
                <c:pt idx="12">
                  <c:v>5.9</c:v>
                </c:pt>
                <c:pt idx="13">
                  <c:v>6</c:v>
                </c:pt>
                <c:pt idx="14">
                  <c:v>6.7</c:v>
                </c:pt>
              </c:numCache>
            </c:numRef>
          </c:yVal>
          <c:smooth val="0"/>
          <c:extLst>
            <c:ext xmlns:c16="http://schemas.microsoft.com/office/drawing/2014/chart" uri="{C3380CC4-5D6E-409C-BE32-E72D297353CC}">
              <c16:uniqueId val="{00000001-B4E5-4496-A21F-8979BFE2F138}"/>
            </c:ext>
          </c:extLst>
        </c:ser>
        <c:dLbls>
          <c:showLegendKey val="0"/>
          <c:showVal val="0"/>
          <c:showCatName val="0"/>
          <c:showSerName val="0"/>
          <c:showPercent val="0"/>
          <c:showBubbleSize val="0"/>
        </c:dLbls>
        <c:axId val="153726336"/>
        <c:axId val="153728512"/>
      </c:scatterChart>
      <c:valAx>
        <c:axId val="153726336"/>
        <c:scaling>
          <c:orientation val="minMax"/>
          <c:max val="20"/>
          <c:min val="8"/>
        </c:scaling>
        <c:delete val="0"/>
        <c:axPos val="b"/>
        <c:title>
          <c:tx>
            <c:rich>
              <a:bodyPr/>
              <a:lstStyle/>
              <a:p>
                <a:pPr>
                  <a:defRPr/>
                </a:pPr>
                <a:r>
                  <a:rPr lang="nl-NL"/>
                  <a:t>studietijd (uren)</a:t>
                </a:r>
              </a:p>
            </c:rich>
          </c:tx>
          <c:overlay val="0"/>
        </c:title>
        <c:numFmt formatCode="General" sourceLinked="1"/>
        <c:majorTickMark val="out"/>
        <c:minorTickMark val="none"/>
        <c:tickLblPos val="nextTo"/>
        <c:crossAx val="153728512"/>
        <c:crosses val="autoZero"/>
        <c:crossBetween val="midCat"/>
        <c:majorUnit val="1"/>
      </c:valAx>
      <c:valAx>
        <c:axId val="153728512"/>
        <c:scaling>
          <c:orientation val="minMax"/>
          <c:max val="8"/>
          <c:min val="4"/>
        </c:scaling>
        <c:delete val="0"/>
        <c:axPos val="l"/>
        <c:majorGridlines>
          <c:spPr>
            <a:ln>
              <a:solidFill>
                <a:srgbClr val="000000"/>
              </a:solidFill>
              <a:prstDash val="sysDash"/>
            </a:ln>
          </c:spPr>
        </c:majorGridlines>
        <c:title>
          <c:tx>
            <c:rich>
              <a:bodyPr rot="-5400000" vert="horz"/>
              <a:lstStyle/>
              <a:p>
                <a:pPr>
                  <a:defRPr/>
                </a:pPr>
                <a:r>
                  <a:rPr lang="en-US"/>
                  <a:t>cijfer</a:t>
                </a:r>
              </a:p>
            </c:rich>
          </c:tx>
          <c:overlay val="0"/>
        </c:title>
        <c:numFmt formatCode="0.0" sourceLinked="1"/>
        <c:majorTickMark val="out"/>
        <c:minorTickMark val="none"/>
        <c:tickLblPos val="nextTo"/>
        <c:crossAx val="153726336"/>
        <c:crosses val="autoZero"/>
        <c:crossBetween val="midCat"/>
      </c:valAx>
    </c:plotArea>
    <c:plotVisOnly val="1"/>
    <c:dispBlanksAs val="gap"/>
    <c:showDLblsOverMax val="0"/>
  </c:chart>
  <c:printSettings>
    <c:headerFooter/>
    <c:pageMargins b="0.75000000000000677" l="0.70000000000000062" r="0.70000000000000062" t="0.75000000000000677" header="0.30000000000000032" footer="0.30000000000000032"/>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baseline="0"/>
              <a:t>Service graad</a:t>
            </a:r>
          </a:p>
        </c:rich>
      </c:tx>
      <c:overlay val="0"/>
    </c:title>
    <c:autoTitleDeleted val="0"/>
    <c:plotArea>
      <c:layout/>
      <c:scatterChart>
        <c:scatterStyle val="smoothMarker"/>
        <c:varyColors val="0"/>
        <c:ser>
          <c:idx val="0"/>
          <c:order val="0"/>
          <c:tx>
            <c:strRef>
              <c:f>stat004!$D$11</c:f>
              <c:strCache>
                <c:ptCount val="1"/>
                <c:pt idx="0">
                  <c:v>Service graad</c:v>
                </c:pt>
              </c:strCache>
            </c:strRef>
          </c:tx>
          <c:spPr>
            <a:ln>
              <a:solidFill>
                <a:schemeClr val="tx1"/>
              </a:solidFill>
            </a:ln>
          </c:spPr>
          <c:marker>
            <c:symbol val="none"/>
          </c:marker>
          <c:xVal>
            <c:numRef>
              <c:f>stat004!$C$12:$C$22</c:f>
              <c:numCache>
                <c:formatCode>General</c:formatCode>
                <c:ptCount val="11"/>
                <c:pt idx="0">
                  <c:v>450</c:v>
                </c:pt>
                <c:pt idx="1">
                  <c:v>460</c:v>
                </c:pt>
                <c:pt idx="2">
                  <c:v>470</c:v>
                </c:pt>
                <c:pt idx="3">
                  <c:v>480</c:v>
                </c:pt>
                <c:pt idx="4">
                  <c:v>490</c:v>
                </c:pt>
                <c:pt idx="5">
                  <c:v>500</c:v>
                </c:pt>
                <c:pt idx="6">
                  <c:v>510</c:v>
                </c:pt>
                <c:pt idx="7">
                  <c:v>520</c:v>
                </c:pt>
                <c:pt idx="8">
                  <c:v>530</c:v>
                </c:pt>
                <c:pt idx="9">
                  <c:v>540</c:v>
                </c:pt>
                <c:pt idx="10">
                  <c:v>550</c:v>
                </c:pt>
              </c:numCache>
            </c:numRef>
          </c:xVal>
          <c:yVal>
            <c:numRef>
              <c:f>stat004!$D$12:$D$22</c:f>
              <c:numCache>
                <c:formatCode>0.0%</c:formatCode>
                <c:ptCount val="11"/>
                <c:pt idx="0">
                  <c:v>0.84134474606854304</c:v>
                </c:pt>
                <c:pt idx="1">
                  <c:v>0.88493032977829178</c:v>
                </c:pt>
                <c:pt idx="2">
                  <c:v>0.91924334076622893</c:v>
                </c:pt>
                <c:pt idx="3">
                  <c:v>0.94520070830044201</c:v>
                </c:pt>
                <c:pt idx="4">
                  <c:v>0.96406968088707423</c:v>
                </c:pt>
                <c:pt idx="5">
                  <c:v>0.97724986805182079</c:v>
                </c:pt>
                <c:pt idx="6">
                  <c:v>0.98609655248650141</c:v>
                </c:pt>
                <c:pt idx="7">
                  <c:v>0.99180246407540384</c:v>
                </c:pt>
                <c:pt idx="8">
                  <c:v>0.99533881197628127</c:v>
                </c:pt>
                <c:pt idx="9">
                  <c:v>0.99744486966957202</c:v>
                </c:pt>
                <c:pt idx="10">
                  <c:v>0.9986501019683699</c:v>
                </c:pt>
              </c:numCache>
            </c:numRef>
          </c:yVal>
          <c:smooth val="1"/>
          <c:extLst>
            <c:ext xmlns:c16="http://schemas.microsoft.com/office/drawing/2014/chart" uri="{C3380CC4-5D6E-409C-BE32-E72D297353CC}">
              <c16:uniqueId val="{00000000-7D31-4A23-93F4-E3C4AFC72D4C}"/>
            </c:ext>
          </c:extLst>
        </c:ser>
        <c:dLbls>
          <c:showLegendKey val="0"/>
          <c:showVal val="0"/>
          <c:showCatName val="0"/>
          <c:showSerName val="0"/>
          <c:showPercent val="0"/>
          <c:showBubbleSize val="0"/>
        </c:dLbls>
        <c:axId val="153653632"/>
        <c:axId val="153655552"/>
      </c:scatterChart>
      <c:valAx>
        <c:axId val="153653632"/>
        <c:scaling>
          <c:orientation val="minMax"/>
          <c:max val="560"/>
          <c:min val="450"/>
        </c:scaling>
        <c:delete val="0"/>
        <c:axPos val="b"/>
        <c:majorGridlines>
          <c:spPr>
            <a:ln>
              <a:solidFill>
                <a:prstClr val="black"/>
              </a:solidFill>
              <a:prstDash val="sysDash"/>
            </a:ln>
          </c:spPr>
        </c:majorGridlines>
        <c:title>
          <c:tx>
            <c:rich>
              <a:bodyPr/>
              <a:lstStyle/>
              <a:p>
                <a:pPr>
                  <a:defRPr/>
                </a:pPr>
                <a:r>
                  <a:rPr lang="nl-NL"/>
                  <a:t>vraag</a:t>
                </a:r>
              </a:p>
            </c:rich>
          </c:tx>
          <c:overlay val="0"/>
        </c:title>
        <c:numFmt formatCode="General" sourceLinked="1"/>
        <c:majorTickMark val="out"/>
        <c:minorTickMark val="none"/>
        <c:tickLblPos val="nextTo"/>
        <c:crossAx val="153655552"/>
        <c:crosses val="autoZero"/>
        <c:crossBetween val="midCat"/>
        <c:majorUnit val="10"/>
      </c:valAx>
      <c:valAx>
        <c:axId val="153655552"/>
        <c:scaling>
          <c:orientation val="minMax"/>
          <c:max val="1"/>
          <c:min val="0.8"/>
        </c:scaling>
        <c:delete val="0"/>
        <c:axPos val="l"/>
        <c:majorGridlines>
          <c:spPr>
            <a:ln>
              <a:solidFill>
                <a:schemeClr val="tx1"/>
              </a:solidFill>
              <a:prstDash val="sysDash"/>
            </a:ln>
          </c:spPr>
        </c:majorGridlines>
        <c:title>
          <c:tx>
            <c:rich>
              <a:bodyPr rot="-5400000" vert="horz"/>
              <a:lstStyle/>
              <a:p>
                <a:pPr>
                  <a:defRPr/>
                </a:pPr>
                <a:r>
                  <a:rPr lang="nl-NL"/>
                  <a:t>servicegraad</a:t>
                </a:r>
              </a:p>
            </c:rich>
          </c:tx>
          <c:overlay val="0"/>
        </c:title>
        <c:numFmt formatCode="0%" sourceLinked="0"/>
        <c:majorTickMark val="out"/>
        <c:minorTickMark val="none"/>
        <c:tickLblPos val="nextTo"/>
        <c:crossAx val="153653632"/>
        <c:crosses val="autoZero"/>
        <c:crossBetween val="midCat"/>
        <c:majorUnit val="2.0000000000000011E-2"/>
      </c:valAx>
    </c:plotArea>
    <c:plotVisOnly val="1"/>
    <c:dispBlanksAs val="gap"/>
    <c:showDLblsOverMax val="0"/>
  </c:chart>
  <c:printSettings>
    <c:headerFooter/>
    <c:pageMargins b="0.75000000000000611" l="0.70000000000000062" r="0.70000000000000062" t="0.75000000000000611" header="0.30000000000000032" footer="0.30000000000000032"/>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pivotSource>
    <c:name>[Excel_Solutions_NL.xlsx]tidy003!Draaitabel1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a:t>Gemiddelde scores Rekenen en Taal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N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N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tidy003!$S$9</c:f>
              <c:strCache>
                <c:ptCount val="1"/>
                <c:pt idx="0">
                  <c:v>Gemiddelde van Rekenen</c:v>
                </c:pt>
              </c:strCache>
            </c:strRef>
          </c:tx>
          <c:spPr>
            <a:solidFill>
              <a:schemeClr val="accent1"/>
            </a:solidFill>
            <a:ln>
              <a:noFill/>
            </a:ln>
            <a:effectLst/>
          </c:spPr>
          <c:invertIfNegative val="0"/>
          <c:cat>
            <c:strRef>
              <c:f>tidy003!$R$10:$R$12</c:f>
              <c:strCache>
                <c:ptCount val="2"/>
                <c:pt idx="0">
                  <c:v>2017</c:v>
                </c:pt>
                <c:pt idx="1">
                  <c:v>2018</c:v>
                </c:pt>
              </c:strCache>
            </c:strRef>
          </c:cat>
          <c:val>
            <c:numRef>
              <c:f>tidy003!$S$10:$S$12</c:f>
              <c:numCache>
                <c:formatCode>0.0</c:formatCode>
                <c:ptCount val="2"/>
                <c:pt idx="0">
                  <c:v>62.888888888888886</c:v>
                </c:pt>
                <c:pt idx="1">
                  <c:v>65</c:v>
                </c:pt>
              </c:numCache>
            </c:numRef>
          </c:val>
          <c:extLst>
            <c:ext xmlns:c16="http://schemas.microsoft.com/office/drawing/2014/chart" uri="{C3380CC4-5D6E-409C-BE32-E72D297353CC}">
              <c16:uniqueId val="{00000000-962B-4A68-8475-49D6E79F4561}"/>
            </c:ext>
          </c:extLst>
        </c:ser>
        <c:ser>
          <c:idx val="1"/>
          <c:order val="1"/>
          <c:tx>
            <c:strRef>
              <c:f>tidy003!$T$9</c:f>
              <c:strCache>
                <c:ptCount val="1"/>
                <c:pt idx="0">
                  <c:v>Gemiddelde van Taal</c:v>
                </c:pt>
              </c:strCache>
            </c:strRef>
          </c:tx>
          <c:spPr>
            <a:solidFill>
              <a:schemeClr val="accent2"/>
            </a:solidFill>
            <a:ln>
              <a:noFill/>
            </a:ln>
            <a:effectLst/>
          </c:spPr>
          <c:invertIfNegative val="0"/>
          <c:cat>
            <c:strRef>
              <c:f>tidy003!$R$10:$R$12</c:f>
              <c:strCache>
                <c:ptCount val="2"/>
                <c:pt idx="0">
                  <c:v>2017</c:v>
                </c:pt>
                <c:pt idx="1">
                  <c:v>2018</c:v>
                </c:pt>
              </c:strCache>
            </c:strRef>
          </c:cat>
          <c:val>
            <c:numRef>
              <c:f>tidy003!$T$10:$T$12</c:f>
              <c:numCache>
                <c:formatCode>0.0</c:formatCode>
                <c:ptCount val="2"/>
                <c:pt idx="0">
                  <c:v>69.333333333333329</c:v>
                </c:pt>
                <c:pt idx="1">
                  <c:v>68.111111111111114</c:v>
                </c:pt>
              </c:numCache>
            </c:numRef>
          </c:val>
          <c:extLst>
            <c:ext xmlns:c16="http://schemas.microsoft.com/office/drawing/2014/chart" uri="{C3380CC4-5D6E-409C-BE32-E72D297353CC}">
              <c16:uniqueId val="{00000001-962B-4A68-8475-49D6E79F4561}"/>
            </c:ext>
          </c:extLst>
        </c:ser>
        <c:dLbls>
          <c:showLegendKey val="0"/>
          <c:showVal val="0"/>
          <c:showCatName val="0"/>
          <c:showSerName val="0"/>
          <c:showPercent val="0"/>
          <c:showBubbleSize val="0"/>
        </c:dLbls>
        <c:gapWidth val="219"/>
        <c:overlap val="-27"/>
        <c:axId val="723433648"/>
        <c:axId val="480465072"/>
      </c:barChart>
      <c:catAx>
        <c:axId val="723433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480465072"/>
        <c:crosses val="autoZero"/>
        <c:auto val="1"/>
        <c:lblAlgn val="ctr"/>
        <c:lblOffset val="100"/>
        <c:noMultiLvlLbl val="0"/>
      </c:catAx>
      <c:valAx>
        <c:axId val="480465072"/>
        <c:scaling>
          <c:orientation val="minMax"/>
          <c:max val="80"/>
          <c:min val="5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234336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8.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9.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34.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35.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36.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4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3.png"/></Relationships>
</file>

<file path=xl/drawings/_rels/drawing46.xml.rels><?xml version="1.0" encoding="UTF-8" standalone="yes"?>
<Relationships xmlns="http://schemas.openxmlformats.org/package/2006/relationships"><Relationship Id="rId1" Type="http://schemas.openxmlformats.org/officeDocument/2006/relationships/image" Target="../media/image4.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53.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54.xml.rels><?xml version="1.0" encoding="UTF-8" standalone="yes"?>
<Relationships xmlns="http://schemas.openxmlformats.org/package/2006/relationships"><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5</xdr:col>
      <xdr:colOff>595312</xdr:colOff>
      <xdr:row>8</xdr:row>
      <xdr:rowOff>185737</xdr:rowOff>
    </xdr:from>
    <xdr:to>
      <xdr:col>12</xdr:col>
      <xdr:colOff>442912</xdr:colOff>
      <xdr:row>23</xdr:row>
      <xdr:rowOff>71437</xdr:rowOff>
    </xdr:to>
    <xdr:graphicFrame macro="">
      <xdr:nvGraphicFramePr>
        <xdr:cNvPr id="2" name="Grafiek 1">
          <a:extLst>
            <a:ext uri="{FF2B5EF4-FFF2-40B4-BE49-F238E27FC236}">
              <a16:creationId xmlns:a16="http://schemas.microsoft.com/office/drawing/2014/main" id="{3F0ED848-DF56-4A8A-A67B-7AB813E753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25</xdr:row>
      <xdr:rowOff>0</xdr:rowOff>
    </xdr:from>
    <xdr:to>
      <xdr:col>12</xdr:col>
      <xdr:colOff>457200</xdr:colOff>
      <xdr:row>40</xdr:row>
      <xdr:rowOff>76200</xdr:rowOff>
    </xdr:to>
    <xdr:graphicFrame macro="">
      <xdr:nvGraphicFramePr>
        <xdr:cNvPr id="3" name="Grafiek 2">
          <a:extLst>
            <a:ext uri="{FF2B5EF4-FFF2-40B4-BE49-F238E27FC236}">
              <a16:creationId xmlns:a16="http://schemas.microsoft.com/office/drawing/2014/main" id="{3CF3EA31-8362-4AB9-998F-C16881606F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25</xdr:row>
      <xdr:rowOff>0</xdr:rowOff>
    </xdr:from>
    <xdr:to>
      <xdr:col>21</xdr:col>
      <xdr:colOff>304800</xdr:colOff>
      <xdr:row>40</xdr:row>
      <xdr:rowOff>76200</xdr:rowOff>
    </xdr:to>
    <xdr:graphicFrame macro="">
      <xdr:nvGraphicFramePr>
        <xdr:cNvPr id="4" name="Grafiek 3">
          <a:extLst>
            <a:ext uri="{FF2B5EF4-FFF2-40B4-BE49-F238E27FC236}">
              <a16:creationId xmlns:a16="http://schemas.microsoft.com/office/drawing/2014/main" id="{2ED0EC4C-ABBE-47A9-B911-AEBAA8C709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42862</xdr:colOff>
      <xdr:row>8</xdr:row>
      <xdr:rowOff>23812</xdr:rowOff>
    </xdr:from>
    <xdr:to>
      <xdr:col>13</xdr:col>
      <xdr:colOff>347662</xdr:colOff>
      <xdr:row>22</xdr:row>
      <xdr:rowOff>100012</xdr:rowOff>
    </xdr:to>
    <xdr:graphicFrame macro="">
      <xdr:nvGraphicFramePr>
        <xdr:cNvPr id="2" name="Grafiek 1">
          <a:extLst>
            <a:ext uri="{FF2B5EF4-FFF2-40B4-BE49-F238E27FC236}">
              <a16:creationId xmlns:a16="http://schemas.microsoft.com/office/drawing/2014/main" id="{806A361D-9440-477B-97E9-A504261B0B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4762</xdr:colOff>
      <xdr:row>13</xdr:row>
      <xdr:rowOff>19049</xdr:rowOff>
    </xdr:from>
    <xdr:to>
      <xdr:col>5</xdr:col>
      <xdr:colOff>9525</xdr:colOff>
      <xdr:row>32</xdr:row>
      <xdr:rowOff>133349</xdr:rowOff>
    </xdr:to>
    <xdr:graphicFrame macro="">
      <xdr:nvGraphicFramePr>
        <xdr:cNvPr id="2" name="Grafiek 1">
          <a:extLst>
            <a:ext uri="{FF2B5EF4-FFF2-40B4-BE49-F238E27FC236}">
              <a16:creationId xmlns:a16="http://schemas.microsoft.com/office/drawing/2014/main" id="{60B42510-9660-4F76-B2F2-595CA6D3B7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247648</xdr:colOff>
      <xdr:row>16</xdr:row>
      <xdr:rowOff>19050</xdr:rowOff>
    </xdr:from>
    <xdr:to>
      <xdr:col>10</xdr:col>
      <xdr:colOff>504825</xdr:colOff>
      <xdr:row>23</xdr:row>
      <xdr:rowOff>133350</xdr:rowOff>
    </xdr:to>
    <xdr:sp macro="" textlink="">
      <xdr:nvSpPr>
        <xdr:cNvPr id="3" name="Tekstvak 2">
          <a:extLst>
            <a:ext uri="{FF2B5EF4-FFF2-40B4-BE49-F238E27FC236}">
              <a16:creationId xmlns:a16="http://schemas.microsoft.com/office/drawing/2014/main" id="{00000000-0008-0000-0200-000003000000}"/>
            </a:ext>
          </a:extLst>
        </xdr:cNvPr>
        <xdr:cNvSpPr txBox="1"/>
      </xdr:nvSpPr>
      <xdr:spPr>
        <a:xfrm>
          <a:off x="495298" y="2733675"/>
          <a:ext cx="6581777" cy="12477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Bruto Winst = Opbrengst - Kosten</a:t>
          </a:r>
        </a:p>
        <a:p>
          <a:r>
            <a:rPr lang="nl-NL" sz="900">
              <a:latin typeface="Consolas" pitchFamily="49" charset="0"/>
              <a:cs typeface="Consolas" pitchFamily="49" charset="0"/>
            </a:rPr>
            <a:t>Marge behaald = Bruto winst / Kosten ,</a:t>
          </a:r>
          <a:r>
            <a:rPr lang="nl-NL" sz="900" baseline="0">
              <a:latin typeface="Consolas" pitchFamily="49" charset="0"/>
              <a:cs typeface="Consolas" pitchFamily="49" charset="0"/>
            </a:rPr>
            <a:t> o</a:t>
          </a:r>
          <a:r>
            <a:rPr lang="nl-NL" sz="900">
              <a:latin typeface="Consolas" pitchFamily="49" charset="0"/>
              <a:cs typeface="Consolas" pitchFamily="49" charset="0"/>
            </a:rPr>
            <a:t>pmaak</a:t>
          </a:r>
          <a:r>
            <a:rPr lang="nl-NL" sz="900" baseline="0">
              <a:latin typeface="Consolas" pitchFamily="49" charset="0"/>
              <a:cs typeface="Consolas" pitchFamily="49" charset="0"/>
            </a:rPr>
            <a:t>  als percentage</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Voor de weergave van het resultaat moeten 2 voorwaarden gecontroleerd worden. Dat kan op twee manieren:</a:t>
          </a:r>
        </a:p>
        <a:p>
          <a:r>
            <a:rPr lang="nl-NL" sz="900" baseline="0">
              <a:latin typeface="Consolas" pitchFamily="49" charset="0"/>
              <a:cs typeface="Consolas" pitchFamily="49" charset="0"/>
            </a:rPr>
            <a:t>1) via een geneste ALS functie: =ALS(G10&gt;$G$7;ALS(H10&gt;$H$7;"goed";"slecht");"slecht")</a:t>
          </a:r>
        </a:p>
        <a:p>
          <a:r>
            <a:rPr lang="nl-NL" sz="900" baseline="0">
              <a:latin typeface="Consolas" pitchFamily="49" charset="0"/>
              <a:cs typeface="Consolas" pitchFamily="49" charset="0"/>
            </a:rPr>
            <a:t>2) via ALS gecombineerd met EN: =ALS(EN(G10&gt;$G$7;H10&gt;$H$7);"goed";"slecht")</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38100</xdr:colOff>
      <xdr:row>23</xdr:row>
      <xdr:rowOff>57150</xdr:rowOff>
    </xdr:from>
    <xdr:to>
      <xdr:col>5</xdr:col>
      <xdr:colOff>1400175</xdr:colOff>
      <xdr:row>27</xdr:row>
      <xdr:rowOff>28575</xdr:rowOff>
    </xdr:to>
    <xdr:sp macro="" textlink="">
      <xdr:nvSpPr>
        <xdr:cNvPr id="2" name="Tekstvak 1">
          <a:extLst>
            <a:ext uri="{FF2B5EF4-FFF2-40B4-BE49-F238E27FC236}">
              <a16:creationId xmlns:a16="http://schemas.microsoft.com/office/drawing/2014/main" id="{00000000-0008-0000-0300-000002000000}"/>
            </a:ext>
          </a:extLst>
        </xdr:cNvPr>
        <xdr:cNvSpPr txBox="1"/>
      </xdr:nvSpPr>
      <xdr:spPr>
        <a:xfrm>
          <a:off x="533400" y="3743325"/>
          <a:ext cx="3857625" cy="6191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Het</a:t>
          </a:r>
          <a:r>
            <a:rPr lang="nl-NL" sz="900" baseline="0">
              <a:latin typeface="Consolas" pitchFamily="49" charset="0"/>
              <a:cs typeface="Consolas" pitchFamily="49" charset="0"/>
            </a:rPr>
            <a:t> zoekresultaat kan via Verticaal Zoeken gevonden worden.</a:t>
          </a:r>
          <a:endParaRPr lang="nl-NL" sz="900">
            <a:latin typeface="Consolas" pitchFamily="49" charset="0"/>
            <a:cs typeface="Consolas" pitchFamily="49"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0</xdr:colOff>
      <xdr:row>17</xdr:row>
      <xdr:rowOff>9526</xdr:rowOff>
    </xdr:from>
    <xdr:to>
      <xdr:col>9</xdr:col>
      <xdr:colOff>352425</xdr:colOff>
      <xdr:row>22</xdr:row>
      <xdr:rowOff>57151</xdr:rowOff>
    </xdr:to>
    <xdr:sp macro="" textlink="">
      <xdr:nvSpPr>
        <xdr:cNvPr id="3" name="Tekstvak 2">
          <a:extLst>
            <a:ext uri="{FF2B5EF4-FFF2-40B4-BE49-F238E27FC236}">
              <a16:creationId xmlns:a16="http://schemas.microsoft.com/office/drawing/2014/main" id="{00000000-0008-0000-0400-000003000000}"/>
            </a:ext>
          </a:extLst>
        </xdr:cNvPr>
        <xdr:cNvSpPr txBox="1"/>
      </xdr:nvSpPr>
      <xdr:spPr>
        <a:xfrm>
          <a:off x="495300" y="2724151"/>
          <a:ext cx="5695950" cy="8572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geboortedatum:</a:t>
          </a:r>
          <a:r>
            <a:rPr lang="nl-NL" sz="900" baseline="0">
              <a:latin typeface="Consolas" pitchFamily="49" charset="0"/>
              <a:cs typeface="Consolas" pitchFamily="49" charset="0"/>
            </a:rPr>
            <a:t> opmaak van belang-&gt; celeigenschappen -&gt; getal -&gt; type is ddd dd-m-jjjj</a:t>
          </a:r>
        </a:p>
        <a:p>
          <a:r>
            <a:rPr lang="nl-NL" sz="900" baseline="0">
              <a:latin typeface="Consolas" pitchFamily="49" charset="0"/>
              <a:cs typeface="Consolas" pitchFamily="49" charset="0"/>
            </a:rPr>
            <a:t>AOW datum: =DATUM(JAAR(geboortedatum)+AOW_Leeftijd;MAAND(geboortedatum);DAG(geboortedatum))</a:t>
          </a:r>
        </a:p>
        <a:p>
          <a:r>
            <a:rPr lang="nl-NL" sz="900" baseline="0">
              <a:latin typeface="Consolas" pitchFamily="49" charset="0"/>
              <a:cs typeface="Consolas" pitchFamily="49" charset="0"/>
            </a:rPr>
            <a:t>Huidige datum: =VANDAAG()</a:t>
          </a:r>
        </a:p>
        <a:p>
          <a:r>
            <a:rPr lang="nl-NL" sz="900" baseline="0">
              <a:latin typeface="Consolas" pitchFamily="49" charset="0"/>
              <a:cs typeface="Consolas" pitchFamily="49" charset="0"/>
            </a:rPr>
            <a:t>Aantal dagen tot AOW: =AOW_Datum-D10 , opmaken als hele getallen</a:t>
          </a:r>
          <a:endParaRPr lang="nl-NL" sz="900">
            <a:latin typeface="Consolas" pitchFamily="49" charset="0"/>
            <a:cs typeface="Consolas" pitchFamily="49"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0</xdr:colOff>
      <xdr:row>17</xdr:row>
      <xdr:rowOff>38100</xdr:rowOff>
    </xdr:from>
    <xdr:to>
      <xdr:col>11</xdr:col>
      <xdr:colOff>0</xdr:colOff>
      <xdr:row>20</xdr:row>
      <xdr:rowOff>76200</xdr:rowOff>
    </xdr:to>
    <xdr:sp macro="" textlink="">
      <xdr:nvSpPr>
        <xdr:cNvPr id="2" name="Tekstvak 1">
          <a:extLst>
            <a:ext uri="{FF2B5EF4-FFF2-40B4-BE49-F238E27FC236}">
              <a16:creationId xmlns:a16="http://schemas.microsoft.com/office/drawing/2014/main" id="{00000000-0008-0000-0500-000002000000}"/>
            </a:ext>
          </a:extLst>
        </xdr:cNvPr>
        <xdr:cNvSpPr txBox="1"/>
      </xdr:nvSpPr>
      <xdr:spPr>
        <a:xfrm>
          <a:off x="495300" y="2752725"/>
          <a:ext cx="6143625" cy="5238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Commisie</a:t>
          </a:r>
          <a:r>
            <a:rPr lang="nl-NL" sz="900" baseline="0">
              <a:latin typeface="Consolas" pitchFamily="49" charset="0"/>
              <a:cs typeface="Consolas" pitchFamily="49" charset="0"/>
            </a:rPr>
            <a:t> =ALS(Verkoop &lt; VerkoopDoelstelling;CommissieLaag*Verkoop;CommissieHoog*Verkoop)</a:t>
          </a:r>
        </a:p>
        <a:p>
          <a:endParaRPr lang="nl-NL" sz="900">
            <a:latin typeface="Consolas" pitchFamily="49" charset="0"/>
            <a:cs typeface="Consolas" pitchFamily="49" charset="0"/>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0</xdr:colOff>
      <xdr:row>22</xdr:row>
      <xdr:rowOff>19050</xdr:rowOff>
    </xdr:from>
    <xdr:to>
      <xdr:col>12</xdr:col>
      <xdr:colOff>152402</xdr:colOff>
      <xdr:row>32</xdr:row>
      <xdr:rowOff>104775</xdr:rowOff>
    </xdr:to>
    <xdr:sp macro="" textlink="">
      <xdr:nvSpPr>
        <xdr:cNvPr id="2" name="Tekstvak 1">
          <a:extLst>
            <a:ext uri="{FF2B5EF4-FFF2-40B4-BE49-F238E27FC236}">
              <a16:creationId xmlns:a16="http://schemas.microsoft.com/office/drawing/2014/main" id="{00000000-0008-0000-0600-000002000000}"/>
            </a:ext>
          </a:extLst>
        </xdr:cNvPr>
        <xdr:cNvSpPr txBox="1"/>
      </xdr:nvSpPr>
      <xdr:spPr>
        <a:xfrm>
          <a:off x="495300" y="3771900"/>
          <a:ext cx="6677027" cy="17049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Dagen</a:t>
          </a:r>
          <a:r>
            <a:rPr lang="nl-NL" sz="900" baseline="0">
              <a:latin typeface="Consolas" pitchFamily="49" charset="0"/>
              <a:cs typeface="Consolas" pitchFamily="49" charset="0"/>
            </a:rPr>
            <a:t> te vroeg: Hier moet op 2 voorwaarden gecontroleerd worden. Controleren of er een geboorte is door te testen of geboortedatum ingevuld is. En als er een geboorte is testen of de geboortedatum voor de verwachte datum is. Twee mogelijke oplossingen</a:t>
          </a:r>
        </a:p>
        <a:p>
          <a:r>
            <a:rPr lang="nl-NL" sz="900" baseline="0">
              <a:latin typeface="Consolas" pitchFamily="49" charset="0"/>
              <a:cs typeface="Consolas" pitchFamily="49" charset="0"/>
            </a:rPr>
            <a:t>1) =ALS(GeboorteDatum&gt;&lt;&gt;"";ALS(GeboorteDatum&lt;VerwachtDatum;VerwachtDatum-GeboorteDatum;"");"")</a:t>
          </a:r>
        </a:p>
        <a:p>
          <a:r>
            <a:rPr lang="nl-NL" sz="900" baseline="0">
              <a:latin typeface="Consolas" pitchFamily="49" charset="0"/>
              <a:cs typeface="Consolas" pitchFamily="49" charset="0"/>
            </a:rPr>
            <a:t>2) =ALS(EN(GeboorteDatum&lt;&gt;"";GeboorteDatum&lt;VerwachtDatum);VerwachtDatum-GeboorteDatum;"")</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In de uitwerking is de tweede variant gebruikt omdat deze beter leesbaar is en minder snel foute interpretaties geeft.</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Dagen te laat, op tijd en overtijd hebben een gelijksoortige oplossing.</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28575</xdr:colOff>
      <xdr:row>25</xdr:row>
      <xdr:rowOff>9525</xdr:rowOff>
    </xdr:from>
    <xdr:to>
      <xdr:col>5</xdr:col>
      <xdr:colOff>485775</xdr:colOff>
      <xdr:row>32</xdr:row>
      <xdr:rowOff>0</xdr:rowOff>
    </xdr:to>
    <xdr:sp macro="" textlink="">
      <xdr:nvSpPr>
        <xdr:cNvPr id="2" name="Tekstvak 1">
          <a:extLst>
            <a:ext uri="{FF2B5EF4-FFF2-40B4-BE49-F238E27FC236}">
              <a16:creationId xmlns:a16="http://schemas.microsoft.com/office/drawing/2014/main" id="{00000000-0008-0000-0700-000002000000}"/>
            </a:ext>
          </a:extLst>
        </xdr:cNvPr>
        <xdr:cNvSpPr txBox="1"/>
      </xdr:nvSpPr>
      <xdr:spPr>
        <a:xfrm>
          <a:off x="523875" y="4019550"/>
          <a:ext cx="3486150" cy="11239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Formule voor vermindering RKO is een complexe,</a:t>
          </a:r>
          <a:r>
            <a:rPr lang="nl-NL" sz="900" baseline="0">
              <a:latin typeface="Consolas" pitchFamily="49" charset="0"/>
              <a:cs typeface="Consolas" pitchFamily="49" charset="0"/>
            </a:rPr>
            <a:t> geneste ALS. Selecteer cel E20 om de formule te bestuderen.</a:t>
          </a:r>
        </a:p>
        <a:p>
          <a:r>
            <a:rPr lang="nl-NL" sz="900" baseline="0">
              <a:latin typeface="Consolas" pitchFamily="49" charset="0"/>
              <a:cs typeface="Consolas" pitchFamily="49" charset="0"/>
            </a:rPr>
            <a:t>De tekst in D21 wordt via een ALS bepaald.</a:t>
          </a:r>
        </a:p>
        <a:p>
          <a:r>
            <a:rPr lang="nl-NL" sz="900" baseline="0">
              <a:latin typeface="Consolas" pitchFamily="49" charset="0"/>
              <a:cs typeface="Consolas" pitchFamily="49" charset="0"/>
            </a:rPr>
            <a:t>Van het bedrag in E21 wordt de absolute waarde bepaald.</a:t>
          </a:r>
        </a:p>
        <a:p>
          <a:endParaRPr lang="nl-NL" sz="900">
            <a:latin typeface="Consolas" pitchFamily="49" charset="0"/>
            <a:cs typeface="Consolas" pitchFamily="49" charset="0"/>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238125</xdr:colOff>
      <xdr:row>15</xdr:row>
      <xdr:rowOff>9525</xdr:rowOff>
    </xdr:from>
    <xdr:to>
      <xdr:col>4</xdr:col>
      <xdr:colOff>495300</xdr:colOff>
      <xdr:row>18</xdr:row>
      <xdr:rowOff>47625</xdr:rowOff>
    </xdr:to>
    <xdr:sp macro="" textlink="">
      <xdr:nvSpPr>
        <xdr:cNvPr id="2" name="Tekstvak 1">
          <a:extLst>
            <a:ext uri="{FF2B5EF4-FFF2-40B4-BE49-F238E27FC236}">
              <a16:creationId xmlns:a16="http://schemas.microsoft.com/office/drawing/2014/main" id="{00000000-0008-0000-0800-000002000000}"/>
            </a:ext>
          </a:extLst>
        </xdr:cNvPr>
        <xdr:cNvSpPr txBox="1"/>
      </xdr:nvSpPr>
      <xdr:spPr>
        <a:xfrm>
          <a:off x="485775" y="2400300"/>
          <a:ext cx="2219325" cy="5238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baseline="0">
              <a:latin typeface="Consolas" pitchFamily="49" charset="0"/>
              <a:cs typeface="Consolas" pitchFamily="49" charset="0"/>
            </a:rPr>
            <a:t>Tarief = =ALS(E11&gt;12;E9;E8)</a:t>
          </a:r>
        </a:p>
        <a:p>
          <a:endParaRPr lang="nl-NL" sz="900">
            <a:latin typeface="Consolas" pitchFamily="49" charset="0"/>
            <a:cs typeface="Consolas" pitchFamily="49" charset="0"/>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xdr:col>
      <xdr:colOff>0</xdr:colOff>
      <xdr:row>21</xdr:row>
      <xdr:rowOff>9525</xdr:rowOff>
    </xdr:from>
    <xdr:to>
      <xdr:col>5</xdr:col>
      <xdr:colOff>390525</xdr:colOff>
      <xdr:row>24</xdr:row>
      <xdr:rowOff>47625</xdr:rowOff>
    </xdr:to>
    <xdr:sp macro="" textlink="">
      <xdr:nvSpPr>
        <xdr:cNvPr id="2" name="Tekstvak 1">
          <a:extLst>
            <a:ext uri="{FF2B5EF4-FFF2-40B4-BE49-F238E27FC236}">
              <a16:creationId xmlns:a16="http://schemas.microsoft.com/office/drawing/2014/main" id="{00000000-0008-0000-0900-000002000000}"/>
            </a:ext>
          </a:extLst>
        </xdr:cNvPr>
        <xdr:cNvSpPr txBox="1"/>
      </xdr:nvSpPr>
      <xdr:spPr>
        <a:xfrm>
          <a:off x="1009650" y="3429000"/>
          <a:ext cx="2962275" cy="5238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baseline="0">
              <a:latin typeface="Consolas" pitchFamily="49" charset="0"/>
              <a:cs typeface="Consolas" pitchFamily="49" charset="0"/>
            </a:rPr>
            <a:t>Tarief eigenaar : =ALS(E13="ja";E8*$E$11;0)</a:t>
          </a:r>
        </a:p>
        <a:p>
          <a:r>
            <a:rPr lang="nl-NL" sz="900" baseline="0">
              <a:latin typeface="Consolas" pitchFamily="49" charset="0"/>
              <a:cs typeface="Consolas" pitchFamily="49" charset="0"/>
            </a:rPr>
            <a:t>Tarief gebruiker: =ALS(E14="ja";E9*$E$11;0)</a:t>
          </a:r>
        </a:p>
        <a:p>
          <a:endParaRPr lang="nl-NL" sz="900" baseline="0">
            <a:latin typeface="Consolas" pitchFamily="49" charset="0"/>
            <a:cs typeface="Consolas" pitchFamily="49" charset="0"/>
          </a:endParaRPr>
        </a:p>
        <a:p>
          <a:endParaRPr lang="nl-NL" sz="900">
            <a:latin typeface="Consolas" pitchFamily="49" charset="0"/>
            <a:cs typeface="Consolas" pitchFamily="49"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504825</xdr:colOff>
      <xdr:row>15</xdr:row>
      <xdr:rowOff>0</xdr:rowOff>
    </xdr:from>
    <xdr:to>
      <xdr:col>6</xdr:col>
      <xdr:colOff>171450</xdr:colOff>
      <xdr:row>18</xdr:row>
      <xdr:rowOff>38100</xdr:rowOff>
    </xdr:to>
    <xdr:sp macro="" textlink="">
      <xdr:nvSpPr>
        <xdr:cNvPr id="2" name="Tekstvak 1">
          <a:extLst>
            <a:ext uri="{FF2B5EF4-FFF2-40B4-BE49-F238E27FC236}">
              <a16:creationId xmlns:a16="http://schemas.microsoft.com/office/drawing/2014/main" id="{00000000-0008-0000-0A00-000002000000}"/>
            </a:ext>
          </a:extLst>
        </xdr:cNvPr>
        <xdr:cNvSpPr txBox="1"/>
      </xdr:nvSpPr>
      <xdr:spPr>
        <a:xfrm>
          <a:off x="1000125" y="2390775"/>
          <a:ext cx="2962275" cy="5238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baseline="0">
              <a:latin typeface="Consolas" pitchFamily="49" charset="0"/>
              <a:cs typeface="Consolas" pitchFamily="49" charset="0"/>
            </a:rPr>
            <a:t>Rente : =E7*E8</a:t>
          </a:r>
        </a:p>
        <a:p>
          <a:r>
            <a:rPr lang="nl-NL" sz="900" baseline="0">
              <a:latin typeface="Consolas" pitchFamily="49" charset="0"/>
              <a:cs typeface="Consolas" pitchFamily="49" charset="0"/>
            </a:rPr>
            <a:t>Bedrag: =E7+E11</a:t>
          </a:r>
        </a:p>
        <a:p>
          <a:endParaRPr lang="nl-NL" sz="900" baseline="0">
            <a:latin typeface="Consolas" pitchFamily="49" charset="0"/>
            <a:cs typeface="Consolas" pitchFamily="49" charset="0"/>
          </a:endParaRPr>
        </a:p>
        <a:p>
          <a:endParaRPr lang="nl-NL" sz="900">
            <a:latin typeface="Consolas" pitchFamily="49" charset="0"/>
            <a:cs typeface="Consolas" pitchFamily="49"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xdr:col>
      <xdr:colOff>114300</xdr:colOff>
      <xdr:row>13</xdr:row>
      <xdr:rowOff>28575</xdr:rowOff>
    </xdr:from>
    <xdr:to>
      <xdr:col>6</xdr:col>
      <xdr:colOff>476250</xdr:colOff>
      <xdr:row>16</xdr:row>
      <xdr:rowOff>66675</xdr:rowOff>
    </xdr:to>
    <xdr:sp macro="" textlink="">
      <xdr:nvSpPr>
        <xdr:cNvPr id="2" name="Tekstvak 1">
          <a:extLst>
            <a:ext uri="{FF2B5EF4-FFF2-40B4-BE49-F238E27FC236}">
              <a16:creationId xmlns:a16="http://schemas.microsoft.com/office/drawing/2014/main" id="{00000000-0008-0000-0B00-000002000000}"/>
            </a:ext>
          </a:extLst>
        </xdr:cNvPr>
        <xdr:cNvSpPr txBox="1"/>
      </xdr:nvSpPr>
      <xdr:spPr>
        <a:xfrm>
          <a:off x="1123950" y="2095500"/>
          <a:ext cx="2962275" cy="5238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baseline="0">
              <a:latin typeface="Consolas" pitchFamily="49" charset="0"/>
              <a:cs typeface="Consolas" pitchFamily="49" charset="0"/>
            </a:rPr>
            <a:t>warmte: =0,24*E7^2*E8*E9</a:t>
          </a:r>
        </a:p>
        <a:p>
          <a:endParaRPr lang="nl-NL" sz="900">
            <a:latin typeface="Consolas" pitchFamily="49" charset="0"/>
            <a:cs typeface="Consolas" pitchFamily="49" charset="0"/>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9526</xdr:colOff>
      <xdr:row>12</xdr:row>
      <xdr:rowOff>152400</xdr:rowOff>
    </xdr:from>
    <xdr:to>
      <xdr:col>7</xdr:col>
      <xdr:colOff>485776</xdr:colOff>
      <xdr:row>19</xdr:row>
      <xdr:rowOff>133350</xdr:rowOff>
    </xdr:to>
    <xdr:sp macro="" textlink="">
      <xdr:nvSpPr>
        <xdr:cNvPr id="2" name="Tekstvak 1">
          <a:extLst>
            <a:ext uri="{FF2B5EF4-FFF2-40B4-BE49-F238E27FC236}">
              <a16:creationId xmlns:a16="http://schemas.microsoft.com/office/drawing/2014/main" id="{00000000-0008-0000-0D00-000002000000}"/>
            </a:ext>
          </a:extLst>
        </xdr:cNvPr>
        <xdr:cNvSpPr txBox="1"/>
      </xdr:nvSpPr>
      <xdr:spPr>
        <a:xfrm>
          <a:off x="504826" y="2057400"/>
          <a:ext cx="4419600" cy="11144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Ga naar Gegevens &gt; tab Hulpmiddelen &gt; Wat als analyse &gt; Doelzoeken</a:t>
          </a:r>
        </a:p>
        <a:p>
          <a:r>
            <a:rPr lang="nl-NL" sz="900">
              <a:latin typeface="Consolas" pitchFamily="49" charset="0"/>
              <a:cs typeface="Consolas" pitchFamily="49" charset="0"/>
            </a:rPr>
            <a:t>Stel dialoogvenster in</a:t>
          </a:r>
        </a:p>
        <a:p>
          <a:r>
            <a:rPr lang="nl-NL" sz="900">
              <a:latin typeface="Consolas" pitchFamily="49" charset="0"/>
              <a:cs typeface="Consolas" pitchFamily="49" charset="0"/>
            </a:rPr>
            <a:t>Cel instellen: E9</a:t>
          </a:r>
        </a:p>
        <a:p>
          <a:r>
            <a:rPr lang="nl-NL" sz="900">
              <a:latin typeface="Consolas" pitchFamily="49" charset="0"/>
              <a:cs typeface="Consolas" pitchFamily="49" charset="0"/>
            </a:rPr>
            <a:t>Op waarde: 5000</a:t>
          </a:r>
        </a:p>
        <a:p>
          <a:r>
            <a:rPr lang="nl-NL" sz="900">
              <a:latin typeface="Consolas" pitchFamily="49" charset="0"/>
              <a:cs typeface="Consolas" pitchFamily="49" charset="0"/>
            </a:rPr>
            <a:t>Door wijzigen van cel: E8</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9526</xdr:colOff>
      <xdr:row>17</xdr:row>
      <xdr:rowOff>28575</xdr:rowOff>
    </xdr:from>
    <xdr:to>
      <xdr:col>7</xdr:col>
      <xdr:colOff>523875</xdr:colOff>
      <xdr:row>29</xdr:row>
      <xdr:rowOff>28574</xdr:rowOff>
    </xdr:to>
    <xdr:sp macro="" textlink="">
      <xdr:nvSpPr>
        <xdr:cNvPr id="2" name="Tekstvak 1">
          <a:extLst>
            <a:ext uri="{FF2B5EF4-FFF2-40B4-BE49-F238E27FC236}">
              <a16:creationId xmlns:a16="http://schemas.microsoft.com/office/drawing/2014/main" id="{00000000-0008-0000-0E00-000002000000}"/>
            </a:ext>
          </a:extLst>
        </xdr:cNvPr>
        <xdr:cNvSpPr txBox="1"/>
      </xdr:nvSpPr>
      <xdr:spPr>
        <a:xfrm>
          <a:off x="504826" y="2743200"/>
          <a:ext cx="3305174" cy="1943099"/>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Omdat</a:t>
          </a:r>
          <a:r>
            <a:rPr lang="nl-NL" sz="900" baseline="0">
              <a:latin typeface="Consolas" pitchFamily="49" charset="0"/>
              <a:cs typeface="Consolas" pitchFamily="49" charset="0"/>
            </a:rPr>
            <a:t> de eenheid voor termijnen een maand is en het rentepercentage per jaar wordt opgegeven, moet in de formule dit rentepercentage gedeeld worden door 12.</a:t>
          </a:r>
        </a:p>
        <a:p>
          <a:endParaRPr lang="nl-NL" sz="900">
            <a:latin typeface="Consolas" pitchFamily="49" charset="0"/>
            <a:cs typeface="Consolas" pitchFamily="49" charset="0"/>
          </a:endParaRPr>
        </a:p>
        <a:p>
          <a:r>
            <a:rPr lang="nl-NL" sz="900">
              <a:latin typeface="Consolas" pitchFamily="49" charset="0"/>
              <a:cs typeface="Consolas" pitchFamily="49" charset="0"/>
            </a:rPr>
            <a:t>Doelzoeken:</a:t>
          </a:r>
        </a:p>
        <a:p>
          <a:r>
            <a:rPr lang="nl-NL" sz="900">
              <a:latin typeface="Consolas" pitchFamily="49" charset="0"/>
              <a:cs typeface="Consolas" pitchFamily="49" charset="0"/>
            </a:rPr>
            <a:t>Ga naar Gegevens &gt; tab Hulpmiddelen &gt; Wat als analyse &gt; Doelzoeken</a:t>
          </a:r>
        </a:p>
        <a:p>
          <a:r>
            <a:rPr lang="nl-NL" sz="900">
              <a:latin typeface="Consolas" pitchFamily="49" charset="0"/>
              <a:cs typeface="Consolas" pitchFamily="49" charset="0"/>
            </a:rPr>
            <a:t>Stel dialoogvenster in</a:t>
          </a:r>
        </a:p>
        <a:p>
          <a:r>
            <a:rPr lang="nl-NL" sz="900">
              <a:latin typeface="Consolas" pitchFamily="49" charset="0"/>
              <a:cs typeface="Consolas" pitchFamily="49" charset="0"/>
            </a:rPr>
            <a:t>Cel instellen: E13</a:t>
          </a:r>
        </a:p>
        <a:p>
          <a:r>
            <a:rPr lang="nl-NL" sz="900">
              <a:latin typeface="Consolas" pitchFamily="49" charset="0"/>
              <a:cs typeface="Consolas" pitchFamily="49" charset="0"/>
            </a:rPr>
            <a:t>Op waarde: -750</a:t>
          </a:r>
        </a:p>
        <a:p>
          <a:r>
            <a:rPr lang="nl-NL" sz="900">
              <a:latin typeface="Consolas" pitchFamily="49" charset="0"/>
              <a:cs typeface="Consolas" pitchFamily="49" charset="0"/>
            </a:rPr>
            <a:t>Door wijzigen van cel: E10</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5</xdr:col>
      <xdr:colOff>600075</xdr:colOff>
      <xdr:row>7</xdr:row>
      <xdr:rowOff>19050</xdr:rowOff>
    </xdr:from>
    <xdr:to>
      <xdr:col>11</xdr:col>
      <xdr:colOff>542475</xdr:colOff>
      <xdr:row>24</xdr:row>
      <xdr:rowOff>9525</xdr:rowOff>
    </xdr:to>
    <xdr:graphicFrame macro="">
      <xdr:nvGraphicFramePr>
        <xdr:cNvPr id="3" name="Grafiek 2">
          <a:extLst>
            <a:ext uri="{FF2B5EF4-FFF2-40B4-BE49-F238E27FC236}">
              <a16:creationId xmlns:a16="http://schemas.microsoft.com/office/drawing/2014/main" id="{00000000-0008-0000-0F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9525</xdr:colOff>
      <xdr:row>31</xdr:row>
      <xdr:rowOff>161924</xdr:rowOff>
    </xdr:from>
    <xdr:to>
      <xdr:col>13</xdr:col>
      <xdr:colOff>161925</xdr:colOff>
      <xdr:row>47</xdr:row>
      <xdr:rowOff>19050</xdr:rowOff>
    </xdr:to>
    <xdr:sp macro="" textlink="">
      <xdr:nvSpPr>
        <xdr:cNvPr id="4" name="Tekstvak 3">
          <a:extLst>
            <a:ext uri="{FF2B5EF4-FFF2-40B4-BE49-F238E27FC236}">
              <a16:creationId xmlns:a16="http://schemas.microsoft.com/office/drawing/2014/main" id="{00000000-0008-0000-0F00-000004000000}"/>
            </a:ext>
          </a:extLst>
        </xdr:cNvPr>
        <xdr:cNvSpPr txBox="1"/>
      </xdr:nvSpPr>
      <xdr:spPr>
        <a:xfrm>
          <a:off x="2943225" y="5143499"/>
          <a:ext cx="4419600" cy="2447926"/>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baseline="0">
              <a:latin typeface="Consolas" pitchFamily="49" charset="0"/>
              <a:cs typeface="Consolas" pitchFamily="49" charset="0"/>
            </a:rPr>
            <a:t>Maak een tabel voor de verschillende Q-waarden en bereken de bijbehorende waarden voor TK en TO.</a:t>
          </a:r>
        </a:p>
        <a:p>
          <a:r>
            <a:rPr lang="nl-NL" sz="900" baseline="0">
              <a:latin typeface="Consolas" pitchFamily="49" charset="0"/>
              <a:cs typeface="Consolas" pitchFamily="49" charset="0"/>
            </a:rPr>
            <a:t>Teken de twee grafieken, type spreiding.</a:t>
          </a:r>
        </a:p>
        <a:p>
          <a:r>
            <a:rPr lang="nl-NL" sz="900" baseline="0">
              <a:latin typeface="Consolas" pitchFamily="49" charset="0"/>
              <a:cs typeface="Consolas" pitchFamily="49" charset="0"/>
            </a:rPr>
            <a:t>In de grafiek is te zien dat er een snijpunt is tussen Q-waarden 0 en 1 en een snijpunt tussen de Q-waarden 11 en 12</a:t>
          </a:r>
        </a:p>
        <a:p>
          <a:endParaRPr lang="nl-NL" sz="900">
            <a:latin typeface="Consolas" pitchFamily="49" charset="0"/>
            <a:cs typeface="Consolas" pitchFamily="49" charset="0"/>
          </a:endParaRPr>
        </a:p>
        <a:p>
          <a:r>
            <a:rPr lang="nl-NL" sz="900">
              <a:latin typeface="Consolas" pitchFamily="49" charset="0"/>
              <a:cs typeface="Consolas" pitchFamily="49" charset="0"/>
            </a:rPr>
            <a:t>Doelzoeken:</a:t>
          </a:r>
        </a:p>
        <a:p>
          <a:r>
            <a:rPr lang="nl-NL" sz="900">
              <a:latin typeface="Consolas" pitchFamily="49" charset="0"/>
              <a:cs typeface="Consolas" pitchFamily="49" charset="0"/>
            </a:rPr>
            <a:t>Punt 1 en 2 kunnen beide via doelzoeken gevonden worden. Gebruik als startwaarden voor Q respectievelijk 0 en 11.</a:t>
          </a:r>
        </a:p>
        <a:p>
          <a:endParaRPr lang="nl-NL" sz="900">
            <a:latin typeface="Consolas" pitchFamily="49" charset="0"/>
            <a:cs typeface="Consolas" pitchFamily="49" charset="0"/>
          </a:endParaRPr>
        </a:p>
        <a:p>
          <a:r>
            <a:rPr lang="nl-NL" sz="900">
              <a:latin typeface="Consolas" pitchFamily="49" charset="0"/>
              <a:cs typeface="Consolas" pitchFamily="49" charset="0"/>
            </a:rPr>
            <a:t>Ga naar Gegevens &gt; tab Hulpmiddelen &gt; Wat als analyse &gt; Doelzoeken</a:t>
          </a:r>
        </a:p>
        <a:p>
          <a:r>
            <a:rPr lang="nl-NL" sz="900">
              <a:latin typeface="Consolas" pitchFamily="49" charset="0"/>
              <a:cs typeface="Consolas" pitchFamily="49" charset="0"/>
            </a:rPr>
            <a:t>Stel dialoogvenster in</a:t>
          </a:r>
        </a:p>
        <a:p>
          <a:r>
            <a:rPr lang="nl-NL" sz="900">
              <a:latin typeface="Consolas" pitchFamily="49" charset="0"/>
              <a:cs typeface="Consolas" pitchFamily="49" charset="0"/>
            </a:rPr>
            <a:t>Cel instellen: K28</a:t>
          </a:r>
        </a:p>
        <a:p>
          <a:r>
            <a:rPr lang="nl-NL" sz="900">
              <a:latin typeface="Consolas" pitchFamily="49" charset="0"/>
              <a:cs typeface="Consolas" pitchFamily="49" charset="0"/>
            </a:rPr>
            <a:t>Op waarde: 0</a:t>
          </a:r>
        </a:p>
        <a:p>
          <a:r>
            <a:rPr lang="nl-NL" sz="900">
              <a:latin typeface="Consolas" pitchFamily="49" charset="0"/>
              <a:cs typeface="Consolas" pitchFamily="49" charset="0"/>
            </a:rPr>
            <a:t>Door wijzigen van cel: H28</a:t>
          </a:r>
        </a:p>
        <a:p>
          <a:r>
            <a:rPr lang="nl-NL" sz="900">
              <a:latin typeface="Consolas" pitchFamily="49" charset="0"/>
              <a:cs typeface="Consolas" pitchFamily="49" charset="0"/>
            </a:rPr>
            <a:t>Herhaal dit voor punt 2</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2</xdr:col>
      <xdr:colOff>1</xdr:colOff>
      <xdr:row>24</xdr:row>
      <xdr:rowOff>38100</xdr:rowOff>
    </xdr:from>
    <xdr:to>
      <xdr:col>8</xdr:col>
      <xdr:colOff>333376</xdr:colOff>
      <xdr:row>31</xdr:row>
      <xdr:rowOff>19050</xdr:rowOff>
    </xdr:to>
    <xdr:sp macro="" textlink="">
      <xdr:nvSpPr>
        <xdr:cNvPr id="2" name="Tekstvak 1">
          <a:extLst>
            <a:ext uri="{FF2B5EF4-FFF2-40B4-BE49-F238E27FC236}">
              <a16:creationId xmlns:a16="http://schemas.microsoft.com/office/drawing/2014/main" id="{00000000-0008-0000-1000-000002000000}"/>
            </a:ext>
          </a:extLst>
        </xdr:cNvPr>
        <xdr:cNvSpPr txBox="1"/>
      </xdr:nvSpPr>
      <xdr:spPr>
        <a:xfrm>
          <a:off x="495301" y="3886200"/>
          <a:ext cx="4267200" cy="11144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Ga naar Gegevens &gt; tab Hulpmiddelen &gt; Wat als analyse &gt; Doelzoeken</a:t>
          </a:r>
        </a:p>
        <a:p>
          <a:r>
            <a:rPr lang="nl-NL" sz="900">
              <a:latin typeface="Consolas" pitchFamily="49" charset="0"/>
              <a:cs typeface="Consolas" pitchFamily="49" charset="0"/>
            </a:rPr>
            <a:t>Stel dialoogvenster in</a:t>
          </a:r>
        </a:p>
        <a:p>
          <a:r>
            <a:rPr lang="nl-NL" sz="900">
              <a:latin typeface="Consolas" pitchFamily="49" charset="0"/>
              <a:cs typeface="Consolas" pitchFamily="49" charset="0"/>
            </a:rPr>
            <a:t>Cel instellen: F21</a:t>
          </a:r>
        </a:p>
        <a:p>
          <a:r>
            <a:rPr lang="nl-NL" sz="900">
              <a:latin typeface="Consolas" pitchFamily="49" charset="0"/>
              <a:cs typeface="Consolas" pitchFamily="49" charset="0"/>
            </a:rPr>
            <a:t>Op waarde: 2500</a:t>
          </a:r>
        </a:p>
        <a:p>
          <a:r>
            <a:rPr lang="nl-NL" sz="900">
              <a:latin typeface="Consolas" pitchFamily="49" charset="0"/>
              <a:cs typeface="Consolas" pitchFamily="49" charset="0"/>
            </a:rPr>
            <a:t>Door wijzigen van cel: E7</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5</xdr:col>
      <xdr:colOff>0</xdr:colOff>
      <xdr:row>8</xdr:row>
      <xdr:rowOff>19051</xdr:rowOff>
    </xdr:from>
    <xdr:to>
      <xdr:col>12</xdr:col>
      <xdr:colOff>304800</xdr:colOff>
      <xdr:row>25</xdr:row>
      <xdr:rowOff>9526</xdr:rowOff>
    </xdr:to>
    <xdr:graphicFrame macro="">
      <xdr:nvGraphicFramePr>
        <xdr:cNvPr id="2" name="Grafiek 1">
          <a:extLst>
            <a:ext uri="{FF2B5EF4-FFF2-40B4-BE49-F238E27FC236}">
              <a16:creationId xmlns:a16="http://schemas.microsoft.com/office/drawing/2014/main" id="{00000000-0008-0000-1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571500</xdr:colOff>
      <xdr:row>30</xdr:row>
      <xdr:rowOff>114300</xdr:rowOff>
    </xdr:from>
    <xdr:to>
      <xdr:col>14</xdr:col>
      <xdr:colOff>561975</xdr:colOff>
      <xdr:row>37</xdr:row>
      <xdr:rowOff>123825</xdr:rowOff>
    </xdr:to>
    <xdr:sp macro="" textlink="">
      <xdr:nvSpPr>
        <xdr:cNvPr id="3" name="Tekstvak 2">
          <a:extLst>
            <a:ext uri="{FF2B5EF4-FFF2-40B4-BE49-F238E27FC236}">
              <a16:creationId xmlns:a16="http://schemas.microsoft.com/office/drawing/2014/main" id="{00000000-0008-0000-1100-000003000000}"/>
            </a:ext>
          </a:extLst>
        </xdr:cNvPr>
        <xdr:cNvSpPr txBox="1"/>
      </xdr:nvSpPr>
      <xdr:spPr>
        <a:xfrm>
          <a:off x="2286000" y="4933950"/>
          <a:ext cx="6086475" cy="114300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Maak</a:t>
          </a:r>
          <a:r>
            <a:rPr lang="nl-NL" sz="900" baseline="0">
              <a:latin typeface="Consolas" pitchFamily="49" charset="0"/>
              <a:cs typeface="Consolas" pitchFamily="49" charset="0"/>
            </a:rPr>
            <a:t> allereerst twee kolommen voor de X en Y waarden. De X-waarden zouden kunnen lopen van -1 naar +2 met steeds een stapgrootte van 0,1. De Y-waarden moeten berekend worden via de formule </a:t>
          </a:r>
          <a:r>
            <a:rPr lang="nl-NL" sz="900">
              <a:latin typeface="Consolas" pitchFamily="49" charset="0"/>
              <a:cs typeface="Consolas" pitchFamily="49" charset="0"/>
            </a:rPr>
            <a:t>Y = (X</a:t>
          </a:r>
          <a:r>
            <a:rPr lang="nl-NL" sz="900" baseline="0">
              <a:latin typeface="Consolas" pitchFamily="49" charset="0"/>
              <a:cs typeface="Consolas" pitchFamily="49" charset="0"/>
            </a:rPr>
            <a:t> </a:t>
          </a:r>
          <a:r>
            <a:rPr lang="nl-NL" sz="900">
              <a:latin typeface="Consolas" pitchFamily="49" charset="0"/>
              <a:cs typeface="Consolas" pitchFamily="49" charset="0"/>
            </a:rPr>
            <a:t>-0,5)^3.</a:t>
          </a:r>
        </a:p>
        <a:p>
          <a:endParaRPr lang="nl-NL" sz="900">
            <a:latin typeface="Consolas" pitchFamily="49" charset="0"/>
            <a:cs typeface="Consolas" pitchFamily="49" charset="0"/>
          </a:endParaRPr>
        </a:p>
        <a:p>
          <a:r>
            <a:rPr lang="nl-NL" sz="900">
              <a:latin typeface="Consolas" pitchFamily="49" charset="0"/>
              <a:cs typeface="Consolas" pitchFamily="49" charset="0"/>
            </a:rPr>
            <a:t>Hierna een grafiek van het type</a:t>
          </a:r>
          <a:r>
            <a:rPr lang="nl-NL" sz="900" baseline="0">
              <a:latin typeface="Consolas" pitchFamily="49" charset="0"/>
              <a:cs typeface="Consolas" pitchFamily="49" charset="0"/>
            </a:rPr>
            <a:t> spreiding maken en daarna de onderdelen van de grafiek opmaken in de gewenste lay-out.</a:t>
          </a:r>
        </a:p>
      </xdr:txBody>
    </xdr:sp>
    <xdr:clientData/>
  </xdr:twoCellAnchor>
</xdr:wsDr>
</file>

<file path=xl/drawings/drawing19.xml><?xml version="1.0" encoding="utf-8"?>
<c:userShapes xmlns:c="http://schemas.openxmlformats.org/drawingml/2006/chart">
  <cdr:relSizeAnchor xmlns:cdr="http://schemas.openxmlformats.org/drawingml/2006/chartDrawing">
    <cdr:from>
      <cdr:x>0.47083</cdr:x>
      <cdr:y>0.17708</cdr:y>
    </cdr:from>
    <cdr:to>
      <cdr:x>0.70208</cdr:x>
      <cdr:y>0.30208</cdr:y>
    </cdr:to>
    <cdr:sp macro="" textlink="">
      <cdr:nvSpPr>
        <cdr:cNvPr id="2" name="Tekstvak 1"/>
        <cdr:cNvSpPr txBox="1"/>
      </cdr:nvSpPr>
      <cdr:spPr>
        <a:xfrm xmlns:a="http://schemas.openxmlformats.org/drawingml/2006/main">
          <a:off x="2152650" y="485775"/>
          <a:ext cx="1057275" cy="3429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nl-NL" sz="1400"/>
            <a:t>y = (x - 0,5)</a:t>
          </a:r>
          <a:r>
            <a:rPr lang="nl-NL" sz="1400" baseline="30000"/>
            <a:t>3</a:t>
          </a:r>
        </a:p>
      </cdr:txBody>
    </cdr:sp>
  </cdr:relSizeAnchor>
</c:userShapes>
</file>

<file path=xl/drawings/drawing20.xml><?xml version="1.0" encoding="utf-8"?>
<xdr:wsDr xmlns:xdr="http://schemas.openxmlformats.org/drawingml/2006/spreadsheetDrawing" xmlns:a="http://schemas.openxmlformats.org/drawingml/2006/main">
  <xdr:twoCellAnchor>
    <xdr:from>
      <xdr:col>2</xdr:col>
      <xdr:colOff>209550</xdr:colOff>
      <xdr:row>14</xdr:row>
      <xdr:rowOff>19050</xdr:rowOff>
    </xdr:from>
    <xdr:to>
      <xdr:col>8</xdr:col>
      <xdr:colOff>323400</xdr:colOff>
      <xdr:row>29</xdr:row>
      <xdr:rowOff>110175</xdr:rowOff>
    </xdr:to>
    <xdr:graphicFrame macro="">
      <xdr:nvGraphicFramePr>
        <xdr:cNvPr id="2" name="Grafiek 1">
          <a:extLst>
            <a:ext uri="{FF2B5EF4-FFF2-40B4-BE49-F238E27FC236}">
              <a16:creationId xmlns:a16="http://schemas.microsoft.com/office/drawing/2014/main" id="{00000000-0008-0000-1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590550</xdr:colOff>
      <xdr:row>14</xdr:row>
      <xdr:rowOff>19050</xdr:rowOff>
    </xdr:from>
    <xdr:to>
      <xdr:col>15</xdr:col>
      <xdr:colOff>466725</xdr:colOff>
      <xdr:row>24</xdr:row>
      <xdr:rowOff>38100</xdr:rowOff>
    </xdr:to>
    <xdr:sp macro="" textlink="">
      <xdr:nvSpPr>
        <xdr:cNvPr id="3" name="Tekstvak 2">
          <a:extLst>
            <a:ext uri="{FF2B5EF4-FFF2-40B4-BE49-F238E27FC236}">
              <a16:creationId xmlns:a16="http://schemas.microsoft.com/office/drawing/2014/main" id="{00000000-0008-0000-1200-000003000000}"/>
            </a:ext>
          </a:extLst>
        </xdr:cNvPr>
        <xdr:cNvSpPr txBox="1"/>
      </xdr:nvSpPr>
      <xdr:spPr>
        <a:xfrm>
          <a:off x="5153025" y="2257425"/>
          <a:ext cx="3533775" cy="163830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De</a:t>
          </a:r>
          <a:r>
            <a:rPr lang="nl-NL" sz="900" baseline="0">
              <a:latin typeface="Consolas" pitchFamily="49" charset="0"/>
              <a:cs typeface="Consolas" pitchFamily="49" charset="0"/>
            </a:rPr>
            <a:t> totalen kunnen via de formule SOM berekend worden.</a:t>
          </a:r>
        </a:p>
        <a:p>
          <a:endParaRPr lang="nl-NL" sz="900" baseline="0">
            <a:latin typeface="Consolas" pitchFamily="49" charset="0"/>
            <a:cs typeface="Consolas" pitchFamily="49" charset="0"/>
          </a:endParaRPr>
        </a:p>
        <a:p>
          <a:r>
            <a:rPr lang="nl-NL" sz="900">
              <a:latin typeface="Consolas" pitchFamily="49" charset="0"/>
              <a:cs typeface="Consolas" pitchFamily="49" charset="0"/>
            </a:rPr>
            <a:t>Selecteer D7:H10 en voeg een grafiek</a:t>
          </a:r>
          <a:r>
            <a:rPr lang="nl-NL" sz="900" baseline="0">
              <a:latin typeface="Consolas" pitchFamily="49" charset="0"/>
              <a:cs typeface="Consolas" pitchFamily="49" charset="0"/>
            </a:rPr>
            <a:t> van het type gestapelde kolom toe.</a:t>
          </a:r>
        </a:p>
        <a:p>
          <a:r>
            <a:rPr lang="nl-NL" sz="900" baseline="0">
              <a:latin typeface="Consolas" pitchFamily="49" charset="0"/>
              <a:cs typeface="Consolas" pitchFamily="49" charset="0"/>
            </a:rPr>
            <a:t>Ontwerpen -&gt; Rijen en kolommen omdraaien.</a:t>
          </a:r>
        </a:p>
        <a:p>
          <a:r>
            <a:rPr lang="nl-NL" sz="900">
              <a:latin typeface="Consolas" pitchFamily="49" charset="0"/>
              <a:cs typeface="Consolas" pitchFamily="49" charset="0"/>
            </a:rPr>
            <a:t>R-muisklik</a:t>
          </a:r>
          <a:r>
            <a:rPr lang="nl-NL" sz="900" baseline="0">
              <a:latin typeface="Consolas" pitchFamily="49" charset="0"/>
              <a:cs typeface="Consolas" pitchFamily="49" charset="0"/>
            </a:rPr>
            <a:t> -&gt; Gegevens selecteren -&gt; Horizontale aslabels bewerken -&gt; Aslabelbereik C8:C10</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Selecteer kolom -&gt; Gegevensreeks opmaken -&gt; breedte tussenruimte instellen.</a:t>
          </a:r>
          <a:endParaRPr lang="nl-NL" sz="900">
            <a:latin typeface="Consolas" pitchFamily="49" charset="0"/>
            <a:cs typeface="Consolas" pitchFamily="49" charset="0"/>
          </a:endParaRP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1</xdr:col>
      <xdr:colOff>228601</xdr:colOff>
      <xdr:row>17</xdr:row>
      <xdr:rowOff>9525</xdr:rowOff>
    </xdr:from>
    <xdr:to>
      <xdr:col>7</xdr:col>
      <xdr:colOff>218626</xdr:colOff>
      <xdr:row>32</xdr:row>
      <xdr:rowOff>100650</xdr:rowOff>
    </xdr:to>
    <xdr:graphicFrame macro="">
      <xdr:nvGraphicFramePr>
        <xdr:cNvPr id="2" name="Grafiek 1">
          <a:extLst>
            <a:ext uri="{FF2B5EF4-FFF2-40B4-BE49-F238E27FC236}">
              <a16:creationId xmlns:a16="http://schemas.microsoft.com/office/drawing/2014/main" id="{00000000-0008-0000-1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19050</xdr:colOff>
      <xdr:row>17</xdr:row>
      <xdr:rowOff>19050</xdr:rowOff>
    </xdr:from>
    <xdr:to>
      <xdr:col>14</xdr:col>
      <xdr:colOff>238125</xdr:colOff>
      <xdr:row>27</xdr:row>
      <xdr:rowOff>95250</xdr:rowOff>
    </xdr:to>
    <xdr:sp macro="" textlink="">
      <xdr:nvSpPr>
        <xdr:cNvPr id="3" name="Tekstvak 2">
          <a:extLst>
            <a:ext uri="{FF2B5EF4-FFF2-40B4-BE49-F238E27FC236}">
              <a16:creationId xmlns:a16="http://schemas.microsoft.com/office/drawing/2014/main" id="{00000000-0008-0000-1300-000003000000}"/>
            </a:ext>
          </a:extLst>
        </xdr:cNvPr>
        <xdr:cNvSpPr txBox="1"/>
      </xdr:nvSpPr>
      <xdr:spPr>
        <a:xfrm>
          <a:off x="4486275" y="2743200"/>
          <a:ext cx="3876675" cy="16954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afwijking</a:t>
          </a:r>
          <a:r>
            <a:rPr lang="nl-NL" sz="900" baseline="0">
              <a:latin typeface="Consolas" pitchFamily="49" charset="0"/>
              <a:cs typeface="Consolas" pitchFamily="49" charset="0"/>
            </a:rPr>
            <a:t> = (werkelijk - begroot)/begroot , opmaak %.</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Selecteer C9:E13, Voeg een gegroepeerde kolomdiagram in. Je krijgt dan per kwartaal 2 kolommen naast elkaar, eentje voor begroot en eentje voor werkelijk.</a:t>
          </a:r>
        </a:p>
        <a:p>
          <a:r>
            <a:rPr lang="nl-NL" sz="900" baseline="0">
              <a:latin typeface="Consolas" pitchFamily="49" charset="0"/>
              <a:cs typeface="Consolas" pitchFamily="49" charset="0"/>
            </a:rPr>
            <a:t>Selecteer kolom werkelijk, R-muisklik, ander type grafiekreeks, lijndiagram met gegevensmarkering.</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Lay-out aanpassen: grafiektitel, plaats legenda, breedte tussenruimte.</a:t>
          </a:r>
        </a:p>
        <a:p>
          <a:endParaRPr lang="nl-NL" sz="900" baseline="0">
            <a:latin typeface="Consolas" pitchFamily="49" charset="0"/>
            <a:cs typeface="Consolas" pitchFamily="49" charset="0"/>
          </a:endParaRPr>
        </a:p>
        <a:p>
          <a:endParaRPr lang="nl-NL" sz="900">
            <a:latin typeface="Consolas" pitchFamily="49" charset="0"/>
            <a:cs typeface="Consolas" pitchFamily="49" charset="0"/>
          </a:endParaRPr>
        </a:p>
        <a:p>
          <a:endParaRPr lang="nl-NL" sz="900">
            <a:latin typeface="Consolas" pitchFamily="49" charset="0"/>
            <a:cs typeface="Consolas" pitchFamily="49" charset="0"/>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2</xdr:col>
      <xdr:colOff>9525</xdr:colOff>
      <xdr:row>38</xdr:row>
      <xdr:rowOff>76200</xdr:rowOff>
    </xdr:from>
    <xdr:to>
      <xdr:col>11</xdr:col>
      <xdr:colOff>200025</xdr:colOff>
      <xdr:row>44</xdr:row>
      <xdr:rowOff>19050</xdr:rowOff>
    </xdr:to>
    <xdr:sp macro="" textlink="">
      <xdr:nvSpPr>
        <xdr:cNvPr id="2" name="Tekstvak 1">
          <a:extLst>
            <a:ext uri="{FF2B5EF4-FFF2-40B4-BE49-F238E27FC236}">
              <a16:creationId xmlns:a16="http://schemas.microsoft.com/office/drawing/2014/main" id="{00000000-0008-0000-1400-000002000000}"/>
            </a:ext>
          </a:extLst>
        </xdr:cNvPr>
        <xdr:cNvSpPr txBox="1"/>
      </xdr:nvSpPr>
      <xdr:spPr>
        <a:xfrm>
          <a:off x="504825" y="6191250"/>
          <a:ext cx="4800600" cy="91440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Grafiektype: Lijn met gegevensmarkeringen</a:t>
          </a:r>
        </a:p>
        <a:p>
          <a:r>
            <a:rPr lang="nl-NL" sz="900">
              <a:latin typeface="Consolas" pitchFamily="49" charset="0"/>
              <a:cs typeface="Consolas" pitchFamily="49" charset="0"/>
            </a:rPr>
            <a:t>Rijen en Kolommen verwisselen om de jaartallen</a:t>
          </a:r>
          <a:r>
            <a:rPr lang="nl-NL" sz="900" baseline="0">
              <a:latin typeface="Consolas" pitchFamily="49" charset="0"/>
              <a:cs typeface="Consolas" pitchFamily="49" charset="0"/>
            </a:rPr>
            <a:t> op categorieas te krijgen.</a:t>
          </a:r>
        </a:p>
        <a:p>
          <a:r>
            <a:rPr lang="nl-NL" sz="900" baseline="0">
              <a:latin typeface="Consolas" pitchFamily="49" charset="0"/>
              <a:cs typeface="Consolas" pitchFamily="49" charset="0"/>
            </a:rPr>
            <a:t>Tekstvak toevoegen voor bronvermelding.</a:t>
          </a:r>
        </a:p>
        <a:p>
          <a:r>
            <a:rPr lang="nl-NL" sz="900" baseline="0">
              <a:latin typeface="Consolas" pitchFamily="49" charset="0"/>
              <a:cs typeface="Consolas" pitchFamily="49" charset="0"/>
            </a:rPr>
            <a:t>Verticale as getalopmaak zonder decimalen.</a:t>
          </a:r>
          <a:endParaRPr lang="nl-NL" sz="900">
            <a:latin typeface="Consolas" pitchFamily="49" charset="0"/>
            <a:cs typeface="Consolas" pitchFamily="49" charset="0"/>
          </a:endParaRPr>
        </a:p>
      </xdr:txBody>
    </xdr:sp>
    <xdr:clientData/>
  </xdr:twoCellAnchor>
  <xdr:twoCellAnchor>
    <xdr:from>
      <xdr:col>1</xdr:col>
      <xdr:colOff>228600</xdr:colOff>
      <xdr:row>19</xdr:row>
      <xdr:rowOff>28575</xdr:rowOff>
    </xdr:from>
    <xdr:to>
      <xdr:col>11</xdr:col>
      <xdr:colOff>0</xdr:colOff>
      <xdr:row>36</xdr:row>
      <xdr:rowOff>19050</xdr:rowOff>
    </xdr:to>
    <xdr:graphicFrame macro="">
      <xdr:nvGraphicFramePr>
        <xdr:cNvPr id="3" name="Grafiek 2">
          <a:extLst>
            <a:ext uri="{FF2B5EF4-FFF2-40B4-BE49-F238E27FC236}">
              <a16:creationId xmlns:a16="http://schemas.microsoft.com/office/drawing/2014/main" id="{00000000-0008-0000-1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3.xml><?xml version="1.0" encoding="utf-8"?>
<c:userShapes xmlns:c="http://schemas.openxmlformats.org/drawingml/2006/chart">
  <cdr:relSizeAnchor xmlns:cdr="http://schemas.openxmlformats.org/drawingml/2006/chartDrawing">
    <cdr:from>
      <cdr:x>0.79792</cdr:x>
      <cdr:y>0.04514</cdr:y>
    </cdr:from>
    <cdr:to>
      <cdr:x>0.96458</cdr:x>
      <cdr:y>0.12153</cdr:y>
    </cdr:to>
    <cdr:sp macro="" textlink="">
      <cdr:nvSpPr>
        <cdr:cNvPr id="2" name="Tekstvak 1"/>
        <cdr:cNvSpPr txBox="1"/>
      </cdr:nvSpPr>
      <cdr:spPr>
        <a:xfrm xmlns:a="http://schemas.openxmlformats.org/drawingml/2006/main">
          <a:off x="3648075" y="123825"/>
          <a:ext cx="762000" cy="2095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nl-NL" sz="800"/>
            <a:t>bron: CBS</a:t>
          </a:r>
        </a:p>
      </cdr:txBody>
    </cdr:sp>
  </cdr:relSizeAnchor>
</c:userShapes>
</file>

<file path=xl/drawings/drawing24.xml><?xml version="1.0" encoding="utf-8"?>
<xdr:wsDr xmlns:xdr="http://schemas.openxmlformats.org/drawingml/2006/spreadsheetDrawing" xmlns:a="http://schemas.openxmlformats.org/drawingml/2006/main">
  <xdr:twoCellAnchor>
    <xdr:from>
      <xdr:col>2</xdr:col>
      <xdr:colOff>19050</xdr:colOff>
      <xdr:row>25</xdr:row>
      <xdr:rowOff>19049</xdr:rowOff>
    </xdr:from>
    <xdr:to>
      <xdr:col>10</xdr:col>
      <xdr:colOff>561975</xdr:colOff>
      <xdr:row>29</xdr:row>
      <xdr:rowOff>123824</xdr:rowOff>
    </xdr:to>
    <xdr:sp macro="" textlink="">
      <xdr:nvSpPr>
        <xdr:cNvPr id="2" name="Tekstvak 1">
          <a:extLst>
            <a:ext uri="{FF2B5EF4-FFF2-40B4-BE49-F238E27FC236}">
              <a16:creationId xmlns:a16="http://schemas.microsoft.com/office/drawing/2014/main" id="{00000000-0008-0000-1500-000002000000}"/>
            </a:ext>
          </a:extLst>
        </xdr:cNvPr>
        <xdr:cNvSpPr txBox="1"/>
      </xdr:nvSpPr>
      <xdr:spPr>
        <a:xfrm>
          <a:off x="514350" y="4190999"/>
          <a:ext cx="5314950" cy="7524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Grafiek:</a:t>
          </a:r>
          <a:r>
            <a:rPr lang="nl-NL" sz="900" baseline="0">
              <a:latin typeface="Consolas" pitchFamily="49" charset="0"/>
              <a:cs typeface="Consolas" pitchFamily="49" charset="0"/>
            </a:rPr>
            <a:t> type spreiding, schaal hor. as en vert. as aanpassen, legenda aanpassen, weergave hor. rasterlijnen aanpassen.</a:t>
          </a:r>
        </a:p>
        <a:p>
          <a:r>
            <a:rPr lang="nl-NL" sz="900" baseline="0">
              <a:latin typeface="Consolas" pitchFamily="49" charset="0"/>
              <a:cs typeface="Consolas" pitchFamily="49" charset="0"/>
            </a:rPr>
            <a:t>Lineaire trendlijn aanbrengen, vergelijking in grafiek</a:t>
          </a:r>
          <a:endParaRPr lang="nl-NL" sz="900">
            <a:latin typeface="Consolas" pitchFamily="49" charset="0"/>
            <a:cs typeface="Consolas" pitchFamily="49" charset="0"/>
          </a:endParaRPr>
        </a:p>
      </xdr:txBody>
    </xdr:sp>
    <xdr:clientData/>
  </xdr:twoCellAnchor>
  <xdr:twoCellAnchor>
    <xdr:from>
      <xdr:col>5</xdr:col>
      <xdr:colOff>600075</xdr:colOff>
      <xdr:row>7</xdr:row>
      <xdr:rowOff>0</xdr:rowOff>
    </xdr:from>
    <xdr:to>
      <xdr:col>13</xdr:col>
      <xdr:colOff>295275</xdr:colOff>
      <xdr:row>22</xdr:row>
      <xdr:rowOff>152400</xdr:rowOff>
    </xdr:to>
    <xdr:graphicFrame macro="">
      <xdr:nvGraphicFramePr>
        <xdr:cNvPr id="3" name="Grafiek 2">
          <a:extLst>
            <a:ext uri="{FF2B5EF4-FFF2-40B4-BE49-F238E27FC236}">
              <a16:creationId xmlns:a16="http://schemas.microsoft.com/office/drawing/2014/main" id="{00000000-0008-0000-1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5.xml><?xml version="1.0" encoding="utf-8"?>
<xdr:wsDr xmlns:xdr="http://schemas.openxmlformats.org/drawingml/2006/spreadsheetDrawing" xmlns:a="http://schemas.openxmlformats.org/drawingml/2006/main">
  <xdr:twoCellAnchor>
    <xdr:from>
      <xdr:col>7</xdr:col>
      <xdr:colOff>38100</xdr:colOff>
      <xdr:row>7</xdr:row>
      <xdr:rowOff>295275</xdr:rowOff>
    </xdr:from>
    <xdr:to>
      <xdr:col>13</xdr:col>
      <xdr:colOff>340500</xdr:colOff>
      <xdr:row>24</xdr:row>
      <xdr:rowOff>80625</xdr:rowOff>
    </xdr:to>
    <xdr:graphicFrame macro="">
      <xdr:nvGraphicFramePr>
        <xdr:cNvPr id="6" name="Grafiek 5">
          <a:extLst>
            <a:ext uri="{FF2B5EF4-FFF2-40B4-BE49-F238E27FC236}">
              <a16:creationId xmlns:a16="http://schemas.microsoft.com/office/drawing/2014/main" id="{00000000-0008-0000-16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6.xml><?xml version="1.0" encoding="utf-8"?>
<xdr:wsDr xmlns:xdr="http://schemas.openxmlformats.org/drawingml/2006/spreadsheetDrawing" xmlns:a="http://schemas.openxmlformats.org/drawingml/2006/main">
  <xdr:twoCellAnchor>
    <xdr:from>
      <xdr:col>2</xdr:col>
      <xdr:colOff>19051</xdr:colOff>
      <xdr:row>19</xdr:row>
      <xdr:rowOff>0</xdr:rowOff>
    </xdr:from>
    <xdr:to>
      <xdr:col>10</xdr:col>
      <xdr:colOff>114301</xdr:colOff>
      <xdr:row>27</xdr:row>
      <xdr:rowOff>133350</xdr:rowOff>
    </xdr:to>
    <xdr:sp macro="" textlink="">
      <xdr:nvSpPr>
        <xdr:cNvPr id="3" name="Tekstvak 2">
          <a:extLst>
            <a:ext uri="{FF2B5EF4-FFF2-40B4-BE49-F238E27FC236}">
              <a16:creationId xmlns:a16="http://schemas.microsoft.com/office/drawing/2014/main" id="{00000000-0008-0000-1700-000003000000}"/>
            </a:ext>
          </a:extLst>
        </xdr:cNvPr>
        <xdr:cNvSpPr txBox="1"/>
      </xdr:nvSpPr>
      <xdr:spPr>
        <a:xfrm>
          <a:off x="514351" y="2552700"/>
          <a:ext cx="5486400" cy="14287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Maak</a:t>
          </a:r>
          <a:r>
            <a:rPr lang="nl-NL" sz="900" baseline="0">
              <a:latin typeface="Consolas" pitchFamily="49" charset="0"/>
              <a:cs typeface="Consolas" pitchFamily="49" charset="0"/>
            </a:rPr>
            <a:t> een automatisch filter: Gegevens &gt; Filter.</a:t>
          </a:r>
        </a:p>
        <a:p>
          <a:r>
            <a:rPr lang="nl-NL" sz="900" baseline="0">
              <a:latin typeface="Consolas" pitchFamily="49" charset="0"/>
              <a:cs typeface="Consolas" pitchFamily="49" charset="0"/>
            </a:rPr>
            <a:t>Klik op keuzepijl naast cijfer, kies Getalfilters &gt; Aangepast filter en stel als volgt in</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is kleiner dan of gelijk aan 3</a:t>
          </a:r>
        </a:p>
        <a:p>
          <a:r>
            <a:rPr lang="nl-NL" sz="900" baseline="0">
              <a:latin typeface="Consolas" pitchFamily="49" charset="0"/>
              <a:cs typeface="Consolas" pitchFamily="49" charset="0"/>
            </a:rPr>
            <a:t>Of</a:t>
          </a:r>
        </a:p>
        <a:p>
          <a:r>
            <a:rPr lang="nl-NL" sz="900" baseline="0">
              <a:latin typeface="Consolas" pitchFamily="49" charset="0"/>
              <a:cs typeface="Consolas" pitchFamily="49" charset="0"/>
            </a:rPr>
            <a:t>is gelijk aan {invulvak voor waarde leeg laten]</a:t>
          </a:r>
          <a:endParaRPr lang="nl-NL" sz="900">
            <a:latin typeface="Consolas" pitchFamily="49" charset="0"/>
            <a:cs typeface="Consolas" pitchFamily="49" charset="0"/>
          </a:endParaRPr>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2</xdr:col>
      <xdr:colOff>9526</xdr:colOff>
      <xdr:row>25</xdr:row>
      <xdr:rowOff>38100</xdr:rowOff>
    </xdr:from>
    <xdr:to>
      <xdr:col>10</xdr:col>
      <xdr:colOff>19051</xdr:colOff>
      <xdr:row>32</xdr:row>
      <xdr:rowOff>104775</xdr:rowOff>
    </xdr:to>
    <xdr:sp macro="" textlink="">
      <xdr:nvSpPr>
        <xdr:cNvPr id="3" name="Tekstvak 2">
          <a:extLst>
            <a:ext uri="{FF2B5EF4-FFF2-40B4-BE49-F238E27FC236}">
              <a16:creationId xmlns:a16="http://schemas.microsoft.com/office/drawing/2014/main" id="{00000000-0008-0000-1800-000003000000}"/>
            </a:ext>
          </a:extLst>
        </xdr:cNvPr>
        <xdr:cNvSpPr txBox="1"/>
      </xdr:nvSpPr>
      <xdr:spPr>
        <a:xfrm>
          <a:off x="504826" y="4048125"/>
          <a:ext cx="4048125" cy="12001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Selecteer de linkerbovencel van het</a:t>
          </a:r>
          <a:r>
            <a:rPr lang="nl-NL" sz="900" baseline="0">
              <a:latin typeface="Consolas" pitchFamily="49" charset="0"/>
              <a:cs typeface="Consolas" pitchFamily="49" charset="0"/>
            </a:rPr>
            <a:t> uitvoergebied, hier</a:t>
          </a:r>
          <a:r>
            <a:rPr lang="nl-NL" sz="900">
              <a:latin typeface="Consolas" pitchFamily="49" charset="0"/>
              <a:cs typeface="Consolas" pitchFamily="49" charset="0"/>
            </a:rPr>
            <a:t> I9.</a:t>
          </a:r>
        </a:p>
        <a:p>
          <a:r>
            <a:rPr lang="nl-NL" sz="900">
              <a:latin typeface="Consolas" pitchFamily="49" charset="0"/>
              <a:cs typeface="Consolas" pitchFamily="49" charset="0"/>
            </a:rPr>
            <a:t>Kies Gegevens &gt; Samenvoegen (Hulpmiddelen</a:t>
          </a:r>
          <a:r>
            <a:rPr lang="nl-NL" sz="900" baseline="0">
              <a:latin typeface="Consolas" pitchFamily="49" charset="0"/>
              <a:cs typeface="Consolas" pitchFamily="49" charset="0"/>
            </a:rPr>
            <a:t> voor gegevens)</a:t>
          </a:r>
        </a:p>
        <a:p>
          <a:r>
            <a:rPr lang="nl-NL" sz="900" baseline="0">
              <a:latin typeface="Consolas" pitchFamily="49" charset="0"/>
              <a:cs typeface="Consolas" pitchFamily="49" charset="0"/>
            </a:rPr>
            <a:t>Stel in het dialoogvenster het volgende in:</a:t>
          </a:r>
        </a:p>
        <a:p>
          <a:r>
            <a:rPr lang="nl-NL" sz="900" baseline="0">
              <a:latin typeface="Consolas" pitchFamily="49" charset="0"/>
              <a:cs typeface="Consolas" pitchFamily="49" charset="0"/>
            </a:rPr>
            <a:t>Functie: Max</a:t>
          </a:r>
        </a:p>
        <a:p>
          <a:r>
            <a:rPr lang="nl-NL" sz="900" baseline="0">
              <a:latin typeface="Consolas" pitchFamily="49" charset="0"/>
              <a:cs typeface="Consolas" pitchFamily="49" charset="0"/>
            </a:rPr>
            <a:t>Aanvinken Labels gebruiken in Linkerkolom</a:t>
          </a:r>
        </a:p>
        <a:p>
          <a:r>
            <a:rPr lang="nl-NL" sz="900" baseline="0">
              <a:latin typeface="Consolas" pitchFamily="49" charset="0"/>
              <a:cs typeface="Consolas" pitchFamily="49" charset="0"/>
            </a:rPr>
            <a:t>De volgende verwijzingen toevoegen C9:D18 en F9:G16</a:t>
          </a:r>
        </a:p>
        <a:p>
          <a:endParaRPr lang="nl-NL" sz="900">
            <a:latin typeface="Consolas" pitchFamily="49" charset="0"/>
            <a:cs typeface="Consolas" pitchFamily="49" charset="0"/>
          </a:endParaRP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8</xdr:col>
      <xdr:colOff>9525</xdr:colOff>
      <xdr:row>8</xdr:row>
      <xdr:rowOff>19049</xdr:rowOff>
    </xdr:from>
    <xdr:to>
      <xdr:col>14</xdr:col>
      <xdr:colOff>466725</xdr:colOff>
      <xdr:row>15</xdr:row>
      <xdr:rowOff>47625</xdr:rowOff>
    </xdr:to>
    <xdr:sp macro="" textlink="">
      <xdr:nvSpPr>
        <xdr:cNvPr id="3" name="Tekstvak 2">
          <a:extLst>
            <a:ext uri="{FF2B5EF4-FFF2-40B4-BE49-F238E27FC236}">
              <a16:creationId xmlns:a16="http://schemas.microsoft.com/office/drawing/2014/main" id="{00000000-0008-0000-1900-000003000000}"/>
            </a:ext>
          </a:extLst>
        </xdr:cNvPr>
        <xdr:cNvSpPr txBox="1"/>
      </xdr:nvSpPr>
      <xdr:spPr>
        <a:xfrm>
          <a:off x="3848100" y="1276349"/>
          <a:ext cx="4114800" cy="11620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Selecteer linkerbovencel van het uitvoergebied, hier C20.</a:t>
          </a:r>
        </a:p>
        <a:p>
          <a:r>
            <a:rPr lang="nl-NL" sz="900">
              <a:latin typeface="Consolas" pitchFamily="49" charset="0"/>
              <a:cs typeface="Consolas" pitchFamily="49" charset="0"/>
            </a:rPr>
            <a:t>Kies Gegevens &gt; Samenvoegen (Hulpmiddelen</a:t>
          </a:r>
          <a:r>
            <a:rPr lang="nl-NL" sz="900" baseline="0">
              <a:latin typeface="Consolas" pitchFamily="49" charset="0"/>
              <a:cs typeface="Consolas" pitchFamily="49" charset="0"/>
            </a:rPr>
            <a:t> voor gegevens)</a:t>
          </a:r>
        </a:p>
        <a:p>
          <a:r>
            <a:rPr lang="nl-NL" sz="900" baseline="0">
              <a:latin typeface="Consolas" pitchFamily="49" charset="0"/>
              <a:cs typeface="Consolas" pitchFamily="49" charset="0"/>
            </a:rPr>
            <a:t>Stel in het dialoogvenster het volgende in:</a:t>
          </a:r>
        </a:p>
        <a:p>
          <a:r>
            <a:rPr lang="nl-NL" sz="900" baseline="0">
              <a:latin typeface="Consolas" pitchFamily="49" charset="0"/>
              <a:cs typeface="Consolas" pitchFamily="49" charset="0"/>
            </a:rPr>
            <a:t>Functie: Som</a:t>
          </a:r>
        </a:p>
        <a:p>
          <a:r>
            <a:rPr lang="nl-NL" sz="900" baseline="0">
              <a:latin typeface="Consolas" pitchFamily="49" charset="0"/>
              <a:cs typeface="Consolas" pitchFamily="49" charset="0"/>
            </a:rPr>
            <a:t>Aanvinken Labels gebruiken in Bovenste rin en Linkerkolom</a:t>
          </a:r>
        </a:p>
        <a:p>
          <a:r>
            <a:rPr lang="nl-NL" sz="900" baseline="0">
              <a:latin typeface="Consolas" pitchFamily="49" charset="0"/>
              <a:cs typeface="Consolas" pitchFamily="49" charset="0"/>
            </a:rPr>
            <a:t>De volgende verwijzingen toevoegen C8:F11 en C14:F17</a:t>
          </a:r>
        </a:p>
        <a:p>
          <a:endParaRPr lang="nl-NL" sz="900">
            <a:latin typeface="Consolas" pitchFamily="49" charset="0"/>
            <a:cs typeface="Consolas" pitchFamily="49" charset="0"/>
          </a:endParaRPr>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10</xdr:col>
      <xdr:colOff>19050</xdr:colOff>
      <xdr:row>1</xdr:row>
      <xdr:rowOff>57150</xdr:rowOff>
    </xdr:from>
    <xdr:to>
      <xdr:col>15</xdr:col>
      <xdr:colOff>219075</xdr:colOff>
      <xdr:row>5</xdr:row>
      <xdr:rowOff>76200</xdr:rowOff>
    </xdr:to>
    <xdr:sp macro="" textlink="">
      <xdr:nvSpPr>
        <xdr:cNvPr id="2" name="Tekstvak 1">
          <a:extLst>
            <a:ext uri="{FF2B5EF4-FFF2-40B4-BE49-F238E27FC236}">
              <a16:creationId xmlns:a16="http://schemas.microsoft.com/office/drawing/2014/main" id="{00000000-0008-0000-1A00-000002000000}"/>
            </a:ext>
          </a:extLst>
        </xdr:cNvPr>
        <xdr:cNvSpPr txBox="1"/>
      </xdr:nvSpPr>
      <xdr:spPr>
        <a:xfrm>
          <a:off x="6591300" y="57150"/>
          <a:ext cx="3248025" cy="7905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Maak een automatisch filter: Gegevens &gt; Filter.</a:t>
          </a:r>
        </a:p>
        <a:p>
          <a:r>
            <a:rPr lang="nl-NL" sz="900">
              <a:latin typeface="Consolas" pitchFamily="49" charset="0"/>
              <a:cs typeface="Consolas" pitchFamily="49" charset="0"/>
            </a:rPr>
            <a:t>Cilinders: 6 </a:t>
          </a:r>
        </a:p>
        <a:p>
          <a:r>
            <a:rPr lang="nl-NL" sz="900">
              <a:latin typeface="Consolas" pitchFamily="49" charset="0"/>
              <a:cs typeface="Consolas" pitchFamily="49" charset="0"/>
            </a:rPr>
            <a:t>Brandstof:</a:t>
          </a:r>
          <a:r>
            <a:rPr lang="nl-NL" sz="900" baseline="0">
              <a:latin typeface="Consolas" pitchFamily="49" charset="0"/>
              <a:cs typeface="Consolas" pitchFamily="49" charset="0"/>
            </a:rPr>
            <a:t> Normaal en Super</a:t>
          </a:r>
          <a:endParaRPr lang="nl-NL" sz="900">
            <a:latin typeface="Consolas" pitchFamily="49" charset="0"/>
            <a:cs typeface="Consolas" pitchFamily="49" charset="0"/>
          </a:endParaRPr>
        </a:p>
        <a:p>
          <a:r>
            <a:rPr lang="nl-NL" sz="900">
              <a:latin typeface="Consolas" pitchFamily="49" charset="0"/>
              <a:cs typeface="Consolas" pitchFamily="49" charset="0"/>
            </a:rPr>
            <a:t>Topsnelheid &gt;= 180</a:t>
          </a:r>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3</xdr:col>
      <xdr:colOff>0</xdr:colOff>
      <xdr:row>7</xdr:row>
      <xdr:rowOff>0</xdr:rowOff>
    </xdr:from>
    <xdr:to>
      <xdr:col>8</xdr:col>
      <xdr:colOff>323852</xdr:colOff>
      <xdr:row>31</xdr:row>
      <xdr:rowOff>104775</xdr:rowOff>
    </xdr:to>
    <xdr:sp macro="" textlink="">
      <xdr:nvSpPr>
        <xdr:cNvPr id="3" name="Tekstvak 2">
          <a:extLst>
            <a:ext uri="{FF2B5EF4-FFF2-40B4-BE49-F238E27FC236}">
              <a16:creationId xmlns:a16="http://schemas.microsoft.com/office/drawing/2014/main" id="{00000000-0008-0000-1B00-000003000000}"/>
            </a:ext>
          </a:extLst>
        </xdr:cNvPr>
        <xdr:cNvSpPr txBox="1"/>
      </xdr:nvSpPr>
      <xdr:spPr>
        <a:xfrm>
          <a:off x="1009650" y="1095375"/>
          <a:ext cx="4000502" cy="39909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menu Ontwikkelaars &gt; tab Programmacode &gt; Macro Opnemen</a:t>
          </a:r>
        </a:p>
        <a:p>
          <a:r>
            <a:rPr lang="nl-NL" sz="900">
              <a:latin typeface="Consolas" pitchFamily="49" charset="0"/>
              <a:cs typeface="Consolas" pitchFamily="49" charset="0"/>
            </a:rPr>
            <a:t>Rechtermuisklik &gt; Celeigenschappen</a:t>
          </a:r>
        </a:p>
        <a:p>
          <a:r>
            <a:rPr lang="nl-NL" sz="900">
              <a:latin typeface="Consolas" pitchFamily="49" charset="0"/>
              <a:cs typeface="Consolas" pitchFamily="49" charset="0"/>
            </a:rPr>
            <a:t>tab Opvulling &gt; Grijze kleur selecteren</a:t>
          </a:r>
        </a:p>
        <a:p>
          <a:r>
            <a:rPr lang="nl-NL" sz="900">
              <a:latin typeface="Consolas" pitchFamily="49" charset="0"/>
              <a:cs typeface="Consolas" pitchFamily="49" charset="0"/>
            </a:rPr>
            <a:t>OK</a:t>
          </a:r>
        </a:p>
        <a:p>
          <a:r>
            <a:rPr lang="nl-NL" sz="900">
              <a:latin typeface="Consolas" pitchFamily="49" charset="0"/>
              <a:cs typeface="Consolas" pitchFamily="49" charset="0"/>
            </a:rPr>
            <a:t>tab Programmacode &gt; opname stoppen</a:t>
          </a:r>
        </a:p>
        <a:p>
          <a:endParaRPr lang="nl-NL" sz="900">
            <a:latin typeface="Consolas" pitchFamily="49" charset="0"/>
            <a:cs typeface="Consolas" pitchFamily="49" charset="0"/>
          </a:endParaRPr>
        </a:p>
        <a:p>
          <a:r>
            <a:rPr lang="nl-NL" sz="900">
              <a:latin typeface="Consolas" pitchFamily="49" charset="0"/>
              <a:cs typeface="Consolas" pitchFamily="49" charset="0"/>
            </a:rPr>
            <a:t>De macro zelf is niet in deze werkmap opgenomen. De programmacode</a:t>
          </a:r>
          <a:r>
            <a:rPr lang="nl-NL" sz="900" baseline="0">
              <a:latin typeface="Consolas" pitchFamily="49" charset="0"/>
              <a:cs typeface="Consolas" pitchFamily="49" charset="0"/>
            </a:rPr>
            <a:t> is hieronder weergegeven.</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b="1">
              <a:latin typeface="Consolas" pitchFamily="49" charset="0"/>
              <a:cs typeface="Consolas" pitchFamily="49" charset="0"/>
            </a:rPr>
            <a:t>Programmacode:</a:t>
          </a:r>
        </a:p>
        <a:p>
          <a:endParaRPr lang="nl-NL" sz="900">
            <a:latin typeface="Consolas" pitchFamily="49" charset="0"/>
            <a:cs typeface="Consolas" pitchFamily="49" charset="0"/>
          </a:endParaRPr>
        </a:p>
        <a:p>
          <a:r>
            <a:rPr lang="nl-NL" sz="900">
              <a:latin typeface="Consolas" pitchFamily="49" charset="0"/>
              <a:cs typeface="Consolas" pitchFamily="49" charset="0"/>
            </a:rPr>
            <a:t>Sub Achtergrondkleur()</a:t>
          </a:r>
        </a:p>
        <a:p>
          <a:r>
            <a:rPr lang="nl-NL" sz="900">
              <a:latin typeface="Consolas" pitchFamily="49" charset="0"/>
              <a:cs typeface="Consolas" pitchFamily="49" charset="0"/>
            </a:rPr>
            <a:t>'</a:t>
          </a:r>
        </a:p>
        <a:p>
          <a:r>
            <a:rPr lang="nl-NL" sz="900">
              <a:latin typeface="Consolas" pitchFamily="49" charset="0"/>
              <a:cs typeface="Consolas" pitchFamily="49" charset="0"/>
            </a:rPr>
            <a:t>' Achtergrondkleur Macro</a:t>
          </a:r>
        </a:p>
        <a:p>
          <a:r>
            <a:rPr lang="nl-NL" sz="900">
              <a:latin typeface="Consolas" pitchFamily="49" charset="0"/>
              <a:cs typeface="Consolas" pitchFamily="49" charset="0"/>
            </a:rPr>
            <a:t>' Geeft actieve cel een grijze achtergrondkleur</a:t>
          </a:r>
        </a:p>
        <a:p>
          <a:r>
            <a:rPr lang="nl-NL" sz="900">
              <a:latin typeface="Consolas" pitchFamily="49" charset="0"/>
              <a:cs typeface="Consolas" pitchFamily="49" charset="0"/>
            </a:rPr>
            <a:t>'</a:t>
          </a:r>
        </a:p>
        <a:p>
          <a:r>
            <a:rPr lang="nl-NL" sz="900">
              <a:latin typeface="Consolas" pitchFamily="49" charset="0"/>
              <a:cs typeface="Consolas" pitchFamily="49" charset="0"/>
            </a:rPr>
            <a:t>    With Selection.Interior</a:t>
          </a:r>
        </a:p>
        <a:p>
          <a:r>
            <a:rPr lang="nl-NL" sz="900">
              <a:latin typeface="Consolas" pitchFamily="49" charset="0"/>
              <a:cs typeface="Consolas" pitchFamily="49" charset="0"/>
            </a:rPr>
            <a:t>        .Pattern = xlSolid</a:t>
          </a:r>
        </a:p>
        <a:p>
          <a:r>
            <a:rPr lang="nl-NL" sz="900">
              <a:latin typeface="Consolas" pitchFamily="49" charset="0"/>
              <a:cs typeface="Consolas" pitchFamily="49" charset="0"/>
            </a:rPr>
            <a:t>        .PatternColorIndex = xlAutomatic</a:t>
          </a:r>
        </a:p>
        <a:p>
          <a:r>
            <a:rPr lang="nl-NL" sz="900">
              <a:latin typeface="Consolas" pitchFamily="49" charset="0"/>
              <a:cs typeface="Consolas" pitchFamily="49" charset="0"/>
            </a:rPr>
            <a:t>        .ThemeColor = xlThemeColorDark1</a:t>
          </a:r>
        </a:p>
        <a:p>
          <a:r>
            <a:rPr lang="nl-NL" sz="900">
              <a:latin typeface="Consolas" pitchFamily="49" charset="0"/>
              <a:cs typeface="Consolas" pitchFamily="49" charset="0"/>
            </a:rPr>
            <a:t>        .TintAndShade = -0.14996795556505</a:t>
          </a:r>
        </a:p>
        <a:p>
          <a:r>
            <a:rPr lang="nl-NL" sz="900">
              <a:latin typeface="Consolas" pitchFamily="49" charset="0"/>
              <a:cs typeface="Consolas" pitchFamily="49" charset="0"/>
            </a:rPr>
            <a:t>        .PatternTintAndShade = 0</a:t>
          </a:r>
        </a:p>
        <a:p>
          <a:r>
            <a:rPr lang="nl-NL" sz="900">
              <a:latin typeface="Consolas" pitchFamily="49" charset="0"/>
              <a:cs typeface="Consolas" pitchFamily="49" charset="0"/>
            </a:rPr>
            <a:t>    End With</a:t>
          </a:r>
        </a:p>
        <a:p>
          <a:r>
            <a:rPr lang="nl-NL" sz="900">
              <a:latin typeface="Consolas" pitchFamily="49" charset="0"/>
              <a:cs typeface="Consolas" pitchFamily="49" charset="0"/>
            </a:rPr>
            <a:t>End Sub</a:t>
          </a:r>
        </a:p>
      </xdr:txBody>
    </xdr:sp>
    <xdr:clientData/>
  </xdr:twoCellAnchor>
</xdr:wsDr>
</file>

<file path=xl/drawings/drawing31.xml><?xml version="1.0" encoding="utf-8"?>
<xdr:wsDr xmlns:xdr="http://schemas.openxmlformats.org/drawingml/2006/spreadsheetDrawing" xmlns:a="http://schemas.openxmlformats.org/drawingml/2006/main">
  <xdr:twoCellAnchor>
    <xdr:from>
      <xdr:col>3</xdr:col>
      <xdr:colOff>19050</xdr:colOff>
      <xdr:row>7</xdr:row>
      <xdr:rowOff>28575</xdr:rowOff>
    </xdr:from>
    <xdr:to>
      <xdr:col>8</xdr:col>
      <xdr:colOff>342902</xdr:colOff>
      <xdr:row>31</xdr:row>
      <xdr:rowOff>133350</xdr:rowOff>
    </xdr:to>
    <xdr:sp macro="" textlink="">
      <xdr:nvSpPr>
        <xdr:cNvPr id="3" name="Tekstvak 2">
          <a:extLst>
            <a:ext uri="{FF2B5EF4-FFF2-40B4-BE49-F238E27FC236}">
              <a16:creationId xmlns:a16="http://schemas.microsoft.com/office/drawing/2014/main" id="{00000000-0008-0000-1C00-000003000000}"/>
            </a:ext>
          </a:extLst>
        </xdr:cNvPr>
        <xdr:cNvSpPr txBox="1"/>
      </xdr:nvSpPr>
      <xdr:spPr>
        <a:xfrm>
          <a:off x="1028700" y="1123950"/>
          <a:ext cx="4000502" cy="39909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menu Ontwikkelaars &gt; tab Programmacode &gt; Macro Opnemen</a:t>
          </a:r>
        </a:p>
        <a:p>
          <a:r>
            <a:rPr lang="nl-NL" sz="900">
              <a:latin typeface="Consolas" pitchFamily="49" charset="0"/>
              <a:cs typeface="Consolas" pitchFamily="49" charset="0"/>
            </a:rPr>
            <a:t>Rechtermuisklik &gt; Celeigenschappen</a:t>
          </a:r>
        </a:p>
        <a:p>
          <a:r>
            <a:rPr lang="nl-NL" sz="900">
              <a:latin typeface="Consolas" pitchFamily="49" charset="0"/>
              <a:cs typeface="Consolas" pitchFamily="49" charset="0"/>
            </a:rPr>
            <a:t>tab Getal</a:t>
          </a:r>
        </a:p>
        <a:p>
          <a:r>
            <a:rPr lang="nl-NL" sz="900">
              <a:latin typeface="Consolas" pitchFamily="49" charset="0"/>
              <a:cs typeface="Consolas" pitchFamily="49" charset="0"/>
            </a:rPr>
            <a:t>Percentage &gt; Decimalen 1</a:t>
          </a:r>
        </a:p>
        <a:p>
          <a:r>
            <a:rPr lang="nl-NL" sz="900">
              <a:latin typeface="Consolas" pitchFamily="49" charset="0"/>
              <a:cs typeface="Consolas" pitchFamily="49" charset="0"/>
            </a:rPr>
            <a:t>tab Uitlijning</a:t>
          </a:r>
        </a:p>
        <a:p>
          <a:r>
            <a:rPr lang="nl-NL" sz="900">
              <a:latin typeface="Consolas" pitchFamily="49" charset="0"/>
              <a:cs typeface="Consolas" pitchFamily="49" charset="0"/>
            </a:rPr>
            <a:t>horizontaal&gt; Gecentreerd</a:t>
          </a:r>
        </a:p>
        <a:p>
          <a:r>
            <a:rPr lang="nl-NL" sz="900">
              <a:latin typeface="Consolas" pitchFamily="49" charset="0"/>
              <a:cs typeface="Consolas" pitchFamily="49" charset="0"/>
            </a:rPr>
            <a:t>OK</a:t>
          </a:r>
        </a:p>
        <a:p>
          <a:r>
            <a:rPr lang="nl-NL" sz="900">
              <a:latin typeface="Consolas" pitchFamily="49" charset="0"/>
              <a:cs typeface="Consolas" pitchFamily="49" charset="0"/>
            </a:rPr>
            <a:t>tab Programmacode &gt; opname stoppen</a:t>
          </a:r>
        </a:p>
        <a:p>
          <a:endParaRPr lang="nl-NL" sz="900">
            <a:latin typeface="Consolas" pitchFamily="49" charset="0"/>
            <a:cs typeface="Consolas" pitchFamily="49" charset="0"/>
          </a:endParaRPr>
        </a:p>
        <a:p>
          <a:r>
            <a:rPr lang="nl-NL" sz="900">
              <a:latin typeface="Consolas" pitchFamily="49" charset="0"/>
              <a:cs typeface="Consolas" pitchFamily="49" charset="0"/>
            </a:rPr>
            <a:t>De macro zelf is niet in deze werkmap opgenomen. De programmacode</a:t>
          </a:r>
          <a:r>
            <a:rPr lang="nl-NL" sz="900" baseline="0">
              <a:latin typeface="Consolas" pitchFamily="49" charset="0"/>
              <a:cs typeface="Consolas" pitchFamily="49" charset="0"/>
            </a:rPr>
            <a:t> is hieronder weergegeven.</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b="1">
              <a:latin typeface="Consolas" pitchFamily="49" charset="0"/>
              <a:cs typeface="Consolas" pitchFamily="49" charset="0"/>
            </a:rPr>
            <a:t>Programmacode:</a:t>
          </a:r>
        </a:p>
        <a:p>
          <a:endParaRPr lang="nl-NL" sz="900">
            <a:latin typeface="Consolas" pitchFamily="49" charset="0"/>
            <a:cs typeface="Consolas" pitchFamily="49" charset="0"/>
          </a:endParaRPr>
        </a:p>
        <a:p>
          <a:r>
            <a:rPr lang="nl-NL" sz="900">
              <a:latin typeface="Consolas" pitchFamily="49" charset="0"/>
              <a:cs typeface="Consolas" pitchFamily="49" charset="0"/>
            </a:rPr>
            <a:t>Sub ProcentOpmaak()</a:t>
          </a:r>
        </a:p>
        <a:p>
          <a:r>
            <a:rPr lang="nl-NL" sz="900">
              <a:latin typeface="Consolas" pitchFamily="49" charset="0"/>
              <a:cs typeface="Consolas" pitchFamily="49" charset="0"/>
            </a:rPr>
            <a:t>'</a:t>
          </a:r>
        </a:p>
        <a:p>
          <a:r>
            <a:rPr lang="nl-NL" sz="900">
              <a:latin typeface="Consolas" pitchFamily="49" charset="0"/>
              <a:cs typeface="Consolas" pitchFamily="49" charset="0"/>
            </a:rPr>
            <a:t>' ProcentOpmaak Macro</a:t>
          </a:r>
        </a:p>
        <a:p>
          <a:r>
            <a:rPr lang="nl-NL" sz="900">
              <a:latin typeface="Consolas" pitchFamily="49" charset="0"/>
              <a:cs typeface="Consolas" pitchFamily="49" charset="0"/>
            </a:rPr>
            <a:t>' Geeft getal weer als percentage met 1 dec. en gecentreerd.</a:t>
          </a:r>
        </a:p>
        <a:p>
          <a:r>
            <a:rPr lang="nl-NL" sz="900">
              <a:latin typeface="Consolas" pitchFamily="49" charset="0"/>
              <a:cs typeface="Consolas" pitchFamily="49" charset="0"/>
            </a:rPr>
            <a:t>'</a:t>
          </a:r>
        </a:p>
        <a:p>
          <a:r>
            <a:rPr lang="nl-NL" sz="900">
              <a:latin typeface="Consolas" pitchFamily="49" charset="0"/>
              <a:cs typeface="Consolas" pitchFamily="49" charset="0"/>
            </a:rPr>
            <a:t>    Selection.NumberFormat = "0.0%"</a:t>
          </a:r>
        </a:p>
        <a:p>
          <a:r>
            <a:rPr lang="nl-NL" sz="900">
              <a:latin typeface="Consolas" pitchFamily="49" charset="0"/>
              <a:cs typeface="Consolas" pitchFamily="49" charset="0"/>
            </a:rPr>
            <a:t>    With Selection</a:t>
          </a:r>
        </a:p>
        <a:p>
          <a:r>
            <a:rPr lang="nl-NL" sz="900">
              <a:latin typeface="Consolas" pitchFamily="49" charset="0"/>
              <a:cs typeface="Consolas" pitchFamily="49" charset="0"/>
            </a:rPr>
            <a:t>        .HorizontalAlignment = xlCenter</a:t>
          </a:r>
        </a:p>
        <a:p>
          <a:r>
            <a:rPr lang="nl-NL" sz="900">
              <a:latin typeface="Consolas" pitchFamily="49" charset="0"/>
              <a:cs typeface="Consolas" pitchFamily="49" charset="0"/>
            </a:rPr>
            <a:t>    End With</a:t>
          </a:r>
        </a:p>
        <a:p>
          <a:r>
            <a:rPr lang="nl-NL" sz="900">
              <a:latin typeface="Consolas" pitchFamily="49" charset="0"/>
              <a:cs typeface="Consolas" pitchFamily="49" charset="0"/>
            </a:rPr>
            <a:t>End Sub</a:t>
          </a:r>
        </a:p>
      </xdr:txBody>
    </xdr:sp>
    <xdr:clientData/>
  </xdr:twoCellAnchor>
</xdr:wsDr>
</file>

<file path=xl/drawings/drawing32.xml><?xml version="1.0" encoding="utf-8"?>
<xdr:wsDr xmlns:xdr="http://schemas.openxmlformats.org/drawingml/2006/spreadsheetDrawing" xmlns:a="http://schemas.openxmlformats.org/drawingml/2006/main">
  <xdr:twoCellAnchor>
    <xdr:from>
      <xdr:col>3</xdr:col>
      <xdr:colOff>0</xdr:colOff>
      <xdr:row>8</xdr:row>
      <xdr:rowOff>0</xdr:rowOff>
    </xdr:from>
    <xdr:to>
      <xdr:col>8</xdr:col>
      <xdr:colOff>323852</xdr:colOff>
      <xdr:row>34</xdr:row>
      <xdr:rowOff>47625</xdr:rowOff>
    </xdr:to>
    <xdr:sp macro="" textlink="">
      <xdr:nvSpPr>
        <xdr:cNvPr id="3" name="Tekstvak 2">
          <a:extLst>
            <a:ext uri="{FF2B5EF4-FFF2-40B4-BE49-F238E27FC236}">
              <a16:creationId xmlns:a16="http://schemas.microsoft.com/office/drawing/2014/main" id="{00000000-0008-0000-1D00-000003000000}"/>
            </a:ext>
          </a:extLst>
        </xdr:cNvPr>
        <xdr:cNvSpPr txBox="1"/>
      </xdr:nvSpPr>
      <xdr:spPr>
        <a:xfrm>
          <a:off x="1009650" y="1257300"/>
          <a:ext cx="4000502" cy="42576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menu Ontwikkelaars &gt; tab Programmacode &gt; Macro Opnemen</a:t>
          </a:r>
        </a:p>
        <a:p>
          <a:r>
            <a:rPr lang="nl-NL" sz="900">
              <a:latin typeface="Consolas" pitchFamily="49" charset="0"/>
              <a:cs typeface="Consolas" pitchFamily="49" charset="0"/>
            </a:rPr>
            <a:t>Rij 1 selecteren</a:t>
          </a:r>
          <a:r>
            <a:rPr lang="nl-NL" sz="900" baseline="0">
              <a:latin typeface="Consolas" pitchFamily="49" charset="0"/>
              <a:cs typeface="Consolas" pitchFamily="49" charset="0"/>
            </a:rPr>
            <a:t> &gt; R. muisklik &gt; Rijhoogte 18</a:t>
          </a:r>
        </a:p>
        <a:p>
          <a:r>
            <a:rPr lang="nl-NL" sz="900" baseline="0">
              <a:latin typeface="Consolas" pitchFamily="49" charset="0"/>
              <a:cs typeface="Consolas" pitchFamily="49" charset="0"/>
            </a:rPr>
            <a:t>Kolom 1 selecteren &gt; R. muisklik &gt; Kolombreedte 3</a:t>
          </a:r>
        </a:p>
        <a:p>
          <a:r>
            <a:rPr lang="nl-NL" sz="900" baseline="0">
              <a:latin typeface="Consolas" pitchFamily="49" charset="0"/>
              <a:cs typeface="Consolas" pitchFamily="49" charset="0"/>
            </a:rPr>
            <a:t>Cel A1 selecteren &gt; Lettertype Tahoma 14, vet, blauw</a:t>
          </a:r>
        </a:p>
        <a:p>
          <a:r>
            <a:rPr lang="nl-NL" sz="900">
              <a:latin typeface="Consolas" pitchFamily="49" charset="0"/>
              <a:cs typeface="Consolas" pitchFamily="49" charset="0"/>
            </a:rPr>
            <a:t>tab Programmacode &gt; opname stoppen</a:t>
          </a:r>
        </a:p>
        <a:p>
          <a:endParaRPr lang="nl-NL" sz="900">
            <a:latin typeface="Consolas" pitchFamily="49" charset="0"/>
            <a:cs typeface="Consolas" pitchFamily="49" charset="0"/>
          </a:endParaRPr>
        </a:p>
        <a:p>
          <a:r>
            <a:rPr lang="nl-NL" sz="900">
              <a:latin typeface="Consolas" pitchFamily="49" charset="0"/>
              <a:cs typeface="Consolas" pitchFamily="49" charset="0"/>
            </a:rPr>
            <a:t>De macro zelf is niet in deze werkmap opgenomen. De programmacode</a:t>
          </a:r>
          <a:r>
            <a:rPr lang="nl-NL" sz="900" baseline="0">
              <a:latin typeface="Consolas" pitchFamily="49" charset="0"/>
              <a:cs typeface="Consolas" pitchFamily="49" charset="0"/>
            </a:rPr>
            <a:t> is hieronder weergegeven.</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b="1">
              <a:latin typeface="Consolas" pitchFamily="49" charset="0"/>
              <a:cs typeface="Consolas" pitchFamily="49" charset="0"/>
            </a:rPr>
            <a:t>Programmacode:</a:t>
          </a:r>
        </a:p>
        <a:p>
          <a:endParaRPr lang="nl-NL" sz="900">
            <a:latin typeface="Consolas" pitchFamily="49" charset="0"/>
            <a:cs typeface="Consolas" pitchFamily="49" charset="0"/>
          </a:endParaRPr>
        </a:p>
        <a:p>
          <a:r>
            <a:rPr lang="nl-NL" sz="900">
              <a:latin typeface="Consolas" pitchFamily="49" charset="0"/>
              <a:cs typeface="Consolas" pitchFamily="49" charset="0"/>
            </a:rPr>
            <a:t>Sub OpmaakCelA1()</a:t>
          </a:r>
        </a:p>
        <a:p>
          <a:r>
            <a:rPr lang="nl-NL" sz="900">
              <a:latin typeface="Consolas" pitchFamily="49" charset="0"/>
              <a:cs typeface="Consolas" pitchFamily="49" charset="0"/>
            </a:rPr>
            <a:t>'</a:t>
          </a:r>
        </a:p>
        <a:p>
          <a:r>
            <a:rPr lang="nl-NL" sz="900">
              <a:latin typeface="Consolas" pitchFamily="49" charset="0"/>
              <a:cs typeface="Consolas" pitchFamily="49" charset="0"/>
            </a:rPr>
            <a:t>' OpmaakCelA1 Macro</a:t>
          </a:r>
        </a:p>
        <a:p>
          <a:r>
            <a:rPr lang="nl-NL" sz="900">
              <a:latin typeface="Consolas" pitchFamily="49" charset="0"/>
              <a:cs typeface="Consolas" pitchFamily="49" charset="0"/>
            </a:rPr>
            <a:t>' Maakt cel A1 op.</a:t>
          </a:r>
        </a:p>
        <a:p>
          <a:r>
            <a:rPr lang="nl-NL" sz="900">
              <a:latin typeface="Consolas" pitchFamily="49" charset="0"/>
              <a:cs typeface="Consolas" pitchFamily="49" charset="0"/>
            </a:rPr>
            <a:t>'</a:t>
          </a:r>
        </a:p>
        <a:p>
          <a:r>
            <a:rPr lang="nl-NL" sz="900">
              <a:latin typeface="Consolas" pitchFamily="49" charset="0"/>
              <a:cs typeface="Consolas" pitchFamily="49" charset="0"/>
            </a:rPr>
            <a:t>    Rows("1:1").Select</a:t>
          </a:r>
        </a:p>
        <a:p>
          <a:r>
            <a:rPr lang="nl-NL" sz="900">
              <a:latin typeface="Consolas" pitchFamily="49" charset="0"/>
              <a:cs typeface="Consolas" pitchFamily="49" charset="0"/>
            </a:rPr>
            <a:t>    Selection.RowHeight = 18</a:t>
          </a:r>
        </a:p>
        <a:p>
          <a:r>
            <a:rPr lang="nl-NL" sz="900">
              <a:latin typeface="Consolas" pitchFamily="49" charset="0"/>
              <a:cs typeface="Consolas" pitchFamily="49" charset="0"/>
            </a:rPr>
            <a:t>    Columns("A:A").Select</a:t>
          </a:r>
        </a:p>
        <a:p>
          <a:r>
            <a:rPr lang="nl-NL" sz="900">
              <a:latin typeface="Consolas" pitchFamily="49" charset="0"/>
              <a:cs typeface="Consolas" pitchFamily="49" charset="0"/>
            </a:rPr>
            <a:t>    Selection.ColumnWidth = 3</a:t>
          </a:r>
        </a:p>
        <a:p>
          <a:r>
            <a:rPr lang="nl-NL" sz="900">
              <a:latin typeface="Consolas" pitchFamily="49" charset="0"/>
              <a:cs typeface="Consolas" pitchFamily="49" charset="0"/>
            </a:rPr>
            <a:t>    Range("A1").Select</a:t>
          </a:r>
        </a:p>
        <a:p>
          <a:r>
            <a:rPr lang="nl-NL" sz="900">
              <a:latin typeface="Consolas" pitchFamily="49" charset="0"/>
              <a:cs typeface="Consolas" pitchFamily="49" charset="0"/>
            </a:rPr>
            <a:t>    With Selection.Font</a:t>
          </a:r>
        </a:p>
        <a:p>
          <a:r>
            <a:rPr lang="nl-NL" sz="900">
              <a:latin typeface="Consolas" pitchFamily="49" charset="0"/>
              <a:cs typeface="Consolas" pitchFamily="49" charset="0"/>
            </a:rPr>
            <a:t>        .Name = "Tahoma"</a:t>
          </a:r>
        </a:p>
        <a:p>
          <a:r>
            <a:rPr lang="nl-NL" sz="900">
              <a:latin typeface="Consolas" pitchFamily="49" charset="0"/>
              <a:cs typeface="Consolas" pitchFamily="49" charset="0"/>
            </a:rPr>
            <a:t>        .Size = 14</a:t>
          </a:r>
        </a:p>
        <a:p>
          <a:r>
            <a:rPr lang="nl-NL" sz="900">
              <a:latin typeface="Consolas" pitchFamily="49" charset="0"/>
              <a:cs typeface="Consolas" pitchFamily="49" charset="0"/>
            </a:rPr>
            <a:t>        .Bold = True</a:t>
          </a:r>
        </a:p>
        <a:p>
          <a:r>
            <a:rPr lang="nl-NL" sz="900">
              <a:latin typeface="Consolas" pitchFamily="49" charset="0"/>
              <a:cs typeface="Consolas" pitchFamily="49" charset="0"/>
            </a:rPr>
            <a:t>        .ThemeColor = xlThemeColorAccent1</a:t>
          </a:r>
        </a:p>
        <a:p>
          <a:r>
            <a:rPr lang="nl-NL" sz="900">
              <a:latin typeface="Consolas" pitchFamily="49" charset="0"/>
              <a:cs typeface="Consolas" pitchFamily="49" charset="0"/>
            </a:rPr>
            <a:t>        .TintAndShade = 0</a:t>
          </a:r>
        </a:p>
        <a:p>
          <a:r>
            <a:rPr lang="nl-NL" sz="900">
              <a:latin typeface="Consolas" pitchFamily="49" charset="0"/>
              <a:cs typeface="Consolas" pitchFamily="49" charset="0"/>
            </a:rPr>
            <a:t>    End With</a:t>
          </a:r>
        </a:p>
        <a:p>
          <a:r>
            <a:rPr lang="nl-NL" sz="900">
              <a:latin typeface="Consolas" pitchFamily="49" charset="0"/>
              <a:cs typeface="Consolas" pitchFamily="49" charset="0"/>
            </a:rPr>
            <a:t>End Sub</a:t>
          </a:r>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3</xdr:col>
      <xdr:colOff>9524</xdr:colOff>
      <xdr:row>7</xdr:row>
      <xdr:rowOff>9525</xdr:rowOff>
    </xdr:from>
    <xdr:to>
      <xdr:col>8</xdr:col>
      <xdr:colOff>333376</xdr:colOff>
      <xdr:row>25</xdr:row>
      <xdr:rowOff>152400</xdr:rowOff>
    </xdr:to>
    <xdr:sp macro="" textlink="">
      <xdr:nvSpPr>
        <xdr:cNvPr id="2" name="Tekstvak 1">
          <a:extLst>
            <a:ext uri="{FF2B5EF4-FFF2-40B4-BE49-F238E27FC236}">
              <a16:creationId xmlns:a16="http://schemas.microsoft.com/office/drawing/2014/main" id="{00000000-0008-0000-1E00-000002000000}"/>
            </a:ext>
          </a:extLst>
        </xdr:cNvPr>
        <xdr:cNvSpPr txBox="1"/>
      </xdr:nvSpPr>
      <xdr:spPr>
        <a:xfrm>
          <a:off x="1019174" y="1104900"/>
          <a:ext cx="4000502" cy="30575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menu Ontwikkelaars &gt; tab Programmacode &gt; Macro Opnemen</a:t>
          </a:r>
        </a:p>
        <a:p>
          <a:r>
            <a:rPr lang="nl-NL" sz="900">
              <a:latin typeface="Consolas" pitchFamily="49" charset="0"/>
              <a:cs typeface="Consolas" pitchFamily="49" charset="0"/>
            </a:rPr>
            <a:t>menu Pagina-indeling &gt; Pagina instelling</a:t>
          </a:r>
        </a:p>
        <a:p>
          <a:r>
            <a:rPr lang="nl-NL" sz="900">
              <a:latin typeface="Consolas" pitchFamily="49" charset="0"/>
              <a:cs typeface="Consolas" pitchFamily="49" charset="0"/>
            </a:rPr>
            <a:t>tab Blad &gt; aanvinken</a:t>
          </a:r>
          <a:r>
            <a:rPr lang="nl-NL" sz="900" baseline="0">
              <a:latin typeface="Consolas" pitchFamily="49" charset="0"/>
              <a:cs typeface="Consolas" pitchFamily="49" charset="0"/>
            </a:rPr>
            <a:t> rasterlijnen</a:t>
          </a:r>
          <a:endParaRPr lang="nl-NL" sz="900">
            <a:latin typeface="Consolas" pitchFamily="49" charset="0"/>
            <a:cs typeface="Consolas" pitchFamily="49" charset="0"/>
          </a:endParaRPr>
        </a:p>
        <a:p>
          <a:r>
            <a:rPr lang="nl-NL" sz="900">
              <a:latin typeface="Consolas" pitchFamily="49" charset="0"/>
              <a:cs typeface="Consolas" pitchFamily="49" charset="0"/>
            </a:rPr>
            <a:t>tab Programmacode &gt; opname stoppen</a:t>
          </a:r>
        </a:p>
        <a:p>
          <a:endParaRPr lang="nl-NL" sz="900">
            <a:latin typeface="Consolas" pitchFamily="49" charset="0"/>
            <a:cs typeface="Consolas" pitchFamily="49" charset="0"/>
          </a:endParaRPr>
        </a:p>
        <a:p>
          <a:r>
            <a:rPr lang="nl-NL" sz="900">
              <a:latin typeface="Consolas" pitchFamily="49" charset="0"/>
              <a:cs typeface="Consolas" pitchFamily="49" charset="0"/>
            </a:rPr>
            <a:t>De macro zelf is niet in deze werkmap opgenomen. De programmacode</a:t>
          </a:r>
          <a:r>
            <a:rPr lang="nl-NL" sz="900" baseline="0">
              <a:latin typeface="Consolas" pitchFamily="49" charset="0"/>
              <a:cs typeface="Consolas" pitchFamily="49" charset="0"/>
            </a:rPr>
            <a:t> is hieronder weergegeven.</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b="1">
              <a:latin typeface="Consolas" pitchFamily="49" charset="0"/>
              <a:cs typeface="Consolas" pitchFamily="49" charset="0"/>
            </a:rPr>
            <a:t>Programmacode:</a:t>
          </a:r>
        </a:p>
        <a:p>
          <a:endParaRPr lang="nl-NL" sz="900">
            <a:latin typeface="Consolas" pitchFamily="49" charset="0"/>
            <a:cs typeface="Consolas" pitchFamily="49" charset="0"/>
          </a:endParaRPr>
        </a:p>
        <a:p>
          <a:r>
            <a:rPr lang="nl-NL" sz="900">
              <a:latin typeface="Consolas" pitchFamily="49" charset="0"/>
              <a:cs typeface="Consolas" pitchFamily="49" charset="0"/>
            </a:rPr>
            <a:t>Sub RasterlijnenAfdrukken()</a:t>
          </a:r>
        </a:p>
        <a:p>
          <a:r>
            <a:rPr lang="nl-NL" sz="900">
              <a:latin typeface="Consolas" pitchFamily="49" charset="0"/>
              <a:cs typeface="Consolas" pitchFamily="49" charset="0"/>
            </a:rPr>
            <a:t>'</a:t>
          </a:r>
        </a:p>
        <a:p>
          <a:r>
            <a:rPr lang="nl-NL" sz="900">
              <a:latin typeface="Consolas" pitchFamily="49" charset="0"/>
              <a:cs typeface="Consolas" pitchFamily="49" charset="0"/>
            </a:rPr>
            <a:t>' RasterlijnenAfdrukken Macro</a:t>
          </a:r>
        </a:p>
        <a:p>
          <a:r>
            <a:rPr lang="nl-NL" sz="900">
              <a:latin typeface="Consolas" pitchFamily="49" charset="0"/>
              <a:cs typeface="Consolas" pitchFamily="49" charset="0"/>
            </a:rPr>
            <a:t>' Bij afdrukken worden rasterlijnen zichtbaar</a:t>
          </a:r>
        </a:p>
        <a:p>
          <a:r>
            <a:rPr lang="nl-NL" sz="900">
              <a:latin typeface="Consolas" pitchFamily="49" charset="0"/>
              <a:cs typeface="Consolas" pitchFamily="49" charset="0"/>
            </a:rPr>
            <a:t>'</a:t>
          </a:r>
        </a:p>
        <a:p>
          <a:r>
            <a:rPr lang="nl-NL" sz="900">
              <a:latin typeface="Consolas" pitchFamily="49" charset="0"/>
              <a:cs typeface="Consolas" pitchFamily="49" charset="0"/>
            </a:rPr>
            <a:t>    With ActiveSheet.PageSetup</a:t>
          </a:r>
        </a:p>
        <a:p>
          <a:r>
            <a:rPr lang="nl-NL" sz="900">
              <a:latin typeface="Consolas" pitchFamily="49" charset="0"/>
              <a:cs typeface="Consolas" pitchFamily="49" charset="0"/>
            </a:rPr>
            <a:t>        .PrintGridlines = True</a:t>
          </a:r>
        </a:p>
        <a:p>
          <a:r>
            <a:rPr lang="nl-NL" sz="900">
              <a:latin typeface="Consolas" pitchFamily="49" charset="0"/>
              <a:cs typeface="Consolas" pitchFamily="49" charset="0"/>
            </a:rPr>
            <a:t>    End With</a:t>
          </a:r>
        </a:p>
        <a:p>
          <a:r>
            <a:rPr lang="nl-NL" sz="900">
              <a:latin typeface="Consolas" pitchFamily="49" charset="0"/>
              <a:cs typeface="Consolas" pitchFamily="49" charset="0"/>
            </a:rPr>
            <a:t>End Sub</a:t>
          </a:r>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8</xdr:col>
      <xdr:colOff>200025</xdr:colOff>
      <xdr:row>7</xdr:row>
      <xdr:rowOff>9525</xdr:rowOff>
    </xdr:from>
    <xdr:to>
      <xdr:col>14</xdr:col>
      <xdr:colOff>152400</xdr:colOff>
      <xdr:row>22</xdr:row>
      <xdr:rowOff>114300</xdr:rowOff>
    </xdr:to>
    <xdr:graphicFrame macro="">
      <xdr:nvGraphicFramePr>
        <xdr:cNvPr id="2" name="Chart 1">
          <a:extLst>
            <a:ext uri="{FF2B5EF4-FFF2-40B4-BE49-F238E27FC236}">
              <a16:creationId xmlns:a16="http://schemas.microsoft.com/office/drawing/2014/main" id="{00000000-0008-0000-1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209550</xdr:colOff>
      <xdr:row>23</xdr:row>
      <xdr:rowOff>123825</xdr:rowOff>
    </xdr:from>
    <xdr:to>
      <xdr:col>14</xdr:col>
      <xdr:colOff>504825</xdr:colOff>
      <xdr:row>33</xdr:row>
      <xdr:rowOff>104775</xdr:rowOff>
    </xdr:to>
    <xdr:sp macro="" textlink="">
      <xdr:nvSpPr>
        <xdr:cNvPr id="4" name="Tekstvak 3">
          <a:extLst>
            <a:ext uri="{FF2B5EF4-FFF2-40B4-BE49-F238E27FC236}">
              <a16:creationId xmlns:a16="http://schemas.microsoft.com/office/drawing/2014/main" id="{00000000-0008-0000-1F00-000004000000}"/>
            </a:ext>
          </a:extLst>
        </xdr:cNvPr>
        <xdr:cNvSpPr txBox="1"/>
      </xdr:nvSpPr>
      <xdr:spPr>
        <a:xfrm>
          <a:off x="3248025" y="3962400"/>
          <a:ext cx="5353050" cy="160020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Excel kent</a:t>
          </a:r>
          <a:r>
            <a:rPr lang="nl-NL" sz="900" baseline="0">
              <a:latin typeface="Consolas" pitchFamily="49" charset="0"/>
              <a:cs typeface="Consolas" pitchFamily="49" charset="0"/>
            </a:rPr>
            <a:t> geen rechtstreekse mogelijkheden om een derdegraads functie te benaderen. Deze mogelijkheid is wel via het onderdeel grafieken beschikbaar via de trendlijn.</a:t>
          </a:r>
          <a:endParaRPr lang="nl-NL" sz="900">
            <a:latin typeface="Consolas" pitchFamily="49" charset="0"/>
            <a:cs typeface="Consolas" pitchFamily="49" charset="0"/>
          </a:endParaRPr>
        </a:p>
        <a:p>
          <a:r>
            <a:rPr lang="nl-NL" sz="900">
              <a:latin typeface="Consolas" pitchFamily="49" charset="0"/>
              <a:cs typeface="Consolas" pitchFamily="49" charset="0"/>
            </a:rPr>
            <a:t>Allereerst</a:t>
          </a:r>
          <a:r>
            <a:rPr lang="nl-NL" sz="900" baseline="0">
              <a:latin typeface="Consolas" pitchFamily="49" charset="0"/>
              <a:cs typeface="Consolas" pitchFamily="49" charset="0"/>
            </a:rPr>
            <a:t> is op het interval [0,1;1,0] de grafiek getekend. Door deze punten is een trendlijn (derdegraads polynoom) getrokken. De vergelijking van deze trendlijn is in de grafief geplaatst, hieruit kunnen de coëfficienten a, b en c worden afgelezen.</a:t>
          </a:r>
        </a:p>
        <a:p>
          <a:r>
            <a:rPr lang="nl-NL" sz="900" baseline="0">
              <a:latin typeface="Consolas" pitchFamily="49" charset="0"/>
              <a:cs typeface="Consolas" pitchFamily="49" charset="0"/>
            </a:rPr>
            <a:t>Hiermee zijn in de derde kolom de trendlijn waarden berekend. In de vierde kolom zijn de kwadratische verschillen berekend en de som hiervan geeft een indicatie van de nauwkeurigheid.</a:t>
          </a:r>
          <a:endParaRPr lang="nl-NL" sz="900">
            <a:latin typeface="Consolas" pitchFamily="49" charset="0"/>
            <a:cs typeface="Consolas" pitchFamily="49" charset="0"/>
          </a:endParaRPr>
        </a:p>
      </xdr:txBody>
    </xdr:sp>
    <xdr:clientData/>
  </xdr:twoCellAnchor>
</xdr:wsDr>
</file>

<file path=xl/drawings/drawing35.xml><?xml version="1.0" encoding="utf-8"?>
<xdr:wsDr xmlns:xdr="http://schemas.openxmlformats.org/drawingml/2006/spreadsheetDrawing" xmlns:a="http://schemas.openxmlformats.org/drawingml/2006/main">
  <xdr:twoCellAnchor>
    <xdr:from>
      <xdr:col>10</xdr:col>
      <xdr:colOff>190500</xdr:colOff>
      <xdr:row>7</xdr:row>
      <xdr:rowOff>171450</xdr:rowOff>
    </xdr:from>
    <xdr:to>
      <xdr:col>15</xdr:col>
      <xdr:colOff>400050</xdr:colOff>
      <xdr:row>17</xdr:row>
      <xdr:rowOff>152400</xdr:rowOff>
    </xdr:to>
    <xdr:sp macro="" textlink="">
      <xdr:nvSpPr>
        <xdr:cNvPr id="6" name="Tekstvak 5">
          <a:extLst>
            <a:ext uri="{FF2B5EF4-FFF2-40B4-BE49-F238E27FC236}">
              <a16:creationId xmlns:a16="http://schemas.microsoft.com/office/drawing/2014/main" id="{00000000-0008-0000-2000-000006000000}"/>
            </a:ext>
          </a:extLst>
        </xdr:cNvPr>
        <xdr:cNvSpPr txBox="1"/>
      </xdr:nvSpPr>
      <xdr:spPr>
        <a:xfrm>
          <a:off x="4895850" y="1238250"/>
          <a:ext cx="3257550" cy="16192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Bereken</a:t>
          </a:r>
          <a:r>
            <a:rPr lang="nl-NL" sz="900" baseline="0">
              <a:latin typeface="Consolas" pitchFamily="49" charset="0"/>
              <a:cs typeface="Consolas" pitchFamily="49" charset="0"/>
            </a:rPr>
            <a:t> eerst een aantal (x,y) waarden en teken daarna beide grafieken.</a:t>
          </a:r>
        </a:p>
        <a:p>
          <a:r>
            <a:rPr lang="nl-NL" sz="900">
              <a:latin typeface="Consolas" pitchFamily="49" charset="0"/>
              <a:cs typeface="Consolas" pitchFamily="49" charset="0"/>
            </a:rPr>
            <a:t>Kies een willekeurig punt op beide grafieken</a:t>
          </a:r>
          <a:r>
            <a:rPr lang="nl-NL" sz="900" baseline="0">
              <a:latin typeface="Consolas" pitchFamily="49" charset="0"/>
              <a:cs typeface="Consolas" pitchFamily="49" charset="0"/>
            </a:rPr>
            <a:t> en bereken met een formule de afstand tussen deze twee punten.</a:t>
          </a:r>
        </a:p>
        <a:p>
          <a:r>
            <a:rPr lang="nl-NL" sz="900" baseline="0">
              <a:latin typeface="Consolas" pitchFamily="49" charset="0"/>
              <a:cs typeface="Consolas" pitchFamily="49" charset="0"/>
            </a:rPr>
            <a:t>Gebruik de oplosser om het minimum van deze afstand te bepalen.</a:t>
          </a:r>
          <a:endParaRPr lang="nl-NL" sz="900">
            <a:latin typeface="Consolas" pitchFamily="49" charset="0"/>
            <a:cs typeface="Consolas" pitchFamily="49" charset="0"/>
          </a:endParaRPr>
        </a:p>
      </xdr:txBody>
    </xdr:sp>
    <xdr:clientData/>
  </xdr:twoCellAnchor>
  <xdr:twoCellAnchor>
    <xdr:from>
      <xdr:col>6</xdr:col>
      <xdr:colOff>0</xdr:colOff>
      <xdr:row>7</xdr:row>
      <xdr:rowOff>9525</xdr:rowOff>
    </xdr:from>
    <xdr:to>
      <xdr:col>9</xdr:col>
      <xdr:colOff>438150</xdr:colOff>
      <xdr:row>28</xdr:row>
      <xdr:rowOff>0</xdr:rowOff>
    </xdr:to>
    <xdr:graphicFrame macro="">
      <xdr:nvGraphicFramePr>
        <xdr:cNvPr id="7" name="Grafiek 6">
          <a:extLst>
            <a:ext uri="{FF2B5EF4-FFF2-40B4-BE49-F238E27FC236}">
              <a16:creationId xmlns:a16="http://schemas.microsoft.com/office/drawing/2014/main" id="{00000000-0008-0000-2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6.xml><?xml version="1.0" encoding="utf-8"?>
<xdr:wsDr xmlns:xdr="http://schemas.openxmlformats.org/drawingml/2006/spreadsheetDrawing" xmlns:a="http://schemas.openxmlformats.org/drawingml/2006/main">
  <xdr:twoCellAnchor>
    <xdr:from>
      <xdr:col>7</xdr:col>
      <xdr:colOff>0</xdr:colOff>
      <xdr:row>7</xdr:row>
      <xdr:rowOff>19050</xdr:rowOff>
    </xdr:from>
    <xdr:to>
      <xdr:col>14</xdr:col>
      <xdr:colOff>304800</xdr:colOff>
      <xdr:row>23</xdr:row>
      <xdr:rowOff>152400</xdr:rowOff>
    </xdr:to>
    <xdr:graphicFrame macro="">
      <xdr:nvGraphicFramePr>
        <xdr:cNvPr id="2" name="Grafiek 1">
          <a:extLst>
            <a:ext uri="{FF2B5EF4-FFF2-40B4-BE49-F238E27FC236}">
              <a16:creationId xmlns:a16="http://schemas.microsoft.com/office/drawing/2014/main" id="{00000000-0008-0000-2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609599</xdr:colOff>
      <xdr:row>26</xdr:row>
      <xdr:rowOff>0</xdr:rowOff>
    </xdr:from>
    <xdr:to>
      <xdr:col>14</xdr:col>
      <xdr:colOff>295274</xdr:colOff>
      <xdr:row>36</xdr:row>
      <xdr:rowOff>0</xdr:rowOff>
    </xdr:to>
    <xdr:sp macro="" textlink="">
      <xdr:nvSpPr>
        <xdr:cNvPr id="3" name="Tekstvak 2">
          <a:extLst>
            <a:ext uri="{FF2B5EF4-FFF2-40B4-BE49-F238E27FC236}">
              <a16:creationId xmlns:a16="http://schemas.microsoft.com/office/drawing/2014/main" id="{00000000-0008-0000-2100-000003000000}"/>
            </a:ext>
          </a:extLst>
        </xdr:cNvPr>
        <xdr:cNvSpPr txBox="1"/>
      </xdr:nvSpPr>
      <xdr:spPr>
        <a:xfrm>
          <a:off x="3162299" y="4191000"/>
          <a:ext cx="4562475" cy="16192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Bereken</a:t>
          </a:r>
          <a:r>
            <a:rPr lang="nl-NL" sz="900" baseline="0">
              <a:latin typeface="Consolas" pitchFamily="49" charset="0"/>
              <a:cs typeface="Consolas" pitchFamily="49" charset="0"/>
            </a:rPr>
            <a:t> </a:t>
          </a:r>
          <a:endParaRPr lang="nl-NL" sz="900">
            <a:latin typeface="Consolas" pitchFamily="49" charset="0"/>
            <a:cs typeface="Consolas" pitchFamily="49" charset="0"/>
          </a:endParaRPr>
        </a:p>
      </xdr:txBody>
    </xdr:sp>
    <xdr:clientData/>
  </xdr:twoCellAnchor>
</xdr:wsDr>
</file>

<file path=xl/drawings/drawing37.xml><?xml version="1.0" encoding="utf-8"?>
<xdr:wsDr xmlns:xdr="http://schemas.openxmlformats.org/drawingml/2006/spreadsheetDrawing" xmlns:a="http://schemas.openxmlformats.org/drawingml/2006/main">
  <xdr:twoCellAnchor>
    <xdr:from>
      <xdr:col>1</xdr:col>
      <xdr:colOff>228600</xdr:colOff>
      <xdr:row>22</xdr:row>
      <xdr:rowOff>28575</xdr:rowOff>
    </xdr:from>
    <xdr:to>
      <xdr:col>9</xdr:col>
      <xdr:colOff>114300</xdr:colOff>
      <xdr:row>29</xdr:row>
      <xdr:rowOff>133350</xdr:rowOff>
    </xdr:to>
    <xdr:sp macro="" textlink="">
      <xdr:nvSpPr>
        <xdr:cNvPr id="6" name="Tekstvak 5">
          <a:extLst>
            <a:ext uri="{FF2B5EF4-FFF2-40B4-BE49-F238E27FC236}">
              <a16:creationId xmlns:a16="http://schemas.microsoft.com/office/drawing/2014/main" id="{00000000-0008-0000-2200-000006000000}"/>
            </a:ext>
          </a:extLst>
        </xdr:cNvPr>
        <xdr:cNvSpPr txBox="1"/>
      </xdr:nvSpPr>
      <xdr:spPr>
        <a:xfrm>
          <a:off x="476250" y="3552825"/>
          <a:ext cx="4743450" cy="12382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Maak een kolom</a:t>
          </a:r>
          <a:r>
            <a:rPr lang="nl-NL" sz="900" baseline="0">
              <a:latin typeface="Consolas" pitchFamily="49" charset="0"/>
              <a:cs typeface="Consolas" pitchFamily="49" charset="0"/>
            </a:rPr>
            <a:t> voor de tijd t, lopend van 0 t/m 10.</a:t>
          </a:r>
        </a:p>
        <a:p>
          <a:r>
            <a:rPr lang="nl-NL" sz="900" baseline="0">
              <a:latin typeface="Consolas" pitchFamily="49" charset="0"/>
              <a:cs typeface="Consolas" pitchFamily="49" charset="0"/>
            </a:rPr>
            <a:t>Bereken de verkopen aan de hand van de formule.</a:t>
          </a:r>
        </a:p>
        <a:p>
          <a:r>
            <a:rPr lang="nl-NL" sz="900" baseline="0">
              <a:latin typeface="Consolas" pitchFamily="49" charset="0"/>
              <a:cs typeface="Consolas" pitchFamily="49" charset="0"/>
            </a:rPr>
            <a:t>Ga naar Gegevens &gt; tab Hulpmiddelen &gt; Wat als analyse &gt; Doelzoeken</a:t>
          </a:r>
        </a:p>
        <a:p>
          <a:r>
            <a:rPr lang="nl-NL" sz="900" baseline="0">
              <a:latin typeface="Consolas" pitchFamily="49" charset="0"/>
              <a:cs typeface="Consolas" pitchFamily="49" charset="0"/>
            </a:rPr>
            <a:t>Stel dialoogvenster in</a:t>
          </a:r>
        </a:p>
        <a:p>
          <a:r>
            <a:rPr lang="nl-NL" sz="900" baseline="0">
              <a:latin typeface="Consolas" pitchFamily="49" charset="0"/>
              <a:cs typeface="Consolas" pitchFamily="49" charset="0"/>
            </a:rPr>
            <a:t>Cel instellen: D20</a:t>
          </a:r>
        </a:p>
        <a:p>
          <a:r>
            <a:rPr lang="nl-NL" sz="900" baseline="0">
              <a:latin typeface="Consolas" pitchFamily="49" charset="0"/>
              <a:cs typeface="Consolas" pitchFamily="49" charset="0"/>
            </a:rPr>
            <a:t>Op waarde: 5000000</a:t>
          </a:r>
        </a:p>
        <a:p>
          <a:r>
            <a:rPr lang="nl-NL" sz="900" baseline="0">
              <a:latin typeface="Consolas" pitchFamily="49" charset="0"/>
              <a:cs typeface="Consolas" pitchFamily="49" charset="0"/>
            </a:rPr>
            <a:t>Door wijzigen van cel: D7</a:t>
          </a:r>
        </a:p>
        <a:p>
          <a:endParaRPr lang="nl-NL" sz="900">
            <a:latin typeface="Consolas" pitchFamily="49" charset="0"/>
            <a:cs typeface="Consolas" pitchFamily="49" charset="0"/>
          </a:endParaRPr>
        </a:p>
      </xdr:txBody>
    </xdr:sp>
    <xdr:clientData/>
  </xdr:twoCellAnchor>
</xdr:wsDr>
</file>

<file path=xl/drawings/drawing38.xml><?xml version="1.0" encoding="utf-8"?>
<xdr:wsDr xmlns:xdr="http://schemas.openxmlformats.org/drawingml/2006/spreadsheetDrawing" xmlns:a="http://schemas.openxmlformats.org/drawingml/2006/main">
  <xdr:twoCellAnchor>
    <xdr:from>
      <xdr:col>1</xdr:col>
      <xdr:colOff>247649</xdr:colOff>
      <xdr:row>15</xdr:row>
      <xdr:rowOff>38100</xdr:rowOff>
    </xdr:from>
    <xdr:to>
      <xdr:col>9</xdr:col>
      <xdr:colOff>180974</xdr:colOff>
      <xdr:row>24</xdr:row>
      <xdr:rowOff>152400</xdr:rowOff>
    </xdr:to>
    <xdr:sp macro="" textlink="">
      <xdr:nvSpPr>
        <xdr:cNvPr id="4" name="Tekstvak 3">
          <a:extLst>
            <a:ext uri="{FF2B5EF4-FFF2-40B4-BE49-F238E27FC236}">
              <a16:creationId xmlns:a16="http://schemas.microsoft.com/office/drawing/2014/main" id="{00000000-0008-0000-3500-000004000000}"/>
            </a:ext>
          </a:extLst>
        </xdr:cNvPr>
        <xdr:cNvSpPr txBox="1"/>
      </xdr:nvSpPr>
      <xdr:spPr>
        <a:xfrm>
          <a:off x="495299" y="2590800"/>
          <a:ext cx="5105400" cy="15716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Ga naar Gegevens &gt; tab Hulpmiddelen &gt; Wat als analyse &gt; Scenariobeheer</a:t>
          </a:r>
        </a:p>
        <a:p>
          <a:r>
            <a:rPr lang="nl-NL" sz="900">
              <a:latin typeface="Consolas" pitchFamily="49" charset="0"/>
              <a:cs typeface="Consolas" pitchFamily="49" charset="0"/>
            </a:rPr>
            <a:t>Voeg de drie scenario's</a:t>
          </a:r>
          <a:r>
            <a:rPr lang="nl-NL" sz="900" baseline="0">
              <a:latin typeface="Consolas" pitchFamily="49" charset="0"/>
              <a:cs typeface="Consolas" pitchFamily="49" charset="0"/>
            </a:rPr>
            <a:t> </a:t>
          </a:r>
          <a:r>
            <a:rPr lang="nl-NL" sz="900">
              <a:latin typeface="Consolas" pitchFamily="49" charset="0"/>
              <a:cs typeface="Consolas" pitchFamily="49" charset="0"/>
            </a:rPr>
            <a:t>toe.</a:t>
          </a:r>
        </a:p>
        <a:p>
          <a:r>
            <a:rPr lang="nl-NL" sz="900">
              <a:latin typeface="Consolas" pitchFamily="49" charset="0"/>
              <a:cs typeface="Consolas" pitchFamily="49" charset="0"/>
            </a:rPr>
            <a:t>Scenarionaam</a:t>
          </a:r>
        </a:p>
        <a:p>
          <a:r>
            <a:rPr lang="nl-NL" sz="900">
              <a:latin typeface="Consolas" pitchFamily="49" charset="0"/>
              <a:cs typeface="Consolas" pitchFamily="49" charset="0"/>
            </a:rPr>
            <a:t>Veranderende cel: E7</a:t>
          </a:r>
        </a:p>
        <a:p>
          <a:r>
            <a:rPr lang="nl-NL" sz="900">
              <a:latin typeface="Consolas" pitchFamily="49" charset="0"/>
              <a:cs typeface="Consolas" pitchFamily="49" charset="0"/>
            </a:rPr>
            <a:t>Kies voor Samenvatting</a:t>
          </a:r>
        </a:p>
        <a:p>
          <a:r>
            <a:rPr lang="nl-NL" sz="900">
              <a:latin typeface="Consolas" pitchFamily="49" charset="0"/>
              <a:cs typeface="Consolas" pitchFamily="49" charset="0"/>
            </a:rPr>
            <a:t>Resultaatcellen I11:I13</a:t>
          </a:r>
        </a:p>
        <a:p>
          <a:endParaRPr lang="nl-NL" sz="900">
            <a:latin typeface="Consolas" pitchFamily="49" charset="0"/>
            <a:cs typeface="Consolas" pitchFamily="49" charset="0"/>
          </a:endParaRPr>
        </a:p>
        <a:p>
          <a:r>
            <a:rPr lang="nl-NL" sz="900">
              <a:latin typeface="Consolas" pitchFamily="49" charset="0"/>
              <a:cs typeface="Consolas" pitchFamily="49" charset="0"/>
            </a:rPr>
            <a:t>Om namen in plaats van de celadressen te</a:t>
          </a:r>
          <a:r>
            <a:rPr lang="nl-NL" sz="900" baseline="0">
              <a:latin typeface="Consolas" pitchFamily="49" charset="0"/>
              <a:cs typeface="Consolas" pitchFamily="49" charset="0"/>
            </a:rPr>
            <a:t> krijgen moeten deze celadressen vooraf van een naam voorzien zijn.</a:t>
          </a:r>
          <a:endParaRPr lang="nl-NL" sz="900">
            <a:latin typeface="Consolas" pitchFamily="49" charset="0"/>
            <a:cs typeface="Consolas" pitchFamily="49" charset="0"/>
          </a:endParaRPr>
        </a:p>
      </xdr:txBody>
    </xdr:sp>
    <xdr:clientData/>
  </xdr:twoCellAnchor>
</xdr:wsDr>
</file>

<file path=xl/drawings/drawing39.xml><?xml version="1.0" encoding="utf-8"?>
<xdr:wsDr xmlns:xdr="http://schemas.openxmlformats.org/drawingml/2006/spreadsheetDrawing" xmlns:a="http://schemas.openxmlformats.org/drawingml/2006/main">
  <xdr:twoCellAnchor>
    <xdr:from>
      <xdr:col>2</xdr:col>
      <xdr:colOff>28575</xdr:colOff>
      <xdr:row>23</xdr:row>
      <xdr:rowOff>9525</xdr:rowOff>
    </xdr:from>
    <xdr:to>
      <xdr:col>9</xdr:col>
      <xdr:colOff>333375</xdr:colOff>
      <xdr:row>32</xdr:row>
      <xdr:rowOff>123825</xdr:rowOff>
    </xdr:to>
    <xdr:sp macro="" textlink="">
      <xdr:nvSpPr>
        <xdr:cNvPr id="4" name="Tekstvak 3">
          <a:extLst>
            <a:ext uri="{FF2B5EF4-FFF2-40B4-BE49-F238E27FC236}">
              <a16:creationId xmlns:a16="http://schemas.microsoft.com/office/drawing/2014/main" id="{00000000-0008-0000-3600-000004000000}"/>
            </a:ext>
          </a:extLst>
        </xdr:cNvPr>
        <xdr:cNvSpPr txBox="1"/>
      </xdr:nvSpPr>
      <xdr:spPr>
        <a:xfrm>
          <a:off x="523875" y="3695700"/>
          <a:ext cx="4819650" cy="15716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Ga naar Gegevens &gt; tab Hulpmiddelen &gt; Wat als analyse &gt; Scenariobeheer</a:t>
          </a:r>
        </a:p>
        <a:p>
          <a:r>
            <a:rPr lang="nl-NL" sz="900">
              <a:latin typeface="Consolas" pitchFamily="49" charset="0"/>
              <a:cs typeface="Consolas" pitchFamily="49" charset="0"/>
            </a:rPr>
            <a:t>Voeg de twee scenario's</a:t>
          </a:r>
          <a:r>
            <a:rPr lang="nl-NL" sz="900" baseline="0">
              <a:latin typeface="Consolas" pitchFamily="49" charset="0"/>
              <a:cs typeface="Consolas" pitchFamily="49" charset="0"/>
            </a:rPr>
            <a:t> </a:t>
          </a:r>
          <a:r>
            <a:rPr lang="nl-NL" sz="900">
              <a:latin typeface="Consolas" pitchFamily="49" charset="0"/>
              <a:cs typeface="Consolas" pitchFamily="49" charset="0"/>
            </a:rPr>
            <a:t>toe.</a:t>
          </a:r>
        </a:p>
        <a:p>
          <a:r>
            <a:rPr lang="nl-NL" sz="900">
              <a:latin typeface="Consolas" pitchFamily="49" charset="0"/>
              <a:cs typeface="Consolas" pitchFamily="49" charset="0"/>
            </a:rPr>
            <a:t>Scenarionaam</a:t>
          </a:r>
        </a:p>
        <a:p>
          <a:r>
            <a:rPr lang="nl-NL" sz="900">
              <a:latin typeface="Consolas" pitchFamily="49" charset="0"/>
              <a:cs typeface="Consolas" pitchFamily="49" charset="0"/>
            </a:rPr>
            <a:t>Veranderende cellen: E10,</a:t>
          </a:r>
          <a:r>
            <a:rPr lang="nl-NL" sz="900" baseline="0">
              <a:latin typeface="Consolas" pitchFamily="49" charset="0"/>
              <a:cs typeface="Consolas" pitchFamily="49" charset="0"/>
            </a:rPr>
            <a:t> E11, E15 en E17</a:t>
          </a:r>
          <a:endParaRPr lang="nl-NL" sz="900">
            <a:latin typeface="Consolas" pitchFamily="49" charset="0"/>
            <a:cs typeface="Consolas" pitchFamily="49" charset="0"/>
          </a:endParaRPr>
        </a:p>
        <a:p>
          <a:r>
            <a:rPr lang="nl-NL" sz="900">
              <a:latin typeface="Consolas" pitchFamily="49" charset="0"/>
              <a:cs typeface="Consolas" pitchFamily="49" charset="0"/>
            </a:rPr>
            <a:t>Kies voor Samenvatting</a:t>
          </a:r>
        </a:p>
        <a:p>
          <a:r>
            <a:rPr lang="nl-NL" sz="900">
              <a:latin typeface="Consolas" pitchFamily="49" charset="0"/>
              <a:cs typeface="Consolas" pitchFamily="49" charset="0"/>
            </a:rPr>
            <a:t>Resultaatcel E20</a:t>
          </a:r>
        </a:p>
        <a:p>
          <a:endParaRPr lang="nl-NL" sz="900">
            <a:latin typeface="Consolas" pitchFamily="49" charset="0"/>
            <a:cs typeface="Consolas" pitchFamily="49" charset="0"/>
          </a:endParaRPr>
        </a:p>
        <a:p>
          <a:r>
            <a:rPr lang="nl-NL" sz="900">
              <a:latin typeface="Consolas" pitchFamily="49" charset="0"/>
              <a:cs typeface="Consolas" pitchFamily="49" charset="0"/>
            </a:rPr>
            <a:t>Om namen in plaats van de celadressen te</a:t>
          </a:r>
          <a:r>
            <a:rPr lang="nl-NL" sz="900" baseline="0">
              <a:latin typeface="Consolas" pitchFamily="49" charset="0"/>
              <a:cs typeface="Consolas" pitchFamily="49" charset="0"/>
            </a:rPr>
            <a:t> krijgen moeten deze celadressen vooraf van een naam voorzien zijn.</a:t>
          </a:r>
          <a:endParaRPr lang="nl-NL" sz="900">
            <a:latin typeface="Consolas" pitchFamily="49" charset="0"/>
            <a:cs typeface="Consolas" pitchFamily="49" charset="0"/>
          </a:endParaRPr>
        </a:p>
      </xdr:txBody>
    </xdr:sp>
    <xdr:clientData/>
  </xdr:twoCellAnchor>
</xdr:wsDr>
</file>

<file path=xl/drawings/drawing40.xml><?xml version="1.0" encoding="utf-8"?>
<xdr:wsDr xmlns:xdr="http://schemas.openxmlformats.org/drawingml/2006/spreadsheetDrawing" xmlns:a="http://schemas.openxmlformats.org/drawingml/2006/main">
  <xdr:twoCellAnchor>
    <xdr:from>
      <xdr:col>2</xdr:col>
      <xdr:colOff>19050</xdr:colOff>
      <xdr:row>27</xdr:row>
      <xdr:rowOff>9525</xdr:rowOff>
    </xdr:from>
    <xdr:to>
      <xdr:col>9</xdr:col>
      <xdr:colOff>114300</xdr:colOff>
      <xdr:row>36</xdr:row>
      <xdr:rowOff>123825</xdr:rowOff>
    </xdr:to>
    <xdr:sp macro="" textlink="">
      <xdr:nvSpPr>
        <xdr:cNvPr id="3" name="Tekstvak 2">
          <a:extLst>
            <a:ext uri="{FF2B5EF4-FFF2-40B4-BE49-F238E27FC236}">
              <a16:creationId xmlns:a16="http://schemas.microsoft.com/office/drawing/2014/main" id="{00000000-0008-0000-3700-000003000000}"/>
            </a:ext>
          </a:extLst>
        </xdr:cNvPr>
        <xdr:cNvSpPr txBox="1"/>
      </xdr:nvSpPr>
      <xdr:spPr>
        <a:xfrm>
          <a:off x="514350" y="4362450"/>
          <a:ext cx="5600700" cy="15716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Ga naar Gegevens &gt; tab Hulpmiddelen &gt; Wat als analyse &gt; Scenariobeheer</a:t>
          </a:r>
        </a:p>
        <a:p>
          <a:r>
            <a:rPr lang="nl-NL" sz="900">
              <a:latin typeface="Consolas" pitchFamily="49" charset="0"/>
              <a:cs typeface="Consolas" pitchFamily="49" charset="0"/>
            </a:rPr>
            <a:t>Voeg de twee scenario's</a:t>
          </a:r>
          <a:r>
            <a:rPr lang="nl-NL" sz="900" baseline="0">
              <a:latin typeface="Consolas" pitchFamily="49" charset="0"/>
              <a:cs typeface="Consolas" pitchFamily="49" charset="0"/>
            </a:rPr>
            <a:t> </a:t>
          </a:r>
          <a:r>
            <a:rPr lang="nl-NL" sz="900">
              <a:latin typeface="Consolas" pitchFamily="49" charset="0"/>
              <a:cs typeface="Consolas" pitchFamily="49" charset="0"/>
            </a:rPr>
            <a:t>toe.</a:t>
          </a:r>
        </a:p>
        <a:p>
          <a:r>
            <a:rPr lang="nl-NL" sz="900">
              <a:latin typeface="Consolas" pitchFamily="49" charset="0"/>
              <a:cs typeface="Consolas" pitchFamily="49" charset="0"/>
            </a:rPr>
            <a:t>Scenarionaam</a:t>
          </a:r>
        </a:p>
        <a:p>
          <a:r>
            <a:rPr lang="nl-NL" sz="900">
              <a:latin typeface="Consolas" pitchFamily="49" charset="0"/>
              <a:cs typeface="Consolas" pitchFamily="49" charset="0"/>
            </a:rPr>
            <a:t>Veranderende cellen: E8</a:t>
          </a:r>
          <a:r>
            <a:rPr lang="nl-NL" sz="900" baseline="0">
              <a:latin typeface="Consolas" pitchFamily="49" charset="0"/>
              <a:cs typeface="Consolas" pitchFamily="49" charset="0"/>
            </a:rPr>
            <a:t> en E9</a:t>
          </a:r>
          <a:endParaRPr lang="nl-NL" sz="900">
            <a:latin typeface="Consolas" pitchFamily="49" charset="0"/>
            <a:cs typeface="Consolas" pitchFamily="49" charset="0"/>
          </a:endParaRPr>
        </a:p>
        <a:p>
          <a:r>
            <a:rPr lang="nl-NL" sz="900">
              <a:latin typeface="Consolas" pitchFamily="49" charset="0"/>
              <a:cs typeface="Consolas" pitchFamily="49" charset="0"/>
            </a:rPr>
            <a:t>Kies voor Samenvatting</a:t>
          </a:r>
        </a:p>
        <a:p>
          <a:r>
            <a:rPr lang="nl-NL" sz="900">
              <a:latin typeface="Consolas" pitchFamily="49" charset="0"/>
              <a:cs typeface="Consolas" pitchFamily="49" charset="0"/>
            </a:rPr>
            <a:t>Resultaatcel E24</a:t>
          </a:r>
        </a:p>
        <a:p>
          <a:endParaRPr lang="nl-NL" sz="900">
            <a:latin typeface="Consolas" pitchFamily="49" charset="0"/>
            <a:cs typeface="Consolas" pitchFamily="49" charset="0"/>
          </a:endParaRPr>
        </a:p>
        <a:p>
          <a:r>
            <a:rPr lang="nl-NL" sz="900">
              <a:latin typeface="Consolas" pitchFamily="49" charset="0"/>
              <a:cs typeface="Consolas" pitchFamily="49" charset="0"/>
            </a:rPr>
            <a:t>Om namen in plaats van de celadressen te</a:t>
          </a:r>
          <a:r>
            <a:rPr lang="nl-NL" sz="900" baseline="0">
              <a:latin typeface="Consolas" pitchFamily="49" charset="0"/>
              <a:cs typeface="Consolas" pitchFamily="49" charset="0"/>
            </a:rPr>
            <a:t> krijgen moeten deze celadressen vooraf van een naam voorzien zijn.</a:t>
          </a:r>
          <a:endParaRPr lang="nl-NL" sz="900">
            <a:latin typeface="Consolas" pitchFamily="49" charset="0"/>
            <a:cs typeface="Consolas" pitchFamily="49" charset="0"/>
          </a:endParaRPr>
        </a:p>
      </xdr:txBody>
    </xdr:sp>
    <xdr:clientData/>
  </xdr:twoCellAnchor>
</xdr:wsDr>
</file>

<file path=xl/drawings/drawing41.xml><?xml version="1.0" encoding="utf-8"?>
<xdr:wsDr xmlns:xdr="http://schemas.openxmlformats.org/drawingml/2006/spreadsheetDrawing" xmlns:a="http://schemas.openxmlformats.org/drawingml/2006/main">
  <xdr:twoCellAnchor>
    <xdr:from>
      <xdr:col>3</xdr:col>
      <xdr:colOff>19051</xdr:colOff>
      <xdr:row>34</xdr:row>
      <xdr:rowOff>19050</xdr:rowOff>
    </xdr:from>
    <xdr:to>
      <xdr:col>8</xdr:col>
      <xdr:colOff>485776</xdr:colOff>
      <xdr:row>43</xdr:row>
      <xdr:rowOff>133350</xdr:rowOff>
    </xdr:to>
    <xdr:sp macro="" textlink="">
      <xdr:nvSpPr>
        <xdr:cNvPr id="4" name="Tekstvak 3">
          <a:extLst>
            <a:ext uri="{FF2B5EF4-FFF2-40B4-BE49-F238E27FC236}">
              <a16:creationId xmlns:a16="http://schemas.microsoft.com/office/drawing/2014/main" id="{00000000-0008-0000-3800-000004000000}"/>
            </a:ext>
          </a:extLst>
        </xdr:cNvPr>
        <xdr:cNvSpPr txBox="1"/>
      </xdr:nvSpPr>
      <xdr:spPr>
        <a:xfrm>
          <a:off x="1028701" y="5553075"/>
          <a:ext cx="4819650" cy="15716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Ga naar Gegevens &gt; tab Hulpmiddelen &gt; Wat als analyse &gt; Scenariobeheer</a:t>
          </a:r>
        </a:p>
        <a:p>
          <a:r>
            <a:rPr lang="nl-NL" sz="900">
              <a:latin typeface="Consolas" pitchFamily="49" charset="0"/>
              <a:cs typeface="Consolas" pitchFamily="49" charset="0"/>
            </a:rPr>
            <a:t>Voeg de twee scenario's</a:t>
          </a:r>
          <a:r>
            <a:rPr lang="nl-NL" sz="900" baseline="0">
              <a:latin typeface="Consolas" pitchFamily="49" charset="0"/>
              <a:cs typeface="Consolas" pitchFamily="49" charset="0"/>
            </a:rPr>
            <a:t> </a:t>
          </a:r>
          <a:r>
            <a:rPr lang="nl-NL" sz="900">
              <a:latin typeface="Consolas" pitchFamily="49" charset="0"/>
              <a:cs typeface="Consolas" pitchFamily="49" charset="0"/>
            </a:rPr>
            <a:t>toe.</a:t>
          </a:r>
        </a:p>
        <a:p>
          <a:r>
            <a:rPr lang="nl-NL" sz="900">
              <a:latin typeface="Consolas" pitchFamily="49" charset="0"/>
              <a:cs typeface="Consolas" pitchFamily="49" charset="0"/>
            </a:rPr>
            <a:t>Scenarionaam</a:t>
          </a:r>
        </a:p>
        <a:p>
          <a:r>
            <a:rPr lang="nl-NL" sz="900">
              <a:latin typeface="Consolas" pitchFamily="49" charset="0"/>
              <a:cs typeface="Consolas" pitchFamily="49" charset="0"/>
            </a:rPr>
            <a:t>Veranderende cellen: E7,</a:t>
          </a:r>
          <a:r>
            <a:rPr lang="nl-NL" sz="900" baseline="0">
              <a:latin typeface="Consolas" pitchFamily="49" charset="0"/>
              <a:cs typeface="Consolas" pitchFamily="49" charset="0"/>
            </a:rPr>
            <a:t> E8, E9 en E10</a:t>
          </a:r>
          <a:endParaRPr lang="nl-NL" sz="900">
            <a:latin typeface="Consolas" pitchFamily="49" charset="0"/>
            <a:cs typeface="Consolas" pitchFamily="49" charset="0"/>
          </a:endParaRPr>
        </a:p>
        <a:p>
          <a:r>
            <a:rPr lang="nl-NL" sz="900">
              <a:latin typeface="Consolas" pitchFamily="49" charset="0"/>
              <a:cs typeface="Consolas" pitchFamily="49" charset="0"/>
            </a:rPr>
            <a:t>Kies voor Samenvatting</a:t>
          </a:r>
        </a:p>
        <a:p>
          <a:r>
            <a:rPr lang="nl-NL" sz="900">
              <a:latin typeface="Consolas" pitchFamily="49" charset="0"/>
              <a:cs typeface="Consolas" pitchFamily="49" charset="0"/>
            </a:rPr>
            <a:t>Resultaatcellen</a:t>
          </a:r>
          <a:r>
            <a:rPr lang="nl-NL" sz="900" baseline="0">
              <a:latin typeface="Consolas" pitchFamily="49" charset="0"/>
              <a:cs typeface="Consolas" pitchFamily="49" charset="0"/>
            </a:rPr>
            <a:t> F31 en G31</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a:latin typeface="Consolas" pitchFamily="49" charset="0"/>
              <a:cs typeface="Consolas" pitchFamily="49" charset="0"/>
            </a:rPr>
            <a:t>Om namen in plaats van de celadressen te</a:t>
          </a:r>
          <a:r>
            <a:rPr lang="nl-NL" sz="900" baseline="0">
              <a:latin typeface="Consolas" pitchFamily="49" charset="0"/>
              <a:cs typeface="Consolas" pitchFamily="49" charset="0"/>
            </a:rPr>
            <a:t> krijgen moeten deze celadressen vooraf van een naam voorzien zijn.</a:t>
          </a:r>
          <a:endParaRPr lang="nl-NL" sz="900">
            <a:latin typeface="Consolas" pitchFamily="49" charset="0"/>
            <a:cs typeface="Consolas" pitchFamily="49" charset="0"/>
          </a:endParaRPr>
        </a:p>
      </xdr:txBody>
    </xdr:sp>
    <xdr:clientData/>
  </xdr:twoCellAnchor>
</xdr:wsDr>
</file>

<file path=xl/drawings/drawing42.xml><?xml version="1.0" encoding="utf-8"?>
<xdr:wsDr xmlns:xdr="http://schemas.openxmlformats.org/drawingml/2006/spreadsheetDrawing" xmlns:a="http://schemas.openxmlformats.org/drawingml/2006/main">
  <xdr:twoCellAnchor>
    <xdr:from>
      <xdr:col>1</xdr:col>
      <xdr:colOff>219075</xdr:colOff>
      <xdr:row>22</xdr:row>
      <xdr:rowOff>0</xdr:rowOff>
    </xdr:from>
    <xdr:to>
      <xdr:col>7</xdr:col>
      <xdr:colOff>209550</xdr:colOff>
      <xdr:row>26</xdr:row>
      <xdr:rowOff>95251</xdr:rowOff>
    </xdr:to>
    <xdr:sp macro="" textlink="">
      <xdr:nvSpPr>
        <xdr:cNvPr id="3" name="Tekstvak 2">
          <a:extLst>
            <a:ext uri="{FF2B5EF4-FFF2-40B4-BE49-F238E27FC236}">
              <a16:creationId xmlns:a16="http://schemas.microsoft.com/office/drawing/2014/main" id="{00000000-0008-0000-3B00-000003000000}"/>
            </a:ext>
          </a:extLst>
        </xdr:cNvPr>
        <xdr:cNvSpPr txBox="1"/>
      </xdr:nvSpPr>
      <xdr:spPr>
        <a:xfrm>
          <a:off x="466725" y="3638550"/>
          <a:ext cx="3200400" cy="7429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Vul als beginwaarden voor alle</a:t>
          </a:r>
          <a:r>
            <a:rPr lang="nl-NL" sz="900" baseline="0">
              <a:latin typeface="Consolas" pitchFamily="49" charset="0"/>
              <a:cs typeface="Consolas" pitchFamily="49" charset="0"/>
            </a:rPr>
            <a:t> aantallen 100 in.</a:t>
          </a:r>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wsDr>
</file>

<file path=xl/drawings/drawing43.xml><?xml version="1.0" encoding="utf-8"?>
<xdr:wsDr xmlns:xdr="http://schemas.openxmlformats.org/drawingml/2006/spreadsheetDrawing" xmlns:a="http://schemas.openxmlformats.org/drawingml/2006/main">
  <xdr:twoCellAnchor>
    <xdr:from>
      <xdr:col>6</xdr:col>
      <xdr:colOff>19050</xdr:colOff>
      <xdr:row>17</xdr:row>
      <xdr:rowOff>9525</xdr:rowOff>
    </xdr:from>
    <xdr:to>
      <xdr:col>12</xdr:col>
      <xdr:colOff>171450</xdr:colOff>
      <xdr:row>21</xdr:row>
      <xdr:rowOff>104776</xdr:rowOff>
    </xdr:to>
    <xdr:sp macro="" textlink="">
      <xdr:nvSpPr>
        <xdr:cNvPr id="3" name="Tekstvak 2">
          <a:extLst>
            <a:ext uri="{FF2B5EF4-FFF2-40B4-BE49-F238E27FC236}">
              <a16:creationId xmlns:a16="http://schemas.microsoft.com/office/drawing/2014/main" id="{00000000-0008-0000-3C00-000003000000}"/>
            </a:ext>
          </a:extLst>
        </xdr:cNvPr>
        <xdr:cNvSpPr txBox="1"/>
      </xdr:nvSpPr>
      <xdr:spPr>
        <a:xfrm>
          <a:off x="2581275" y="2724150"/>
          <a:ext cx="3200400" cy="7429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Vul als beginwaarden voor alle</a:t>
          </a:r>
          <a:r>
            <a:rPr lang="nl-NL" sz="900" baseline="0">
              <a:latin typeface="Consolas" pitchFamily="49" charset="0"/>
              <a:cs typeface="Consolas" pitchFamily="49" charset="0"/>
            </a:rPr>
            <a:t> aantallen 1 in.</a:t>
          </a:r>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twoCellAnchor editAs="oneCell">
    <xdr:from>
      <xdr:col>2</xdr:col>
      <xdr:colOff>0</xdr:colOff>
      <xdr:row>17</xdr:row>
      <xdr:rowOff>0</xdr:rowOff>
    </xdr:from>
    <xdr:to>
      <xdr:col>5</xdr:col>
      <xdr:colOff>285750</xdr:colOff>
      <xdr:row>31</xdr:row>
      <xdr:rowOff>76200</xdr:rowOff>
    </xdr:to>
    <xdr:pic>
      <xdr:nvPicPr>
        <xdr:cNvPr id="1026" name="Picture 2">
          <a:extLst>
            <a:ext uri="{FF2B5EF4-FFF2-40B4-BE49-F238E27FC236}">
              <a16:creationId xmlns:a16="http://schemas.microsoft.com/office/drawing/2014/main" id="{00000000-0008-0000-3C00-000002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95300" y="2714625"/>
          <a:ext cx="1905000" cy="2343150"/>
        </a:xfrm>
        <a:prstGeom prst="rect">
          <a:avLst/>
        </a:prstGeom>
        <a:noFill/>
        <a:ln w="1">
          <a:noFill/>
          <a:miter lim="800000"/>
          <a:headEnd/>
          <a:tailEnd type="none" w="med" len="med"/>
        </a:ln>
        <a:effectLst/>
      </xdr:spPr>
    </xdr:pic>
    <xdr:clientData/>
  </xdr:twoCellAnchor>
</xdr:wsDr>
</file>

<file path=xl/drawings/drawing44.xml><?xml version="1.0" encoding="utf-8"?>
<xdr:wsDr xmlns:xdr="http://schemas.openxmlformats.org/drawingml/2006/spreadsheetDrawing" xmlns:a="http://schemas.openxmlformats.org/drawingml/2006/main">
  <xdr:twoCellAnchor>
    <xdr:from>
      <xdr:col>7</xdr:col>
      <xdr:colOff>0</xdr:colOff>
      <xdr:row>15</xdr:row>
      <xdr:rowOff>28575</xdr:rowOff>
    </xdr:from>
    <xdr:to>
      <xdr:col>12</xdr:col>
      <xdr:colOff>600075</xdr:colOff>
      <xdr:row>19</xdr:row>
      <xdr:rowOff>123826</xdr:rowOff>
    </xdr:to>
    <xdr:sp macro="" textlink="">
      <xdr:nvSpPr>
        <xdr:cNvPr id="2" name="Tekstvak 1">
          <a:extLst>
            <a:ext uri="{FF2B5EF4-FFF2-40B4-BE49-F238E27FC236}">
              <a16:creationId xmlns:a16="http://schemas.microsoft.com/office/drawing/2014/main" id="{00000000-0008-0000-3D00-000002000000}"/>
            </a:ext>
          </a:extLst>
        </xdr:cNvPr>
        <xdr:cNvSpPr txBox="1"/>
      </xdr:nvSpPr>
      <xdr:spPr>
        <a:xfrm>
          <a:off x="2705100" y="2419350"/>
          <a:ext cx="2562225" cy="7429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Vul als beginwaarden voor alle</a:t>
          </a:r>
          <a:r>
            <a:rPr lang="nl-NL" sz="900" baseline="0">
              <a:latin typeface="Consolas" pitchFamily="49" charset="0"/>
              <a:cs typeface="Consolas" pitchFamily="49" charset="0"/>
            </a:rPr>
            <a:t> aantallen 1 in.</a:t>
          </a:r>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twoCellAnchor editAs="oneCell">
    <xdr:from>
      <xdr:col>1</xdr:col>
      <xdr:colOff>228600</xdr:colOff>
      <xdr:row>14</xdr:row>
      <xdr:rowOff>152400</xdr:rowOff>
    </xdr:from>
    <xdr:to>
      <xdr:col>6</xdr:col>
      <xdr:colOff>257175</xdr:colOff>
      <xdr:row>29</xdr:row>
      <xdr:rowOff>9525</xdr:rowOff>
    </xdr:to>
    <xdr:pic>
      <xdr:nvPicPr>
        <xdr:cNvPr id="4097" name="Picture 1">
          <a:extLst>
            <a:ext uri="{FF2B5EF4-FFF2-40B4-BE49-F238E27FC236}">
              <a16:creationId xmlns:a16="http://schemas.microsoft.com/office/drawing/2014/main" id="{00000000-0008-0000-3D00-0000011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76250" y="2381250"/>
          <a:ext cx="1905000" cy="2286000"/>
        </a:xfrm>
        <a:prstGeom prst="rect">
          <a:avLst/>
        </a:prstGeom>
        <a:noFill/>
        <a:ln w="1">
          <a:noFill/>
          <a:miter lim="800000"/>
          <a:headEnd/>
          <a:tailEnd type="none" w="med" len="med"/>
        </a:ln>
        <a:effectLst/>
      </xdr:spPr>
    </xdr:pic>
    <xdr:clientData/>
  </xdr:twoCellAnchor>
</xdr:wsDr>
</file>

<file path=xl/drawings/drawing45.xml><?xml version="1.0" encoding="utf-8"?>
<xdr:wsDr xmlns:xdr="http://schemas.openxmlformats.org/drawingml/2006/spreadsheetDrawing" xmlns:a="http://schemas.openxmlformats.org/drawingml/2006/main">
  <xdr:twoCellAnchor>
    <xdr:from>
      <xdr:col>5</xdr:col>
      <xdr:colOff>257175</xdr:colOff>
      <xdr:row>22</xdr:row>
      <xdr:rowOff>0</xdr:rowOff>
    </xdr:from>
    <xdr:to>
      <xdr:col>11</xdr:col>
      <xdr:colOff>257175</xdr:colOff>
      <xdr:row>26</xdr:row>
      <xdr:rowOff>95251</xdr:rowOff>
    </xdr:to>
    <xdr:sp macro="" textlink="">
      <xdr:nvSpPr>
        <xdr:cNvPr id="2" name="Tekstvak 1">
          <a:extLst>
            <a:ext uri="{FF2B5EF4-FFF2-40B4-BE49-F238E27FC236}">
              <a16:creationId xmlns:a16="http://schemas.microsoft.com/office/drawing/2014/main" id="{00000000-0008-0000-3E00-000002000000}"/>
            </a:ext>
          </a:extLst>
        </xdr:cNvPr>
        <xdr:cNvSpPr txBox="1"/>
      </xdr:nvSpPr>
      <xdr:spPr>
        <a:xfrm>
          <a:off x="2686050" y="3638550"/>
          <a:ext cx="3200400" cy="7429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Vul als beginwaarden voor alle</a:t>
          </a:r>
          <a:r>
            <a:rPr lang="nl-NL" sz="900" baseline="0">
              <a:latin typeface="Consolas" pitchFamily="49" charset="0"/>
              <a:cs typeface="Consolas" pitchFamily="49" charset="0"/>
            </a:rPr>
            <a:t> aantallen 1 in.</a:t>
          </a:r>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twoCellAnchor editAs="oneCell">
    <xdr:from>
      <xdr:col>2</xdr:col>
      <xdr:colOff>9525</xdr:colOff>
      <xdr:row>22</xdr:row>
      <xdr:rowOff>0</xdr:rowOff>
    </xdr:from>
    <xdr:to>
      <xdr:col>5</xdr:col>
      <xdr:colOff>304800</xdr:colOff>
      <xdr:row>38</xdr:row>
      <xdr:rowOff>47625</xdr:rowOff>
    </xdr:to>
    <xdr:pic>
      <xdr:nvPicPr>
        <xdr:cNvPr id="5121" name="Picture 1">
          <a:extLst>
            <a:ext uri="{FF2B5EF4-FFF2-40B4-BE49-F238E27FC236}">
              <a16:creationId xmlns:a16="http://schemas.microsoft.com/office/drawing/2014/main" id="{00000000-0008-0000-3E00-0000011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04825" y="3638550"/>
          <a:ext cx="1914525" cy="2638425"/>
        </a:xfrm>
        <a:prstGeom prst="rect">
          <a:avLst/>
        </a:prstGeom>
        <a:noFill/>
        <a:ln w="1">
          <a:noFill/>
          <a:miter lim="800000"/>
          <a:headEnd/>
          <a:tailEnd type="none" w="med" len="med"/>
        </a:ln>
        <a:effectLst/>
      </xdr:spPr>
    </xdr:pic>
    <xdr:clientData/>
  </xdr:twoCellAnchor>
</xdr:wsDr>
</file>

<file path=xl/drawings/drawing46.xml><?xml version="1.0" encoding="utf-8"?>
<xdr:wsDr xmlns:xdr="http://schemas.openxmlformats.org/drawingml/2006/spreadsheetDrawing" xmlns:a="http://schemas.openxmlformats.org/drawingml/2006/main">
  <xdr:twoCellAnchor editAs="oneCell">
    <xdr:from>
      <xdr:col>2</xdr:col>
      <xdr:colOff>0</xdr:colOff>
      <xdr:row>15</xdr:row>
      <xdr:rowOff>142875</xdr:rowOff>
    </xdr:from>
    <xdr:to>
      <xdr:col>6</xdr:col>
      <xdr:colOff>104775</xdr:colOff>
      <xdr:row>29</xdr:row>
      <xdr:rowOff>66675</xdr:rowOff>
    </xdr:to>
    <xdr:pic>
      <xdr:nvPicPr>
        <xdr:cNvPr id="1025" name="Picture 1">
          <a:extLst>
            <a:ext uri="{FF2B5EF4-FFF2-40B4-BE49-F238E27FC236}">
              <a16:creationId xmlns:a16="http://schemas.microsoft.com/office/drawing/2014/main" id="{00000000-0008-0000-3F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95300" y="2647950"/>
          <a:ext cx="1914525" cy="2190750"/>
        </a:xfrm>
        <a:prstGeom prst="rect">
          <a:avLst/>
        </a:prstGeom>
        <a:noFill/>
        <a:ln w="1">
          <a:noFill/>
          <a:miter lim="800000"/>
          <a:headEnd/>
          <a:tailEnd type="none" w="med" len="med"/>
        </a:ln>
        <a:effectLst/>
      </xdr:spPr>
    </xdr:pic>
    <xdr:clientData/>
  </xdr:twoCellAnchor>
  <xdr:twoCellAnchor>
    <xdr:from>
      <xdr:col>7</xdr:col>
      <xdr:colOff>9525</xdr:colOff>
      <xdr:row>16</xdr:row>
      <xdr:rowOff>9525</xdr:rowOff>
    </xdr:from>
    <xdr:to>
      <xdr:col>13</xdr:col>
      <xdr:colOff>85725</xdr:colOff>
      <xdr:row>20</xdr:row>
      <xdr:rowOff>104776</xdr:rowOff>
    </xdr:to>
    <xdr:sp macro="" textlink="">
      <xdr:nvSpPr>
        <xdr:cNvPr id="4" name="Tekstvak 3">
          <a:extLst>
            <a:ext uri="{FF2B5EF4-FFF2-40B4-BE49-F238E27FC236}">
              <a16:creationId xmlns:a16="http://schemas.microsoft.com/office/drawing/2014/main" id="{00000000-0008-0000-3F00-000004000000}"/>
            </a:ext>
          </a:extLst>
        </xdr:cNvPr>
        <xdr:cNvSpPr txBox="1"/>
      </xdr:nvSpPr>
      <xdr:spPr>
        <a:xfrm>
          <a:off x="2581275" y="2676525"/>
          <a:ext cx="3200400" cy="7429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Vul als beginwaarden voor alle</a:t>
          </a:r>
          <a:r>
            <a:rPr lang="nl-NL" sz="900" baseline="0">
              <a:latin typeface="Consolas" pitchFamily="49" charset="0"/>
              <a:cs typeface="Consolas" pitchFamily="49" charset="0"/>
            </a:rPr>
            <a:t> aantallen 1 in.</a:t>
          </a:r>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wsDr>
</file>

<file path=xl/drawings/drawing47.xml><?xml version="1.0" encoding="utf-8"?>
<xdr:wsDr xmlns:xdr="http://schemas.openxmlformats.org/drawingml/2006/spreadsheetDrawing" xmlns:a="http://schemas.openxmlformats.org/drawingml/2006/main">
  <xdr:twoCellAnchor>
    <xdr:from>
      <xdr:col>2</xdr:col>
      <xdr:colOff>38100</xdr:colOff>
      <xdr:row>31</xdr:row>
      <xdr:rowOff>9525</xdr:rowOff>
    </xdr:from>
    <xdr:to>
      <xdr:col>7</xdr:col>
      <xdr:colOff>200025</xdr:colOff>
      <xdr:row>35</xdr:row>
      <xdr:rowOff>104776</xdr:rowOff>
    </xdr:to>
    <xdr:sp macro="" textlink="">
      <xdr:nvSpPr>
        <xdr:cNvPr id="4" name="Tekstvak 3">
          <a:extLst>
            <a:ext uri="{FF2B5EF4-FFF2-40B4-BE49-F238E27FC236}">
              <a16:creationId xmlns:a16="http://schemas.microsoft.com/office/drawing/2014/main" id="{00000000-0008-0000-4000-000004000000}"/>
            </a:ext>
          </a:extLst>
        </xdr:cNvPr>
        <xdr:cNvSpPr txBox="1"/>
      </xdr:nvSpPr>
      <xdr:spPr>
        <a:xfrm>
          <a:off x="533400" y="4991100"/>
          <a:ext cx="3467100" cy="7429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Vul als beginwaarden voor alle</a:t>
          </a:r>
          <a:r>
            <a:rPr lang="nl-NL" sz="900" baseline="0">
              <a:latin typeface="Consolas" pitchFamily="49" charset="0"/>
              <a:cs typeface="Consolas" pitchFamily="49" charset="0"/>
            </a:rPr>
            <a:t> aantallen 10 in.</a:t>
          </a:r>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wsDr>
</file>

<file path=xl/drawings/drawing48.xml><?xml version="1.0" encoding="utf-8"?>
<xdr:wsDr xmlns:xdr="http://schemas.openxmlformats.org/drawingml/2006/spreadsheetDrawing" xmlns:a="http://schemas.openxmlformats.org/drawingml/2006/main">
  <xdr:twoCellAnchor>
    <xdr:from>
      <xdr:col>2</xdr:col>
      <xdr:colOff>9525</xdr:colOff>
      <xdr:row>20</xdr:row>
      <xdr:rowOff>9524</xdr:rowOff>
    </xdr:from>
    <xdr:to>
      <xdr:col>10</xdr:col>
      <xdr:colOff>571500</xdr:colOff>
      <xdr:row>33</xdr:row>
      <xdr:rowOff>57150</xdr:rowOff>
    </xdr:to>
    <xdr:sp macro="" textlink="">
      <xdr:nvSpPr>
        <xdr:cNvPr id="4" name="Tekstvak 3">
          <a:extLst>
            <a:ext uri="{FF2B5EF4-FFF2-40B4-BE49-F238E27FC236}">
              <a16:creationId xmlns:a16="http://schemas.microsoft.com/office/drawing/2014/main" id="{00000000-0008-0000-4100-000004000000}"/>
            </a:ext>
          </a:extLst>
        </xdr:cNvPr>
        <xdr:cNvSpPr txBox="1"/>
      </xdr:nvSpPr>
      <xdr:spPr>
        <a:xfrm>
          <a:off x="504825" y="3438524"/>
          <a:ext cx="4991100" cy="21526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In E16:I16</a:t>
          </a:r>
          <a:r>
            <a:rPr lang="nl-NL" sz="900" baseline="0">
              <a:latin typeface="Consolas" pitchFamily="49" charset="0"/>
              <a:cs typeface="Consolas" pitchFamily="49" charset="0"/>
            </a:rPr>
            <a:t> staan de waarden voor x1 t/m x5. Als startwaarde wordt voor elk 1 genomen.</a:t>
          </a:r>
        </a:p>
        <a:p>
          <a:endParaRPr lang="nl-NL" sz="900">
            <a:latin typeface="Consolas" pitchFamily="49" charset="0"/>
            <a:cs typeface="Consolas" pitchFamily="49" charset="0"/>
          </a:endParaRPr>
        </a:p>
        <a:p>
          <a:r>
            <a:rPr lang="nl-NL" sz="900">
              <a:latin typeface="Consolas" pitchFamily="49" charset="0"/>
              <a:cs typeface="Consolas" pitchFamily="49" charset="0"/>
            </a:rPr>
            <a:t>Met de</a:t>
          </a:r>
          <a:r>
            <a:rPr lang="nl-NL" sz="900" baseline="0">
              <a:latin typeface="Consolas" pitchFamily="49" charset="0"/>
              <a:cs typeface="Consolas" pitchFamily="49" charset="0"/>
            </a:rPr>
            <a:t> waarden voor x1 t/m x5 wordt voor elke vergelijking de waarde van het linkerlid van de vergelijking uitgerekend. Deze waarden staan in L9:L13 en zullen zo goed mogelijk gelijk moeten worden aan de waarde van het rechterlid.</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Een goede maatstaf voor de afwijking is het kwadratisch verschil. De som van alle kwadratische verschillen zal in het ideale geval 0 zijn. Deze som wordt nu gebruikt als de te bepalen cel voor de oplosser.</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wsDr>
</file>

<file path=xl/drawings/drawing49.xml><?xml version="1.0" encoding="utf-8"?>
<xdr:wsDr xmlns:xdr="http://schemas.openxmlformats.org/drawingml/2006/spreadsheetDrawing" xmlns:a="http://schemas.openxmlformats.org/drawingml/2006/main">
  <xdr:twoCellAnchor>
    <xdr:from>
      <xdr:col>2</xdr:col>
      <xdr:colOff>9524</xdr:colOff>
      <xdr:row>22</xdr:row>
      <xdr:rowOff>0</xdr:rowOff>
    </xdr:from>
    <xdr:to>
      <xdr:col>8</xdr:col>
      <xdr:colOff>133349</xdr:colOff>
      <xdr:row>32</xdr:row>
      <xdr:rowOff>104775</xdr:rowOff>
    </xdr:to>
    <xdr:sp macro="" textlink="">
      <xdr:nvSpPr>
        <xdr:cNvPr id="4" name="Tekstvak 3">
          <a:extLst>
            <a:ext uri="{FF2B5EF4-FFF2-40B4-BE49-F238E27FC236}">
              <a16:creationId xmlns:a16="http://schemas.microsoft.com/office/drawing/2014/main" id="{00000000-0008-0000-4200-000004000000}"/>
            </a:ext>
          </a:extLst>
        </xdr:cNvPr>
        <xdr:cNvSpPr txBox="1"/>
      </xdr:nvSpPr>
      <xdr:spPr>
        <a:xfrm>
          <a:off x="504824" y="3724275"/>
          <a:ext cx="4772025" cy="17240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De uitgeleende bedragen</a:t>
          </a:r>
          <a:r>
            <a:rPr lang="nl-NL" sz="900" baseline="0">
              <a:latin typeface="Consolas" pitchFamily="49" charset="0"/>
              <a:cs typeface="Consolas" pitchFamily="49" charset="0"/>
            </a:rPr>
            <a:t> worden als veelvouden van 1000 in het model gezet. Als startwaarden worden gebruikt: 100, 600, 400, 100 (van boven naar beneden)</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a:latin typeface="Consolas" pitchFamily="49" charset="0"/>
              <a:cs typeface="Consolas" pitchFamily="49" charset="0"/>
            </a:rPr>
            <a:t>Omdat in de grenswaarden combinaties van meerdere cellen zitten, worden deze grenswaarden in afzonderlijke cellen E15:E18) berekend, omdat in de oplosser steeds maar 1 celadres gebruikt mag worden.</a:t>
          </a:r>
          <a:r>
            <a:rPr lang="nl-NL" sz="900" baseline="0">
              <a:latin typeface="Consolas" pitchFamily="49" charset="0"/>
              <a:cs typeface="Consolas" pitchFamily="49" charset="0"/>
            </a:rPr>
            <a:t>.</a:t>
          </a:r>
        </a:p>
        <a:p>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wsDr>
</file>

<file path=xl/drawings/drawing50.xml><?xml version="1.0" encoding="utf-8"?>
<xdr:wsDr xmlns:xdr="http://schemas.openxmlformats.org/drawingml/2006/spreadsheetDrawing" xmlns:a="http://schemas.openxmlformats.org/drawingml/2006/main">
  <xdr:twoCellAnchor>
    <xdr:from>
      <xdr:col>6</xdr:col>
      <xdr:colOff>0</xdr:colOff>
      <xdr:row>24</xdr:row>
      <xdr:rowOff>28575</xdr:rowOff>
    </xdr:from>
    <xdr:to>
      <xdr:col>13</xdr:col>
      <xdr:colOff>47625</xdr:colOff>
      <xdr:row>34</xdr:row>
      <xdr:rowOff>38100</xdr:rowOff>
    </xdr:to>
    <xdr:sp macro="" textlink="">
      <xdr:nvSpPr>
        <xdr:cNvPr id="2" name="Tekstvak 1">
          <a:extLst>
            <a:ext uri="{FF2B5EF4-FFF2-40B4-BE49-F238E27FC236}">
              <a16:creationId xmlns:a16="http://schemas.microsoft.com/office/drawing/2014/main" id="{00000000-0008-0000-4300-000002000000}"/>
            </a:ext>
          </a:extLst>
        </xdr:cNvPr>
        <xdr:cNvSpPr txBox="1"/>
      </xdr:nvSpPr>
      <xdr:spPr>
        <a:xfrm>
          <a:off x="2819400" y="3895725"/>
          <a:ext cx="4562475" cy="16287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Maak</a:t>
          </a:r>
          <a:r>
            <a:rPr lang="nl-NL" sz="900" baseline="0">
              <a:latin typeface="Consolas" pitchFamily="49" charset="0"/>
              <a:cs typeface="Consolas" pitchFamily="49" charset="0"/>
            </a:rPr>
            <a:t> eerst een tabel met schoenmaten en de bijbehorende kans. De kans op elke schoenmaat is even groot, dus de kans voor elke maat is 1/7.</a:t>
          </a:r>
        </a:p>
        <a:p>
          <a:endParaRPr lang="nl-NL" sz="900" baseline="0">
            <a:latin typeface="Consolas" pitchFamily="49" charset="0"/>
            <a:cs typeface="Consolas" pitchFamily="49" charset="0"/>
          </a:endParaRPr>
        </a:p>
        <a:p>
          <a:endParaRPr lang="nl-NL" sz="900">
            <a:latin typeface="Consolas" pitchFamily="49" charset="0"/>
            <a:cs typeface="Consolas" pitchFamily="49" charset="0"/>
          </a:endParaRPr>
        </a:p>
      </xdr:txBody>
    </xdr:sp>
    <xdr:clientData/>
  </xdr:twoCellAnchor>
</xdr:wsDr>
</file>

<file path=xl/drawings/drawing51.xml><?xml version="1.0" encoding="utf-8"?>
<xdr:wsDr xmlns:xdr="http://schemas.openxmlformats.org/drawingml/2006/spreadsheetDrawing" xmlns:a="http://schemas.openxmlformats.org/drawingml/2006/main">
  <xdr:twoCellAnchor>
    <xdr:from>
      <xdr:col>6</xdr:col>
      <xdr:colOff>0</xdr:colOff>
      <xdr:row>7</xdr:row>
      <xdr:rowOff>0</xdr:rowOff>
    </xdr:from>
    <xdr:to>
      <xdr:col>13</xdr:col>
      <xdr:colOff>304800</xdr:colOff>
      <xdr:row>23</xdr:row>
      <xdr:rowOff>152400</xdr:rowOff>
    </xdr:to>
    <xdr:graphicFrame macro="">
      <xdr:nvGraphicFramePr>
        <xdr:cNvPr id="3" name="Grafiek 2">
          <a:extLst>
            <a:ext uri="{FF2B5EF4-FFF2-40B4-BE49-F238E27FC236}">
              <a16:creationId xmlns:a16="http://schemas.microsoft.com/office/drawing/2014/main" id="{00000000-0008-0000-4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238125</xdr:colOff>
      <xdr:row>35</xdr:row>
      <xdr:rowOff>66675</xdr:rowOff>
    </xdr:from>
    <xdr:to>
      <xdr:col>11</xdr:col>
      <xdr:colOff>238125</xdr:colOff>
      <xdr:row>41</xdr:row>
      <xdr:rowOff>19050</xdr:rowOff>
    </xdr:to>
    <xdr:sp macro="" textlink="">
      <xdr:nvSpPr>
        <xdr:cNvPr id="4" name="Tekstvak 3">
          <a:extLst>
            <a:ext uri="{FF2B5EF4-FFF2-40B4-BE49-F238E27FC236}">
              <a16:creationId xmlns:a16="http://schemas.microsoft.com/office/drawing/2014/main" id="{00000000-0008-0000-4400-000004000000}"/>
            </a:ext>
          </a:extLst>
        </xdr:cNvPr>
        <xdr:cNvSpPr txBox="1"/>
      </xdr:nvSpPr>
      <xdr:spPr>
        <a:xfrm>
          <a:off x="485775" y="5695950"/>
          <a:ext cx="5353050" cy="9239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Grafiek:</a:t>
          </a:r>
          <a:r>
            <a:rPr lang="nl-NL" sz="900" baseline="0">
              <a:latin typeface="Consolas" pitchFamily="49" charset="0"/>
              <a:cs typeface="Consolas" pitchFamily="49" charset="0"/>
            </a:rPr>
            <a:t> type spreiding, schaal hor. as en vert. as aanpassen, geen legenda, weergave hor. rasterlijnen aanpassen, astitels aanbrengen, lineaire trendlijn laten tekenen.</a:t>
          </a:r>
        </a:p>
        <a:p>
          <a:r>
            <a:rPr lang="nl-NL" sz="900" baseline="0">
              <a:latin typeface="Consolas" pitchFamily="49" charset="0"/>
              <a:cs typeface="Consolas" pitchFamily="49" charset="0"/>
            </a:rPr>
            <a:t>De formules voor de statistische gegevens spreken voor zich.</a:t>
          </a:r>
        </a:p>
      </xdr:txBody>
    </xdr:sp>
    <xdr:clientData/>
  </xdr:twoCellAnchor>
</xdr:wsDr>
</file>

<file path=xl/drawings/drawing52.xml><?xml version="1.0" encoding="utf-8"?>
<xdr:wsDr xmlns:xdr="http://schemas.openxmlformats.org/drawingml/2006/spreadsheetDrawing" xmlns:a="http://schemas.openxmlformats.org/drawingml/2006/main">
  <xdr:twoCellAnchor>
    <xdr:from>
      <xdr:col>1</xdr:col>
      <xdr:colOff>9525</xdr:colOff>
      <xdr:row>34</xdr:row>
      <xdr:rowOff>28575</xdr:rowOff>
    </xdr:from>
    <xdr:to>
      <xdr:col>9</xdr:col>
      <xdr:colOff>257175</xdr:colOff>
      <xdr:row>41</xdr:row>
      <xdr:rowOff>57149</xdr:rowOff>
    </xdr:to>
    <xdr:sp macro="" textlink="">
      <xdr:nvSpPr>
        <xdr:cNvPr id="2" name="Tekstvak 1">
          <a:extLst>
            <a:ext uri="{FF2B5EF4-FFF2-40B4-BE49-F238E27FC236}">
              <a16:creationId xmlns:a16="http://schemas.microsoft.com/office/drawing/2014/main" id="{00000000-0008-0000-4500-000002000000}"/>
            </a:ext>
          </a:extLst>
        </xdr:cNvPr>
        <xdr:cNvSpPr txBox="1"/>
      </xdr:nvSpPr>
      <xdr:spPr>
        <a:xfrm>
          <a:off x="257175" y="5495925"/>
          <a:ext cx="4371975" cy="1162049"/>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Er zijn verschillende</a:t>
          </a:r>
          <a:r>
            <a:rPr lang="nl-NL" sz="900" baseline="0">
              <a:latin typeface="Consolas" pitchFamily="49" charset="0"/>
              <a:cs typeface="Consolas" pitchFamily="49" charset="0"/>
            </a:rPr>
            <a:t> manieren om de afzet te voorspellen.</a:t>
          </a:r>
        </a:p>
        <a:p>
          <a:r>
            <a:rPr lang="nl-NL" sz="900" baseline="0">
              <a:latin typeface="Consolas" pitchFamily="49" charset="0"/>
              <a:cs typeface="Consolas" pitchFamily="49" charset="0"/>
            </a:rPr>
            <a:t>Hier is het gedaan met de functie VOORSPELLEN.</a:t>
          </a:r>
        </a:p>
        <a:p>
          <a:endParaRPr lang="nl-NL" sz="900" baseline="0">
            <a:latin typeface="Consolas" pitchFamily="49" charset="0"/>
            <a:cs typeface="Consolas" pitchFamily="49" charset="0"/>
          </a:endParaRPr>
        </a:p>
        <a:p>
          <a:r>
            <a:rPr lang="nl-NL" sz="900">
              <a:latin typeface="Consolas" pitchFamily="49" charset="0"/>
              <a:cs typeface="Consolas" pitchFamily="49" charset="0"/>
            </a:rPr>
            <a:t>Alternatief</a:t>
          </a:r>
        </a:p>
        <a:p>
          <a:r>
            <a:rPr lang="nl-NL" sz="900">
              <a:latin typeface="Consolas" pitchFamily="49" charset="0"/>
              <a:cs typeface="Consolas" pitchFamily="49" charset="0"/>
            </a:rPr>
            <a:t>Grafiek</a:t>
          </a:r>
          <a:r>
            <a:rPr lang="nl-NL" sz="900" baseline="0">
              <a:latin typeface="Consolas" pitchFamily="49" charset="0"/>
              <a:cs typeface="Consolas" pitchFamily="49" charset="0"/>
            </a:rPr>
            <a:t> tekenen, lineaire trendlijn bepalen en dan de afzet berekenen met de formule voor de trendlijn.</a:t>
          </a:r>
          <a:endParaRPr lang="nl-NL" sz="900">
            <a:latin typeface="Consolas" pitchFamily="49" charset="0"/>
            <a:cs typeface="Consolas" pitchFamily="49" charset="0"/>
          </a:endParaRPr>
        </a:p>
      </xdr:txBody>
    </xdr:sp>
    <xdr:clientData/>
  </xdr:twoCellAnchor>
</xdr:wsDr>
</file>

<file path=xl/drawings/drawing53.xml><?xml version="1.0" encoding="utf-8"?>
<xdr:wsDr xmlns:xdr="http://schemas.openxmlformats.org/drawingml/2006/spreadsheetDrawing" xmlns:a="http://schemas.openxmlformats.org/drawingml/2006/main">
  <xdr:twoCellAnchor>
    <xdr:from>
      <xdr:col>5</xdr:col>
      <xdr:colOff>9525</xdr:colOff>
      <xdr:row>6</xdr:row>
      <xdr:rowOff>152400</xdr:rowOff>
    </xdr:from>
    <xdr:to>
      <xdr:col>11</xdr:col>
      <xdr:colOff>311925</xdr:colOff>
      <xdr:row>23</xdr:row>
      <xdr:rowOff>142875</xdr:rowOff>
    </xdr:to>
    <xdr:graphicFrame macro="">
      <xdr:nvGraphicFramePr>
        <xdr:cNvPr id="5" name="Grafiek 4">
          <a:extLst>
            <a:ext uri="{FF2B5EF4-FFF2-40B4-BE49-F238E27FC236}">
              <a16:creationId xmlns:a16="http://schemas.microsoft.com/office/drawing/2014/main" id="{00000000-0008-0000-4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4.xml><?xml version="1.0" encoding="utf-8"?>
<xdr:wsDr xmlns:xdr="http://schemas.openxmlformats.org/drawingml/2006/spreadsheetDrawing" xmlns:a="http://schemas.openxmlformats.org/drawingml/2006/main">
  <xdr:twoCellAnchor>
    <xdr:from>
      <xdr:col>17</xdr:col>
      <xdr:colOff>9525</xdr:colOff>
      <xdr:row>12</xdr:row>
      <xdr:rowOff>152400</xdr:rowOff>
    </xdr:from>
    <xdr:to>
      <xdr:col>20</xdr:col>
      <xdr:colOff>28575</xdr:colOff>
      <xdr:row>27</xdr:row>
      <xdr:rowOff>123825</xdr:rowOff>
    </xdr:to>
    <xdr:graphicFrame macro="">
      <xdr:nvGraphicFramePr>
        <xdr:cNvPr id="2" name="Grafiek 1">
          <a:extLst>
            <a:ext uri="{FF2B5EF4-FFF2-40B4-BE49-F238E27FC236}">
              <a16:creationId xmlns:a16="http://schemas.microsoft.com/office/drawing/2014/main" id="{CB8005A8-59CC-4926-843D-F124B624E3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_rels/pivotCacheDefinition12.xml.rels><?xml version="1.0" encoding="UTF-8" standalone="yes"?>
<Relationships xmlns="http://schemas.openxmlformats.org/package/2006/relationships"><Relationship Id="rId1" Type="http://schemas.openxmlformats.org/officeDocument/2006/relationships/pivotCacheRecords" Target="pivotCacheRecords12.xml"/></Relationships>
</file>

<file path=xl/pivotCache/_rels/pivotCacheDefinition13.xml.rels><?xml version="1.0" encoding="UTF-8" standalone="yes"?>
<Relationships xmlns="http://schemas.openxmlformats.org/package/2006/relationships"><Relationship Id="rId1" Type="http://schemas.openxmlformats.org/officeDocument/2006/relationships/pivotCacheRecords" Target="pivotCacheRecords1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3981478" createdVersion="4" refreshedVersion="3" minRefreshableVersion="3" recordCount="15" xr:uid="{00000000-000A-0000-FFFF-FFFF00000000}">
  <cacheSource type="worksheet">
    <worksheetSource ref="D8:I23" sheet="pivo009"/>
  </cacheSource>
  <cacheFields count="6">
    <cacheField name="inwoner" numFmtId="0">
      <sharedItems count="2">
        <s v="ja"/>
        <s v="nee"/>
      </sharedItems>
    </cacheField>
    <cacheField name="auto" numFmtId="0">
      <sharedItems count="2">
        <s v="nee"/>
        <s v="ja"/>
      </sharedItems>
    </cacheField>
    <cacheField name="afstand" numFmtId="0">
      <sharedItems containsSemiMixedTypes="0" containsString="0" containsNumber="1" containsInteger="1" minValue="4" maxValue="94"/>
    </cacheField>
    <cacheField name="tijd_x000a_met auto" numFmtId="0">
      <sharedItems containsString="0" containsBlank="1" containsNumber="1" containsInteger="1" minValue="4" maxValue="66"/>
    </cacheField>
    <cacheField name="tijd_x000a_met bus" numFmtId="0">
      <sharedItems containsSemiMixedTypes="0" containsString="0" containsNumber="1" containsInteger="1" minValue="5" maxValue="95"/>
    </cacheField>
    <cacheField name="afstand_x000a_&gt; 15" numFmtId="0">
      <sharedItems count="2">
        <s v="nee"/>
        <s v="ja"/>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4328701" createdVersion="4" refreshedVersion="3" minRefreshableVersion="3" recordCount="18" xr:uid="{00000000-000A-0000-FFFF-FFFF01000000}">
  <cacheSource type="worksheet">
    <worksheetSource ref="C8:F26" sheet="pivo007"/>
  </cacheSource>
  <cacheFields count="4">
    <cacheField name="volgnr" numFmtId="0">
      <sharedItems containsSemiMixedTypes="0" containsString="0" containsNumber="1" containsInteger="1" minValue="1" maxValue="18"/>
    </cacheField>
    <cacheField name="geslacht" numFmtId="0">
      <sharedItems count="2">
        <s v="m"/>
        <s v="v"/>
      </sharedItems>
    </cacheField>
    <cacheField name="leeftijd" numFmtId="0">
      <sharedItems count="3">
        <s v="midden"/>
        <s v="jong"/>
        <s v="oud"/>
      </sharedItems>
    </cacheField>
    <cacheField name="voor/tegen" numFmtId="0">
      <sharedItems count="2">
        <s v="tegen"/>
        <s v="voo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4560186" createdVersion="4" refreshedVersion="3" minRefreshableVersion="3" recordCount="16" xr:uid="{00000000-000A-0000-FFFF-FFFF02000000}">
  <cacheSource type="worksheet">
    <worksheetSource ref="D8:G24" sheet="pivo006"/>
  </cacheSource>
  <cacheFields count="4">
    <cacheField name="Kledingsoort" numFmtId="0">
      <sharedItems count="2">
        <s v="heren"/>
        <s v="dames"/>
      </sharedItems>
    </cacheField>
    <cacheField name="Jaar" numFmtId="0">
      <sharedItems containsSemiMixedTypes="0" containsString="0" containsNumber="1" containsInteger="1" minValue="2009" maxValue="2010" count="2">
        <n v="2009"/>
        <n v="2010"/>
      </sharedItems>
    </cacheField>
    <cacheField name="Verkopen" numFmtId="164">
      <sharedItems containsSemiMixedTypes="0" containsString="0" containsNumber="1" containsInteger="1" minValue="460" maxValue="8770"/>
    </cacheField>
    <cacheField name="Regio" numFmtId="0">
      <sharedItems count="4">
        <s v="Noord"/>
        <s v="Oost"/>
        <s v="Zuid"/>
        <s v="We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4907409" createdVersion="4" refreshedVersion="3" minRefreshableVersion="3" recordCount="88" xr:uid="{00000000-000A-0000-FFFF-FFFF03000000}">
  <cacheSource type="worksheet">
    <worksheetSource ref="C8:H96" sheet="pivo003"/>
  </cacheSource>
  <cacheFields count="6">
    <cacheField name="Maand" numFmtId="0">
      <sharedItems count="3">
        <s v="Januari"/>
        <s v="Februari"/>
        <s v="Maart"/>
      </sharedItems>
    </cacheField>
    <cacheField name="Regio" numFmtId="0">
      <sharedItems count="4">
        <s v="Noord"/>
        <s v="Oost"/>
        <s v="West"/>
        <s v="Zuid"/>
      </sharedItems>
    </cacheField>
    <cacheField name="Vertegenwoordiger" numFmtId="0">
      <sharedItems count="2">
        <s v="Jansen"/>
        <s v="Pietersen"/>
      </sharedItems>
    </cacheField>
    <cacheField name="Omzet" numFmtId="164">
      <sharedItems containsSemiMixedTypes="0" containsString="0" containsNumber="1" containsInteger="1" minValue="761" maxValue="5828"/>
    </cacheField>
    <cacheField name="Reiskosten" numFmtId="164">
      <sharedItems containsSemiMixedTypes="0" containsString="0" containsNumber="1" containsInteger="1" minValue="139" maxValue="513"/>
    </cacheField>
    <cacheField name="Provisie" numFmtId="164">
      <sharedItems containsSemiMixedTypes="0" containsString="0" containsNumber="1" containsInteger="1" minValue="-34" maxValue="389"/>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5138887" createdVersion="3" refreshedVersion="3" minRefreshableVersion="3" recordCount="20" xr:uid="{00000000-000A-0000-FFFF-FFFF04000000}">
  <cacheSource type="worksheet">
    <worksheetSource ref="D8:J28" sheet="pivo012"/>
  </cacheSource>
  <cacheFields count="7">
    <cacheField name="naam" numFmtId="0">
      <sharedItems/>
    </cacheField>
    <cacheField name="geslacht" numFmtId="0">
      <sharedItems count="2">
        <s v="M"/>
        <s v="V"/>
      </sharedItems>
    </cacheField>
    <cacheField name="inschrijfdatum" numFmtId="176">
      <sharedItems containsSemiMixedTypes="0" containsNonDate="0" containsDate="1" containsString="0" minDate="1995-01-14T00:00:00" maxDate="2005-09-21T00:00:00"/>
    </cacheField>
    <cacheField name="woonplaats" numFmtId="0">
      <sharedItems count="5">
        <s v="Moddergat"/>
        <s v="Oeteldonk"/>
        <s v="Knollenlaand"/>
        <s v="Boeskoolstad"/>
        <s v="Killegat"/>
      </sharedItems>
    </cacheField>
    <cacheField name="hobby" numFmtId="0">
      <sharedItems count="5">
        <s v="muziek"/>
        <s v="film"/>
        <s v="lezen"/>
        <s v="tennis"/>
        <s v="fietsen"/>
      </sharedItems>
    </cacheField>
    <cacheField name="2009" numFmtId="0">
      <sharedItems containsSemiMixedTypes="0" containsString="0" containsNumber="1" containsInteger="1" minValue="10" maxValue="45"/>
    </cacheField>
    <cacheField name="2010" numFmtId="0">
      <sharedItems containsSemiMixedTypes="0" containsString="0" containsNumber="1" containsInteger="1" minValue="25" maxValue="47" count="16">
        <n v="42"/>
        <n v="46"/>
        <n v="35"/>
        <n v="27"/>
        <n v="38"/>
        <n v="45"/>
        <n v="33"/>
        <n v="34"/>
        <n v="26"/>
        <n v="39"/>
        <n v="28"/>
        <n v="43"/>
        <n v="25"/>
        <n v="32"/>
        <n v="47"/>
        <n v="36"/>
      </sharedItems>
      <fieldGroup base="6">
        <rangePr autoStart="0" autoEnd="0" startNum="20" endNum="49" groupInterval="10"/>
        <groupItems count="5">
          <s v="&lt;20"/>
          <s v="20-29"/>
          <s v="30-39"/>
          <s v="40-49"/>
          <s v="&gt;50"/>
        </groupItems>
      </fieldGroup>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5717594" createdVersion="3" refreshedVersion="3" minRefreshableVersion="3" recordCount="72" xr:uid="{00000000-000A-0000-FFFF-FFFF05000000}">
  <cacheSource type="worksheet">
    <worksheetSource ref="D8:G80" sheet="pivo010"/>
  </cacheSource>
  <cacheFields count="4">
    <cacheField name="Produkt" numFmtId="0">
      <sharedItems count="3">
        <s v="Braziliaanse Koffie"/>
        <s v="Turkse Koffie"/>
        <s v="Franse Koffie"/>
      </sharedItems>
    </cacheField>
    <cacheField name="Maand" numFmtId="0">
      <sharedItems count="6">
        <s v="Januari"/>
        <s v="Februari"/>
        <s v="Maart"/>
        <s v="April"/>
        <s v="Mei"/>
        <s v="Juni"/>
      </sharedItems>
    </cacheField>
    <cacheField name="Regio" numFmtId="0">
      <sharedItems count="4">
        <s v="Noord"/>
        <s v="Oost"/>
        <s v="Zuid"/>
        <s v="West"/>
      </sharedItems>
    </cacheField>
    <cacheField name="Opbrengst" numFmtId="164">
      <sharedItems containsSemiMixedTypes="0" containsString="0" containsNumber="1" containsInteger="1" minValue="22100" maxValue="52900"/>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6064818" createdVersion="3" refreshedVersion="3" minRefreshableVersion="3" recordCount="17" xr:uid="{00000000-000A-0000-FFFF-FFFF06000000}">
  <cacheSource type="worksheet">
    <worksheetSource ref="C8:F25" sheet="pivo008"/>
  </cacheSource>
  <cacheFields count="4">
    <cacheField name="naam" numFmtId="0">
      <sharedItems/>
    </cacheField>
    <cacheField name="studiejaren" numFmtId="0">
      <sharedItems containsSemiMixedTypes="0" containsString="0" containsNumber="1" containsInteger="1" minValue="9" maxValue="15" count="7">
        <n v="10"/>
        <n v="12"/>
        <n v="11"/>
        <n v="9"/>
        <n v="14"/>
        <n v="13"/>
        <n v="15"/>
      </sharedItems>
    </cacheField>
    <cacheField name="eigen huis" numFmtId="0">
      <sharedItems count="2">
        <s v="ja"/>
        <s v="nee"/>
      </sharedItems>
    </cacheField>
    <cacheField name="waarde" numFmtId="164">
      <sharedItems containsString="0" containsBlank="1" containsNumber="1" containsInteger="1" minValue="140000" maxValue="350000"/>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6296295" createdVersion="3" refreshedVersion="3" minRefreshableVersion="3" recordCount="9" xr:uid="{00000000-000A-0000-FFFF-FFFF07000000}">
  <cacheSource type="worksheet">
    <worksheetSource ref="C8:E17" sheet="pivo005"/>
  </cacheSource>
  <cacheFields count="3">
    <cacheField name="Voornaam" numFmtId="0">
      <sharedItems/>
    </cacheField>
    <cacheField name="Achternaam" numFmtId="0">
      <sharedItems/>
    </cacheField>
    <cacheField name="Cijfer" numFmtId="0">
      <sharedItems containsSemiMixedTypes="0" containsString="0" containsNumber="1" containsInteger="1" minValue="3" maxValue="9" count="5">
        <n v="3"/>
        <n v="6"/>
        <n v="4"/>
        <n v="7"/>
        <n v="9"/>
      </sharedItems>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6412034" createdVersion="3" refreshedVersion="3" minRefreshableVersion="3" recordCount="11" xr:uid="{00000000-000A-0000-FFFF-FFFF08000000}">
  <cacheSource type="worksheet">
    <worksheetSource ref="C8:F19" sheet="pivo004"/>
  </cacheSource>
  <cacheFields count="4">
    <cacheField name="klas" numFmtId="0">
      <sharedItems count="2">
        <s v="1X"/>
        <s v="1Y"/>
      </sharedItems>
    </cacheField>
    <cacheField name="naam" numFmtId="0">
      <sharedItems/>
    </cacheField>
    <cacheField name="geslacht" numFmtId="0">
      <sharedItems count="2">
        <s v="v"/>
        <s v="m"/>
      </sharedItems>
    </cacheField>
    <cacheField name="inf" numFmtId="0">
      <sharedItems containsSemiMixedTypes="0" containsString="0" containsNumber="1" containsInteger="1" minValue="5" maxValue="9"/>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6643518" createdVersion="3" refreshedVersion="3" minRefreshableVersion="3" recordCount="114" xr:uid="{00000000-000A-0000-FFFF-FFFF09000000}">
  <cacheSource type="worksheet">
    <worksheetSource ref="C9:J123" sheet="pivo001"/>
  </cacheSource>
  <cacheFields count="8">
    <cacheField name="Persnr" numFmtId="0">
      <sharedItems containsSemiMixedTypes="0" containsString="0" containsNumber="1" containsInteger="1" minValue="1011" maxValue="1978"/>
    </cacheField>
    <cacheField name="Achternaam" numFmtId="0">
      <sharedItems/>
    </cacheField>
    <cacheField name="Voornaam" numFmtId="0">
      <sharedItems/>
    </cacheField>
    <cacheField name="Functie" numFmtId="0">
      <sharedItems count="20">
        <s v="Assist. accountant"/>
        <s v="Admin. medew. groep"/>
        <s v="Software-ontwikkelaar"/>
        <s v="Vertegenwoordiger"/>
        <s v="Accountant"/>
        <s v="Admin. medew."/>
        <s v="Assist. vormgeving"/>
        <s v="Assist. technicus"/>
        <s v="Produkt-marketer"/>
        <s v="Wetensch. onderzoeker"/>
        <s v="Specialist vormgeving"/>
        <s v="Leidinggev. ontwerpafd."/>
        <s v="Technicus"/>
        <s v="Machinetechnicus"/>
        <s v="Manager ontwerpafd."/>
        <s v="Groepmanager"/>
        <s v="Senior medew. ontwerpafd."/>
        <s v="Onderzoeker"/>
        <s v="Unitmanager"/>
        <s v="Bureaumanager"/>
      </sharedItems>
    </cacheField>
    <cacheField name="Afdeling" numFmtId="0">
      <sharedItems count="6">
        <s v="Accounting"/>
        <s v="Ontwerpafdeling"/>
        <s v="Marketing"/>
        <s v="Administratie"/>
        <s v="Vormgeving"/>
        <s v="Onderz. &amp; ontwik."/>
      </sharedItems>
    </cacheField>
    <cacheField name="Divisie" numFmtId="0">
      <sharedItems count="3">
        <s v="Kopieerapp."/>
        <s v="Printers"/>
        <s v="Faxapp."/>
      </sharedItems>
    </cacheField>
    <cacheField name="Salaris" numFmtId="44">
      <sharedItems containsSemiMixedTypes="0" containsString="0" containsNumber="1" minValue="21303.599999999999" maxValue="116511.36"/>
    </cacheField>
    <cacheField name="Begindatum" numFmtId="14">
      <sharedItems containsSemiMixedTypes="0" containsNonDate="0" containsDate="1" containsString="0" minDate="1977-08-31T00:00:00" maxDate="1993-01-02T00:00:00"/>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44516550927" createdVersion="4" refreshedVersion="3" minRefreshableVersion="3" recordCount="160" xr:uid="{00000000-000A-0000-FFFF-FFFF0A000000}">
  <cacheSource type="worksheet">
    <worksheetSource ref="C8:I168" sheet="pivo011"/>
  </cacheSource>
  <cacheFields count="7">
    <cacheField name="Merk" numFmtId="0">
      <sharedItems count="31">
        <s v="ALFA ROMEO"/>
        <s v="AUDI"/>
        <s v="AUSTIN"/>
        <s v="BMW"/>
        <s v="CITROEN"/>
        <s v="DAIHATSU"/>
        <s v="FIAT"/>
        <s v="FORD"/>
        <s v="FSO"/>
        <s v="HONDA"/>
        <s v="HYUNDAI"/>
        <s v="JAGUAR"/>
        <s v="LADA"/>
        <s v="LANCIA"/>
        <s v="MAZDA"/>
        <s v="MERCEDES"/>
        <s v="MITSUBISHI"/>
        <s v="NISSAN"/>
        <s v="OPEL"/>
        <s v="PEUGOT"/>
        <s v="PORSCHE"/>
        <s v="RENAULT"/>
        <s v="ROVER"/>
        <s v="SAAB"/>
        <s v="SEAT"/>
        <s v="SKODA"/>
        <s v="SUBARU"/>
        <s v="SUZUKI"/>
        <s v="TOYOTA"/>
        <s v="VOLKSWAGEN"/>
        <s v="VOLVO"/>
      </sharedItems>
    </cacheField>
    <cacheField name="Type" numFmtId="0">
      <sharedItems containsMixedTypes="1" containsNumber="1" containsInteger="1" minValue="90" maxValue="2107"/>
    </cacheField>
    <cacheField name="Cylinders" numFmtId="0">
      <sharedItems containsSemiMixedTypes="0" containsString="0" containsNumber="1" containsInteger="1" minValue="2" maxValue="6"/>
    </cacheField>
    <cacheField name="Topsnelheid" numFmtId="0">
      <sharedItems containsSemiMixedTypes="0" containsString="0" containsNumber="1" containsInteger="1" minValue="115" maxValue="230"/>
    </cacheField>
    <cacheField name="Brandstof" numFmtId="0">
      <sharedItems count="6">
        <s v="Super"/>
        <s v="Diesel"/>
        <s v="Normaal"/>
        <s v="S" u="1"/>
        <s v="D" u="1"/>
        <s v="N" u="1"/>
      </sharedItems>
    </cacheField>
    <cacheField name="Verbruik" numFmtId="168">
      <sharedItems containsSemiMixedTypes="0" containsString="0" containsNumber="1" minValue="8.4" maxValue="18.600000000000001"/>
    </cacheField>
    <cacheField name="Prijs" numFmtId="164">
      <sharedItems containsSemiMixedTypes="0" containsString="0" containsNumber="1" containsInteger="1" minValue="10295" maxValue="96900"/>
    </cacheField>
  </cacheFields>
  <extLst>
    <ext xmlns:x14="http://schemas.microsoft.com/office/spreadsheetml/2009/9/main" uri="{725AE2AE-9491-48be-B2B4-4EB974FC3084}">
      <x14:pivotCacheDefinition/>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nw" refreshedDate="43808.476812962967" createdVersion="6" refreshedVersion="6" minRefreshableVersion="3" recordCount="469" xr:uid="{B2BA675B-2D63-49E3-919E-A84BDD08D688}">
  <cacheSource type="worksheet">
    <worksheetSource name="tblTidy002_2"/>
  </cacheSource>
  <cacheFields count="4">
    <cacheField name="Stad" numFmtId="0">
      <sharedItems/>
    </cacheField>
    <cacheField name="Land" numFmtId="0">
      <sharedItems count="30">
        <s v=" Germany"/>
        <s v=" Netherlands"/>
        <s v=" Belgium"/>
        <s v=" Denmark"/>
        <s v=" Greece"/>
        <s v=" Spain"/>
        <s v=" Switzerland"/>
        <s v=" United Kingdom"/>
        <s v=" Serbia"/>
        <s v=" Italy"/>
        <s v=" Romania"/>
        <s v=" Slovakia"/>
        <s v=" Czech Republic"/>
        <s v=" Hungary"/>
        <s v=" Ireland"/>
        <s v=" Poland"/>
        <s v=" Sweden"/>
        <s v=" Austria"/>
        <s v=" Finland"/>
        <s v=" Lithuania"/>
        <s v=" Ukraine"/>
        <s v=" Portugal"/>
        <s v=" Slovenia"/>
        <s v=" France"/>
        <s v=" Norway"/>
        <s v=" Bulgaria"/>
        <s v=" Iceland"/>
        <s v=" Latvia"/>
        <s v=" Croatia"/>
        <s v=" Estonia"/>
      </sharedItems>
    </cacheField>
    <cacheField name="Produkt" numFmtId="0">
      <sharedItems count="4">
        <s v="Bread"/>
        <s v="Cheese"/>
        <s v="Milk"/>
        <s v="Rice"/>
      </sharedItems>
    </cacheField>
    <cacheField name="Prijs" numFmtId="0">
      <sharedItems containsSemiMixedTypes="0" containsString="0" containsNumber="1" minValue="0.35" maxValue="23.8"/>
    </cacheField>
  </cacheFields>
  <extLst>
    <ext xmlns:x14="http://schemas.microsoft.com/office/spreadsheetml/2009/9/main" uri="{725AE2AE-9491-48be-B2B4-4EB974FC3084}">
      <x14:pivotCacheDefinition/>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nw" refreshedDate="43808.644627314818" createdVersion="6" refreshedVersion="6" minRefreshableVersion="3" recordCount="18" xr:uid="{323D97A1-95D9-44BA-9340-654CB8E1E42E}">
  <cacheSource type="worksheet">
    <worksheetSource name="tblTidy003_2"/>
  </cacheSource>
  <cacheFields count="5">
    <cacheField name="ID" numFmtId="0">
      <sharedItems containsSemiMixedTypes="0" containsString="0" containsNumber="1" containsInteger="1" minValue="1" maxValue="3"/>
    </cacheField>
    <cacheField name="Jaar" numFmtId="0">
      <sharedItems count="2">
        <s v="2017"/>
        <s v="2018"/>
      </sharedItems>
    </cacheField>
    <cacheField name="Kwartaal" numFmtId="0">
      <sharedItems count="3">
        <s v="Herfst"/>
        <s v="Lente"/>
        <s v="Winter"/>
      </sharedItems>
    </cacheField>
    <cacheField name="Rekenen" numFmtId="0">
      <sharedItems containsSemiMixedTypes="0" containsString="0" containsNumber="1" containsInteger="1" minValue="52" maxValue="86"/>
    </cacheField>
    <cacheField name="Taal" numFmtId="0">
      <sharedItems containsSemiMixedTypes="0" containsString="0" containsNumber="1" containsInteger="1" minValue="48" maxValue="9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
  <r>
    <x v="0"/>
    <x v="0"/>
    <n v="4"/>
    <m/>
    <n v="20"/>
    <x v="0"/>
  </r>
  <r>
    <x v="0"/>
    <x v="1"/>
    <n v="4"/>
    <n v="14"/>
    <n v="25"/>
    <x v="0"/>
  </r>
  <r>
    <x v="1"/>
    <x v="0"/>
    <n v="14"/>
    <m/>
    <n v="35"/>
    <x v="0"/>
  </r>
  <r>
    <x v="1"/>
    <x v="1"/>
    <n v="10"/>
    <n v="4"/>
    <n v="45"/>
    <x v="0"/>
  </r>
  <r>
    <x v="0"/>
    <x v="1"/>
    <n v="24"/>
    <n v="18"/>
    <n v="55"/>
    <x v="1"/>
  </r>
  <r>
    <x v="0"/>
    <x v="0"/>
    <n v="34"/>
    <m/>
    <n v="6"/>
    <x v="1"/>
  </r>
  <r>
    <x v="0"/>
    <x v="1"/>
    <n v="55"/>
    <n v="66"/>
    <n v="55"/>
    <x v="1"/>
  </r>
  <r>
    <x v="1"/>
    <x v="1"/>
    <n v="44"/>
    <n v="22"/>
    <n v="5"/>
    <x v="1"/>
  </r>
  <r>
    <x v="1"/>
    <x v="0"/>
    <n v="54"/>
    <m/>
    <n v="95"/>
    <x v="1"/>
  </r>
  <r>
    <x v="0"/>
    <x v="1"/>
    <n v="66"/>
    <n v="4"/>
    <n v="33"/>
    <x v="1"/>
  </r>
  <r>
    <x v="0"/>
    <x v="1"/>
    <n v="64"/>
    <n v="26"/>
    <n v="45"/>
    <x v="1"/>
  </r>
  <r>
    <x v="0"/>
    <x v="0"/>
    <n v="74"/>
    <m/>
    <n v="57"/>
    <x v="1"/>
  </r>
  <r>
    <x v="1"/>
    <x v="1"/>
    <n v="66"/>
    <n v="44"/>
    <n v="69"/>
    <x v="1"/>
  </r>
  <r>
    <x v="1"/>
    <x v="1"/>
    <n v="84"/>
    <n v="44"/>
    <n v="81"/>
    <x v="1"/>
  </r>
  <r>
    <x v="0"/>
    <x v="0"/>
    <n v="94"/>
    <m/>
    <n v="93"/>
    <x v="1"/>
  </r>
</pivotCacheRecords>
</file>

<file path=xl/pivotCache/pivotCacheRecords2.xml><?xml version="1.0" encoding="utf-8"?>
<pivotCacheRecords xmlns="http://schemas.openxmlformats.org/spreadsheetml/2006/main" xmlns:r="http://schemas.openxmlformats.org/officeDocument/2006/relationships" count="18">
  <r>
    <n v="1"/>
    <x v="0"/>
    <x v="0"/>
    <x v="0"/>
  </r>
  <r>
    <n v="2"/>
    <x v="1"/>
    <x v="1"/>
    <x v="1"/>
  </r>
  <r>
    <n v="3"/>
    <x v="1"/>
    <x v="0"/>
    <x v="0"/>
  </r>
  <r>
    <n v="4"/>
    <x v="0"/>
    <x v="1"/>
    <x v="1"/>
  </r>
  <r>
    <n v="5"/>
    <x v="1"/>
    <x v="1"/>
    <x v="1"/>
  </r>
  <r>
    <n v="6"/>
    <x v="0"/>
    <x v="1"/>
    <x v="0"/>
  </r>
  <r>
    <n v="7"/>
    <x v="1"/>
    <x v="2"/>
    <x v="1"/>
  </r>
  <r>
    <n v="8"/>
    <x v="0"/>
    <x v="0"/>
    <x v="1"/>
  </r>
  <r>
    <n v="9"/>
    <x v="0"/>
    <x v="2"/>
    <x v="0"/>
  </r>
  <r>
    <n v="10"/>
    <x v="0"/>
    <x v="2"/>
    <x v="0"/>
  </r>
  <r>
    <n v="11"/>
    <x v="1"/>
    <x v="1"/>
    <x v="0"/>
  </r>
  <r>
    <n v="12"/>
    <x v="0"/>
    <x v="0"/>
    <x v="1"/>
  </r>
  <r>
    <n v="13"/>
    <x v="1"/>
    <x v="2"/>
    <x v="0"/>
  </r>
  <r>
    <n v="14"/>
    <x v="1"/>
    <x v="2"/>
    <x v="0"/>
  </r>
  <r>
    <n v="15"/>
    <x v="1"/>
    <x v="0"/>
    <x v="0"/>
  </r>
  <r>
    <n v="16"/>
    <x v="0"/>
    <x v="2"/>
    <x v="1"/>
  </r>
  <r>
    <n v="17"/>
    <x v="1"/>
    <x v="0"/>
    <x v="1"/>
  </r>
  <r>
    <n v="18"/>
    <x v="1"/>
    <x v="0"/>
    <x v="0"/>
  </r>
</pivotCacheRecords>
</file>

<file path=xl/pivotCache/pivotCacheRecords3.xml><?xml version="1.0" encoding="utf-8"?>
<pivotCacheRecords xmlns="http://schemas.openxmlformats.org/spreadsheetml/2006/main" xmlns:r="http://schemas.openxmlformats.org/officeDocument/2006/relationships" count="16">
  <r>
    <x v="0"/>
    <x v="0"/>
    <n v="7700"/>
    <x v="0"/>
  </r>
  <r>
    <x v="0"/>
    <x v="0"/>
    <n v="2970"/>
    <x v="1"/>
  </r>
  <r>
    <x v="0"/>
    <x v="0"/>
    <n v="8180"/>
    <x v="2"/>
  </r>
  <r>
    <x v="0"/>
    <x v="0"/>
    <n v="4460"/>
    <x v="3"/>
  </r>
  <r>
    <x v="1"/>
    <x v="0"/>
    <n v="2910"/>
    <x v="0"/>
  </r>
  <r>
    <x v="1"/>
    <x v="0"/>
    <n v="4940"/>
    <x v="1"/>
  </r>
  <r>
    <x v="1"/>
    <x v="0"/>
    <n v="2750"/>
    <x v="2"/>
  </r>
  <r>
    <x v="1"/>
    <x v="0"/>
    <n v="460"/>
    <x v="3"/>
  </r>
  <r>
    <x v="0"/>
    <x v="1"/>
    <n v="810"/>
    <x v="0"/>
  </r>
  <r>
    <x v="0"/>
    <x v="1"/>
    <n v="8770"/>
    <x v="1"/>
  </r>
  <r>
    <x v="0"/>
    <x v="1"/>
    <n v="2760"/>
    <x v="2"/>
  </r>
  <r>
    <x v="0"/>
    <x v="1"/>
    <n v="7060"/>
    <x v="3"/>
  </r>
  <r>
    <x v="1"/>
    <x v="1"/>
    <n v="3650"/>
    <x v="0"/>
  </r>
  <r>
    <x v="1"/>
    <x v="1"/>
    <n v="5590"/>
    <x v="1"/>
  </r>
  <r>
    <x v="1"/>
    <x v="1"/>
    <n v="7630"/>
    <x v="2"/>
  </r>
  <r>
    <x v="1"/>
    <x v="1"/>
    <n v="4890"/>
    <x v="3"/>
  </r>
</pivotCacheRecords>
</file>

<file path=xl/pivotCache/pivotCacheRecords4.xml><?xml version="1.0" encoding="utf-8"?>
<pivotCacheRecords xmlns="http://schemas.openxmlformats.org/spreadsheetml/2006/main" xmlns:r="http://schemas.openxmlformats.org/officeDocument/2006/relationships" count="88">
  <r>
    <x v="0"/>
    <x v="0"/>
    <x v="0"/>
    <n v="3423"/>
    <n v="337"/>
    <n v="104"/>
  </r>
  <r>
    <x v="1"/>
    <x v="0"/>
    <x v="1"/>
    <n v="2203"/>
    <n v="323"/>
    <n v="284"/>
  </r>
  <r>
    <x v="1"/>
    <x v="1"/>
    <x v="1"/>
    <n v="3236"/>
    <n v="219"/>
    <n v="226"/>
  </r>
  <r>
    <x v="1"/>
    <x v="2"/>
    <x v="1"/>
    <n v="761"/>
    <n v="381"/>
    <n v="281"/>
  </r>
  <r>
    <x v="2"/>
    <x v="1"/>
    <x v="1"/>
    <n v="4117"/>
    <n v="226"/>
    <n v="208"/>
  </r>
  <r>
    <x v="2"/>
    <x v="3"/>
    <x v="1"/>
    <n v="4524"/>
    <n v="349"/>
    <n v="233"/>
  </r>
  <r>
    <x v="2"/>
    <x v="1"/>
    <x v="1"/>
    <n v="1546"/>
    <n v="229"/>
    <n v="246"/>
  </r>
  <r>
    <x v="2"/>
    <x v="1"/>
    <x v="0"/>
    <n v="1516"/>
    <n v="226"/>
    <n v="58"/>
  </r>
  <r>
    <x v="1"/>
    <x v="2"/>
    <x v="0"/>
    <n v="3641"/>
    <n v="461"/>
    <n v="255"/>
  </r>
  <r>
    <x v="1"/>
    <x v="3"/>
    <x v="0"/>
    <n v="3431"/>
    <n v="471"/>
    <n v="270"/>
  </r>
  <r>
    <x v="0"/>
    <x v="3"/>
    <x v="0"/>
    <n v="4388"/>
    <n v="310"/>
    <n v="102"/>
  </r>
  <r>
    <x v="0"/>
    <x v="0"/>
    <x v="1"/>
    <n v="2198"/>
    <n v="289"/>
    <n v="156"/>
  </r>
  <r>
    <x v="0"/>
    <x v="2"/>
    <x v="0"/>
    <n v="2118"/>
    <n v="408"/>
    <n v="-34"/>
  </r>
  <r>
    <x v="1"/>
    <x v="2"/>
    <x v="0"/>
    <n v="2094"/>
    <n v="424"/>
    <n v="174"/>
  </r>
  <r>
    <x v="1"/>
    <x v="1"/>
    <x v="1"/>
    <n v="5828"/>
    <n v="374"/>
    <n v="157"/>
  </r>
  <r>
    <x v="0"/>
    <x v="2"/>
    <x v="1"/>
    <n v="1135"/>
    <n v="316"/>
    <n v="189"/>
  </r>
  <r>
    <x v="2"/>
    <x v="2"/>
    <x v="1"/>
    <n v="3303"/>
    <n v="401"/>
    <n v="115"/>
  </r>
  <r>
    <x v="0"/>
    <x v="0"/>
    <x v="0"/>
    <n v="3946"/>
    <n v="318"/>
    <n v="341"/>
  </r>
  <r>
    <x v="2"/>
    <x v="1"/>
    <x v="0"/>
    <n v="1710"/>
    <n v="261"/>
    <n v="159"/>
  </r>
  <r>
    <x v="2"/>
    <x v="3"/>
    <x v="0"/>
    <n v="3766"/>
    <n v="268"/>
    <n v="212"/>
  </r>
  <r>
    <x v="1"/>
    <x v="0"/>
    <x v="1"/>
    <n v="2832"/>
    <n v="336"/>
    <n v="229"/>
  </r>
  <r>
    <x v="2"/>
    <x v="2"/>
    <x v="0"/>
    <n v="2908"/>
    <n v="450"/>
    <n v="207"/>
  </r>
  <r>
    <x v="0"/>
    <x v="2"/>
    <x v="1"/>
    <n v="1739"/>
    <n v="418"/>
    <n v="125"/>
  </r>
  <r>
    <x v="1"/>
    <x v="3"/>
    <x v="1"/>
    <n v="2728"/>
    <n v="227"/>
    <n v="71"/>
  </r>
  <r>
    <x v="0"/>
    <x v="3"/>
    <x v="1"/>
    <n v="2954"/>
    <n v="300"/>
    <n v="137"/>
  </r>
  <r>
    <x v="1"/>
    <x v="3"/>
    <x v="0"/>
    <n v="2091"/>
    <n v="446"/>
    <n v="176"/>
  </r>
  <r>
    <x v="2"/>
    <x v="3"/>
    <x v="0"/>
    <n v="2747"/>
    <n v="344"/>
    <n v="189"/>
  </r>
  <r>
    <x v="0"/>
    <x v="1"/>
    <x v="1"/>
    <n v="2447"/>
    <n v="271"/>
    <n v="133"/>
  </r>
  <r>
    <x v="1"/>
    <x v="2"/>
    <x v="0"/>
    <n v="2250"/>
    <n v="374"/>
    <n v="248"/>
  </r>
  <r>
    <x v="1"/>
    <x v="0"/>
    <x v="1"/>
    <n v="2722"/>
    <n v="226"/>
    <n v="83"/>
  </r>
  <r>
    <x v="1"/>
    <x v="1"/>
    <x v="1"/>
    <n v="3169"/>
    <n v="333"/>
    <n v="165"/>
  </r>
  <r>
    <x v="1"/>
    <x v="1"/>
    <x v="0"/>
    <n v="2089"/>
    <n v="170"/>
    <n v="389"/>
  </r>
  <r>
    <x v="1"/>
    <x v="0"/>
    <x v="0"/>
    <n v="3895"/>
    <n v="156"/>
    <n v="152"/>
  </r>
  <r>
    <x v="1"/>
    <x v="0"/>
    <x v="0"/>
    <n v="3393"/>
    <n v="336"/>
    <n v="271"/>
  </r>
  <r>
    <x v="2"/>
    <x v="0"/>
    <x v="1"/>
    <n v="3315"/>
    <n v="220"/>
    <n v="193"/>
  </r>
  <r>
    <x v="0"/>
    <x v="1"/>
    <x v="0"/>
    <n v="2213"/>
    <n v="272"/>
    <n v="147"/>
  </r>
  <r>
    <x v="2"/>
    <x v="0"/>
    <x v="0"/>
    <n v="2207"/>
    <n v="301"/>
    <n v="211"/>
  </r>
  <r>
    <x v="2"/>
    <x v="1"/>
    <x v="1"/>
    <n v="4055"/>
    <n v="360"/>
    <n v="199"/>
  </r>
  <r>
    <x v="1"/>
    <x v="2"/>
    <x v="0"/>
    <n v="4946"/>
    <n v="181"/>
    <n v="115"/>
  </r>
  <r>
    <x v="1"/>
    <x v="1"/>
    <x v="0"/>
    <n v="3076"/>
    <n v="426"/>
    <n v="120"/>
  </r>
  <r>
    <x v="0"/>
    <x v="3"/>
    <x v="0"/>
    <n v="2573"/>
    <n v="276"/>
    <n v="228"/>
  </r>
  <r>
    <x v="2"/>
    <x v="3"/>
    <x v="1"/>
    <n v="1752"/>
    <n v="369"/>
    <n v="213"/>
  </r>
  <r>
    <x v="1"/>
    <x v="1"/>
    <x v="0"/>
    <n v="3183"/>
    <n v="379"/>
    <n v="220"/>
  </r>
  <r>
    <x v="0"/>
    <x v="3"/>
    <x v="1"/>
    <n v="3532"/>
    <n v="300"/>
    <n v="219"/>
  </r>
  <r>
    <x v="0"/>
    <x v="3"/>
    <x v="1"/>
    <n v="3639"/>
    <n v="291"/>
    <n v="202"/>
  </r>
  <r>
    <x v="2"/>
    <x v="3"/>
    <x v="0"/>
    <n v="2661"/>
    <n v="224"/>
    <n v="344"/>
  </r>
  <r>
    <x v="1"/>
    <x v="0"/>
    <x v="0"/>
    <n v="1186"/>
    <n v="508"/>
    <n v="150"/>
  </r>
  <r>
    <x v="2"/>
    <x v="3"/>
    <x v="0"/>
    <n v="3208"/>
    <n v="512"/>
    <n v="318"/>
  </r>
  <r>
    <x v="1"/>
    <x v="3"/>
    <x v="1"/>
    <n v="2816"/>
    <n v="480"/>
    <n v="289"/>
  </r>
  <r>
    <x v="0"/>
    <x v="3"/>
    <x v="1"/>
    <n v="1895"/>
    <n v="209"/>
    <n v="178"/>
  </r>
  <r>
    <x v="1"/>
    <x v="1"/>
    <x v="1"/>
    <n v="1854"/>
    <n v="400"/>
    <n v="62"/>
  </r>
  <r>
    <x v="2"/>
    <x v="0"/>
    <x v="0"/>
    <n v="3472"/>
    <n v="139"/>
    <n v="304"/>
  </r>
  <r>
    <x v="1"/>
    <x v="2"/>
    <x v="1"/>
    <n v="3696"/>
    <n v="395"/>
    <n v="194"/>
  </r>
  <r>
    <x v="2"/>
    <x v="0"/>
    <x v="1"/>
    <n v="2999"/>
    <n v="349"/>
    <n v="95"/>
  </r>
  <r>
    <x v="1"/>
    <x v="3"/>
    <x v="0"/>
    <n v="2485"/>
    <n v="374"/>
    <n v="202"/>
  </r>
  <r>
    <x v="2"/>
    <x v="2"/>
    <x v="1"/>
    <n v="1614"/>
    <n v="282"/>
    <n v="98"/>
  </r>
  <r>
    <x v="1"/>
    <x v="3"/>
    <x v="1"/>
    <n v="2518"/>
    <n v="187"/>
    <n v="113"/>
  </r>
  <r>
    <x v="1"/>
    <x v="1"/>
    <x v="0"/>
    <n v="3611"/>
    <n v="275"/>
    <n v="188"/>
  </r>
  <r>
    <x v="0"/>
    <x v="3"/>
    <x v="0"/>
    <n v="2452"/>
    <n v="402"/>
    <n v="289"/>
  </r>
  <r>
    <x v="0"/>
    <x v="1"/>
    <x v="1"/>
    <n v="3886"/>
    <n v="156"/>
    <n v="146"/>
  </r>
  <r>
    <x v="0"/>
    <x v="2"/>
    <x v="0"/>
    <n v="2103"/>
    <n v="288"/>
    <n v="95"/>
  </r>
  <r>
    <x v="2"/>
    <x v="0"/>
    <x v="1"/>
    <n v="4140"/>
    <n v="193"/>
    <n v="218"/>
  </r>
  <r>
    <x v="2"/>
    <x v="1"/>
    <x v="0"/>
    <n v="2455"/>
    <n v="178"/>
    <n v="95"/>
  </r>
  <r>
    <x v="0"/>
    <x v="2"/>
    <x v="0"/>
    <n v="2407"/>
    <n v="200"/>
    <n v="178"/>
  </r>
  <r>
    <x v="2"/>
    <x v="2"/>
    <x v="1"/>
    <n v="2698"/>
    <n v="209"/>
    <n v="175"/>
  </r>
  <r>
    <x v="0"/>
    <x v="1"/>
    <x v="0"/>
    <n v="4635"/>
    <n v="423"/>
    <n v="165"/>
  </r>
  <r>
    <x v="0"/>
    <x v="0"/>
    <x v="1"/>
    <n v="2261"/>
    <n v="373"/>
    <n v="363"/>
  </r>
  <r>
    <x v="0"/>
    <x v="3"/>
    <x v="0"/>
    <n v="2520"/>
    <n v="319"/>
    <n v="103"/>
  </r>
  <r>
    <x v="2"/>
    <x v="0"/>
    <x v="1"/>
    <n v="2491"/>
    <n v="421"/>
    <n v="249"/>
  </r>
  <r>
    <x v="0"/>
    <x v="2"/>
    <x v="0"/>
    <n v="2910"/>
    <n v="382"/>
    <n v="196"/>
  </r>
  <r>
    <x v="2"/>
    <x v="0"/>
    <x v="0"/>
    <n v="2962"/>
    <n v="282"/>
    <n v="146"/>
  </r>
  <r>
    <x v="2"/>
    <x v="0"/>
    <x v="0"/>
    <n v="2576"/>
    <n v="264"/>
    <n v="289"/>
  </r>
  <r>
    <x v="1"/>
    <x v="0"/>
    <x v="0"/>
    <n v="2004"/>
    <n v="384"/>
    <n v="256"/>
  </r>
  <r>
    <x v="0"/>
    <x v="1"/>
    <x v="0"/>
    <n v="2374"/>
    <n v="234"/>
    <n v="196"/>
  </r>
  <r>
    <x v="0"/>
    <x v="2"/>
    <x v="1"/>
    <n v="2233"/>
    <n v="307"/>
    <n v="273"/>
  </r>
  <r>
    <x v="2"/>
    <x v="2"/>
    <x v="0"/>
    <n v="2635"/>
    <n v="326"/>
    <n v="219"/>
  </r>
  <r>
    <x v="0"/>
    <x v="0"/>
    <x v="0"/>
    <n v="842"/>
    <n v="513"/>
    <n v="179"/>
  </r>
  <r>
    <x v="0"/>
    <x v="2"/>
    <x v="1"/>
    <n v="3240"/>
    <n v="204"/>
    <n v="221"/>
  </r>
  <r>
    <x v="0"/>
    <x v="1"/>
    <x v="0"/>
    <n v="2368"/>
    <n v="378"/>
    <n v="195"/>
  </r>
  <r>
    <x v="0"/>
    <x v="0"/>
    <x v="1"/>
    <n v="1189"/>
    <n v="298"/>
    <n v="177"/>
  </r>
  <r>
    <x v="1"/>
    <x v="0"/>
    <x v="1"/>
    <n v="3914"/>
    <n v="343"/>
    <n v="106"/>
  </r>
  <r>
    <x v="2"/>
    <x v="2"/>
    <x v="0"/>
    <n v="2827"/>
    <n v="315"/>
    <n v="311"/>
  </r>
  <r>
    <x v="0"/>
    <x v="0"/>
    <x v="1"/>
    <n v="2067"/>
    <n v="294"/>
    <n v="222"/>
  </r>
  <r>
    <x v="2"/>
    <x v="1"/>
    <x v="1"/>
    <n v="3965"/>
    <n v="345"/>
    <n v="249"/>
  </r>
  <r>
    <x v="0"/>
    <x v="1"/>
    <x v="1"/>
    <n v="2418"/>
    <n v="264"/>
    <n v="286"/>
  </r>
  <r>
    <x v="2"/>
    <x v="3"/>
    <x v="1"/>
    <n v="2570"/>
    <n v="314"/>
    <n v="306"/>
  </r>
  <r>
    <x v="0"/>
    <x v="0"/>
    <x v="0"/>
    <n v="2298"/>
    <n v="378"/>
    <n v="155"/>
  </r>
  <r>
    <x v="0"/>
    <x v="1"/>
    <x v="1"/>
    <n v="1884"/>
    <n v="455"/>
    <n v="172"/>
  </r>
</pivotCacheRecords>
</file>

<file path=xl/pivotCache/pivotCacheRecords5.xml><?xml version="1.0" encoding="utf-8"?>
<pivotCacheRecords xmlns="http://schemas.openxmlformats.org/spreadsheetml/2006/main" xmlns:r="http://schemas.openxmlformats.org/officeDocument/2006/relationships" count="20">
  <r>
    <s v="Jan"/>
    <x v="0"/>
    <d v="1995-01-14T00:00:00"/>
    <x v="0"/>
    <x v="0"/>
    <n v="44"/>
    <x v="0"/>
  </r>
  <r>
    <s v="Piet"/>
    <x v="0"/>
    <d v="1999-08-01T00:00:00"/>
    <x v="1"/>
    <x v="1"/>
    <n v="24"/>
    <x v="1"/>
  </r>
  <r>
    <s v="Els"/>
    <x v="1"/>
    <d v="1999-03-29T00:00:00"/>
    <x v="0"/>
    <x v="0"/>
    <n v="23"/>
    <x v="2"/>
  </r>
  <r>
    <s v="Fred"/>
    <x v="0"/>
    <d v="2000-02-09T00:00:00"/>
    <x v="1"/>
    <x v="0"/>
    <n v="21"/>
    <x v="3"/>
  </r>
  <r>
    <s v="Mark"/>
    <x v="0"/>
    <d v="2000-03-27T00:00:00"/>
    <x v="2"/>
    <x v="1"/>
    <n v="13"/>
    <x v="4"/>
  </r>
  <r>
    <s v="Luc"/>
    <x v="0"/>
    <d v="2000-03-23T00:00:00"/>
    <x v="1"/>
    <x v="0"/>
    <n v="19"/>
    <x v="5"/>
  </r>
  <r>
    <s v="Mariska"/>
    <x v="1"/>
    <d v="2001-07-11T00:00:00"/>
    <x v="0"/>
    <x v="2"/>
    <n v="24"/>
    <x v="6"/>
  </r>
  <r>
    <s v="Pieter"/>
    <x v="0"/>
    <d v="2001-08-07T00:00:00"/>
    <x v="1"/>
    <x v="1"/>
    <n v="36"/>
    <x v="7"/>
  </r>
  <r>
    <s v="Johan"/>
    <x v="0"/>
    <d v="2001-05-04T00:00:00"/>
    <x v="2"/>
    <x v="2"/>
    <n v="40"/>
    <x v="8"/>
  </r>
  <r>
    <s v="Linda"/>
    <x v="1"/>
    <d v="2001-06-05T00:00:00"/>
    <x v="3"/>
    <x v="3"/>
    <n v="14"/>
    <x v="8"/>
  </r>
  <r>
    <s v="Greet"/>
    <x v="1"/>
    <d v="2001-05-29T00:00:00"/>
    <x v="2"/>
    <x v="1"/>
    <n v="37"/>
    <x v="9"/>
  </r>
  <r>
    <s v="Vera"/>
    <x v="1"/>
    <d v="2002-01-13T00:00:00"/>
    <x v="0"/>
    <x v="1"/>
    <n v="35"/>
    <x v="10"/>
  </r>
  <r>
    <s v="Elsbeth"/>
    <x v="1"/>
    <d v="2002-08-13T00:00:00"/>
    <x v="4"/>
    <x v="0"/>
    <n v="10"/>
    <x v="11"/>
  </r>
  <r>
    <s v="Mathijs"/>
    <x v="0"/>
    <d v="2002-02-06T00:00:00"/>
    <x v="3"/>
    <x v="0"/>
    <n v="18"/>
    <x v="0"/>
  </r>
  <r>
    <s v="Ronnie"/>
    <x v="0"/>
    <d v="2003-04-23T00:00:00"/>
    <x v="0"/>
    <x v="4"/>
    <n v="31"/>
    <x v="12"/>
  </r>
  <r>
    <s v="Elke"/>
    <x v="1"/>
    <d v="2003-03-14T00:00:00"/>
    <x v="4"/>
    <x v="3"/>
    <n v="10"/>
    <x v="13"/>
  </r>
  <r>
    <s v="Evelien"/>
    <x v="1"/>
    <d v="2003-01-24T00:00:00"/>
    <x v="3"/>
    <x v="0"/>
    <n v="41"/>
    <x v="14"/>
  </r>
  <r>
    <s v="Karel"/>
    <x v="0"/>
    <d v="2004-06-15T00:00:00"/>
    <x v="4"/>
    <x v="2"/>
    <n v="39"/>
    <x v="15"/>
  </r>
  <r>
    <s v="Sofie"/>
    <x v="1"/>
    <d v="2005-06-28T00:00:00"/>
    <x v="1"/>
    <x v="4"/>
    <n v="45"/>
    <x v="13"/>
  </r>
  <r>
    <s v="Jan-Peter"/>
    <x v="0"/>
    <d v="2005-09-20T00:00:00"/>
    <x v="0"/>
    <x v="4"/>
    <n v="14"/>
    <x v="0"/>
  </r>
</pivotCacheRecords>
</file>

<file path=xl/pivotCache/pivotCacheRecords6.xml><?xml version="1.0" encoding="utf-8"?>
<pivotCacheRecords xmlns="http://schemas.openxmlformats.org/spreadsheetml/2006/main" xmlns:r="http://schemas.openxmlformats.org/officeDocument/2006/relationships" count="72">
  <r>
    <x v="0"/>
    <x v="0"/>
    <x v="0"/>
    <n v="43200"/>
  </r>
  <r>
    <x v="0"/>
    <x v="1"/>
    <x v="0"/>
    <n v="45000"/>
  </r>
  <r>
    <x v="0"/>
    <x v="2"/>
    <x v="0"/>
    <n v="35280"/>
  </r>
  <r>
    <x v="0"/>
    <x v="3"/>
    <x v="0"/>
    <n v="39600"/>
  </r>
  <r>
    <x v="0"/>
    <x v="4"/>
    <x v="0"/>
    <n v="39960"/>
  </r>
  <r>
    <x v="0"/>
    <x v="5"/>
    <x v="0"/>
    <n v="39600"/>
  </r>
  <r>
    <x v="0"/>
    <x v="0"/>
    <x v="1"/>
    <n v="39600"/>
  </r>
  <r>
    <x v="0"/>
    <x v="1"/>
    <x v="1"/>
    <n v="42300"/>
  </r>
  <r>
    <x v="0"/>
    <x v="2"/>
    <x v="1"/>
    <n v="42300"/>
  </r>
  <r>
    <x v="0"/>
    <x v="3"/>
    <x v="1"/>
    <n v="42750"/>
  </r>
  <r>
    <x v="0"/>
    <x v="4"/>
    <x v="1"/>
    <n v="43650"/>
  </r>
  <r>
    <x v="0"/>
    <x v="5"/>
    <x v="1"/>
    <n v="44550"/>
  </r>
  <r>
    <x v="0"/>
    <x v="0"/>
    <x v="2"/>
    <n v="39600"/>
  </r>
  <r>
    <x v="0"/>
    <x v="1"/>
    <x v="2"/>
    <n v="42300"/>
  </r>
  <r>
    <x v="0"/>
    <x v="2"/>
    <x v="2"/>
    <n v="42300"/>
  </r>
  <r>
    <x v="0"/>
    <x v="3"/>
    <x v="2"/>
    <n v="42750"/>
  </r>
  <r>
    <x v="0"/>
    <x v="4"/>
    <x v="2"/>
    <n v="43650"/>
  </r>
  <r>
    <x v="0"/>
    <x v="5"/>
    <x v="2"/>
    <n v="44550"/>
  </r>
  <r>
    <x v="0"/>
    <x v="0"/>
    <x v="3"/>
    <n v="41280"/>
  </r>
  <r>
    <x v="0"/>
    <x v="1"/>
    <x v="3"/>
    <n v="41760"/>
  </r>
  <r>
    <x v="0"/>
    <x v="2"/>
    <x v="3"/>
    <n v="39360"/>
  </r>
  <r>
    <x v="0"/>
    <x v="3"/>
    <x v="3"/>
    <n v="40900"/>
  </r>
  <r>
    <x v="0"/>
    <x v="4"/>
    <x v="3"/>
    <n v="42000"/>
  </r>
  <r>
    <x v="0"/>
    <x v="5"/>
    <x v="3"/>
    <n v="43500"/>
  </r>
  <r>
    <x v="1"/>
    <x v="0"/>
    <x v="0"/>
    <n v="35000"/>
  </r>
  <r>
    <x v="1"/>
    <x v="1"/>
    <x v="0"/>
    <n v="35500"/>
  </r>
  <r>
    <x v="1"/>
    <x v="2"/>
    <x v="0"/>
    <n v="36900"/>
  </r>
  <r>
    <x v="1"/>
    <x v="3"/>
    <x v="0"/>
    <n v="36100"/>
  </r>
  <r>
    <x v="1"/>
    <x v="4"/>
    <x v="0"/>
    <n v="36400"/>
  </r>
  <r>
    <x v="1"/>
    <x v="5"/>
    <x v="0"/>
    <n v="36100"/>
  </r>
  <r>
    <x v="1"/>
    <x v="0"/>
    <x v="1"/>
    <n v="22100"/>
  </r>
  <r>
    <x v="1"/>
    <x v="1"/>
    <x v="1"/>
    <n v="24300"/>
  </r>
  <r>
    <x v="1"/>
    <x v="2"/>
    <x v="1"/>
    <n v="24300"/>
  </r>
  <r>
    <x v="1"/>
    <x v="3"/>
    <x v="1"/>
    <n v="24600"/>
  </r>
  <r>
    <x v="1"/>
    <x v="4"/>
    <x v="1"/>
    <n v="25400"/>
  </r>
  <r>
    <x v="1"/>
    <x v="5"/>
    <x v="1"/>
    <n v="23100"/>
  </r>
  <r>
    <x v="1"/>
    <x v="0"/>
    <x v="2"/>
    <n v="26200"/>
  </r>
  <r>
    <x v="1"/>
    <x v="1"/>
    <x v="2"/>
    <n v="24500"/>
  </r>
  <r>
    <x v="1"/>
    <x v="2"/>
    <x v="2"/>
    <n v="24300"/>
  </r>
  <r>
    <x v="1"/>
    <x v="3"/>
    <x v="2"/>
    <n v="24800"/>
  </r>
  <r>
    <x v="1"/>
    <x v="4"/>
    <x v="2"/>
    <n v="25400"/>
  </r>
  <r>
    <x v="1"/>
    <x v="5"/>
    <x v="2"/>
    <n v="26100"/>
  </r>
  <r>
    <x v="1"/>
    <x v="0"/>
    <x v="3"/>
    <n v="23400"/>
  </r>
  <r>
    <x v="1"/>
    <x v="1"/>
    <x v="3"/>
    <n v="23800"/>
  </r>
  <r>
    <x v="1"/>
    <x v="2"/>
    <x v="3"/>
    <n v="23900"/>
  </r>
  <r>
    <x v="1"/>
    <x v="3"/>
    <x v="3"/>
    <n v="23100"/>
  </r>
  <r>
    <x v="1"/>
    <x v="4"/>
    <x v="3"/>
    <n v="24000"/>
  </r>
  <r>
    <x v="1"/>
    <x v="5"/>
    <x v="3"/>
    <n v="23200"/>
  </r>
  <r>
    <x v="2"/>
    <x v="0"/>
    <x v="0"/>
    <n v="50700"/>
  </r>
  <r>
    <x v="2"/>
    <x v="1"/>
    <x v="0"/>
    <n v="52900"/>
  </r>
  <r>
    <x v="2"/>
    <x v="2"/>
    <x v="0"/>
    <n v="41200"/>
  </r>
  <r>
    <x v="2"/>
    <x v="3"/>
    <x v="0"/>
    <n v="46400"/>
  </r>
  <r>
    <x v="2"/>
    <x v="4"/>
    <x v="0"/>
    <n v="46900"/>
  </r>
  <r>
    <x v="2"/>
    <x v="5"/>
    <x v="0"/>
    <n v="46400"/>
  </r>
  <r>
    <x v="2"/>
    <x v="0"/>
    <x v="1"/>
    <n v="46400"/>
  </r>
  <r>
    <x v="2"/>
    <x v="1"/>
    <x v="1"/>
    <n v="49700"/>
  </r>
  <r>
    <x v="2"/>
    <x v="2"/>
    <x v="1"/>
    <n v="49700"/>
  </r>
  <r>
    <x v="2"/>
    <x v="3"/>
    <x v="1"/>
    <n v="50200"/>
  </r>
  <r>
    <x v="2"/>
    <x v="4"/>
    <x v="1"/>
    <n v="51300"/>
  </r>
  <r>
    <x v="2"/>
    <x v="5"/>
    <x v="1"/>
    <n v="52400"/>
  </r>
  <r>
    <x v="2"/>
    <x v="0"/>
    <x v="2"/>
    <n v="46400"/>
  </r>
  <r>
    <x v="2"/>
    <x v="1"/>
    <x v="2"/>
    <n v="49700"/>
  </r>
  <r>
    <x v="2"/>
    <x v="2"/>
    <x v="2"/>
    <n v="49700"/>
  </r>
  <r>
    <x v="2"/>
    <x v="3"/>
    <x v="2"/>
    <n v="50200"/>
  </r>
  <r>
    <x v="2"/>
    <x v="4"/>
    <x v="2"/>
    <n v="51300"/>
  </r>
  <r>
    <x v="2"/>
    <x v="5"/>
    <x v="2"/>
    <n v="52400"/>
  </r>
  <r>
    <x v="2"/>
    <x v="0"/>
    <x v="3"/>
    <n v="48400"/>
  </r>
  <r>
    <x v="2"/>
    <x v="1"/>
    <x v="3"/>
    <n v="49000"/>
  </r>
  <r>
    <x v="2"/>
    <x v="2"/>
    <x v="3"/>
    <n v="46100"/>
  </r>
  <r>
    <x v="2"/>
    <x v="3"/>
    <x v="3"/>
    <n v="48000"/>
  </r>
  <r>
    <x v="2"/>
    <x v="4"/>
    <x v="3"/>
    <n v="49300"/>
  </r>
  <r>
    <x v="2"/>
    <x v="5"/>
    <x v="3"/>
    <n v="51100"/>
  </r>
</pivotCacheRecords>
</file>

<file path=xl/pivotCache/pivotCacheRecords7.xml><?xml version="1.0" encoding="utf-8"?>
<pivotCacheRecords xmlns="http://schemas.openxmlformats.org/spreadsheetml/2006/main" xmlns:r="http://schemas.openxmlformats.org/officeDocument/2006/relationships" count="17">
  <r>
    <s v="arjen"/>
    <x v="0"/>
    <x v="0"/>
    <n v="200000"/>
  </r>
  <r>
    <s v="mischa"/>
    <x v="0"/>
    <x v="0"/>
    <n v="230000"/>
  </r>
  <r>
    <s v="diederik"/>
    <x v="1"/>
    <x v="1"/>
    <m/>
  </r>
  <r>
    <s v="johan"/>
    <x v="1"/>
    <x v="1"/>
    <m/>
  </r>
  <r>
    <s v="michiel"/>
    <x v="2"/>
    <x v="0"/>
    <n v="200000"/>
  </r>
  <r>
    <s v="job "/>
    <x v="3"/>
    <x v="0"/>
    <n v="300000"/>
  </r>
  <r>
    <s v="rob"/>
    <x v="4"/>
    <x v="1"/>
    <m/>
  </r>
  <r>
    <s v="ineke"/>
    <x v="3"/>
    <x v="1"/>
    <m/>
  </r>
  <r>
    <s v="gert jan"/>
    <x v="0"/>
    <x v="1"/>
    <m/>
  </r>
  <r>
    <s v="marc"/>
    <x v="4"/>
    <x v="0"/>
    <n v="180000"/>
  </r>
  <r>
    <s v="friso"/>
    <x v="1"/>
    <x v="0"/>
    <n v="250000"/>
  </r>
  <r>
    <s v="sindy"/>
    <x v="1"/>
    <x v="0"/>
    <n v="240000"/>
  </r>
  <r>
    <s v="tim"/>
    <x v="2"/>
    <x v="0"/>
    <n v="200000"/>
  </r>
  <r>
    <s v="erik"/>
    <x v="5"/>
    <x v="0"/>
    <n v="140000"/>
  </r>
  <r>
    <s v="mark"/>
    <x v="4"/>
    <x v="0"/>
    <n v="170000"/>
  </r>
  <r>
    <s v="martin"/>
    <x v="6"/>
    <x v="0"/>
    <n v="350000"/>
  </r>
  <r>
    <s v="patrick"/>
    <x v="2"/>
    <x v="1"/>
    <m/>
  </r>
</pivotCacheRecords>
</file>

<file path=xl/pivotCache/pivotCacheRecords8.xml><?xml version="1.0" encoding="utf-8"?>
<pivotCacheRecords xmlns="http://schemas.openxmlformats.org/spreadsheetml/2006/main" xmlns:r="http://schemas.openxmlformats.org/officeDocument/2006/relationships" count="9">
  <r>
    <s v="jan"/>
    <s v="jansen"/>
    <x v="0"/>
  </r>
  <r>
    <s v="piet"/>
    <s v="pietersen"/>
    <x v="1"/>
  </r>
  <r>
    <s v="lin"/>
    <s v="linsen"/>
    <x v="2"/>
  </r>
  <r>
    <s v="phi"/>
    <s v="philips"/>
    <x v="1"/>
  </r>
  <r>
    <s v="joost"/>
    <s v="joosten"/>
    <x v="3"/>
  </r>
  <r>
    <s v="wil"/>
    <s v="willemsen"/>
    <x v="1"/>
  </r>
  <r>
    <s v="ger"/>
    <s v="gerritsen"/>
    <x v="3"/>
  </r>
  <r>
    <s v="klaas"/>
    <s v="klazen"/>
    <x v="4"/>
  </r>
  <r>
    <s v="henk"/>
    <s v="hengen"/>
    <x v="2"/>
  </r>
</pivotCacheRecords>
</file>

<file path=xl/pivotCache/pivotCacheRecords9.xml><?xml version="1.0" encoding="utf-8"?>
<pivotCacheRecords xmlns="http://schemas.openxmlformats.org/spreadsheetml/2006/main" xmlns:r="http://schemas.openxmlformats.org/officeDocument/2006/relationships" count="11">
  <r>
    <x v="0"/>
    <s v="femke"/>
    <x v="0"/>
    <n v="5"/>
  </r>
  <r>
    <x v="0"/>
    <s v="ingrid"/>
    <x v="0"/>
    <n v="6"/>
  </r>
  <r>
    <x v="0"/>
    <s v="marc"/>
    <x v="1"/>
    <n v="7"/>
  </r>
  <r>
    <x v="0"/>
    <s v="piet"/>
    <x v="1"/>
    <n v="5"/>
  </r>
  <r>
    <x v="0"/>
    <s v="yvonne"/>
    <x v="0"/>
    <n v="7"/>
  </r>
  <r>
    <x v="0"/>
    <s v="ilse"/>
    <x v="0"/>
    <n v="9"/>
  </r>
  <r>
    <x v="1"/>
    <s v="angela"/>
    <x v="0"/>
    <n v="6"/>
  </r>
  <r>
    <x v="1"/>
    <s v="bob"/>
    <x v="1"/>
    <n v="6"/>
  </r>
  <r>
    <x v="1"/>
    <s v="elisa"/>
    <x v="0"/>
    <n v="7"/>
  </r>
  <r>
    <x v="1"/>
    <s v="harald"/>
    <x v="1"/>
    <n v="8"/>
  </r>
  <r>
    <x v="1"/>
    <s v="robert"/>
    <x v="1"/>
    <n v="5"/>
  </r>
</pivotCacheRecords>
</file>

<file path=xl/pivotCache/pivotCacheRecords10.xml><?xml version="1.0" encoding="utf-8"?>
<pivotCacheRecords xmlns="http://schemas.openxmlformats.org/spreadsheetml/2006/main" xmlns:r="http://schemas.openxmlformats.org/officeDocument/2006/relationships" count="114">
  <r>
    <n v="1975"/>
    <s v="Jong de"/>
    <s v="Klaas"/>
    <x v="0"/>
    <x v="0"/>
    <x v="0"/>
    <n v="21887.95"/>
    <d v="1991-05-07T00:00:00"/>
  </r>
  <r>
    <n v="1976"/>
    <s v="Peters"/>
    <s v="Robin"/>
    <x v="1"/>
    <x v="1"/>
    <x v="1"/>
    <n v="23035.88"/>
    <d v="1991-04-29T00:00:00"/>
  </r>
  <r>
    <n v="1168"/>
    <s v="Kerstholt"/>
    <s v="Tonia"/>
    <x v="1"/>
    <x v="1"/>
    <x v="2"/>
    <n v="23035.88"/>
    <d v="1991-04-10T00:00:00"/>
  </r>
  <r>
    <n v="1169"/>
    <s v="Bosma"/>
    <s v="Peter"/>
    <x v="2"/>
    <x v="1"/>
    <x v="0"/>
    <n v="34002.050000000003"/>
    <d v="1992-10-13T00:00:00"/>
  </r>
  <r>
    <n v="1167"/>
    <s v="Nieborg"/>
    <s v="Judith"/>
    <x v="3"/>
    <x v="2"/>
    <x v="0"/>
    <n v="31913.88"/>
    <d v="1991-04-18T00:00:00"/>
  </r>
  <r>
    <n v="1931"/>
    <s v="Dantuma"/>
    <s v="Desiree"/>
    <x v="4"/>
    <x v="0"/>
    <x v="0"/>
    <n v="26101.439999999999"/>
    <d v="1989-06-20T00:00:00"/>
  </r>
  <r>
    <n v="1967"/>
    <s v="Mulder"/>
    <s v="Elsbeth"/>
    <x v="5"/>
    <x v="3"/>
    <x v="0"/>
    <n v="23212.32"/>
    <d v="1991-11-09T00:00:00"/>
  </r>
  <r>
    <n v="1676"/>
    <s v="Schutter"/>
    <s v="Aletta"/>
    <x v="5"/>
    <x v="3"/>
    <x v="0"/>
    <n v="23212.32"/>
    <d v="1981-10-18T00:00:00"/>
  </r>
  <r>
    <n v="1075"/>
    <s v="Essen van"/>
    <s v="Bert"/>
    <x v="6"/>
    <x v="4"/>
    <x v="1"/>
    <n v="23239.439999999999"/>
    <d v="1992-08-07T00:00:00"/>
  </r>
  <r>
    <n v="1966"/>
    <s v="Geerling"/>
    <s v="Rob"/>
    <x v="6"/>
    <x v="4"/>
    <x v="2"/>
    <n v="23239.439999999999"/>
    <d v="1991-11-17T00:00:00"/>
  </r>
  <r>
    <n v="1816"/>
    <s v="Damhof"/>
    <s v="Michael"/>
    <x v="2"/>
    <x v="1"/>
    <x v="2"/>
    <n v="35480.400000000001"/>
    <d v="1990-07-08T00:00:00"/>
  </r>
  <r>
    <n v="1814"/>
    <s v="Al-Sabah"/>
    <s v="Daoud"/>
    <x v="7"/>
    <x v="1"/>
    <x v="2"/>
    <n v="21303.599999999999"/>
    <d v="1989-03-04T00:00:00"/>
  </r>
  <r>
    <n v="1968"/>
    <s v="Willekes"/>
    <s v="Sara"/>
    <x v="8"/>
    <x v="2"/>
    <x v="0"/>
    <n v="35989.199999999997"/>
    <d v="1993-01-01T00:00:00"/>
  </r>
  <r>
    <n v="1675"/>
    <s v="Molenaar"/>
    <s v="Janet"/>
    <x v="3"/>
    <x v="2"/>
    <x v="0"/>
    <n v="33301.440000000002"/>
    <d v="1981-10-26T00:00:00"/>
  </r>
  <r>
    <n v="1677"/>
    <s v="Algra"/>
    <s v="Erik"/>
    <x v="9"/>
    <x v="5"/>
    <x v="2"/>
    <n v="37895.519999999997"/>
    <d v="1987-11-06T00:00:00"/>
  </r>
  <r>
    <n v="1793"/>
    <s v="Zandstra"/>
    <s v="Aaron"/>
    <x v="5"/>
    <x v="3"/>
    <x v="2"/>
    <n v="24179.5"/>
    <d v="1990-12-16T00:00:00"/>
  </r>
  <r>
    <n v="1792"/>
    <s v="Stroo"/>
    <s v="Heleen"/>
    <x v="10"/>
    <x v="4"/>
    <x v="0"/>
    <n v="28859.25"/>
    <d v="1990-12-24T00:00:00"/>
  </r>
  <r>
    <n v="1794"/>
    <s v="Sauter"/>
    <s v="Karel"/>
    <x v="8"/>
    <x v="2"/>
    <x v="2"/>
    <n v="37488.75"/>
    <d v="1984-12-18T00:00:00"/>
  </r>
  <r>
    <n v="1426"/>
    <s v="Vosman"/>
    <s v="Peter"/>
    <x v="3"/>
    <x v="2"/>
    <x v="2"/>
    <n v="34689"/>
    <d v="1977-09-08T00:00:00"/>
  </r>
  <r>
    <n v="1530"/>
    <s v="Overmars"/>
    <s v="Willlem"/>
    <x v="5"/>
    <x v="3"/>
    <x v="1"/>
    <n v="25146.68"/>
    <d v="1991-01-20T00:00:00"/>
  </r>
  <r>
    <n v="1054"/>
    <s v="Smit"/>
    <s v="Howard"/>
    <x v="6"/>
    <x v="4"/>
    <x v="0"/>
    <n v="25176.06"/>
    <d v="1991-04-16T00:00:00"/>
  </r>
  <r>
    <n v="1977"/>
    <s v="Eikelenboom"/>
    <s v="Mirjam"/>
    <x v="10"/>
    <x v="4"/>
    <x v="0"/>
    <n v="30013.62"/>
    <d v="1980-06-13T00:00:00"/>
  </r>
  <r>
    <n v="1529"/>
    <s v="Kellerman"/>
    <s v="Tommie"/>
    <x v="5"/>
    <x v="1"/>
    <x v="1"/>
    <n v="25146.68"/>
    <d v="1987-01-28T00:00:00"/>
  </r>
  <r>
    <n v="1978"/>
    <s v="Roelfsema"/>
    <s v="Jan"/>
    <x v="11"/>
    <x v="1"/>
    <x v="2"/>
    <n v="51878.84"/>
    <d v="1980-06-05T00:00:00"/>
  </r>
  <r>
    <n v="1055"/>
    <s v="Alberts"/>
    <s v="Esther"/>
    <x v="1"/>
    <x v="2"/>
    <x v="0"/>
    <n v="26040.560000000001"/>
    <d v="1991-04-08T00:00:00"/>
  </r>
  <r>
    <n v="1531"/>
    <s v="Lempert"/>
    <s v="Alexandra"/>
    <x v="9"/>
    <x v="5"/>
    <x v="0"/>
    <n v="41053.480000000003"/>
    <d v="1986-05-11T00:00:00"/>
  </r>
  <r>
    <n v="1290"/>
    <s v="Kuiper"/>
    <s v="Linda"/>
    <x v="5"/>
    <x v="3"/>
    <x v="2"/>
    <n v="26113.86"/>
    <d v="1985-01-03T00:00:00"/>
  </r>
  <r>
    <n v="1300"/>
    <s v="Boersma"/>
    <s v="Phillip"/>
    <x v="4"/>
    <x v="0"/>
    <x v="1"/>
    <n v="30451.68"/>
    <d v="1989-12-13T00:00:00"/>
  </r>
  <r>
    <n v="1152"/>
    <s v="Henders"/>
    <s v="Mark"/>
    <x v="0"/>
    <x v="0"/>
    <x v="1"/>
    <n v="26646.2"/>
    <d v="1990-01-21T00:00:00"/>
  </r>
  <r>
    <n v="1960"/>
    <s v="Fontaine"/>
    <s v="Jean"/>
    <x v="1"/>
    <x v="0"/>
    <x v="0"/>
    <n v="28043.68"/>
    <d v="1986-11-13T00:00:00"/>
  </r>
  <r>
    <n v="1153"/>
    <s v="Plant"/>
    <s v="Alex"/>
    <x v="1"/>
    <x v="0"/>
    <x v="1"/>
    <n v="28043.68"/>
    <d v="1990-01-13T00:00:00"/>
  </r>
  <r>
    <n v="1961"/>
    <s v="Mulder"/>
    <s v="Chris"/>
    <x v="5"/>
    <x v="3"/>
    <x v="2"/>
    <n v="27081.040000000001"/>
    <d v="1986-11-05T00:00:00"/>
  </r>
  <r>
    <n v="1557"/>
    <s v="Kramer"/>
    <s v="Maaike"/>
    <x v="5"/>
    <x v="3"/>
    <x v="0"/>
    <n v="27081.040000000001"/>
    <d v="1981-11-18T00:00:00"/>
  </r>
  <r>
    <n v="1723"/>
    <s v="Einstein"/>
    <s v="Isolde"/>
    <x v="12"/>
    <x v="1"/>
    <x v="2"/>
    <n v="29362.2"/>
    <d v="1990-08-06T00:00:00"/>
  </r>
  <r>
    <n v="1556"/>
    <s v="Davids"/>
    <s v="Karin"/>
    <x v="12"/>
    <x v="1"/>
    <x v="1"/>
    <n v="29362.2"/>
    <d v="1981-11-26T00:00:00"/>
  </r>
  <r>
    <n v="1333"/>
    <s v="Faber"/>
    <s v="Otto"/>
    <x v="12"/>
    <x v="1"/>
    <x v="0"/>
    <n v="29362.2"/>
    <d v="1990-04-16T00:00:00"/>
  </r>
  <r>
    <n v="1299"/>
    <s v="Wijbenga"/>
    <s v="Sandra"/>
    <x v="7"/>
    <x v="1"/>
    <x v="0"/>
    <n v="24854.2"/>
    <d v="1989-12-21T00:00:00"/>
  </r>
  <r>
    <n v="1301"/>
    <s v="Wijnen"/>
    <s v="Floris"/>
    <x v="5"/>
    <x v="2"/>
    <x v="2"/>
    <n v="27081.040000000001"/>
    <d v="1984-08-06T00:00:00"/>
  </r>
  <r>
    <n v="1724"/>
    <s v="Mans"/>
    <s v="Steven"/>
    <x v="1"/>
    <x v="2"/>
    <x v="1"/>
    <n v="28043.68"/>
    <d v="1990-07-29T00:00:00"/>
  </r>
  <r>
    <n v="1558"/>
    <s v="Maathuis"/>
    <s v="Evelien"/>
    <x v="8"/>
    <x v="2"/>
    <x v="0"/>
    <n v="41987.4"/>
    <d v="1982-10-16T00:00:00"/>
  </r>
  <r>
    <n v="1041"/>
    <s v="Herder"/>
    <s v="Robert"/>
    <x v="1"/>
    <x v="5"/>
    <x v="1"/>
    <n v="28043.68"/>
    <d v="1992-04-16T00:00:00"/>
  </r>
  <r>
    <n v="1334"/>
    <s v="Groothuis"/>
    <s v="Theo"/>
    <x v="1"/>
    <x v="5"/>
    <x v="2"/>
    <n v="28043.68"/>
    <d v="1990-04-08T00:00:00"/>
  </r>
  <r>
    <n v="1330"/>
    <s v="Beerda"/>
    <s v="Anna"/>
    <x v="4"/>
    <x v="0"/>
    <x v="0"/>
    <n v="31539.24"/>
    <d v="1989-02-14T00:00:00"/>
  </r>
  <r>
    <n v="1674"/>
    <s v="Kwant"/>
    <s v="Frank"/>
    <x v="0"/>
    <x v="0"/>
    <x v="2"/>
    <n v="27597.85"/>
    <d v="1992-03-25T00:00:00"/>
  </r>
  <r>
    <n v="1011"/>
    <s v="Geertsema"/>
    <s v="Antonie"/>
    <x v="0"/>
    <x v="0"/>
    <x v="0"/>
    <n v="27597.85"/>
    <d v="1986-02-03T00:00:00"/>
  </r>
  <r>
    <n v="1675"/>
    <s v="Makken"/>
    <s v="Jose"/>
    <x v="1"/>
    <x v="0"/>
    <x v="2"/>
    <n v="29045.24"/>
    <d v="1992-03-17T00:00:00"/>
  </r>
  <r>
    <n v="1012"/>
    <s v="Paping"/>
    <s v="Ronald"/>
    <x v="13"/>
    <x v="1"/>
    <x v="1"/>
    <n v="43394.15"/>
    <d v="1986-01-26T00:00:00"/>
  </r>
  <r>
    <n v="1331"/>
    <s v="Vergeer"/>
    <s v="Maria"/>
    <x v="2"/>
    <x v="1"/>
    <x v="1"/>
    <n v="42872.15"/>
    <d v="1989-05-11T00:00:00"/>
  </r>
  <r>
    <n v="1310"/>
    <s v="Smit"/>
    <s v="Ellen"/>
    <x v="12"/>
    <x v="1"/>
    <x v="2"/>
    <n v="30410.85"/>
    <d v="1986-10-04T00:00:00"/>
  </r>
  <r>
    <n v="1329"/>
    <s v="Schaafsma"/>
    <s v="Toine"/>
    <x v="12"/>
    <x v="1"/>
    <x v="1"/>
    <n v="30410.85"/>
    <d v="1989-02-22T00:00:00"/>
  </r>
  <r>
    <n v="1311"/>
    <s v="Kanis"/>
    <s v="Nico"/>
    <x v="8"/>
    <x v="2"/>
    <x v="1"/>
    <n v="43486.95"/>
    <d v="1986-09-26T00:00:00"/>
  </r>
  <r>
    <n v="1657"/>
    <s v="Wegenbree"/>
    <s v="Roos"/>
    <x v="4"/>
    <x v="0"/>
    <x v="1"/>
    <n v="32626.799999999999"/>
    <d v="1987-12-06T00:00:00"/>
  </r>
  <r>
    <n v="1516"/>
    <s v="Bel"/>
    <s v="Tom"/>
    <x v="0"/>
    <x v="0"/>
    <x v="1"/>
    <n v="28549.5"/>
    <d v="1985-03-06T00:00:00"/>
  </r>
  <r>
    <n v="1517"/>
    <s v="Ruiter"/>
    <s v="Karin"/>
    <x v="14"/>
    <x v="1"/>
    <x v="1"/>
    <n v="62589.599999999999"/>
    <d v="1985-02-26T00:00:00"/>
  </r>
  <r>
    <n v="1658"/>
    <s v="Mosselman"/>
    <s v="Dennis"/>
    <x v="2"/>
    <x v="1"/>
    <x v="0"/>
    <n v="44350.5"/>
    <d v="1988-06-06T00:00:00"/>
  </r>
  <r>
    <n v="1518"/>
    <s v="Lange de"/>
    <s v="Leslie"/>
    <x v="2"/>
    <x v="1"/>
    <x v="1"/>
    <n v="44350.5"/>
    <d v="1990-06-18T00:00:00"/>
  </r>
  <r>
    <n v="1656"/>
    <s v="Kourios"/>
    <s v="Theo"/>
    <x v="5"/>
    <x v="2"/>
    <x v="0"/>
    <n v="29015.4"/>
    <d v="1987-12-14T00:00:00"/>
  </r>
  <r>
    <n v="1079"/>
    <s v="Holtrop"/>
    <s v="Ellen"/>
    <x v="5"/>
    <x v="3"/>
    <x v="1"/>
    <n v="29982.58"/>
    <d v="1986-03-24T00:00:00"/>
  </r>
  <r>
    <n v="1758"/>
    <s v="Bruinenberg"/>
    <s v="Melia"/>
    <x v="10"/>
    <x v="4"/>
    <x v="1"/>
    <n v="35785.47"/>
    <d v="1982-03-18T00:00:00"/>
  </r>
  <r>
    <n v="1673"/>
    <s v="Kromhout"/>
    <s v="Linda"/>
    <x v="5"/>
    <x v="1"/>
    <x v="0"/>
    <n v="29982.58"/>
    <d v="1990-04-16T00:00:00"/>
  </r>
  <r>
    <n v="1509"/>
    <s v="Kegler"/>
    <s v="Pamela"/>
    <x v="5"/>
    <x v="1"/>
    <x v="2"/>
    <n v="29982.58"/>
    <d v="1985-06-19T00:00:00"/>
  </r>
  <r>
    <n v="1759"/>
    <s v="Jager"/>
    <s v="Stephanie"/>
    <x v="11"/>
    <x v="1"/>
    <x v="1"/>
    <n v="61855.54"/>
    <d v="1982-03-10T00:00:00"/>
  </r>
  <r>
    <n v="1510"/>
    <s v="Wit"/>
    <s v="Jessica"/>
    <x v="13"/>
    <x v="1"/>
    <x v="0"/>
    <n v="46386.85"/>
    <d v="1985-06-11T00:00:00"/>
  </r>
  <r>
    <n v="1078"/>
    <s v="Handelman"/>
    <s v="Kees"/>
    <x v="5"/>
    <x v="2"/>
    <x v="1"/>
    <n v="29982.58"/>
    <d v="1986-04-01T00:00:00"/>
  </r>
  <r>
    <n v="1285"/>
    <s v="Verkade"/>
    <s v="Eduard"/>
    <x v="15"/>
    <x v="2"/>
    <x v="1"/>
    <n v="77179.149999999994"/>
    <d v="1984-12-27T00:00:00"/>
  </r>
  <r>
    <n v="1284"/>
    <s v="Burger"/>
    <s v="Frank"/>
    <x v="8"/>
    <x v="2"/>
    <x v="2"/>
    <n v="46486.05"/>
    <d v="1985-01-04T00:00:00"/>
  </r>
  <r>
    <n v="1674"/>
    <s v="Nieborg"/>
    <s v="Dave"/>
    <x v="1"/>
    <x v="5"/>
    <x v="0"/>
    <n v="31048.36"/>
    <d v="1990-04-08T00:00:00"/>
  </r>
  <r>
    <n v="1067"/>
    <s v="Thiecke"/>
    <s v="Herman"/>
    <x v="10"/>
    <x v="4"/>
    <x v="2"/>
    <n v="36939.839999999997"/>
    <d v="1987-09-20T00:00:00"/>
  </r>
  <r>
    <n v="1068"/>
    <s v="Riksten"/>
    <s v="Janette"/>
    <x v="13"/>
    <x v="1"/>
    <x v="1"/>
    <n v="47883.199999999997"/>
    <d v="1987-09-12T00:00:00"/>
  </r>
  <r>
    <n v="1922"/>
    <s v="Smit"/>
    <s v="Barbara"/>
    <x v="7"/>
    <x v="1"/>
    <x v="1"/>
    <n v="28404.799999999999"/>
    <d v="1986-12-05T00:00:00"/>
  </r>
  <r>
    <n v="1923"/>
    <s v="Jansen"/>
    <s v="Piet"/>
    <x v="8"/>
    <x v="2"/>
    <x v="2"/>
    <n v="47985.599999999999"/>
    <d v="1986-11-27T00:00:00"/>
  </r>
  <r>
    <n v="1573"/>
    <s v="Kleine"/>
    <s v="Bob"/>
    <x v="4"/>
    <x v="0"/>
    <x v="2"/>
    <n v="35889.480000000003"/>
    <d v="1988-07-07T00:00:00"/>
  </r>
  <r>
    <n v="1695"/>
    <s v="Nelson"/>
    <s v="Eduard"/>
    <x v="10"/>
    <x v="4"/>
    <x v="2"/>
    <n v="38094.21"/>
    <d v="1984-10-20T00:00:00"/>
  </r>
  <r>
    <n v="1360"/>
    <s v="Maris"/>
    <s v="Ellis"/>
    <x v="1"/>
    <x v="1"/>
    <x v="0"/>
    <n v="33051.480000000003"/>
    <d v="1988-08-01T00:00:00"/>
  </r>
  <r>
    <n v="1574"/>
    <s v="Westra"/>
    <s v="Sam"/>
    <x v="16"/>
    <x v="1"/>
    <x v="2"/>
    <n v="50651.37"/>
    <d v="1986-02-09T00:00:00"/>
  </r>
  <r>
    <n v="1977"/>
    <s v="Renkema"/>
    <s v="Wouter"/>
    <x v="2"/>
    <x v="1"/>
    <x v="2"/>
    <n v="48785.55"/>
    <d v="1991-09-09T00:00:00"/>
  </r>
  <r>
    <n v="1572"/>
    <s v="Ridderbos"/>
    <s v="Lise-Anne"/>
    <x v="12"/>
    <x v="1"/>
    <x v="1"/>
    <n v="34605.449999999997"/>
    <d v="1988-07-15T00:00:00"/>
  </r>
  <r>
    <n v="1906"/>
    <s v="Bankler"/>
    <s v="Rowena"/>
    <x v="5"/>
    <x v="2"/>
    <x v="1"/>
    <n v="31916.94"/>
    <d v="1989-09-28T00:00:00"/>
  </r>
  <r>
    <n v="1907"/>
    <s v="Huisman"/>
    <s v="Hester"/>
    <x v="1"/>
    <x v="2"/>
    <x v="1"/>
    <n v="33051.480000000003"/>
    <d v="1989-09-20T00:00:00"/>
  </r>
  <r>
    <n v="1359"/>
    <s v="Mortel"/>
    <s v="Sara"/>
    <x v="8"/>
    <x v="2"/>
    <x v="1"/>
    <n v="49485.15"/>
    <d v="1990-08-09T00:00:00"/>
  </r>
  <r>
    <n v="1361"/>
    <s v="Steen"/>
    <s v="Cindy"/>
    <x v="12"/>
    <x v="5"/>
    <x v="1"/>
    <n v="34605.449999999997"/>
    <d v="1988-07-22T00:00:00"/>
  </r>
  <r>
    <n v="1368"/>
    <s v="Marinez"/>
    <s v="Gustavo"/>
    <x v="5"/>
    <x v="3"/>
    <x v="2"/>
    <n v="32884.120000000003"/>
    <d v="1983-03-11T00:00:00"/>
  </r>
  <r>
    <n v="1815"/>
    <s v="Fijn"/>
    <s v="Caroline"/>
    <x v="14"/>
    <x v="1"/>
    <x v="0"/>
    <n v="70934.880000000005"/>
    <d v="1980-02-25T00:00:00"/>
  </r>
  <r>
    <n v="1369"/>
    <s v="Bartels"/>
    <s v="Sandra"/>
    <x v="17"/>
    <x v="5"/>
    <x v="2"/>
    <n v="57756.480000000003"/>
    <d v="1983-03-03T00:00:00"/>
  </r>
  <r>
    <n v="1370"/>
    <s v="Stadtman"/>
    <s v="Jan-Theo"/>
    <x v="9"/>
    <x v="5"/>
    <x v="1"/>
    <n v="53685.32"/>
    <d v="1987-11-27T00:00:00"/>
  </r>
  <r>
    <n v="1908"/>
    <s v="Ritsma"/>
    <s v="Melissa"/>
    <x v="18"/>
    <x v="3"/>
    <x v="2"/>
    <n v="72819.600000000006"/>
    <d v="1984-05-15T00:00:00"/>
  </r>
  <r>
    <n v="1428"/>
    <s v="Vreeman"/>
    <s v="Jules"/>
    <x v="16"/>
    <x v="1"/>
    <x v="1"/>
    <n v="53721.15"/>
    <d v="1986-11-12T00:00:00"/>
  </r>
  <r>
    <n v="1352"/>
    <s v="Zwaving"/>
    <s v="Lisa"/>
    <x v="7"/>
    <x v="1"/>
    <x v="1"/>
    <n v="31067.75"/>
    <d v="1982-09-18T00:00:00"/>
  </r>
  <r>
    <n v="1353"/>
    <s v="Helder"/>
    <s v="Willem"/>
    <x v="17"/>
    <x v="5"/>
    <x v="1"/>
    <n v="59455.199999999997"/>
    <d v="1982-09-10T00:00:00"/>
  </r>
  <r>
    <n v="1427"/>
    <s v="Bijkerk"/>
    <s v="David"/>
    <x v="17"/>
    <x v="5"/>
    <x v="0"/>
    <n v="59455.199999999997"/>
    <d v="1977-08-31T00:00:00"/>
  </r>
  <r>
    <n v="1291"/>
    <s v="Oosten"/>
    <s v="Bart"/>
    <x v="5"/>
    <x v="3"/>
    <x v="1"/>
    <n v="35785.660000000003"/>
    <d v="1984-12-26T00:00:00"/>
  </r>
  <r>
    <n v="1292"/>
    <s v="Mekel"/>
    <s v="Menno"/>
    <x v="3"/>
    <x v="2"/>
    <x v="1"/>
    <n v="51339.72"/>
    <d v="1987-11-20T00:00:00"/>
  </r>
  <r>
    <n v="1725"/>
    <s v="Kruit"/>
    <s v="Alex"/>
    <x v="18"/>
    <x v="3"/>
    <x v="1"/>
    <n v="79061.279999999999"/>
    <d v="1978-02-12T00:00:00"/>
  </r>
  <r>
    <n v="1302"/>
    <s v="Berg"/>
    <s v="Bob"/>
    <x v="14"/>
    <x v="1"/>
    <x v="2"/>
    <n v="79280.160000000003"/>
    <d v="1984-07-29T00:00:00"/>
  </r>
  <r>
    <n v="1301"/>
    <s v="Jonge de"/>
    <s v="Arend"/>
    <x v="16"/>
    <x v="1"/>
    <x v="1"/>
    <n v="58325.82"/>
    <d v="1986-01-09T00:00:00"/>
  </r>
  <r>
    <n v="1154"/>
    <s v="Geluk"/>
    <s v="Betsie"/>
    <x v="2"/>
    <x v="1"/>
    <x v="0"/>
    <n v="56177.3"/>
    <d v="1987-07-07T00:00:00"/>
  </r>
  <r>
    <n v="1303"/>
    <s v="Emmerink"/>
    <s v="Donald"/>
    <x v="2"/>
    <x v="1"/>
    <x v="1"/>
    <n v="56177.3"/>
    <d v="1988-03-03T00:00:00"/>
  </r>
  <r>
    <n v="1294"/>
    <s v="Noord"/>
    <s v="Robert"/>
    <x v="13"/>
    <x v="1"/>
    <x v="2"/>
    <n v="58357.65"/>
    <d v="1984-09-06T00:00:00"/>
  </r>
  <r>
    <n v="1293"/>
    <s v="Kroon"/>
    <s v="Brenda"/>
    <x v="12"/>
    <x v="1"/>
    <x v="1"/>
    <n v="40897.35"/>
    <d v="1984-09-14T00:00:00"/>
  </r>
  <r>
    <n v="1725"/>
    <s v="Bloemendaal"/>
    <s v="Theo"/>
    <x v="15"/>
    <x v="2"/>
    <x v="0"/>
    <n v="97096.35"/>
    <d v="1978-02-02T00:00:00"/>
  </r>
  <r>
    <n v="1724"/>
    <s v="Boerhof"/>
    <s v="Mark"/>
    <x v="8"/>
    <x v="2"/>
    <x v="1"/>
    <n v="58482.45"/>
    <d v="1978-02-10T00:00:00"/>
  </r>
  <r>
    <n v="1080"/>
    <s v="Vossen"/>
    <s v="Felix"/>
    <x v="9"/>
    <x v="5"/>
    <x v="1"/>
    <n v="64738.18"/>
    <d v="1988-10-29T00:00:00"/>
  </r>
  <r>
    <n v="1968"/>
    <s v="Larssen"/>
    <s v="Erika"/>
    <x v="19"/>
    <x v="3"/>
    <x v="1"/>
    <n v="65821.56"/>
    <d v="1982-04-05T00:00:00"/>
  </r>
  <r>
    <n v="1950"/>
    <s v="Smidt"/>
    <s v="Rik"/>
    <x v="15"/>
    <x v="2"/>
    <x v="2"/>
    <n v="104565.3"/>
    <d v="1981-10-04T00:00:00"/>
  </r>
  <r>
    <n v="1949"/>
    <s v="Wolthuis"/>
    <s v="Carla"/>
    <x v="8"/>
    <x v="2"/>
    <x v="0"/>
    <n v="62981.1"/>
    <d v="1981-10-12T00:00:00"/>
  </r>
  <r>
    <n v="1967"/>
    <s v="Kortlandt"/>
    <s v="Karel"/>
    <x v="3"/>
    <x v="2"/>
    <x v="0"/>
    <n v="58277.52"/>
    <d v="1982-04-13T00:00:00"/>
  </r>
  <r>
    <n v="1969"/>
    <s v="West"/>
    <s v="Mien"/>
    <x v="3"/>
    <x v="2"/>
    <x v="1"/>
    <n v="58277.52"/>
    <d v="1989-04-14T00:00:00"/>
  </r>
  <r>
    <n v="1932"/>
    <s v="Helpman"/>
    <s v="Ellen"/>
    <x v="4"/>
    <x v="0"/>
    <x v="2"/>
    <n v="47852.639999999999"/>
    <d v="1989-06-12T00:00:00"/>
  </r>
  <r>
    <n v="1933"/>
    <s v="Grootte"/>
    <s v="Michael"/>
    <x v="16"/>
    <x v="1"/>
    <x v="2"/>
    <n v="67535.16"/>
    <d v="1984-01-08T00:00:00"/>
  </r>
  <r>
    <n v="1354"/>
    <s v="Kanon"/>
    <s v="Susan"/>
    <x v="16"/>
    <x v="1"/>
    <x v="0"/>
    <n v="69070.05"/>
    <d v="1986-05-06T00:00:00"/>
  </r>
  <r>
    <n v="1962"/>
    <s v="Wolf"/>
    <s v="Hilda"/>
    <x v="3"/>
    <x v="2"/>
    <x v="1"/>
    <n v="66602.880000000005"/>
    <d v="1987-10-22T00:00:00"/>
  </r>
  <r>
    <n v="1076"/>
    <s v="Hulzenbos"/>
    <s v="Johan"/>
    <x v="11"/>
    <x v="1"/>
    <x v="0"/>
    <n v="105753.02"/>
    <d v="1979-07-30T00:00:00"/>
  </r>
  <r>
    <n v="1696"/>
    <s v="Bosma"/>
    <s v="Marja"/>
    <x v="13"/>
    <x v="1"/>
    <x v="0"/>
    <n v="79306.55"/>
    <d v="1984-10-12T00:00:00"/>
  </r>
  <r>
    <n v="1056"/>
    <s v="Ottevanger"/>
    <s v="Lourens"/>
    <x v="18"/>
    <x v="3"/>
    <x v="0"/>
    <n v="116511.36"/>
    <d v="1979-10-25T00:00:00"/>
  </r>
</pivotCacheRecords>
</file>

<file path=xl/pivotCache/pivotCacheRecords11.xml><?xml version="1.0" encoding="utf-8"?>
<pivotCacheRecords xmlns="http://schemas.openxmlformats.org/spreadsheetml/2006/main" xmlns:r="http://schemas.openxmlformats.org/officeDocument/2006/relationships" count="160">
  <r>
    <x v="0"/>
    <s v="33 1 3       "/>
    <n v="4"/>
    <n v="170"/>
    <x v="0"/>
    <n v="12.2"/>
    <n v="19990"/>
  </r>
  <r>
    <x v="0"/>
    <s v="75 1 8       "/>
    <n v="4"/>
    <n v="190"/>
    <x v="0"/>
    <n v="10"/>
    <n v="33645"/>
  </r>
  <r>
    <x v="0"/>
    <s v="75 TURBO D   "/>
    <n v="4"/>
    <n v="175"/>
    <x v="1"/>
    <n v="12.9"/>
    <n v="45040"/>
  </r>
  <r>
    <x v="0"/>
    <s v="SPIDER 2 0   "/>
    <n v="4"/>
    <n v="190"/>
    <x v="0"/>
    <n v="10.1"/>
    <n v="45725"/>
  </r>
  <r>
    <x v="1"/>
    <s v="80 1 8       "/>
    <n v="4"/>
    <n v="167"/>
    <x v="2"/>
    <n v="12.4"/>
    <n v="31595"/>
  </r>
  <r>
    <x v="1"/>
    <s v="80 D         "/>
    <n v="4"/>
    <n v="153"/>
    <x v="1"/>
    <n v="16.2"/>
    <n v="36745"/>
  </r>
  <r>
    <x v="1"/>
    <s v="100 1 8      "/>
    <n v="4"/>
    <n v="176"/>
    <x v="2"/>
    <n v="13.1"/>
    <n v="45750"/>
  </r>
  <r>
    <x v="1"/>
    <s v="100 D        "/>
    <n v="5"/>
    <n v="158"/>
    <x v="1"/>
    <n v="14.9"/>
    <n v="54450"/>
  </r>
  <r>
    <x v="1"/>
    <n v="200"/>
    <n v="5"/>
    <n v="216"/>
    <x v="2"/>
    <n v="10.199999999999999"/>
    <n v="96900"/>
  </r>
  <r>
    <x v="2"/>
    <s v="METRO SP     "/>
    <n v="4"/>
    <n v="138"/>
    <x v="0"/>
    <n v="14.4"/>
    <n v="14995"/>
  </r>
  <r>
    <x v="2"/>
    <s v="MAESTRO SP   "/>
    <n v="4"/>
    <n v="155"/>
    <x v="0"/>
    <n v="13.2"/>
    <n v="19995"/>
  </r>
  <r>
    <x v="2"/>
    <s v="MONTEGO 1 3  "/>
    <n v="4"/>
    <n v="154"/>
    <x v="0"/>
    <n v="13.2"/>
    <n v="23990"/>
  </r>
  <r>
    <x v="3"/>
    <n v="316"/>
    <n v="4"/>
    <n v="175"/>
    <x v="0"/>
    <n v="11.6"/>
    <n v="33720"/>
  </r>
  <r>
    <x v="3"/>
    <s v="318I         "/>
    <n v="4"/>
    <n v="184"/>
    <x v="0"/>
    <n v="11.2"/>
    <n v="38160"/>
  </r>
  <r>
    <x v="3"/>
    <s v="325I         "/>
    <n v="6"/>
    <n v="217"/>
    <x v="0"/>
    <n v="9.9"/>
    <n v="58290"/>
  </r>
  <r>
    <x v="3"/>
    <s v="518I         "/>
    <n v="4"/>
    <n v="175"/>
    <x v="0"/>
    <n v="10.4"/>
    <n v="43170"/>
  </r>
  <r>
    <x v="3"/>
    <s v="520I         "/>
    <n v="6"/>
    <n v="185"/>
    <x v="0"/>
    <n v="10.3"/>
    <n v="50220"/>
  </r>
  <r>
    <x v="3"/>
    <s v="525E         "/>
    <n v="6"/>
    <n v="185"/>
    <x v="0"/>
    <n v="9.4"/>
    <n v="53730"/>
  </r>
  <r>
    <x v="3"/>
    <s v="730I         "/>
    <n v="6"/>
    <n v="220"/>
    <x v="2"/>
    <n v="8.8000000000000007"/>
    <n v="94170"/>
  </r>
  <r>
    <x v="4"/>
    <s v="2CV6 SPECIAL "/>
    <n v="2"/>
    <n v="115"/>
    <x v="0"/>
    <n v="16.5"/>
    <n v="11200"/>
  </r>
  <r>
    <x v="4"/>
    <s v="VISA         "/>
    <n v="4"/>
    <n v="124"/>
    <x v="0"/>
    <n v="15.1"/>
    <n v="14250"/>
  </r>
  <r>
    <x v="4"/>
    <s v="AXEL II      "/>
    <n v="4"/>
    <n v="150"/>
    <x v="0"/>
    <n v="12.1"/>
    <n v="12650"/>
  </r>
  <r>
    <x v="4"/>
    <s v="BX 14        "/>
    <n v="4"/>
    <n v="155"/>
    <x v="0"/>
    <n v="14.2"/>
    <n v="21500"/>
  </r>
  <r>
    <x v="4"/>
    <s v="CX 20RE      "/>
    <n v="4"/>
    <n v="176"/>
    <x v="0"/>
    <n v="10.199999999999999"/>
    <n v="37600"/>
  </r>
  <r>
    <x v="4"/>
    <s v="CX 22TRS     "/>
    <n v="4"/>
    <n v="186"/>
    <x v="0"/>
    <n v="10.4"/>
    <n v="44700"/>
  </r>
  <r>
    <x v="4"/>
    <s v="CX 25RD      "/>
    <n v="4"/>
    <n v="149"/>
    <x v="1"/>
    <n v="12.1"/>
    <n v="45625"/>
  </r>
  <r>
    <x v="5"/>
    <s v="CUORE 850TS  "/>
    <n v="3"/>
    <n v="135"/>
    <x v="2"/>
    <n v="16.5"/>
    <n v="12999"/>
  </r>
  <r>
    <x v="5"/>
    <s v="CHARADE TG   "/>
    <n v="3"/>
    <n v="140"/>
    <x v="2"/>
    <n v="14.9"/>
    <n v="14899"/>
  </r>
  <r>
    <x v="5"/>
    <s v="CHARADE TSD  "/>
    <n v="3"/>
    <n v="125"/>
    <x v="1"/>
    <n v="17.8"/>
    <n v="18649"/>
  </r>
  <r>
    <x v="5"/>
    <s v="CHARMANT     "/>
    <n v="4"/>
    <n v="150"/>
    <x v="2"/>
    <n v="14"/>
    <n v="19499"/>
  </r>
  <r>
    <x v="6"/>
    <s v="PANDA 750L   "/>
    <n v="4"/>
    <n v="125"/>
    <x v="0"/>
    <n v="16.100000000000001"/>
    <n v="12690"/>
  </r>
  <r>
    <x v="6"/>
    <s v="UNO 45       "/>
    <n v="4"/>
    <n v="145"/>
    <x v="0"/>
    <n v="16.3"/>
    <n v="15990"/>
  </r>
  <r>
    <x v="6"/>
    <s v="UNO D        "/>
    <n v="4"/>
    <n v="155"/>
    <x v="1"/>
    <n v="18.600000000000001"/>
    <n v="21690"/>
  </r>
  <r>
    <x v="6"/>
    <s v="RITMO 60     "/>
    <n v="4"/>
    <n v="150"/>
    <x v="0"/>
    <n v="13.4"/>
    <n v="17250"/>
  </r>
  <r>
    <x v="6"/>
    <s v="RITMO D      "/>
    <n v="4"/>
    <n v="150"/>
    <x v="1"/>
    <n v="15.2"/>
    <n v="22350"/>
  </r>
  <r>
    <x v="6"/>
    <s v="REGATTA 70   "/>
    <n v="4"/>
    <n v="155"/>
    <x v="0"/>
    <n v="13.4"/>
    <n v="22890"/>
  </r>
  <r>
    <x v="6"/>
    <s v="REGATTA D    "/>
    <n v="4"/>
    <n v="150"/>
    <x v="1"/>
    <n v="13.6"/>
    <n v="27490"/>
  </r>
  <r>
    <x v="6"/>
    <s v="CROMA CHT    "/>
    <n v="4"/>
    <n v="180"/>
    <x v="0"/>
    <n v="13.7"/>
    <n v="35690"/>
  </r>
  <r>
    <x v="6"/>
    <s v="CROMA D      "/>
    <n v="4"/>
    <n v="185"/>
    <x v="1"/>
    <n v="14.1"/>
    <n v="39990"/>
  </r>
  <r>
    <x v="7"/>
    <s v="FIESTA 1 0C  "/>
    <n v="4"/>
    <n v="136"/>
    <x v="0"/>
    <n v="13.6"/>
    <n v="16988"/>
  </r>
  <r>
    <x v="7"/>
    <s v="FIESTA D     "/>
    <n v="4"/>
    <n v="148"/>
    <x v="1"/>
    <n v="15.9"/>
    <n v="22564"/>
  </r>
  <r>
    <x v="7"/>
    <s v="ESCORT 1 1C  "/>
    <n v="4"/>
    <n v="144"/>
    <x v="0"/>
    <n v="14.1"/>
    <n v="20660"/>
  </r>
  <r>
    <x v="7"/>
    <s v="ESCORT D     "/>
    <n v="4"/>
    <n v="150"/>
    <x v="1"/>
    <n v="16.899999999999999"/>
    <n v="25781"/>
  </r>
  <r>
    <x v="7"/>
    <s v="ORION        "/>
    <n v="4"/>
    <n v="167"/>
    <x v="0"/>
    <n v="14.7"/>
    <n v="24444"/>
  </r>
  <r>
    <x v="7"/>
    <s v="ORION D      "/>
    <n v="4"/>
    <n v="165"/>
    <x v="1"/>
    <n v="18.3"/>
    <n v="27968"/>
  </r>
  <r>
    <x v="7"/>
    <s v="SIERRA 1600  "/>
    <n v="4"/>
    <n v="165"/>
    <x v="0"/>
    <n v="10.6"/>
    <n v="25901"/>
  </r>
  <r>
    <x v="7"/>
    <s v="SIERRA D     "/>
    <n v="4"/>
    <n v="155"/>
    <x v="1"/>
    <n v="12.9"/>
    <n v="31519"/>
  </r>
  <r>
    <x v="7"/>
    <s v="SCORPIO      "/>
    <n v="4"/>
    <n v="179"/>
    <x v="0"/>
    <n v="11.1"/>
    <n v="37078"/>
  </r>
  <r>
    <x v="7"/>
    <s v="SCORPIO D    "/>
    <n v="4"/>
    <n v="158"/>
    <x v="1"/>
    <n v="12.8"/>
    <n v="43928"/>
  </r>
  <r>
    <x v="8"/>
    <s v="POLONEZ 1 5  "/>
    <n v="4"/>
    <n v="155"/>
    <x v="0"/>
    <n v="9.6999999999999993"/>
    <n v="14195"/>
  </r>
  <r>
    <x v="9"/>
    <s v="CIVIC 1 2SP  "/>
    <n v="4"/>
    <n v="145"/>
    <x v="2"/>
    <n v="14.4"/>
    <n v="18490"/>
  </r>
  <r>
    <x v="9"/>
    <s v="INTEGRA 1 5  "/>
    <n v="4"/>
    <n v="168"/>
    <x v="2"/>
    <n v="13.4"/>
    <n v="27290"/>
  </r>
  <r>
    <x v="9"/>
    <s v="ACCORD 1 6   "/>
    <n v="4"/>
    <n v="176"/>
    <x v="2"/>
    <n v="13.7"/>
    <n v="29590"/>
  </r>
  <r>
    <x v="9"/>
    <s v="PRELUDE SP   "/>
    <n v="4"/>
    <n v="185"/>
    <x v="0"/>
    <n v="12.1"/>
    <n v="36790"/>
  </r>
  <r>
    <x v="10"/>
    <s v="PONY XP 1 3  "/>
    <n v="4"/>
    <n v="155"/>
    <x v="2"/>
    <n v="12.1"/>
    <n v="16495"/>
  </r>
  <r>
    <x v="10"/>
    <s v="STELLAR 1600L"/>
    <n v="4"/>
    <n v="160"/>
    <x v="2"/>
    <n v="10.6"/>
    <n v="19995"/>
  </r>
  <r>
    <x v="11"/>
    <s v="XJ6          "/>
    <n v="6"/>
    <n v="196"/>
    <x v="0"/>
    <n v="8.4"/>
    <n v="90440"/>
  </r>
  <r>
    <x v="12"/>
    <s v="1200S        "/>
    <n v="4"/>
    <n v="140"/>
    <x v="2"/>
    <n v="10.9"/>
    <n v="10395"/>
  </r>
  <r>
    <x v="12"/>
    <n v="2107"/>
    <n v="4"/>
    <n v="155"/>
    <x v="0"/>
    <n v="11"/>
    <n v="13995"/>
  </r>
  <r>
    <x v="12"/>
    <s v="SAMARA 1 3   "/>
    <n v="4"/>
    <n v="148"/>
    <x v="2"/>
    <n v="13.7"/>
    <n v="15925"/>
  </r>
  <r>
    <x v="13"/>
    <s v="YPSILON      "/>
    <n v="3"/>
    <n v="145"/>
    <x v="0"/>
    <n v="17.8"/>
    <n v="16990"/>
  </r>
  <r>
    <x v="13"/>
    <s v="PRISMA       "/>
    <n v="4"/>
    <n v="160"/>
    <x v="0"/>
    <n v="13"/>
    <n v="26850"/>
  </r>
  <r>
    <x v="13"/>
    <s v="PRISMA TURBOD"/>
    <n v="4"/>
    <n v="170"/>
    <x v="1"/>
    <n v="16.399999999999999"/>
    <n v="38870"/>
  </r>
  <r>
    <x v="13"/>
    <s v="THEMA        "/>
    <n v="4"/>
    <n v="195"/>
    <x v="0"/>
    <n v="10.7"/>
    <n v="47070"/>
  </r>
  <r>
    <x v="13"/>
    <s v="THEMA TURBOD "/>
    <n v="4"/>
    <n v="185"/>
    <x v="1"/>
    <n v="14"/>
    <n v="54960"/>
  </r>
  <r>
    <x v="14"/>
    <s v="323 1 1L     "/>
    <n v="4"/>
    <n v="140"/>
    <x v="2"/>
    <n v="14"/>
    <n v="17795"/>
  </r>
  <r>
    <x v="14"/>
    <s v="323 1 7D     "/>
    <n v="4"/>
    <n v="142"/>
    <x v="1"/>
    <n v="15.1"/>
    <n v="24440"/>
  </r>
  <r>
    <x v="14"/>
    <s v="626 1 6DX    "/>
    <n v="4"/>
    <n v="165"/>
    <x v="2"/>
    <n v="12.7"/>
    <n v="23395"/>
  </r>
  <r>
    <x v="14"/>
    <s v="929DX        "/>
    <n v="4"/>
    <n v="170"/>
    <x v="2"/>
    <n v="11.3"/>
    <n v="32485"/>
  </r>
  <r>
    <x v="15"/>
    <n v="190"/>
    <n v="4"/>
    <n v="175"/>
    <x v="0"/>
    <n v="11.4"/>
    <n v="50720"/>
  </r>
  <r>
    <x v="15"/>
    <s v="190D         "/>
    <n v="4"/>
    <n v="160"/>
    <x v="1"/>
    <n v="14.3"/>
    <n v="52490"/>
  </r>
  <r>
    <x v="15"/>
    <n v="200"/>
    <n v="4"/>
    <n v="187"/>
    <x v="0"/>
    <n v="11.5"/>
    <n v="57200"/>
  </r>
  <r>
    <x v="15"/>
    <s v="200D         "/>
    <n v="4"/>
    <n v="160"/>
    <x v="1"/>
    <n v="14.2"/>
    <n v="59010"/>
  </r>
  <r>
    <x v="15"/>
    <s v="250D         "/>
    <n v="5"/>
    <n v="175"/>
    <x v="1"/>
    <n v="14.7"/>
    <n v="65990"/>
  </r>
  <r>
    <x v="15"/>
    <s v="300D         "/>
    <n v="6"/>
    <n v="190"/>
    <x v="1"/>
    <n v="12.6"/>
    <n v="76110"/>
  </r>
  <r>
    <x v="15"/>
    <s v="300E         "/>
    <n v="6"/>
    <n v="230"/>
    <x v="0"/>
    <n v="11.3"/>
    <n v="85435"/>
  </r>
  <r>
    <x v="16"/>
    <s v="COLT 1200DL  "/>
    <n v="4"/>
    <n v="150"/>
    <x v="2"/>
    <n v="13.9"/>
    <n v="17345"/>
  </r>
  <r>
    <x v="16"/>
    <s v="COLT D       "/>
    <n v="4"/>
    <n v="145"/>
    <x v="1"/>
    <n v="15.3"/>
    <n v="22595"/>
  </r>
  <r>
    <x v="16"/>
    <s v="LANCER 1200DL"/>
    <n v="4"/>
    <n v="150"/>
    <x v="2"/>
    <n v="10.1"/>
    <n v="19545"/>
  </r>
  <r>
    <x v="16"/>
    <s v="LANCER D     "/>
    <n v="4"/>
    <n v="145"/>
    <x v="1"/>
    <n v="15"/>
    <n v="24795"/>
  </r>
  <r>
    <x v="16"/>
    <s v="GALANT 1600DL"/>
    <n v="4"/>
    <n v="160"/>
    <x v="2"/>
    <n v="12.4"/>
    <n v="23995"/>
  </r>
  <r>
    <x v="16"/>
    <s v="GALANT TD    "/>
    <n v="4"/>
    <n v="166"/>
    <x v="1"/>
    <n v="14"/>
    <n v="33095"/>
  </r>
  <r>
    <x v="17"/>
    <s v="SUNNY 1 3L   "/>
    <n v="4"/>
    <n v="155"/>
    <x v="2"/>
    <n v="13.1"/>
    <n v="18670"/>
  </r>
  <r>
    <x v="17"/>
    <s v="SUNNY 1 7D   "/>
    <n v="4"/>
    <n v="145"/>
    <x v="1"/>
    <n v="15.9"/>
    <n v="23915"/>
  </r>
  <r>
    <x v="17"/>
    <s v="BLUEBIRD 1 6 "/>
    <n v="4"/>
    <n v="160"/>
    <x v="2"/>
    <n v="12"/>
    <n v="25170"/>
  </r>
  <r>
    <x v="17"/>
    <s v="BLUEBIRD 2 0D"/>
    <n v="4"/>
    <n v="145"/>
    <x v="1"/>
    <n v="13.7"/>
    <n v="31855"/>
  </r>
  <r>
    <x v="17"/>
    <s v="LAUREL 2 4   "/>
    <n v="6"/>
    <n v="195"/>
    <x v="0"/>
    <n v="9.9"/>
    <n v="37605"/>
  </r>
  <r>
    <x v="17"/>
    <s v="LAUREL 2 8D  "/>
    <n v="6"/>
    <n v="165"/>
    <x v="1"/>
    <n v="12.1"/>
    <n v="39765"/>
  </r>
  <r>
    <x v="17"/>
    <s v="SILVIA 1 8   "/>
    <n v="4"/>
    <n v="205"/>
    <x v="0"/>
    <n v="10.6"/>
    <n v="47525"/>
  </r>
  <r>
    <x v="18"/>
    <s v="CORSA 1 0    "/>
    <n v="4"/>
    <n v="140"/>
    <x v="2"/>
    <n v="13.9"/>
    <n v="17237"/>
  </r>
  <r>
    <x v="18"/>
    <s v="KADETT 1 2S  "/>
    <n v="4"/>
    <n v="155"/>
    <x v="0"/>
    <n v="13.6"/>
    <n v="20632"/>
  </r>
  <r>
    <x v="18"/>
    <s v="KADETT 1 6D  "/>
    <n v="4"/>
    <n v="152"/>
    <x v="1"/>
    <n v="15.2"/>
    <n v="25573"/>
  </r>
  <r>
    <x v="18"/>
    <s v="ASCONA 1 3S  "/>
    <n v="4"/>
    <n v="160"/>
    <x v="0"/>
    <n v="12.3"/>
    <n v="24899"/>
  </r>
  <r>
    <x v="18"/>
    <s v="ASCONA 1 6D  "/>
    <n v="4"/>
    <n v="141"/>
    <x v="1"/>
    <n v="15.2"/>
    <n v="30710"/>
  </r>
  <r>
    <x v="18"/>
    <s v="OMEGA 1 8S   "/>
    <n v="4"/>
    <n v="183"/>
    <x v="0"/>
    <n v="12.8"/>
    <n v="33540"/>
  </r>
  <r>
    <x v="18"/>
    <s v="OMEGA 2 3D   "/>
    <n v="4"/>
    <n v="163"/>
    <x v="1"/>
    <n v="14.1"/>
    <n v="39670"/>
  </r>
  <r>
    <x v="18"/>
    <s v="SENATOR 2 0I "/>
    <n v="4"/>
    <n v="205"/>
    <x v="0"/>
    <n v="8.9"/>
    <n v="46208"/>
  </r>
  <r>
    <x v="19"/>
    <s v="205XE 1 0    "/>
    <n v="4"/>
    <n v="134"/>
    <x v="0"/>
    <n v="14.6"/>
    <n v="16360"/>
  </r>
  <r>
    <x v="19"/>
    <s v="205XLD       "/>
    <n v="4"/>
    <n v="155"/>
    <x v="1"/>
    <n v="18.2"/>
    <n v="23435"/>
  </r>
  <r>
    <x v="19"/>
    <s v="305 1 3      "/>
    <n v="4"/>
    <n v="152"/>
    <x v="0"/>
    <n v="13.1"/>
    <n v="23630"/>
  </r>
  <r>
    <x v="19"/>
    <s v="305GLD       "/>
    <n v="4"/>
    <n v="152"/>
    <x v="1"/>
    <n v="16.7"/>
    <n v="29980"/>
  </r>
  <r>
    <x v="19"/>
    <s v="309 1 1      "/>
    <n v="4"/>
    <n v="150"/>
    <x v="0"/>
    <n v="15"/>
    <n v="20455"/>
  </r>
  <r>
    <x v="19"/>
    <s v="309D         "/>
    <n v="4"/>
    <n v="160"/>
    <x v="1"/>
    <n v="16.899999999999999"/>
    <n v="26745"/>
  </r>
  <r>
    <x v="19"/>
    <s v="505GL        "/>
    <n v="4"/>
    <n v="165"/>
    <x v="0"/>
    <n v="10.199999999999999"/>
    <n v="30595"/>
  </r>
  <r>
    <x v="19"/>
    <s v="505GLD       "/>
    <n v="4"/>
    <n v="160"/>
    <x v="1"/>
    <n v="12.5"/>
    <n v="37980"/>
  </r>
  <r>
    <x v="20"/>
    <s v="924S         "/>
    <n v="4"/>
    <n v="215"/>
    <x v="2"/>
    <n v="8.9"/>
    <n v="77300"/>
  </r>
  <r>
    <x v="21"/>
    <s v="5L           "/>
    <n v="4"/>
    <n v="143"/>
    <x v="0"/>
    <n v="17.2"/>
    <n v="16575"/>
  </r>
  <r>
    <x v="21"/>
    <s v="9TC          "/>
    <n v="4"/>
    <n v="146"/>
    <x v="0"/>
    <n v="14.3"/>
    <n v="19720"/>
  </r>
  <r>
    <x v="21"/>
    <s v="9TD          "/>
    <n v="4"/>
    <n v="146"/>
    <x v="1"/>
    <n v="15.9"/>
    <n v="24450"/>
  </r>
  <r>
    <x v="21"/>
    <s v="11TC         "/>
    <n v="4"/>
    <n v="146"/>
    <x v="0"/>
    <n v="14.3"/>
    <n v="20360"/>
  </r>
  <r>
    <x v="21"/>
    <s v="11TD         "/>
    <n v="4"/>
    <n v="148"/>
    <x v="1"/>
    <n v="16.899999999999999"/>
    <n v="25175"/>
  </r>
  <r>
    <x v="21"/>
    <s v="21TL         "/>
    <n v="4"/>
    <n v="173"/>
    <x v="0"/>
    <n v="14.9"/>
    <n v="27495"/>
  </r>
  <r>
    <x v="21"/>
    <s v="21TD         "/>
    <n v="4"/>
    <n v="164"/>
    <x v="1"/>
    <n v="16"/>
    <n v="33595"/>
  </r>
  <r>
    <x v="21"/>
    <s v="25TS         "/>
    <n v="4"/>
    <n v="182"/>
    <x v="0"/>
    <n v="12.7"/>
    <n v="37465"/>
  </r>
  <r>
    <x v="21"/>
    <s v="25TD         "/>
    <n v="4"/>
    <n v="155"/>
    <x v="1"/>
    <n v="14"/>
    <n v="40745"/>
  </r>
  <r>
    <x v="22"/>
    <s v="213S         "/>
    <n v="4"/>
    <n v="155"/>
    <x v="2"/>
    <n v="13.3"/>
    <n v="24995"/>
  </r>
  <r>
    <x v="22"/>
    <s v="820I         "/>
    <n v="4"/>
    <n v="203"/>
    <x v="0"/>
    <n v="11.4"/>
    <n v="44900"/>
  </r>
  <r>
    <x v="23"/>
    <n v="90"/>
    <n v="4"/>
    <n v="165"/>
    <x v="2"/>
    <n v="10.6"/>
    <n v="37050"/>
  </r>
  <r>
    <x v="23"/>
    <n v="900"/>
    <n v="4"/>
    <n v="165"/>
    <x v="2"/>
    <n v="10.199999999999999"/>
    <n v="39050"/>
  </r>
  <r>
    <x v="23"/>
    <s v="9000I        "/>
    <n v="4"/>
    <n v="190"/>
    <x v="2"/>
    <n v="9.6999999999999993"/>
    <n v="60950"/>
  </r>
  <r>
    <x v="24"/>
    <s v="MARBELLA     "/>
    <n v="4"/>
    <n v="133"/>
    <x v="2"/>
    <n v="15.8"/>
    <n v="11995"/>
  </r>
  <r>
    <x v="24"/>
    <s v="RONDA 1 2LE  "/>
    <n v="4"/>
    <n v="148"/>
    <x v="2"/>
    <n v="12.9"/>
    <n v="16195"/>
  </r>
  <r>
    <x v="24"/>
    <s v="RONDA 1 7D   "/>
    <n v="4"/>
    <n v="140"/>
    <x v="1"/>
    <n v="15.2"/>
    <n v="22995"/>
  </r>
  <r>
    <x v="24"/>
    <s v="IBIZA 900J   "/>
    <n v="4"/>
    <n v="129"/>
    <x v="2"/>
    <n v="12.8"/>
    <n v="14995"/>
  </r>
  <r>
    <x v="24"/>
    <s v="IBIZA 1 7D   "/>
    <n v="4"/>
    <n v="150"/>
    <x v="1"/>
    <n v="14"/>
    <n v="20895"/>
  </r>
  <r>
    <x v="24"/>
    <s v="MALAGA 1 2L  "/>
    <n v="4"/>
    <n v="150"/>
    <x v="2"/>
    <n v="13.1"/>
    <n v="18595"/>
  </r>
  <r>
    <x v="24"/>
    <s v="MALAGA 1 7D  "/>
    <n v="4"/>
    <n v="145"/>
    <x v="1"/>
    <n v="14"/>
    <n v="24495"/>
  </r>
  <r>
    <x v="25"/>
    <n v="105"/>
    <n v="4"/>
    <n v="130"/>
    <x v="2"/>
    <n v="12.1"/>
    <n v="10295"/>
  </r>
  <r>
    <x v="26"/>
    <s v="JUMBO        "/>
    <n v="2"/>
    <n v="125"/>
    <x v="2"/>
    <n v="17.100000000000001"/>
    <n v="11495"/>
  </r>
  <r>
    <x v="26"/>
    <s v="JUSTY DL     "/>
    <n v="3"/>
    <n v="150"/>
    <x v="2"/>
    <n v="13.7"/>
    <n v="14495"/>
  </r>
  <r>
    <x v="26"/>
    <s v="1 6DL        "/>
    <n v="4"/>
    <n v="160"/>
    <x v="2"/>
    <n v="13.1"/>
    <n v="22495"/>
  </r>
  <r>
    <x v="26"/>
    <s v="XT TURBO 4*4 "/>
    <n v="4"/>
    <n v="200"/>
    <x v="0"/>
    <n v="9.4"/>
    <n v="53995"/>
  </r>
  <r>
    <x v="27"/>
    <s v="ALTO         "/>
    <n v="3"/>
    <n v="125"/>
    <x v="2"/>
    <n v="15.2"/>
    <n v="11695"/>
  </r>
  <r>
    <x v="27"/>
    <s v="SWIFT        "/>
    <n v="3"/>
    <n v="145"/>
    <x v="2"/>
    <n v="14.9"/>
    <n v="14995"/>
  </r>
  <r>
    <x v="28"/>
    <s v="STARLET 1 0  "/>
    <n v="4"/>
    <n v="141"/>
    <x v="0"/>
    <n v="12.1"/>
    <n v="14995"/>
  </r>
  <r>
    <x v="28"/>
    <s v="COROLLA 1 3  "/>
    <n v="4"/>
    <n v="160"/>
    <x v="2"/>
    <n v="13"/>
    <n v="18595"/>
  </r>
  <r>
    <x v="28"/>
    <s v="COROLLA DXD  "/>
    <n v="4"/>
    <n v="155"/>
    <x v="1"/>
    <n v="15.1"/>
    <n v="23545"/>
  </r>
  <r>
    <x v="28"/>
    <s v="CARINA 1 6   "/>
    <n v="4"/>
    <n v="175"/>
    <x v="0"/>
    <n v="12.1"/>
    <n v="24995"/>
  </r>
  <r>
    <x v="28"/>
    <s v="CELICA 1 6ST "/>
    <n v="4"/>
    <n v="170"/>
    <x v="0"/>
    <n v="11"/>
    <n v="33395"/>
  </r>
  <r>
    <x v="28"/>
    <s v="CAMRY 1 8XL  "/>
    <n v="4"/>
    <n v="170"/>
    <x v="0"/>
    <n v="12.4"/>
    <n v="31595"/>
  </r>
  <r>
    <x v="28"/>
    <s v="CAMRY 2 0TD  "/>
    <n v="4"/>
    <n v="170"/>
    <x v="1"/>
    <n v="15"/>
    <n v="38495"/>
  </r>
  <r>
    <x v="28"/>
    <s v="MR2 1 6      "/>
    <n v="4"/>
    <n v="200"/>
    <x v="2"/>
    <n v="12.9"/>
    <n v="47345"/>
  </r>
  <r>
    <x v="28"/>
    <s v="CRESSIDA 2GL "/>
    <n v="6"/>
    <n v="190"/>
    <x v="0"/>
    <n v="10.3"/>
    <n v="48545"/>
  </r>
  <r>
    <x v="29"/>
    <s v="POLO"/>
    <n v="4"/>
    <n v="142"/>
    <x v="2"/>
    <n v="11.7"/>
    <n v="16390"/>
  </r>
  <r>
    <x v="29"/>
    <s v="POLO D"/>
    <n v="4"/>
    <n v="140"/>
    <x v="1"/>
    <n v="15.9"/>
    <n v="22590"/>
  </r>
  <r>
    <x v="29"/>
    <s v="GOLF 40KW"/>
    <n v="4"/>
    <n v="151"/>
    <x v="2"/>
    <n v="13.2"/>
    <n v="21995"/>
  </r>
  <r>
    <x v="29"/>
    <s v="GOLF D       "/>
    <n v="4"/>
    <n v="148"/>
    <x v="1"/>
    <n v="16.100000000000001"/>
    <n v="27230"/>
  </r>
  <r>
    <x v="29"/>
    <s v="JETTA 40KW   "/>
    <n v="4"/>
    <n v="148"/>
    <x v="2"/>
    <n v="13.6"/>
    <n v="22800"/>
  </r>
  <r>
    <x v="29"/>
    <s v="JETTA D      "/>
    <n v="4"/>
    <n v="146"/>
    <x v="1"/>
    <n v="16.3"/>
    <n v="28035"/>
  </r>
  <r>
    <x v="29"/>
    <s v="SCIROCCO GT  "/>
    <n v="4"/>
    <n v="181"/>
    <x v="2"/>
    <n v="13.6"/>
    <n v="38665"/>
  </r>
  <r>
    <x v="29"/>
    <s v="PASSAT 53KW  "/>
    <n v="4"/>
    <n v="162"/>
    <x v="2"/>
    <n v="11.7"/>
    <n v="28195"/>
  </r>
  <r>
    <x v="29"/>
    <s v="PASSAT D     "/>
    <n v="4"/>
    <n v="143"/>
    <x v="1"/>
    <n v="15.3"/>
    <n v="32970"/>
  </r>
  <r>
    <x v="30"/>
    <s v="340 WINNER   "/>
    <n v="4"/>
    <n v="155"/>
    <x v="0"/>
    <n v="12.5"/>
    <n v="20485"/>
  </r>
  <r>
    <x v="30"/>
    <s v="340GLD       "/>
    <n v="4"/>
    <n v="140"/>
    <x v="1"/>
    <n v="14.7"/>
    <n v="26245"/>
  </r>
  <r>
    <x v="30"/>
    <s v="360 SEDAN    "/>
    <n v="4"/>
    <n v="180"/>
    <x v="2"/>
    <n v="11"/>
    <n v="27545"/>
  </r>
  <r>
    <x v="30"/>
    <n v="240"/>
    <n v="4"/>
    <n v="165"/>
    <x v="0"/>
    <n v="10.199999999999999"/>
    <n v="37695"/>
  </r>
  <r>
    <x v="30"/>
    <s v="240DL"/>
    <n v="6"/>
    <n v="145"/>
    <x v="1"/>
    <n v="10.4"/>
    <n v="48895"/>
  </r>
  <r>
    <x v="30"/>
    <s v="480ES"/>
    <n v="4"/>
    <n v="190"/>
    <x v="0"/>
    <n v="12.3"/>
    <n v="45655"/>
  </r>
  <r>
    <x v="30"/>
    <s v="740GL"/>
    <n v="4"/>
    <n v="175"/>
    <x v="0"/>
    <n v="9"/>
    <n v="47995"/>
  </r>
  <r>
    <x v="30"/>
    <s v="740GLD"/>
    <n v="6"/>
    <n v="155"/>
    <x v="1"/>
    <n v="11.8"/>
    <n v="55395"/>
  </r>
</pivotCacheRecords>
</file>

<file path=xl/pivotCache/pivotCacheRecords1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9">
  <r>
    <s v="Aachen"/>
    <x v="0"/>
    <x v="0"/>
    <n v="1.48"/>
  </r>
  <r>
    <s v="Aachen"/>
    <x v="0"/>
    <x v="1"/>
    <n v="9.06"/>
  </r>
  <r>
    <s v="Aachen"/>
    <x v="0"/>
    <x v="2"/>
    <n v="0.69"/>
  </r>
  <r>
    <s v="Aachen"/>
    <x v="0"/>
    <x v="3"/>
    <n v="2.21"/>
  </r>
  <r>
    <s v="Amsterdam"/>
    <x v="1"/>
    <x v="0"/>
    <n v="1.41"/>
  </r>
  <r>
    <s v="Amsterdam"/>
    <x v="1"/>
    <x v="1"/>
    <n v="11.57"/>
  </r>
  <r>
    <s v="Amsterdam"/>
    <x v="1"/>
    <x v="2"/>
    <n v="1.08"/>
  </r>
  <r>
    <s v="Amsterdam"/>
    <x v="1"/>
    <x v="3"/>
    <n v="1.86"/>
  </r>
  <r>
    <s v="Antwerp"/>
    <x v="2"/>
    <x v="0"/>
    <n v="1.64"/>
  </r>
  <r>
    <s v="Antwerp"/>
    <x v="2"/>
    <x v="1"/>
    <n v="11.58"/>
  </r>
  <r>
    <s v="Antwerp"/>
    <x v="2"/>
    <x v="2"/>
    <n v="0.96"/>
  </r>
  <r>
    <s v="Antwerp"/>
    <x v="2"/>
    <x v="3"/>
    <n v="1.56"/>
  </r>
  <r>
    <s v="Arhus"/>
    <x v="3"/>
    <x v="0"/>
    <n v="2.06"/>
  </r>
  <r>
    <s v="Arhus"/>
    <x v="3"/>
    <x v="1"/>
    <n v="9.9700000000000006"/>
  </r>
  <r>
    <s v="Arhus"/>
    <x v="3"/>
    <x v="2"/>
    <n v="1.1399999999999999"/>
  </r>
  <r>
    <s v="Arhus"/>
    <x v="3"/>
    <x v="3"/>
    <n v="1.61"/>
  </r>
  <r>
    <s v="Athens"/>
    <x v="4"/>
    <x v="0"/>
    <n v="0.78"/>
  </r>
  <r>
    <s v="Athens"/>
    <x v="4"/>
    <x v="1"/>
    <n v="8.27"/>
  </r>
  <r>
    <s v="Athens"/>
    <x v="4"/>
    <x v="2"/>
    <n v="1.23"/>
  </r>
  <r>
    <s v="Athens"/>
    <x v="4"/>
    <x v="3"/>
    <n v="1.69"/>
  </r>
  <r>
    <s v="Barcelona"/>
    <x v="5"/>
    <x v="0"/>
    <n v="0.97"/>
  </r>
  <r>
    <s v="Barcelona"/>
    <x v="5"/>
    <x v="1"/>
    <n v="10.96"/>
  </r>
  <r>
    <s v="Barcelona"/>
    <x v="5"/>
    <x v="2"/>
    <n v="0.84"/>
  </r>
  <r>
    <s v="Barcelona"/>
    <x v="5"/>
    <x v="3"/>
    <n v="0.99"/>
  </r>
  <r>
    <s v="Basel"/>
    <x v="6"/>
    <x v="0"/>
    <n v="2.52"/>
  </r>
  <r>
    <s v="Basel"/>
    <x v="6"/>
    <x v="2"/>
    <n v="1.47"/>
  </r>
  <r>
    <s v="Basel"/>
    <x v="6"/>
    <x v="3"/>
    <n v="3.56"/>
  </r>
  <r>
    <s v="Belfast"/>
    <x v="7"/>
    <x v="0"/>
    <n v="1.1200000000000001"/>
  </r>
  <r>
    <s v="Belfast"/>
    <x v="7"/>
    <x v="1"/>
    <n v="6.61"/>
  </r>
  <r>
    <s v="Belfast"/>
    <x v="7"/>
    <x v="2"/>
    <n v="1.01"/>
  </r>
  <r>
    <s v="Belfast"/>
    <x v="7"/>
    <x v="3"/>
    <n v="1.1200000000000001"/>
  </r>
  <r>
    <s v="Belgrade"/>
    <x v="8"/>
    <x v="0"/>
    <n v="0.42"/>
  </r>
  <r>
    <s v="Belgrade"/>
    <x v="8"/>
    <x v="1"/>
    <n v="5.0999999999999996"/>
  </r>
  <r>
    <s v="Belgrade"/>
    <x v="8"/>
    <x v="2"/>
    <n v="0.79"/>
  </r>
  <r>
    <s v="Belgrade"/>
    <x v="8"/>
    <x v="3"/>
    <n v="1.07"/>
  </r>
  <r>
    <s v="Berlin"/>
    <x v="0"/>
    <x v="0"/>
    <n v="1.25"/>
  </r>
  <r>
    <s v="Berlin"/>
    <x v="0"/>
    <x v="1"/>
    <n v="8.66"/>
  </r>
  <r>
    <s v="Berlin"/>
    <x v="0"/>
    <x v="2"/>
    <n v="0.79"/>
  </r>
  <r>
    <s v="Berlin"/>
    <x v="0"/>
    <x v="3"/>
    <n v="1.69"/>
  </r>
  <r>
    <s v="Bern"/>
    <x v="6"/>
    <x v="0"/>
    <n v="1.79"/>
  </r>
  <r>
    <s v="Bern"/>
    <x v="6"/>
    <x v="1"/>
    <n v="21.45"/>
  </r>
  <r>
    <s v="Bern"/>
    <x v="6"/>
    <x v="2"/>
    <n v="1.29"/>
  </r>
  <r>
    <s v="Birmingham"/>
    <x v="7"/>
    <x v="0"/>
    <n v="1.04"/>
  </r>
  <r>
    <s v="Birmingham"/>
    <x v="7"/>
    <x v="1"/>
    <n v="6.05"/>
  </r>
  <r>
    <s v="Birmingham"/>
    <x v="7"/>
    <x v="2"/>
    <n v="1.1000000000000001"/>
  </r>
  <r>
    <s v="Birmingham"/>
    <x v="7"/>
    <x v="3"/>
    <n v="1.19"/>
  </r>
  <r>
    <s v="Bologna"/>
    <x v="9"/>
    <x v="0"/>
    <n v="1.96"/>
  </r>
  <r>
    <s v="Bologna"/>
    <x v="9"/>
    <x v="1"/>
    <n v="16.12"/>
  </r>
  <r>
    <s v="Bologna"/>
    <x v="9"/>
    <x v="2"/>
    <n v="1.19"/>
  </r>
  <r>
    <s v="Bologna"/>
    <x v="9"/>
    <x v="3"/>
    <n v="1.85"/>
  </r>
  <r>
    <s v="Bonn"/>
    <x v="0"/>
    <x v="0"/>
    <n v="1.29"/>
  </r>
  <r>
    <s v="Bonn"/>
    <x v="0"/>
    <x v="1"/>
    <n v="9.23"/>
  </r>
  <r>
    <s v="Bonn"/>
    <x v="0"/>
    <x v="2"/>
    <n v="0.68"/>
  </r>
  <r>
    <s v="Bonn"/>
    <x v="0"/>
    <x v="3"/>
    <n v="2.35"/>
  </r>
  <r>
    <s v="Brasov"/>
    <x v="10"/>
    <x v="0"/>
    <n v="0.57999999999999996"/>
  </r>
  <r>
    <s v="Brasov"/>
    <x v="10"/>
    <x v="1"/>
    <n v="5.78"/>
  </r>
  <r>
    <s v="Brasov"/>
    <x v="10"/>
    <x v="2"/>
    <n v="0.92"/>
  </r>
  <r>
    <s v="Brasov"/>
    <x v="10"/>
    <x v="3"/>
    <n v="1.07"/>
  </r>
  <r>
    <s v="Bratislava"/>
    <x v="11"/>
    <x v="0"/>
    <n v="0.93"/>
  </r>
  <r>
    <s v="Bratislava"/>
    <x v="11"/>
    <x v="1"/>
    <n v="7.33"/>
  </r>
  <r>
    <s v="Bratislava"/>
    <x v="11"/>
    <x v="2"/>
    <n v="0.75"/>
  </r>
  <r>
    <s v="Bratislava"/>
    <x v="11"/>
    <x v="3"/>
    <n v="1.1299999999999999"/>
  </r>
  <r>
    <s v="Bremen"/>
    <x v="0"/>
    <x v="0"/>
    <n v="1.49"/>
  </r>
  <r>
    <s v="Bremen"/>
    <x v="0"/>
    <x v="1"/>
    <n v="9.15"/>
  </r>
  <r>
    <s v="Bremen"/>
    <x v="0"/>
    <x v="2"/>
    <n v="0.67"/>
  </r>
  <r>
    <s v="Bremen"/>
    <x v="0"/>
    <x v="3"/>
    <n v="2.29"/>
  </r>
  <r>
    <s v="Bristol"/>
    <x v="7"/>
    <x v="0"/>
    <n v="1.25"/>
  </r>
  <r>
    <s v="Bristol"/>
    <x v="7"/>
    <x v="1"/>
    <n v="5.92"/>
  </r>
  <r>
    <s v="Bristol"/>
    <x v="7"/>
    <x v="2"/>
    <n v="1.07"/>
  </r>
  <r>
    <s v="Bristol"/>
    <x v="7"/>
    <x v="3"/>
    <n v="1.19"/>
  </r>
  <r>
    <s v="Brno"/>
    <x v="12"/>
    <x v="0"/>
    <n v="0.85"/>
  </r>
  <r>
    <s v="Brno"/>
    <x v="12"/>
    <x v="1"/>
    <n v="7.12"/>
  </r>
  <r>
    <s v="Brno"/>
    <x v="12"/>
    <x v="2"/>
    <n v="0.69"/>
  </r>
  <r>
    <s v="Brno"/>
    <x v="12"/>
    <x v="3"/>
    <n v="1.32"/>
  </r>
  <r>
    <s v="Brussels"/>
    <x v="2"/>
    <x v="0"/>
    <n v="1.64"/>
  </r>
  <r>
    <s v="Brussels"/>
    <x v="2"/>
    <x v="1"/>
    <n v="13.57"/>
  </r>
  <r>
    <s v="Brussels"/>
    <x v="2"/>
    <x v="2"/>
    <n v="1.04"/>
  </r>
  <r>
    <s v="Brussels"/>
    <x v="2"/>
    <x v="3"/>
    <n v="2.31"/>
  </r>
  <r>
    <s v="Bucharest"/>
    <x v="10"/>
    <x v="0"/>
    <n v="0.57999999999999996"/>
  </r>
  <r>
    <s v="Bucharest"/>
    <x v="10"/>
    <x v="1"/>
    <n v="5.26"/>
  </r>
  <r>
    <s v="Bucharest"/>
    <x v="10"/>
    <x v="2"/>
    <n v="1.01"/>
  </r>
  <r>
    <s v="Bucharest"/>
    <x v="10"/>
    <x v="3"/>
    <n v="1.1000000000000001"/>
  </r>
  <r>
    <s v="Budapest"/>
    <x v="13"/>
    <x v="0"/>
    <n v="0.71"/>
  </r>
  <r>
    <s v="Budapest"/>
    <x v="13"/>
    <x v="1"/>
    <n v="5.56"/>
  </r>
  <r>
    <s v="Budapest"/>
    <x v="13"/>
    <x v="2"/>
    <n v="0.71"/>
  </r>
  <r>
    <s v="Budapest"/>
    <x v="13"/>
    <x v="3"/>
    <n v="1.04"/>
  </r>
  <r>
    <s v="Cambridge"/>
    <x v="7"/>
    <x v="0"/>
    <n v="1.44"/>
  </r>
  <r>
    <s v="Cambridge"/>
    <x v="7"/>
    <x v="1"/>
    <n v="8.01"/>
  </r>
  <r>
    <s v="Cambridge"/>
    <x v="7"/>
    <x v="2"/>
    <n v="1.1200000000000001"/>
  </r>
  <r>
    <s v="Cambridge"/>
    <x v="7"/>
    <x v="3"/>
    <n v="1.1599999999999999"/>
  </r>
  <r>
    <s v="Cluj-Napoca"/>
    <x v="10"/>
    <x v="0"/>
    <n v="0.64"/>
  </r>
  <r>
    <s v="Cluj-Napoca"/>
    <x v="10"/>
    <x v="1"/>
    <n v="5.53"/>
  </r>
  <r>
    <s v="Cluj-Napoca"/>
    <x v="10"/>
    <x v="2"/>
    <n v="0.98"/>
  </r>
  <r>
    <s v="Cluj-Napoca"/>
    <x v="10"/>
    <x v="3"/>
    <n v="0.9"/>
  </r>
  <r>
    <s v="Cologne"/>
    <x v="0"/>
    <x v="0"/>
    <n v="1.44"/>
  </r>
  <r>
    <s v="Cologne"/>
    <x v="0"/>
    <x v="1"/>
    <n v="8.35"/>
  </r>
  <r>
    <s v="Cologne"/>
    <x v="0"/>
    <x v="2"/>
    <n v="0.7"/>
  </r>
  <r>
    <s v="Cologne"/>
    <x v="0"/>
    <x v="3"/>
    <n v="2.2799999999999998"/>
  </r>
  <r>
    <s v="Constanta"/>
    <x v="10"/>
    <x v="1"/>
    <n v="5.0599999999999996"/>
  </r>
  <r>
    <s v="Constanta"/>
    <x v="10"/>
    <x v="2"/>
    <n v="1.06"/>
  </r>
  <r>
    <s v="Constanta"/>
    <x v="10"/>
    <x v="3"/>
    <n v="1.06"/>
  </r>
  <r>
    <s v="Copenhagen"/>
    <x v="3"/>
    <x v="0"/>
    <n v="2.7"/>
  </r>
  <r>
    <s v="Copenhagen"/>
    <x v="3"/>
    <x v="1"/>
    <n v="10.64"/>
  </r>
  <r>
    <s v="Copenhagen"/>
    <x v="3"/>
    <x v="2"/>
    <n v="1.19"/>
  </r>
  <r>
    <s v="Copenhagen"/>
    <x v="3"/>
    <x v="3"/>
    <n v="1.84"/>
  </r>
  <r>
    <s v="Cork"/>
    <x v="14"/>
    <x v="0"/>
    <n v="1.87"/>
  </r>
  <r>
    <s v="Cork"/>
    <x v="14"/>
    <x v="1"/>
    <n v="10.210000000000001"/>
  </r>
  <r>
    <s v="Cork"/>
    <x v="14"/>
    <x v="2"/>
    <n v="0.94"/>
  </r>
  <r>
    <s v="Cork"/>
    <x v="14"/>
    <x v="3"/>
    <n v="2.0099999999999998"/>
  </r>
  <r>
    <s v="Craiova"/>
    <x v="10"/>
    <x v="0"/>
    <n v="0.37"/>
  </r>
  <r>
    <s v="Craiova"/>
    <x v="10"/>
    <x v="1"/>
    <n v="4.57"/>
  </r>
  <r>
    <s v="Craiova"/>
    <x v="10"/>
    <x v="2"/>
    <n v="0.87"/>
  </r>
  <r>
    <s v="Debrecen"/>
    <x v="13"/>
    <x v="0"/>
    <n v="0.56000000000000005"/>
  </r>
  <r>
    <s v="Debrecen"/>
    <x v="13"/>
    <x v="1"/>
    <n v="5"/>
  </r>
  <r>
    <s v="Debrecen"/>
    <x v="13"/>
    <x v="2"/>
    <n v="0.65"/>
  </r>
  <r>
    <s v="Debrecen"/>
    <x v="13"/>
    <x v="3"/>
    <n v="1"/>
  </r>
  <r>
    <s v="Delft"/>
    <x v="1"/>
    <x v="0"/>
    <n v="1.1299999999999999"/>
  </r>
  <r>
    <s v="Delft"/>
    <x v="1"/>
    <x v="1"/>
    <n v="10.19"/>
  </r>
  <r>
    <s v="Delft"/>
    <x v="1"/>
    <x v="2"/>
    <n v="0.79"/>
  </r>
  <r>
    <s v="Delft"/>
    <x v="1"/>
    <x v="3"/>
    <n v="1.78"/>
  </r>
  <r>
    <s v="Dresden"/>
    <x v="0"/>
    <x v="1"/>
    <n v="8.86"/>
  </r>
  <r>
    <s v="Dresden"/>
    <x v="0"/>
    <x v="2"/>
    <n v="0.72"/>
  </r>
  <r>
    <s v="Dresden"/>
    <x v="0"/>
    <x v="3"/>
    <n v="2.14"/>
  </r>
  <r>
    <s v="Dublin"/>
    <x v="14"/>
    <x v="0"/>
    <n v="1.43"/>
  </r>
  <r>
    <s v="Dublin"/>
    <x v="14"/>
    <x v="1"/>
    <n v="7.55"/>
  </r>
  <r>
    <s v="Dublin"/>
    <x v="14"/>
    <x v="2"/>
    <n v="0.95"/>
  </r>
  <r>
    <s v="Dublin"/>
    <x v="14"/>
    <x v="3"/>
    <n v="1.43"/>
  </r>
  <r>
    <s v="Dundee"/>
    <x v="7"/>
    <x v="0"/>
    <n v="1.3"/>
  </r>
  <r>
    <s v="Dundee"/>
    <x v="7"/>
    <x v="1"/>
    <n v="4.96"/>
  </r>
  <r>
    <s v="Dundee"/>
    <x v="7"/>
    <x v="2"/>
    <n v="1.07"/>
  </r>
  <r>
    <s v="Dundee"/>
    <x v="7"/>
    <x v="3"/>
    <n v="1.59"/>
  </r>
  <r>
    <s v="Dusseldorf"/>
    <x v="0"/>
    <x v="0"/>
    <n v="1.47"/>
  </r>
  <r>
    <s v="Dusseldorf"/>
    <x v="0"/>
    <x v="1"/>
    <n v="8.1999999999999993"/>
  </r>
  <r>
    <s v="Dusseldorf"/>
    <x v="0"/>
    <x v="2"/>
    <n v="0.69"/>
  </r>
  <r>
    <s v="Dusseldorf"/>
    <x v="0"/>
    <x v="3"/>
    <n v="2.34"/>
  </r>
  <r>
    <s v="Edinburgh"/>
    <x v="7"/>
    <x v="0"/>
    <n v="1.04"/>
  </r>
  <r>
    <s v="Edinburgh"/>
    <x v="7"/>
    <x v="1"/>
    <n v="6.7"/>
  </r>
  <r>
    <s v="Edinburgh"/>
    <x v="7"/>
    <x v="2"/>
    <n v="1.04"/>
  </r>
  <r>
    <s v="Edinburgh"/>
    <x v="7"/>
    <x v="3"/>
    <n v="1.1299999999999999"/>
  </r>
  <r>
    <s v="Eindhoven"/>
    <x v="1"/>
    <x v="0"/>
    <n v="1.06"/>
  </r>
  <r>
    <s v="Eindhoven"/>
    <x v="1"/>
    <x v="1"/>
    <n v="9.86"/>
  </r>
  <r>
    <s v="Eindhoven"/>
    <x v="1"/>
    <x v="2"/>
    <n v="0.93"/>
  </r>
  <r>
    <s v="Eindhoven"/>
    <x v="1"/>
    <x v="3"/>
    <n v="1.79"/>
  </r>
  <r>
    <s v="Florence"/>
    <x v="9"/>
    <x v="0"/>
    <n v="1.56"/>
  </r>
  <r>
    <s v="Florence"/>
    <x v="9"/>
    <x v="2"/>
    <n v="1.28"/>
  </r>
  <r>
    <s v="Florence"/>
    <x v="9"/>
    <x v="3"/>
    <n v="1.98"/>
  </r>
  <r>
    <s v="Frankfurt"/>
    <x v="0"/>
    <x v="0"/>
    <n v="1.26"/>
  </r>
  <r>
    <s v="Frankfurt"/>
    <x v="0"/>
    <x v="1"/>
    <n v="8.0399999999999991"/>
  </r>
  <r>
    <s v="Frankfurt"/>
    <x v="0"/>
    <x v="2"/>
    <n v="0.71"/>
  </r>
  <r>
    <s v="Frankfurt"/>
    <x v="0"/>
    <x v="3"/>
    <n v="1.91"/>
  </r>
  <r>
    <s v="Galway"/>
    <x v="14"/>
    <x v="0"/>
    <n v="1.65"/>
  </r>
  <r>
    <s v="Galway"/>
    <x v="14"/>
    <x v="1"/>
    <n v="8.08"/>
  </r>
  <r>
    <s v="Galway"/>
    <x v="14"/>
    <x v="2"/>
    <n v="1.02"/>
  </r>
  <r>
    <s v="Gdansk"/>
    <x v="15"/>
    <x v="0"/>
    <n v="0.65"/>
  </r>
  <r>
    <s v="Gdansk"/>
    <x v="15"/>
    <x v="1"/>
    <n v="5.65"/>
  </r>
  <r>
    <s v="Gdansk"/>
    <x v="15"/>
    <x v="2"/>
    <n v="0.56999999999999995"/>
  </r>
  <r>
    <s v="Gdansk"/>
    <x v="15"/>
    <x v="3"/>
    <n v="0.85"/>
  </r>
  <r>
    <s v="Genoa"/>
    <x v="9"/>
    <x v="0"/>
    <n v="1.87"/>
  </r>
  <r>
    <s v="Genoa"/>
    <x v="9"/>
    <x v="2"/>
    <n v="1.45"/>
  </r>
  <r>
    <s v="Gent"/>
    <x v="2"/>
    <x v="0"/>
    <n v="1.57"/>
  </r>
  <r>
    <s v="Gent"/>
    <x v="2"/>
    <x v="1"/>
    <n v="13.86"/>
  </r>
  <r>
    <s v="Gent"/>
    <x v="2"/>
    <x v="2"/>
    <n v="0.93"/>
  </r>
  <r>
    <s v="Gent"/>
    <x v="2"/>
    <x v="3"/>
    <n v="1.34"/>
  </r>
  <r>
    <s v="Glasgow"/>
    <x v="7"/>
    <x v="0"/>
    <n v="0.97"/>
  </r>
  <r>
    <s v="Glasgow"/>
    <x v="7"/>
    <x v="1"/>
    <n v="5.72"/>
  </r>
  <r>
    <s v="Glasgow"/>
    <x v="7"/>
    <x v="2"/>
    <n v="1"/>
  </r>
  <r>
    <s v="Glasgow"/>
    <x v="7"/>
    <x v="3"/>
    <n v="1.38"/>
  </r>
  <r>
    <s v="Gothenburg"/>
    <x v="16"/>
    <x v="0"/>
    <n v="2.23"/>
  </r>
  <r>
    <s v="Gothenburg"/>
    <x v="16"/>
    <x v="1"/>
    <n v="8.89"/>
  </r>
  <r>
    <s v="Gothenburg"/>
    <x v="16"/>
    <x v="2"/>
    <n v="1.0900000000000001"/>
  </r>
  <r>
    <s v="Gothenburg"/>
    <x v="16"/>
    <x v="3"/>
    <n v="2.17"/>
  </r>
  <r>
    <s v="Graz"/>
    <x v="17"/>
    <x v="0"/>
    <n v="1.74"/>
  </r>
  <r>
    <s v="Graz"/>
    <x v="17"/>
    <x v="2"/>
    <n v="1.1000000000000001"/>
  </r>
  <r>
    <s v="Graz"/>
    <x v="17"/>
    <x v="3"/>
    <n v="1.7"/>
  </r>
  <r>
    <s v="Groningen"/>
    <x v="1"/>
    <x v="0"/>
    <n v="1.1000000000000001"/>
  </r>
  <r>
    <s v="Groningen"/>
    <x v="1"/>
    <x v="1"/>
    <n v="10.64"/>
  </r>
  <r>
    <s v="Groningen"/>
    <x v="1"/>
    <x v="2"/>
    <n v="0.86"/>
  </r>
  <r>
    <s v="Groningen"/>
    <x v="1"/>
    <x v="3"/>
    <n v="1.84"/>
  </r>
  <r>
    <s v="Hamburg"/>
    <x v="0"/>
    <x v="0"/>
    <n v="1.63"/>
  </r>
  <r>
    <s v="Hamburg"/>
    <x v="0"/>
    <x v="1"/>
    <n v="9.8800000000000008"/>
  </r>
  <r>
    <s v="Hamburg"/>
    <x v="0"/>
    <x v="2"/>
    <n v="0.83"/>
  </r>
  <r>
    <s v="Hamburg"/>
    <x v="0"/>
    <x v="3"/>
    <n v="2.23"/>
  </r>
  <r>
    <s v="Hannover"/>
    <x v="0"/>
    <x v="0"/>
    <n v="1.31"/>
  </r>
  <r>
    <s v="Hannover"/>
    <x v="0"/>
    <x v="1"/>
    <n v="9.11"/>
  </r>
  <r>
    <s v="Hannover"/>
    <x v="0"/>
    <x v="2"/>
    <n v="0.66"/>
  </r>
  <r>
    <s v="Hannover"/>
    <x v="0"/>
    <x v="3"/>
    <n v="2.1"/>
  </r>
  <r>
    <s v="Heidelberg"/>
    <x v="0"/>
    <x v="0"/>
    <n v="1.51"/>
  </r>
  <r>
    <s v="Heidelberg"/>
    <x v="0"/>
    <x v="1"/>
    <n v="9.75"/>
  </r>
  <r>
    <s v="Heidelberg"/>
    <x v="0"/>
    <x v="2"/>
    <n v="0.76"/>
  </r>
  <r>
    <s v="Heidelberg"/>
    <x v="0"/>
    <x v="3"/>
    <n v="2.29"/>
  </r>
  <r>
    <s v="Helsinki"/>
    <x v="18"/>
    <x v="0"/>
    <n v="2.17"/>
  </r>
  <r>
    <s v="Helsinki"/>
    <x v="18"/>
    <x v="1"/>
    <n v="6.99"/>
  </r>
  <r>
    <s v="Helsinki"/>
    <x v="18"/>
    <x v="2"/>
    <n v="0.94"/>
  </r>
  <r>
    <s v="Helsinki"/>
    <x v="18"/>
    <x v="3"/>
    <n v="1.96"/>
  </r>
  <r>
    <s v="Heraklion"/>
    <x v="4"/>
    <x v="0"/>
    <n v="0.95"/>
  </r>
  <r>
    <s v="Heraklion"/>
    <x v="4"/>
    <x v="1"/>
    <n v="8.3800000000000008"/>
  </r>
  <r>
    <s v="Heraklion"/>
    <x v="4"/>
    <x v="2"/>
    <n v="1.24"/>
  </r>
  <r>
    <s v="Heraklion"/>
    <x v="4"/>
    <x v="3"/>
    <n v="1.28"/>
  </r>
  <r>
    <s v="Iasi"/>
    <x v="10"/>
    <x v="0"/>
    <n v="0.54"/>
  </r>
  <r>
    <s v="Iasi"/>
    <x v="10"/>
    <x v="1"/>
    <n v="4.66"/>
  </r>
  <r>
    <s v="Iasi"/>
    <x v="10"/>
    <x v="2"/>
    <n v="0.91"/>
  </r>
  <r>
    <s v="Iasi"/>
    <x v="10"/>
    <x v="3"/>
    <n v="0.96"/>
  </r>
  <r>
    <s v="Innsbruck"/>
    <x v="17"/>
    <x v="0"/>
    <n v="2.66"/>
  </r>
  <r>
    <s v="Innsbruck"/>
    <x v="17"/>
    <x v="1"/>
    <n v="14.67"/>
  </r>
  <r>
    <s v="Innsbruck"/>
    <x v="17"/>
    <x v="2"/>
    <n v="1.1499999999999999"/>
  </r>
  <r>
    <s v="Karlsruhe"/>
    <x v="0"/>
    <x v="0"/>
    <n v="1.35"/>
  </r>
  <r>
    <s v="Karlsruhe"/>
    <x v="0"/>
    <x v="1"/>
    <n v="9.6"/>
  </r>
  <r>
    <s v="Karlsruhe"/>
    <x v="0"/>
    <x v="2"/>
    <n v="0.69"/>
  </r>
  <r>
    <s v="Karlsruhe"/>
    <x v="0"/>
    <x v="3"/>
    <n v="2.14"/>
  </r>
  <r>
    <s v="Katowice"/>
    <x v="15"/>
    <x v="0"/>
    <n v="0.6"/>
  </r>
  <r>
    <s v="Katowice"/>
    <x v="15"/>
    <x v="1"/>
    <n v="4.54"/>
  </r>
  <r>
    <s v="Katowice"/>
    <x v="15"/>
    <x v="2"/>
    <n v="0.51"/>
  </r>
  <r>
    <s v="Katowice"/>
    <x v="15"/>
    <x v="3"/>
    <n v="0.71"/>
  </r>
  <r>
    <s v="Kaunas"/>
    <x v="19"/>
    <x v="0"/>
    <n v="1.2"/>
  </r>
  <r>
    <s v="Kaunas"/>
    <x v="19"/>
    <x v="1"/>
    <n v="7.11"/>
  </r>
  <r>
    <s v="Kaunas"/>
    <x v="19"/>
    <x v="2"/>
    <n v="0.82"/>
  </r>
  <r>
    <s v="Kaunas"/>
    <x v="19"/>
    <x v="3"/>
    <n v="1.17"/>
  </r>
  <r>
    <s v="Kharkiv"/>
    <x v="20"/>
    <x v="0"/>
    <n v="0.42"/>
  </r>
  <r>
    <s v="Kharkiv"/>
    <x v="20"/>
    <x v="1"/>
    <n v="6.51"/>
  </r>
  <r>
    <s v="Kharkiv"/>
    <x v="20"/>
    <x v="2"/>
    <n v="0.85"/>
  </r>
  <r>
    <s v="Kharkiv"/>
    <x v="20"/>
    <x v="3"/>
    <n v="0.99"/>
  </r>
  <r>
    <s v="Kiev"/>
    <x v="20"/>
    <x v="0"/>
    <n v="0.56000000000000005"/>
  </r>
  <r>
    <s v="Kiev"/>
    <x v="20"/>
    <x v="1"/>
    <n v="6.98"/>
  </r>
  <r>
    <s v="Kiev"/>
    <x v="20"/>
    <x v="2"/>
    <n v="0.93"/>
  </r>
  <r>
    <s v="Kiev"/>
    <x v="20"/>
    <x v="3"/>
    <n v="1.03"/>
  </r>
  <r>
    <s v="Kosice"/>
    <x v="11"/>
    <x v="0"/>
    <n v="0.79"/>
  </r>
  <r>
    <s v="Kosice"/>
    <x v="11"/>
    <x v="1"/>
    <n v="8.17"/>
  </r>
  <r>
    <s v="Kosice"/>
    <x v="11"/>
    <x v="2"/>
    <n v="0.64"/>
  </r>
  <r>
    <s v="Kosice"/>
    <x v="11"/>
    <x v="3"/>
    <n v="0.95"/>
  </r>
  <r>
    <s v="Krakow"/>
    <x v="15"/>
    <x v="0"/>
    <n v="0.76"/>
  </r>
  <r>
    <s v="Krakow"/>
    <x v="15"/>
    <x v="1"/>
    <n v="5.42"/>
  </r>
  <r>
    <s v="Krakow"/>
    <x v="15"/>
    <x v="2"/>
    <n v="0.6"/>
  </r>
  <r>
    <s v="Krakow"/>
    <x v="15"/>
    <x v="3"/>
    <n v="0.77"/>
  </r>
  <r>
    <s v="Lausanne"/>
    <x v="6"/>
    <x v="0"/>
    <n v="2.64"/>
  </r>
  <r>
    <s v="Lausanne"/>
    <x v="6"/>
    <x v="1"/>
    <n v="21.08"/>
  </r>
  <r>
    <s v="Lausanne"/>
    <x v="6"/>
    <x v="2"/>
    <n v="1.4"/>
  </r>
  <r>
    <s v="Lausanne"/>
    <x v="6"/>
    <x v="3"/>
    <n v="2.23"/>
  </r>
  <r>
    <s v="Leeds"/>
    <x v="7"/>
    <x v="0"/>
    <n v="1.06"/>
  </r>
  <r>
    <s v="Leeds"/>
    <x v="7"/>
    <x v="1"/>
    <n v="7.06"/>
  </r>
  <r>
    <s v="Leeds"/>
    <x v="7"/>
    <x v="2"/>
    <n v="1.03"/>
  </r>
  <r>
    <s v="Leeds"/>
    <x v="7"/>
    <x v="3"/>
    <n v="0.86"/>
  </r>
  <r>
    <s v="Leipzig"/>
    <x v="0"/>
    <x v="0"/>
    <n v="1.39"/>
  </r>
  <r>
    <s v="Leipzig"/>
    <x v="0"/>
    <x v="1"/>
    <n v="9.11"/>
  </r>
  <r>
    <s v="Leipzig"/>
    <x v="0"/>
    <x v="2"/>
    <n v="0.69"/>
  </r>
  <r>
    <s v="Leipzig"/>
    <x v="0"/>
    <x v="3"/>
    <n v="2.04"/>
  </r>
  <r>
    <s v="Linz"/>
    <x v="17"/>
    <x v="0"/>
    <n v="1.89"/>
  </r>
  <r>
    <s v="Linz"/>
    <x v="17"/>
    <x v="1"/>
    <n v="10.31"/>
  </r>
  <r>
    <s v="Linz"/>
    <x v="17"/>
    <x v="2"/>
    <n v="1.1100000000000001"/>
  </r>
  <r>
    <s v="Linz"/>
    <x v="17"/>
    <x v="3"/>
    <n v="2.29"/>
  </r>
  <r>
    <s v="Lisbon"/>
    <x v="21"/>
    <x v="0"/>
    <n v="1.1000000000000001"/>
  </r>
  <r>
    <s v="Lisbon"/>
    <x v="21"/>
    <x v="1"/>
    <n v="7.52"/>
  </r>
  <r>
    <s v="Lisbon"/>
    <x v="21"/>
    <x v="2"/>
    <n v="0.65"/>
  </r>
  <r>
    <s v="Lisbon"/>
    <x v="21"/>
    <x v="3"/>
    <n v="0.91"/>
  </r>
  <r>
    <s v="Liverpool"/>
    <x v="7"/>
    <x v="0"/>
    <n v="1.21"/>
  </r>
  <r>
    <s v="Liverpool"/>
    <x v="7"/>
    <x v="1"/>
    <n v="5.59"/>
  </r>
  <r>
    <s v="Liverpool"/>
    <x v="7"/>
    <x v="2"/>
    <n v="1.1299999999999999"/>
  </r>
  <r>
    <s v="Liverpool"/>
    <x v="7"/>
    <x v="3"/>
    <n v="0.87"/>
  </r>
  <r>
    <s v="Ljubljana"/>
    <x v="22"/>
    <x v="0"/>
    <n v="1.08"/>
  </r>
  <r>
    <s v="Ljubljana"/>
    <x v="22"/>
    <x v="1"/>
    <n v="10.210000000000001"/>
  </r>
  <r>
    <s v="Ljubljana"/>
    <x v="22"/>
    <x v="2"/>
    <n v="0.92"/>
  </r>
  <r>
    <s v="Ljubljana"/>
    <x v="22"/>
    <x v="3"/>
    <n v="1.49"/>
  </r>
  <r>
    <s v="Lodz"/>
    <x v="15"/>
    <x v="0"/>
    <n v="0.6"/>
  </r>
  <r>
    <s v="Lodz"/>
    <x v="15"/>
    <x v="1"/>
    <n v="5.5"/>
  </r>
  <r>
    <s v="Lodz"/>
    <x v="15"/>
    <x v="2"/>
    <n v="0.55000000000000004"/>
  </r>
  <r>
    <s v="Lodz"/>
    <x v="15"/>
    <x v="3"/>
    <n v="0.82"/>
  </r>
  <r>
    <s v="London"/>
    <x v="7"/>
    <x v="0"/>
    <n v="1.26"/>
  </r>
  <r>
    <s v="London"/>
    <x v="7"/>
    <x v="1"/>
    <n v="7.9"/>
  </r>
  <r>
    <s v="London"/>
    <x v="7"/>
    <x v="2"/>
    <n v="1.1200000000000001"/>
  </r>
  <r>
    <s v="London"/>
    <x v="7"/>
    <x v="3"/>
    <n v="1.51"/>
  </r>
  <r>
    <s v="Lviv"/>
    <x v="20"/>
    <x v="0"/>
    <n v="0.44"/>
  </r>
  <r>
    <s v="Lviv"/>
    <x v="20"/>
    <x v="1"/>
    <n v="5.6"/>
  </r>
  <r>
    <s v="Lviv"/>
    <x v="20"/>
    <x v="2"/>
    <n v="0.86"/>
  </r>
  <r>
    <s v="Lviv"/>
    <x v="20"/>
    <x v="3"/>
    <n v="1.06"/>
  </r>
  <r>
    <s v="Lyon"/>
    <x v="23"/>
    <x v="0"/>
    <n v="1.19"/>
  </r>
  <r>
    <s v="Lyon"/>
    <x v="23"/>
    <x v="1"/>
    <n v="16.559999999999999"/>
  </r>
  <r>
    <s v="Lyon"/>
    <x v="23"/>
    <x v="2"/>
    <n v="1.05"/>
  </r>
  <r>
    <s v="Lyon"/>
    <x v="23"/>
    <x v="3"/>
    <n v="1.78"/>
  </r>
  <r>
    <s v="Madrid"/>
    <x v="5"/>
    <x v="0"/>
    <n v="1.0900000000000001"/>
  </r>
  <r>
    <s v="Madrid"/>
    <x v="5"/>
    <x v="1"/>
    <n v="10.220000000000001"/>
  </r>
  <r>
    <s v="Madrid"/>
    <x v="5"/>
    <x v="2"/>
    <n v="0.85"/>
  </r>
  <r>
    <s v="Madrid"/>
    <x v="5"/>
    <x v="3"/>
    <n v="1.02"/>
  </r>
  <r>
    <s v="Malaga"/>
    <x v="5"/>
    <x v="0"/>
    <n v="0.97"/>
  </r>
  <r>
    <s v="Malaga"/>
    <x v="5"/>
    <x v="1"/>
    <n v="8.5"/>
  </r>
  <r>
    <s v="Malaga"/>
    <x v="5"/>
    <x v="2"/>
    <n v="0.66"/>
  </r>
  <r>
    <s v="Malaga"/>
    <x v="5"/>
    <x v="3"/>
    <n v="0.97"/>
  </r>
  <r>
    <s v="Manchester"/>
    <x v="7"/>
    <x v="0"/>
    <n v="1.25"/>
  </r>
  <r>
    <s v="Manchester"/>
    <x v="7"/>
    <x v="1"/>
    <n v="5.96"/>
  </r>
  <r>
    <s v="Manchester"/>
    <x v="7"/>
    <x v="2"/>
    <n v="1.0900000000000001"/>
  </r>
  <r>
    <s v="Manchester"/>
    <x v="7"/>
    <x v="3"/>
    <n v="1.38"/>
  </r>
  <r>
    <s v="Mannheim"/>
    <x v="0"/>
    <x v="0"/>
    <n v="1.48"/>
  </r>
  <r>
    <s v="Mannheim"/>
    <x v="0"/>
    <x v="1"/>
    <n v="8.8000000000000007"/>
  </r>
  <r>
    <s v="Mannheim"/>
    <x v="0"/>
    <x v="2"/>
    <n v="0.68"/>
  </r>
  <r>
    <s v="Mannheim"/>
    <x v="0"/>
    <x v="3"/>
    <n v="2.19"/>
  </r>
  <r>
    <s v="Milan"/>
    <x v="9"/>
    <x v="0"/>
    <n v="1.92"/>
  </r>
  <r>
    <s v="Milan"/>
    <x v="9"/>
    <x v="1"/>
    <n v="13.7"/>
  </r>
  <r>
    <s v="Milan"/>
    <x v="9"/>
    <x v="2"/>
    <n v="1.17"/>
  </r>
  <r>
    <s v="Milan"/>
    <x v="9"/>
    <x v="3"/>
    <n v="2.25"/>
  </r>
  <r>
    <s v="Munich"/>
    <x v="0"/>
    <x v="0"/>
    <n v="1.52"/>
  </r>
  <r>
    <s v="Munich"/>
    <x v="0"/>
    <x v="1"/>
    <n v="11.01"/>
  </r>
  <r>
    <s v="Munich"/>
    <x v="0"/>
    <x v="2"/>
    <n v="0.87"/>
  </r>
  <r>
    <s v="Munich"/>
    <x v="0"/>
    <x v="3"/>
    <n v="1.86"/>
  </r>
  <r>
    <s v="Naples"/>
    <x v="9"/>
    <x v="0"/>
    <n v="1.02"/>
  </r>
  <r>
    <s v="Naples"/>
    <x v="9"/>
    <x v="1"/>
    <n v="12"/>
  </r>
  <r>
    <s v="Naples"/>
    <x v="9"/>
    <x v="2"/>
    <n v="1.21"/>
  </r>
  <r>
    <s v="Naples"/>
    <x v="9"/>
    <x v="3"/>
    <n v="1.7"/>
  </r>
  <r>
    <s v="Newcastle upon Tyne"/>
    <x v="7"/>
    <x v="0"/>
    <n v="1.1100000000000001"/>
  </r>
  <r>
    <s v="Newcastle upon Tyne"/>
    <x v="7"/>
    <x v="1"/>
    <n v="6.02"/>
  </r>
  <r>
    <s v="Newcastle upon Tyne"/>
    <x v="7"/>
    <x v="2"/>
    <n v="1.01"/>
  </r>
  <r>
    <s v="Newcastle upon Tyne"/>
    <x v="7"/>
    <x v="3"/>
    <n v="1"/>
  </r>
  <r>
    <s v="Nis"/>
    <x v="8"/>
    <x v="0"/>
    <n v="0.35"/>
  </r>
  <r>
    <s v="Nis"/>
    <x v="8"/>
    <x v="1"/>
    <n v="3.36"/>
  </r>
  <r>
    <s v="Nis"/>
    <x v="8"/>
    <x v="2"/>
    <n v="0.72"/>
  </r>
  <r>
    <s v="Novi Sad"/>
    <x v="8"/>
    <x v="0"/>
    <n v="0.43"/>
  </r>
  <r>
    <s v="Novi Sad"/>
    <x v="8"/>
    <x v="1"/>
    <n v="4.8899999999999997"/>
  </r>
  <r>
    <s v="Novi Sad"/>
    <x v="8"/>
    <x v="2"/>
    <n v="0.78"/>
  </r>
  <r>
    <s v="Novi Sad"/>
    <x v="8"/>
    <x v="3"/>
    <n v="1.04"/>
  </r>
  <r>
    <s v="Nuremberg"/>
    <x v="0"/>
    <x v="0"/>
    <n v="1.64"/>
  </r>
  <r>
    <s v="Nuremberg"/>
    <x v="0"/>
    <x v="1"/>
    <n v="9.69"/>
  </r>
  <r>
    <s v="Nuremberg"/>
    <x v="0"/>
    <x v="2"/>
    <n v="0.76"/>
  </r>
  <r>
    <s v="Nuremberg"/>
    <x v="0"/>
    <x v="3"/>
    <n v="2.15"/>
  </r>
  <r>
    <s v="Odessa"/>
    <x v="20"/>
    <x v="0"/>
    <n v="0.45"/>
  </r>
  <r>
    <s v="Odessa"/>
    <x v="20"/>
    <x v="1"/>
    <n v="6.53"/>
  </r>
  <r>
    <s v="Odessa"/>
    <x v="20"/>
    <x v="2"/>
    <n v="0.95"/>
  </r>
  <r>
    <s v="Odessa"/>
    <x v="20"/>
    <x v="3"/>
    <n v="0.97"/>
  </r>
  <r>
    <s v="Oslo"/>
    <x v="24"/>
    <x v="0"/>
    <n v="2.87"/>
  </r>
  <r>
    <s v="Oslo"/>
    <x v="24"/>
    <x v="1"/>
    <n v="10.45"/>
  </r>
  <r>
    <s v="Oslo"/>
    <x v="24"/>
    <x v="2"/>
    <n v="1.8"/>
  </r>
  <r>
    <s v="Oslo"/>
    <x v="24"/>
    <x v="3"/>
    <n v="2.33"/>
  </r>
  <r>
    <s v="Ostrava"/>
    <x v="12"/>
    <x v="0"/>
    <n v="0.97"/>
  </r>
  <r>
    <s v="Ostrava"/>
    <x v="12"/>
    <x v="2"/>
    <n v="0.65"/>
  </r>
  <r>
    <s v="Ostrava"/>
    <x v="12"/>
    <x v="3"/>
    <n v="1.38"/>
  </r>
  <r>
    <s v="Paris"/>
    <x v="23"/>
    <x v="0"/>
    <n v="1.48"/>
  </r>
  <r>
    <s v="Paris"/>
    <x v="23"/>
    <x v="1"/>
    <n v="18.57"/>
  </r>
  <r>
    <s v="Paris"/>
    <x v="23"/>
    <x v="2"/>
    <n v="1.24"/>
  </r>
  <r>
    <s v="Paris"/>
    <x v="23"/>
    <x v="3"/>
    <n v="1.78"/>
  </r>
  <r>
    <s v="Patras"/>
    <x v="4"/>
    <x v="0"/>
    <n v="0.79"/>
  </r>
  <r>
    <s v="Patras"/>
    <x v="4"/>
    <x v="1"/>
    <n v="6.93"/>
  </r>
  <r>
    <s v="Patras"/>
    <x v="4"/>
    <x v="2"/>
    <n v="1.1100000000000001"/>
  </r>
  <r>
    <s v="Patras"/>
    <x v="4"/>
    <x v="3"/>
    <n v="1.32"/>
  </r>
  <r>
    <s v="Plovdiv"/>
    <x v="25"/>
    <x v="0"/>
    <n v="0.56999999999999995"/>
  </r>
  <r>
    <s v="Plovdiv"/>
    <x v="25"/>
    <x v="1"/>
    <n v="5.38"/>
  </r>
  <r>
    <s v="Plovdiv"/>
    <x v="25"/>
    <x v="2"/>
    <n v="1.04"/>
  </r>
  <r>
    <s v="Plovdiv"/>
    <x v="25"/>
    <x v="3"/>
    <n v="1.08"/>
  </r>
  <r>
    <s v="Porto"/>
    <x v="21"/>
    <x v="0"/>
    <n v="1.24"/>
  </r>
  <r>
    <s v="Porto"/>
    <x v="21"/>
    <x v="1"/>
    <n v="6.81"/>
  </r>
  <r>
    <s v="Porto"/>
    <x v="21"/>
    <x v="2"/>
    <n v="0.66"/>
  </r>
  <r>
    <s v="Porto"/>
    <x v="21"/>
    <x v="3"/>
    <n v="0.86"/>
  </r>
  <r>
    <s v="Poznan"/>
    <x v="15"/>
    <x v="0"/>
    <n v="0.69"/>
  </r>
  <r>
    <s v="Poznan"/>
    <x v="15"/>
    <x v="1"/>
    <n v="5.54"/>
  </r>
  <r>
    <s v="Poznan"/>
    <x v="15"/>
    <x v="2"/>
    <n v="0.62"/>
  </r>
  <r>
    <s v="Poznan"/>
    <x v="15"/>
    <x v="3"/>
    <n v="0.72"/>
  </r>
  <r>
    <s v="Prague"/>
    <x v="12"/>
    <x v="0"/>
    <n v="0.94"/>
  </r>
  <r>
    <s v="Prague"/>
    <x v="12"/>
    <x v="1"/>
    <n v="7.81"/>
  </r>
  <r>
    <s v="Prague"/>
    <x v="12"/>
    <x v="2"/>
    <n v="0.75"/>
  </r>
  <r>
    <s v="Prague"/>
    <x v="12"/>
    <x v="3"/>
    <n v="1.44"/>
  </r>
  <r>
    <s v="Reykjavik"/>
    <x v="26"/>
    <x v="0"/>
    <n v="2.97"/>
  </r>
  <r>
    <s v="Reykjavik"/>
    <x v="26"/>
    <x v="1"/>
    <n v="12.79"/>
  </r>
  <r>
    <s v="Reykjavik"/>
    <x v="26"/>
    <x v="2"/>
    <n v="1.2"/>
  </r>
  <r>
    <s v="Reykjavik"/>
    <x v="26"/>
    <x v="3"/>
    <n v="2.54"/>
  </r>
  <r>
    <s v="Riga"/>
    <x v="27"/>
    <x v="0"/>
    <n v="0.85"/>
  </r>
  <r>
    <s v="Riga"/>
    <x v="27"/>
    <x v="1"/>
    <n v="6.12"/>
  </r>
  <r>
    <s v="Riga"/>
    <x v="27"/>
    <x v="2"/>
    <n v="0.88"/>
  </r>
  <r>
    <s v="Riga"/>
    <x v="27"/>
    <x v="3"/>
    <n v="1.35"/>
  </r>
  <r>
    <s v="Rijeka"/>
    <x v="28"/>
    <x v="0"/>
    <n v="0.96"/>
  </r>
  <r>
    <s v="Rijeka"/>
    <x v="28"/>
    <x v="1"/>
    <n v="7.45"/>
  </r>
  <r>
    <s v="Rijeka"/>
    <x v="28"/>
    <x v="2"/>
    <n v="0.84"/>
  </r>
  <r>
    <s v="Rijeka"/>
    <x v="28"/>
    <x v="3"/>
    <n v="1.65"/>
  </r>
  <r>
    <s v="Rome"/>
    <x v="9"/>
    <x v="0"/>
    <n v="1.56"/>
  </r>
  <r>
    <s v="Rome"/>
    <x v="9"/>
    <x v="1"/>
    <n v="11.85"/>
  </r>
  <r>
    <s v="Rome"/>
    <x v="9"/>
    <x v="2"/>
    <n v="1.27"/>
  </r>
  <r>
    <s v="Rome"/>
    <x v="9"/>
    <x v="3"/>
    <n v="1.99"/>
  </r>
  <r>
    <s v="Rotterdam"/>
    <x v="1"/>
    <x v="0"/>
    <n v="1.1200000000000001"/>
  </r>
  <r>
    <s v="Rotterdam"/>
    <x v="1"/>
    <x v="1"/>
    <n v="9.67"/>
  </r>
  <r>
    <s v="Rotterdam"/>
    <x v="1"/>
    <x v="2"/>
    <n v="0.91"/>
  </r>
  <r>
    <s v="Rotterdam"/>
    <x v="1"/>
    <x v="3"/>
    <n v="1.69"/>
  </r>
  <r>
    <s v="Seville (Sevilla)"/>
    <x v="5"/>
    <x v="0"/>
    <n v="0.78"/>
  </r>
  <r>
    <s v="Seville (Sevilla)"/>
    <x v="5"/>
    <x v="2"/>
    <n v="0.66"/>
  </r>
  <r>
    <s v="Seville (Sevilla)"/>
    <x v="5"/>
    <x v="3"/>
    <n v="0.84"/>
  </r>
  <r>
    <s v="Sheffield"/>
    <x v="7"/>
    <x v="0"/>
    <n v="1.07"/>
  </r>
  <r>
    <s v="Sheffield"/>
    <x v="7"/>
    <x v="1"/>
    <n v="4.32"/>
  </r>
  <r>
    <s v="Sheffield"/>
    <x v="7"/>
    <x v="2"/>
    <n v="1.01"/>
  </r>
  <r>
    <s v="Sheffield"/>
    <x v="7"/>
    <x v="3"/>
    <n v="0.94"/>
  </r>
  <r>
    <s v="Sofia"/>
    <x v="25"/>
    <x v="0"/>
    <n v="0.57999999999999996"/>
  </r>
  <r>
    <s v="Sofia"/>
    <x v="25"/>
    <x v="1"/>
    <n v="5.99"/>
  </r>
  <r>
    <s v="Sofia"/>
    <x v="25"/>
    <x v="2"/>
    <n v="1.03"/>
  </r>
  <r>
    <s v="Sofia"/>
    <x v="25"/>
    <x v="3"/>
    <n v="1.0900000000000001"/>
  </r>
  <r>
    <s v="Split"/>
    <x v="28"/>
    <x v="0"/>
    <n v="0.91"/>
  </r>
  <r>
    <s v="Split"/>
    <x v="28"/>
    <x v="1"/>
    <n v="7.93"/>
  </r>
  <r>
    <s v="Split"/>
    <x v="28"/>
    <x v="2"/>
    <n v="0.85"/>
  </r>
  <r>
    <s v="Split"/>
    <x v="28"/>
    <x v="3"/>
    <n v="1.53"/>
  </r>
  <r>
    <s v="Stavanger"/>
    <x v="24"/>
    <x v="0"/>
    <n v="2.88"/>
  </r>
  <r>
    <s v="Stavanger"/>
    <x v="24"/>
    <x v="1"/>
    <n v="12.71"/>
  </r>
  <r>
    <s v="Stavanger"/>
    <x v="24"/>
    <x v="2"/>
    <n v="1.87"/>
  </r>
  <r>
    <s v="Stavanger"/>
    <x v="24"/>
    <x v="3"/>
    <n v="2.62"/>
  </r>
  <r>
    <s v="Stockholm"/>
    <x v="16"/>
    <x v="0"/>
    <n v="2.13"/>
  </r>
  <r>
    <s v="Stockholm"/>
    <x v="16"/>
    <x v="1"/>
    <n v="8.0399999999999991"/>
  </r>
  <r>
    <s v="Stockholm"/>
    <x v="16"/>
    <x v="2"/>
    <n v="1.19"/>
  </r>
  <r>
    <s v="Stockholm"/>
    <x v="16"/>
    <x v="3"/>
    <n v="2.38"/>
  </r>
  <r>
    <s v="Stuttgart"/>
    <x v="0"/>
    <x v="0"/>
    <n v="1.69"/>
  </r>
  <r>
    <s v="Stuttgart"/>
    <x v="0"/>
    <x v="1"/>
    <n v="8.0500000000000007"/>
  </r>
  <r>
    <s v="Stuttgart"/>
    <x v="0"/>
    <x v="2"/>
    <n v="0.78"/>
  </r>
  <r>
    <s v="Stuttgart"/>
    <x v="0"/>
    <x v="3"/>
    <n v="2.21"/>
  </r>
  <r>
    <s v="Tallinn"/>
    <x v="29"/>
    <x v="0"/>
    <n v="0.85"/>
  </r>
  <r>
    <s v="Tallinn"/>
    <x v="29"/>
    <x v="1"/>
    <n v="7.22"/>
  </r>
  <r>
    <s v="Tallinn"/>
    <x v="29"/>
    <x v="2"/>
    <n v="0.7"/>
  </r>
  <r>
    <s v="Tallinn"/>
    <x v="29"/>
    <x v="3"/>
    <n v="1.37"/>
  </r>
  <r>
    <s v="Tartu"/>
    <x v="29"/>
    <x v="0"/>
    <n v="0.79"/>
  </r>
  <r>
    <s v="Tartu"/>
    <x v="29"/>
    <x v="1"/>
    <n v="6.75"/>
  </r>
  <r>
    <s v="Tartu"/>
    <x v="29"/>
    <x v="2"/>
    <n v="0.8"/>
  </r>
  <r>
    <s v="The Hague"/>
    <x v="1"/>
    <x v="0"/>
    <n v="1.08"/>
  </r>
  <r>
    <s v="The Hague"/>
    <x v="1"/>
    <x v="1"/>
    <n v="10.09"/>
  </r>
  <r>
    <s v="The Hague"/>
    <x v="1"/>
    <x v="2"/>
    <n v="0.9"/>
  </r>
  <r>
    <s v="The Hague"/>
    <x v="1"/>
    <x v="3"/>
    <n v="1.73"/>
  </r>
  <r>
    <s v="Thessaloniki"/>
    <x v="4"/>
    <x v="0"/>
    <n v="0.89"/>
  </r>
  <r>
    <s v="Thessaloniki"/>
    <x v="4"/>
    <x v="1"/>
    <n v="7.47"/>
  </r>
  <r>
    <s v="Thessaloniki"/>
    <x v="4"/>
    <x v="2"/>
    <n v="1.1000000000000001"/>
  </r>
  <r>
    <s v="Thessaloniki"/>
    <x v="4"/>
    <x v="3"/>
    <n v="1.45"/>
  </r>
  <r>
    <s v="Timisoara"/>
    <x v="10"/>
    <x v="0"/>
    <n v="0.68"/>
  </r>
  <r>
    <s v="Timisoara"/>
    <x v="10"/>
    <x v="1"/>
    <n v="4.4400000000000004"/>
  </r>
  <r>
    <s v="Timisoara"/>
    <x v="10"/>
    <x v="2"/>
    <n v="0.91"/>
  </r>
  <r>
    <s v="Timisoara"/>
    <x v="10"/>
    <x v="3"/>
    <n v="0.88"/>
  </r>
  <r>
    <s v="Toulouse"/>
    <x v="23"/>
    <x v="0"/>
    <n v="1.47"/>
  </r>
  <r>
    <s v="Toulouse"/>
    <x v="23"/>
    <x v="1"/>
    <n v="13.83"/>
  </r>
  <r>
    <s v="Toulouse"/>
    <x v="23"/>
    <x v="2"/>
    <n v="0.93"/>
  </r>
  <r>
    <s v="Toulouse"/>
    <x v="23"/>
    <x v="3"/>
    <n v="1.55"/>
  </r>
  <r>
    <s v="Trondheim"/>
    <x v="24"/>
    <x v="0"/>
    <n v="2.9"/>
  </r>
  <r>
    <s v="Trondheim"/>
    <x v="24"/>
    <x v="1"/>
    <n v="10.85"/>
  </r>
  <r>
    <s v="Trondheim"/>
    <x v="24"/>
    <x v="2"/>
    <n v="1.94"/>
  </r>
  <r>
    <s v="Trondheim"/>
    <x v="24"/>
    <x v="3"/>
    <n v="2.35"/>
  </r>
  <r>
    <s v="Turin"/>
    <x v="9"/>
    <x v="0"/>
    <n v="1.46"/>
  </r>
  <r>
    <s v="Turin"/>
    <x v="9"/>
    <x v="1"/>
    <n v="12.31"/>
  </r>
  <r>
    <s v="Turin"/>
    <x v="9"/>
    <x v="2"/>
    <n v="1.1200000000000001"/>
  </r>
  <r>
    <s v="Turin"/>
    <x v="9"/>
    <x v="3"/>
    <n v="1.87"/>
  </r>
  <r>
    <s v="Utrecht"/>
    <x v="1"/>
    <x v="0"/>
    <n v="1.1499999999999999"/>
  </r>
  <r>
    <s v="Utrecht"/>
    <x v="1"/>
    <x v="1"/>
    <n v="10.52"/>
  </r>
  <r>
    <s v="Utrecht"/>
    <x v="1"/>
    <x v="2"/>
    <n v="0.93"/>
  </r>
  <r>
    <s v="Utrecht"/>
    <x v="1"/>
    <x v="3"/>
    <n v="1.92"/>
  </r>
  <r>
    <s v="Valencia"/>
    <x v="5"/>
    <x v="0"/>
    <n v="0.81"/>
  </r>
  <r>
    <s v="Valencia"/>
    <x v="5"/>
    <x v="1"/>
    <n v="10.83"/>
  </r>
  <r>
    <s v="Valencia"/>
    <x v="5"/>
    <x v="2"/>
    <n v="0.69"/>
  </r>
  <r>
    <s v="Valencia"/>
    <x v="5"/>
    <x v="3"/>
    <n v="0.86"/>
  </r>
  <r>
    <s v="Varna"/>
    <x v="25"/>
    <x v="0"/>
    <n v="0.51"/>
  </r>
  <r>
    <s v="Varna"/>
    <x v="25"/>
    <x v="1"/>
    <n v="4.91"/>
  </r>
  <r>
    <s v="Varna"/>
    <x v="25"/>
    <x v="2"/>
    <n v="1.02"/>
  </r>
  <r>
    <s v="Varna"/>
    <x v="25"/>
    <x v="3"/>
    <n v="1.05"/>
  </r>
  <r>
    <s v="Vienna"/>
    <x v="17"/>
    <x v="0"/>
    <n v="1.7"/>
  </r>
  <r>
    <s v="Vienna"/>
    <x v="17"/>
    <x v="1"/>
    <n v="11.23"/>
  </r>
  <r>
    <s v="Vienna"/>
    <x v="17"/>
    <x v="2"/>
    <n v="1.03"/>
  </r>
  <r>
    <s v="Vienna"/>
    <x v="17"/>
    <x v="3"/>
    <n v="1.28"/>
  </r>
  <r>
    <s v="Vilnius"/>
    <x v="19"/>
    <x v="0"/>
    <n v="1.04"/>
  </r>
  <r>
    <s v="Vilnius"/>
    <x v="19"/>
    <x v="1"/>
    <n v="7.63"/>
  </r>
  <r>
    <s v="Vilnius"/>
    <x v="19"/>
    <x v="2"/>
    <n v="0.87"/>
  </r>
  <r>
    <s v="Vilnius"/>
    <x v="19"/>
    <x v="3"/>
    <n v="1.67"/>
  </r>
  <r>
    <s v="Warsaw"/>
    <x v="15"/>
    <x v="0"/>
    <n v="0.75"/>
  </r>
  <r>
    <s v="Warsaw"/>
    <x v="15"/>
    <x v="1"/>
    <n v="6.32"/>
  </r>
  <r>
    <s v="Warsaw"/>
    <x v="15"/>
    <x v="2"/>
    <n v="0.62"/>
  </r>
  <r>
    <s v="Warsaw"/>
    <x v="15"/>
    <x v="3"/>
    <n v="0.86"/>
  </r>
  <r>
    <s v="Wroclaw"/>
    <x v="15"/>
    <x v="0"/>
    <n v="0.75"/>
  </r>
  <r>
    <s v="Wroclaw"/>
    <x v="15"/>
    <x v="1"/>
    <n v="5.87"/>
  </r>
  <r>
    <s v="Wroclaw"/>
    <x v="15"/>
    <x v="2"/>
    <n v="0.56000000000000005"/>
  </r>
  <r>
    <s v="Wroclaw"/>
    <x v="15"/>
    <x v="3"/>
    <n v="0.78"/>
  </r>
  <r>
    <s v="Zagreb"/>
    <x v="28"/>
    <x v="0"/>
    <n v="0.87"/>
  </r>
  <r>
    <s v="Zagreb"/>
    <x v="28"/>
    <x v="1"/>
    <n v="7.6"/>
  </r>
  <r>
    <s v="Zagreb"/>
    <x v="28"/>
    <x v="2"/>
    <n v="0.87"/>
  </r>
  <r>
    <s v="Zagreb"/>
    <x v="28"/>
    <x v="3"/>
    <n v="1.64"/>
  </r>
  <r>
    <s v="Zurich"/>
    <x v="6"/>
    <x v="0"/>
    <n v="2.67"/>
  </r>
  <r>
    <s v="Zurich"/>
    <x v="6"/>
    <x v="1"/>
    <n v="23.8"/>
  </r>
  <r>
    <s v="Zurich"/>
    <x v="6"/>
    <x v="2"/>
    <n v="1.54"/>
  </r>
  <r>
    <s v="Zurich"/>
    <x v="6"/>
    <x v="3"/>
    <n v="2.44"/>
  </r>
</pivotCacheRecords>
</file>

<file path=xl/pivotCache/pivotCacheRecords1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
  <r>
    <n v="1"/>
    <x v="0"/>
    <x v="0"/>
    <n v="61"/>
    <n v="75"/>
  </r>
  <r>
    <n v="1"/>
    <x v="0"/>
    <x v="1"/>
    <n v="63"/>
    <n v="75"/>
  </r>
  <r>
    <n v="1"/>
    <x v="0"/>
    <x v="2"/>
    <n v="69"/>
    <n v="80"/>
  </r>
  <r>
    <n v="1"/>
    <x v="1"/>
    <x v="0"/>
    <n v="54"/>
    <n v="50"/>
  </r>
  <r>
    <n v="1"/>
    <x v="1"/>
    <x v="1"/>
    <n v="56"/>
    <n v="59"/>
  </r>
  <r>
    <n v="1"/>
    <x v="1"/>
    <x v="2"/>
    <n v="86"/>
    <n v="71"/>
  </r>
  <r>
    <n v="2"/>
    <x v="0"/>
    <x v="0"/>
    <n v="54"/>
    <n v="56"/>
  </r>
  <r>
    <n v="2"/>
    <x v="0"/>
    <x v="1"/>
    <n v="56"/>
    <n v="52"/>
  </r>
  <r>
    <n v="2"/>
    <x v="0"/>
    <x v="2"/>
    <n v="82"/>
    <n v="90"/>
  </r>
  <r>
    <n v="2"/>
    <x v="1"/>
    <x v="0"/>
    <n v="63"/>
    <n v="77"/>
  </r>
  <r>
    <n v="2"/>
    <x v="1"/>
    <x v="1"/>
    <n v="59"/>
    <n v="71"/>
  </r>
  <r>
    <n v="2"/>
    <x v="1"/>
    <x v="2"/>
    <n v="73"/>
    <n v="84"/>
  </r>
  <r>
    <n v="3"/>
    <x v="0"/>
    <x v="0"/>
    <n v="52"/>
    <n v="65"/>
  </r>
  <r>
    <n v="3"/>
    <x v="0"/>
    <x v="1"/>
    <n v="54"/>
    <n v="54"/>
  </r>
  <r>
    <n v="3"/>
    <x v="0"/>
    <x v="2"/>
    <n v="75"/>
    <n v="77"/>
  </r>
  <r>
    <n v="3"/>
    <x v="1"/>
    <x v="0"/>
    <n v="56"/>
    <n v="59"/>
  </r>
  <r>
    <n v="3"/>
    <x v="1"/>
    <x v="1"/>
    <n v="52"/>
    <n v="48"/>
  </r>
  <r>
    <n v="3"/>
    <x v="1"/>
    <x v="2"/>
    <n v="86"/>
    <n v="9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2900-000000000000}" name="Draaitabel1" cacheId="9" applyNumberFormats="0" applyBorderFormats="0" applyFontFormats="0" applyPatternFormats="0" applyAlignmentFormats="0" applyWidthHeightFormats="1" dataCaption="Waarden" updatedVersion="3" minRefreshableVersion="3" showCalcMbrs="0" useAutoFormatting="1" itemPrintTitles="1" createdVersion="3" indent="0" compact="0" compactData="0" gridDropZones="1" multipleFieldFilters="0">
  <location ref="L10:P18" firstHeaderRow="1" firstDataRow="2" firstDataCol="1"/>
  <pivotFields count="8">
    <pivotField compact="0" outline="0" showAll="0"/>
    <pivotField compact="0" outline="0" showAll="0"/>
    <pivotField compact="0" outline="0" showAll="0"/>
    <pivotField compact="0" outline="0" showAll="0"/>
    <pivotField axis="axisRow" compact="0" outline="0" showAll="0">
      <items count="7">
        <item x="0"/>
        <item x="3"/>
        <item x="2"/>
        <item x="5"/>
        <item x="1"/>
        <item x="4"/>
        <item t="default"/>
      </items>
    </pivotField>
    <pivotField axis="axisCol" compact="0" outline="0" showAll="0">
      <items count="4">
        <item x="2"/>
        <item x="0"/>
        <item x="1"/>
        <item t="default"/>
      </items>
    </pivotField>
    <pivotField dataField="1" compact="0" numFmtId="44" outline="0" showAll="0"/>
    <pivotField compact="0" numFmtId="14" outline="0" showAll="0"/>
  </pivotFields>
  <rowFields count="1">
    <field x="4"/>
  </rowFields>
  <rowItems count="7">
    <i>
      <x/>
    </i>
    <i>
      <x v="1"/>
    </i>
    <i>
      <x v="2"/>
    </i>
    <i>
      <x v="3"/>
    </i>
    <i>
      <x v="4"/>
    </i>
    <i>
      <x v="5"/>
    </i>
    <i t="grand">
      <x/>
    </i>
  </rowItems>
  <colFields count="1">
    <field x="5"/>
  </colFields>
  <colItems count="4">
    <i>
      <x/>
    </i>
    <i>
      <x v="1"/>
    </i>
    <i>
      <x v="2"/>
    </i>
    <i t="grand">
      <x/>
    </i>
  </colItems>
  <dataFields count="1">
    <dataField name="Gemiddelde van Salaris" fld="6" subtotal="average" baseField="0" baseItem="0" numFmtId="44"/>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2A00-000000000000}" name="Draaitabel5" cacheId="9" applyNumberFormats="0" applyBorderFormats="0" applyFontFormats="0" applyPatternFormats="0" applyAlignmentFormats="0" applyWidthHeightFormats="1" dataCaption="Waarden" updatedVersion="3" minRefreshableVersion="3" showCalcMbrs="0" useAutoFormatting="1" itemPrintTitles="1" createdVersion="3" indent="0" compact="0" compactData="0" gridDropZones="1" multipleFieldFilters="0">
  <location ref="D11:H18" firstHeaderRow="1" firstDataRow="2" firstDataCol="1" rowPageCount="1" colPageCount="1"/>
  <pivotFields count="8">
    <pivotField compact="0" outline="0" showAll="0"/>
    <pivotField compact="0" outline="0" showAll="0"/>
    <pivotField compact="0" outline="0" showAll="0"/>
    <pivotField axis="axisRow" compact="0" outline="0" showAll="0">
      <items count="21">
        <item x="4"/>
        <item x="5"/>
        <item x="1"/>
        <item x="0"/>
        <item x="7"/>
        <item x="6"/>
        <item x="19"/>
        <item x="15"/>
        <item x="11"/>
        <item x="13"/>
        <item x="14"/>
        <item x="17"/>
        <item x="8"/>
        <item x="16"/>
        <item x="2"/>
        <item x="10"/>
        <item x="12"/>
        <item x="18"/>
        <item x="3"/>
        <item x="9"/>
        <item t="default"/>
      </items>
    </pivotField>
    <pivotField axis="axisPage" compact="0" outline="0" showAll="0">
      <items count="7">
        <item x="0"/>
        <item x="3"/>
        <item x="2"/>
        <item x="5"/>
        <item x="1"/>
        <item x="4"/>
        <item t="default"/>
      </items>
    </pivotField>
    <pivotField axis="axisCol" compact="0" outline="0" showAll="0">
      <items count="4">
        <item x="2"/>
        <item x="0"/>
        <item x="1"/>
        <item t="default"/>
      </items>
    </pivotField>
    <pivotField dataField="1" compact="0" numFmtId="44" outline="0" showAll="0"/>
    <pivotField compact="0" numFmtId="14" outline="0" showAll="0"/>
  </pivotFields>
  <rowFields count="1">
    <field x="3"/>
  </rowFields>
  <rowItems count="6">
    <i>
      <x v="1"/>
    </i>
    <i>
      <x v="2"/>
    </i>
    <i>
      <x v="7"/>
    </i>
    <i>
      <x v="12"/>
    </i>
    <i>
      <x v="18"/>
    </i>
    <i t="grand">
      <x/>
    </i>
  </rowItems>
  <colFields count="1">
    <field x="5"/>
  </colFields>
  <colItems count="4">
    <i>
      <x/>
    </i>
    <i>
      <x v="1"/>
    </i>
    <i>
      <x v="2"/>
    </i>
    <i t="grand">
      <x/>
    </i>
  </colItems>
  <pageFields count="1">
    <pageField fld="4" item="2" hier="-1"/>
  </pageFields>
  <dataFields count="1">
    <dataField name="Som van Salaris" fld="6" baseField="0" baseItem="0" numFmtId="42"/>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2B00-000000000000}" name="Draaitabel1" cacheId="3" dataOnRows="1" applyNumberFormats="0" applyBorderFormats="0" applyFontFormats="0" applyPatternFormats="0" applyAlignmentFormats="0" applyWidthHeightFormats="1" dataCaption="Waarden" updatedVersion="3" minRefreshableVersion="3" useAutoFormatting="1" itemPrintTitles="1" createdVersion="4" indent="0" outline="1" outlineData="1" multipleFieldFilters="0" rowHeaderCaption="Vertegenwoordiger" colHeaderCaption="Maand">
  <location ref="J11:N23" firstHeaderRow="1" firstDataRow="2" firstDataCol="1" rowPageCount="1" colPageCount="1"/>
  <pivotFields count="6">
    <pivotField axis="axisCol" showAll="0">
      <items count="4">
        <item x="0"/>
        <item x="1"/>
        <item x="2"/>
        <item t="default"/>
      </items>
    </pivotField>
    <pivotField axis="axisPage" showAll="0">
      <items count="5">
        <item x="0"/>
        <item x="1"/>
        <item x="2"/>
        <item x="3"/>
        <item t="default"/>
      </items>
    </pivotField>
    <pivotField axis="axisRow" showAll="0">
      <items count="3">
        <item x="0"/>
        <item x="1"/>
        <item t="default"/>
      </items>
    </pivotField>
    <pivotField dataField="1" numFmtId="164" showAll="0"/>
    <pivotField dataField="1" numFmtId="164" showAll="0"/>
    <pivotField dataField="1" numFmtId="164" showAll="0"/>
  </pivotFields>
  <rowFields count="2">
    <field x="2"/>
    <field x="-2"/>
  </rowFields>
  <rowItems count="11">
    <i>
      <x/>
    </i>
    <i r="1">
      <x/>
    </i>
    <i r="1" i="1">
      <x v="1"/>
    </i>
    <i r="1" i="2">
      <x v="2"/>
    </i>
    <i>
      <x v="1"/>
    </i>
    <i r="1">
      <x/>
    </i>
    <i r="1" i="1">
      <x v="1"/>
    </i>
    <i r="1" i="2">
      <x v="2"/>
    </i>
    <i t="grand">
      <x/>
    </i>
    <i t="grand" i="1">
      <x/>
    </i>
    <i t="grand" i="2">
      <x/>
    </i>
  </rowItems>
  <colFields count="1">
    <field x="0"/>
  </colFields>
  <colItems count="4">
    <i>
      <x/>
    </i>
    <i>
      <x v="1"/>
    </i>
    <i>
      <x v="2"/>
    </i>
    <i t="grand">
      <x/>
    </i>
  </colItems>
  <pageFields count="1">
    <pageField fld="1" hier="-1"/>
  </pageFields>
  <dataFields count="3">
    <dataField name="Som van Omzet" fld="3" baseField="2" baseItem="0" numFmtId="42"/>
    <dataField name="Som van Reiskosten" fld="4" baseField="2" baseItem="0" numFmtId="42"/>
    <dataField name="Som van Provisie" fld="5" baseField="2" baseItem="0" numFmtId="42"/>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2C00-000000000000}" name="Draaitabel1" cacheId="8" applyNumberFormats="0" applyBorderFormats="0" applyFontFormats="0" applyPatternFormats="0" applyAlignmentFormats="0" applyWidthHeightFormats="1" dataCaption="Waarden" updatedVersion="3" minRefreshableVersion="3" showCalcMbrs="0" useAutoFormatting="1" itemPrintTitles="1" createdVersion="3" indent="0" compact="0" compactData="0" gridDropZones="1" multipleFieldFilters="0">
  <location ref="H11:K15" firstHeaderRow="1" firstDataRow="2" firstDataCol="1"/>
  <pivotFields count="4">
    <pivotField axis="axisRow" compact="0" outline="0" showAll="0">
      <items count="3">
        <item x="0"/>
        <item x="1"/>
        <item t="default"/>
      </items>
    </pivotField>
    <pivotField compact="0" outline="0" showAll="0"/>
    <pivotField axis="axisCol" compact="0" outline="0" showAll="0">
      <items count="3">
        <item x="1"/>
        <item x="0"/>
        <item t="default"/>
      </items>
    </pivotField>
    <pivotField dataField="1" compact="0" outline="0" showAll="0"/>
  </pivotFields>
  <rowFields count="1">
    <field x="0"/>
  </rowFields>
  <rowItems count="3">
    <i>
      <x/>
    </i>
    <i>
      <x v="1"/>
    </i>
    <i t="grand">
      <x/>
    </i>
  </rowItems>
  <colFields count="1">
    <field x="2"/>
  </colFields>
  <colItems count="3">
    <i>
      <x/>
    </i>
    <i>
      <x v="1"/>
    </i>
    <i t="grand">
      <x/>
    </i>
  </colItems>
  <dataFields count="1">
    <dataField name="Gemiddelde van inf" fld="3" subtotal="average" baseField="0" baseItem="0" numFmtId="168"/>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2D00-000000000000}" name="Draaitabel1" cacheId="7" applyNumberFormats="0" applyBorderFormats="0" applyFontFormats="0" applyPatternFormats="0" applyAlignmentFormats="0" applyWidthHeightFormats="1" dataCaption="Waarden" updatedVersion="3" minRefreshableVersion="3" showCalcMbrs="0" useAutoFormatting="1" itemPrintTitles="1" createdVersion="3" indent="0" outline="1" outlineData="1" multipleFieldFilters="0" rowHeaderCaption="Cijfers">
  <location ref="G11:H17" firstHeaderRow="1" firstDataRow="1" firstDataCol="1"/>
  <pivotFields count="3">
    <pivotField showAll="0"/>
    <pivotField showAll="0"/>
    <pivotField axis="axisRow" dataField="1" showAll="0">
      <items count="6">
        <item x="0"/>
        <item x="2"/>
        <item x="1"/>
        <item x="3"/>
        <item x="4"/>
        <item t="default"/>
      </items>
    </pivotField>
  </pivotFields>
  <rowFields count="1">
    <field x="2"/>
  </rowFields>
  <rowItems count="6">
    <i>
      <x/>
    </i>
    <i>
      <x v="1"/>
    </i>
    <i>
      <x v="2"/>
    </i>
    <i>
      <x v="3"/>
    </i>
    <i>
      <x v="4"/>
    </i>
    <i t="grand">
      <x/>
    </i>
  </rowItems>
  <colItems count="1">
    <i/>
  </colItems>
  <dataFields count="1">
    <dataField name="Aantal" fld="2" subtotal="count" baseField="0" baseItem="0"/>
  </dataFields>
  <formats count="1">
    <format dxfId="18">
      <pivotArea dataOnly="0" outline="0" axis="axisValues"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2E00-000000000000}" name="Draaitabel2" cacheId="2" applyNumberFormats="0" applyBorderFormats="0" applyFontFormats="0" applyPatternFormats="0" applyAlignmentFormats="0" applyWidthHeightFormats="1" dataCaption="Waarden" updatedVersion="3" minRefreshableVersion="3" useAutoFormatting="1" itemPrintTitles="1" createdVersion="4" indent="0" showHeaders="0" outline="1" outlineData="1" multipleFieldFilters="0">
  <location ref="I10:N18" firstHeaderRow="1" firstDataRow="2" firstDataCol="1"/>
  <pivotFields count="4">
    <pivotField axis="axisRow" showAll="0">
      <items count="3">
        <item x="1"/>
        <item x="0"/>
        <item t="default"/>
      </items>
    </pivotField>
    <pivotField axis="axisRow" showAll="0">
      <items count="3">
        <item x="0"/>
        <item x="1"/>
        <item t="default"/>
      </items>
    </pivotField>
    <pivotField dataField="1" numFmtId="164" showAll="0"/>
    <pivotField axis="axisCol" showAll="0">
      <items count="5">
        <item x="0"/>
        <item x="1"/>
        <item x="3"/>
        <item x="2"/>
        <item t="default"/>
      </items>
    </pivotField>
  </pivotFields>
  <rowFields count="2">
    <field x="1"/>
    <field x="0"/>
  </rowFields>
  <rowItems count="7">
    <i>
      <x/>
    </i>
    <i r="1">
      <x/>
    </i>
    <i r="1">
      <x v="1"/>
    </i>
    <i>
      <x v="1"/>
    </i>
    <i r="1">
      <x/>
    </i>
    <i r="1">
      <x v="1"/>
    </i>
    <i t="grand">
      <x/>
    </i>
  </rowItems>
  <colFields count="1">
    <field x="3"/>
  </colFields>
  <colItems count="5">
    <i>
      <x/>
    </i>
    <i>
      <x v="1"/>
    </i>
    <i>
      <x v="2"/>
    </i>
    <i>
      <x v="3"/>
    </i>
    <i t="grand">
      <x/>
    </i>
  </colItems>
  <dataFields count="1">
    <dataField name="Som van Verkopen" fld="2" baseField="3" baseItem="0" numFmtId="42"/>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2F00-000000000000}" name="Draaitabel2" cacheId="1" applyNumberFormats="0" applyBorderFormats="0" applyFontFormats="0" applyPatternFormats="0" applyAlignmentFormats="0" applyWidthHeightFormats="1" dataCaption="Waarden" updatedVersion="3" minRefreshableVersion="3" useAutoFormatting="1" itemPrintTitles="1" createdVersion="4" indent="0" compact="0" compactData="0" multipleFieldFilters="0">
  <location ref="H11:L22" firstHeaderRow="1" firstDataRow="2" firstDataCol="2"/>
  <pivotFields count="4">
    <pivotField compact="0" outline="0" showAll="0"/>
    <pivotField axis="axisRow" compact="0" outline="0" showAll="0">
      <items count="3">
        <item x="0"/>
        <item x="1"/>
        <item t="default"/>
      </items>
    </pivotField>
    <pivotField axis="axisRow" compact="0" outline="0" showAll="0">
      <items count="4">
        <item x="1"/>
        <item x="0"/>
        <item x="2"/>
        <item t="default"/>
      </items>
    </pivotField>
    <pivotField axis="axisCol" dataField="1" compact="0" outline="0" showAll="0">
      <items count="3">
        <item x="0"/>
        <item x="1"/>
        <item t="default"/>
      </items>
    </pivotField>
  </pivotFields>
  <rowFields count="2">
    <field x="2"/>
    <field x="1"/>
  </rowFields>
  <rowItems count="10">
    <i>
      <x/>
      <x/>
    </i>
    <i r="1">
      <x v="1"/>
    </i>
    <i t="default">
      <x/>
    </i>
    <i>
      <x v="1"/>
      <x/>
    </i>
    <i r="1">
      <x v="1"/>
    </i>
    <i t="default">
      <x v="1"/>
    </i>
    <i>
      <x v="2"/>
      <x/>
    </i>
    <i r="1">
      <x v="1"/>
    </i>
    <i t="default">
      <x v="2"/>
    </i>
    <i t="grand">
      <x/>
    </i>
  </rowItems>
  <colFields count="1">
    <field x="3"/>
  </colFields>
  <colItems count="3">
    <i>
      <x/>
    </i>
    <i>
      <x v="1"/>
    </i>
    <i t="grand">
      <x/>
    </i>
  </colItems>
  <dataFields count="1">
    <dataField name="Aantal van voor/tegen" fld="3"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3000-000000000000}" name="Draaitabel1" cacheId="6" applyNumberFormats="0" applyBorderFormats="0" applyFontFormats="0" applyPatternFormats="0" applyAlignmentFormats="0" applyWidthHeightFormats="1" dataCaption="Waarden" updatedVersion="3" minRefreshableVersion="3" showCalcMbrs="0" useAutoFormatting="1" itemPrintTitles="1" createdVersion="3" indent="0" compact="0" outline="1" outlineData="1" compactData="0" gridDropZones="1" multipleFieldFilters="0">
  <location ref="H11:J20" firstHeaderRow="1" firstDataRow="2" firstDataCol="1" rowPageCount="1" colPageCount="1"/>
  <pivotFields count="4">
    <pivotField compact="0" showAll="0"/>
    <pivotField axis="axisRow" compact="0" showAll="0">
      <items count="8">
        <item x="3"/>
        <item x="0"/>
        <item x="2"/>
        <item x="1"/>
        <item x="5"/>
        <item x="4"/>
        <item x="6"/>
        <item t="default"/>
      </items>
    </pivotField>
    <pivotField axis="axisPage" dataField="1" compact="0" showAll="0">
      <items count="3">
        <item x="0"/>
        <item x="1"/>
        <item t="default"/>
      </items>
    </pivotField>
    <pivotField dataField="1" compact="0" showAll="0"/>
  </pivotFields>
  <rowFields count="1">
    <field x="1"/>
  </rowFields>
  <rowItems count="8">
    <i>
      <x/>
    </i>
    <i>
      <x v="1"/>
    </i>
    <i>
      <x v="2"/>
    </i>
    <i>
      <x v="3"/>
    </i>
    <i>
      <x v="4"/>
    </i>
    <i>
      <x v="5"/>
    </i>
    <i>
      <x v="6"/>
    </i>
    <i t="grand">
      <x/>
    </i>
  </rowItems>
  <colFields count="1">
    <field x="-2"/>
  </colFields>
  <colItems count="2">
    <i>
      <x/>
    </i>
    <i i="1">
      <x v="1"/>
    </i>
  </colItems>
  <pageFields count="1">
    <pageField fld="2" item="0" hier="-1"/>
  </pageFields>
  <dataFields count="2">
    <dataField name="Aantal van eigen huis" fld="2" subtotal="count" baseField="0" baseItem="0"/>
    <dataField name="Gemiddelde van waarde" fld="3" subtotal="average" baseField="0" baseItem="0" numFmtId="42"/>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3100-000000000000}" name="Draaitabel5" cacheId="0" applyNumberFormats="0" applyBorderFormats="0" applyFontFormats="0" applyPatternFormats="0" applyAlignmentFormats="0" applyWidthHeightFormats="1" dataCaption="Waarden" updatedVersion="3" minRefreshableVersion="3" useAutoFormatting="1" itemPrintTitles="1" createdVersion="4" indent="0" outline="1" outlineData="1" multipleFieldFilters="0">
  <location ref="K13:K14" firstHeaderRow="1" firstDataRow="1" firstDataCol="0" rowPageCount="3" colPageCount="1"/>
  <pivotFields count="6">
    <pivotField axis="axisPage" showAll="0">
      <items count="3">
        <item x="0"/>
        <item x="1"/>
        <item t="default"/>
      </items>
    </pivotField>
    <pivotField axis="axisPage" showAll="0">
      <items count="3">
        <item x="1"/>
        <item x="0"/>
        <item t="default"/>
      </items>
    </pivotField>
    <pivotField showAll="0"/>
    <pivotField dataField="1" showAll="0"/>
    <pivotField showAll="0"/>
    <pivotField axis="axisPage" showAll="0">
      <items count="3">
        <item x="1"/>
        <item x="0"/>
        <item t="default"/>
      </items>
    </pivotField>
  </pivotFields>
  <rowItems count="1">
    <i/>
  </rowItems>
  <colItems count="1">
    <i/>
  </colItems>
  <pageFields count="3">
    <pageField fld="0" item="0" hier="-1"/>
    <pageField fld="1" item="0" hier="-1"/>
    <pageField fld="5" item="0" hier="-1"/>
  </pageFields>
  <dataFields count="1">
    <dataField name="Gemiddelde van tijd" fld="3" subtotal="average" baseField="0" baseItem="3206824"/>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3200-000000000000}" name="Draaitabel3" cacheId="5" applyNumberFormats="0" applyBorderFormats="0" applyFontFormats="0" applyPatternFormats="0" applyAlignmentFormats="0" applyWidthHeightFormats="1" dataCaption="Waarden" updatedVersion="3" minRefreshableVersion="3" showCalcMbrs="0" useAutoFormatting="1" itemPrintTitles="1" createdVersion="3" indent="0" compact="0" compactData="0" gridDropZones="1" multipleFieldFilters="0">
  <location ref="I12:M20" firstHeaderRow="1" firstDataRow="2" firstDataCol="1" rowPageCount="1" colPageCount="1"/>
  <pivotFields count="4">
    <pivotField axis="axisCol" compact="0" outline="0" showAll="0">
      <items count="4">
        <item x="0"/>
        <item x="2"/>
        <item x="1"/>
        <item t="default"/>
      </items>
    </pivotField>
    <pivotField axis="axisRow" compact="0" outline="0" showAll="0">
      <items count="7">
        <item x="0"/>
        <item x="1"/>
        <item x="2"/>
        <item x="3"/>
        <item x="4"/>
        <item x="5"/>
        <item t="default"/>
      </items>
    </pivotField>
    <pivotField axis="axisPage" compact="0" outline="0" showAll="0">
      <items count="5">
        <item x="0"/>
        <item x="1"/>
        <item x="3"/>
        <item x="2"/>
        <item t="default"/>
      </items>
    </pivotField>
    <pivotField dataField="1" compact="0" numFmtId="164" outline="0" showAll="0"/>
  </pivotFields>
  <rowFields count="1">
    <field x="1"/>
  </rowFields>
  <rowItems count="7">
    <i>
      <x/>
    </i>
    <i>
      <x v="1"/>
    </i>
    <i>
      <x v="2"/>
    </i>
    <i>
      <x v="3"/>
    </i>
    <i>
      <x v="4"/>
    </i>
    <i>
      <x v="5"/>
    </i>
    <i t="grand">
      <x/>
    </i>
  </rowItems>
  <colFields count="1">
    <field x="0"/>
  </colFields>
  <colItems count="4">
    <i>
      <x/>
    </i>
    <i>
      <x v="1"/>
    </i>
    <i>
      <x v="2"/>
    </i>
    <i t="grand">
      <x/>
    </i>
  </colItems>
  <pageFields count="1">
    <pageField fld="2" item="0" hier="-1"/>
  </pageFields>
  <dataFields count="1">
    <dataField name="Som van Opbrengst" fld="3" baseField="0" baseItem="0" numFmtId="42"/>
  </dataFields>
  <formats count="1">
    <format dxfId="17">
      <pivotArea type="all" dataOnly="0"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3300-000000000000}" name="Draaitabel6" cacheId="10" dataOnRows="1" applyNumberFormats="0" applyBorderFormats="0" applyFontFormats="0" applyPatternFormats="0" applyAlignmentFormats="0" applyWidthHeightFormats="1" dataCaption="Waarden" updatedVersion="3" minRefreshableVersion="3" useAutoFormatting="1" rowGrandTotals="0" colGrandTotals="0" itemPrintTitles="1" createdVersion="4" indent="0" outline="1" outlineData="1" multipleFieldFilters="0" rowHeaderCaption="Merk" colHeaderCaption="Brandstof" fieldListSortAscending="1">
  <location ref="K11:N105" firstHeaderRow="1" firstDataRow="2" firstDataCol="1"/>
  <pivotFields count="7">
    <pivotField axis="axisRow"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showAll="0"/>
    <pivotField showAll="0"/>
    <pivotField axis="axisCol" showAll="0" sortType="ascending">
      <items count="7">
        <item m="1" x="4"/>
        <item x="1"/>
        <item m="1" x="5"/>
        <item x="2"/>
        <item m="1" x="3"/>
        <item x="0"/>
        <item t="default"/>
      </items>
    </pivotField>
    <pivotField dataField="1" numFmtId="168" showAll="0"/>
    <pivotField numFmtId="164" showAll="0"/>
  </pivotFields>
  <rowFields count="2">
    <field x="0"/>
    <field x="-2"/>
  </rowFields>
  <rowItems count="93">
    <i>
      <x/>
    </i>
    <i r="1">
      <x/>
    </i>
    <i r="1" i="1">
      <x v="1"/>
    </i>
    <i>
      <x v="1"/>
    </i>
    <i r="1">
      <x/>
    </i>
    <i r="1" i="1">
      <x v="1"/>
    </i>
    <i>
      <x v="2"/>
    </i>
    <i r="1">
      <x/>
    </i>
    <i r="1" i="1">
      <x v="1"/>
    </i>
    <i>
      <x v="3"/>
    </i>
    <i r="1">
      <x/>
    </i>
    <i r="1" i="1">
      <x v="1"/>
    </i>
    <i>
      <x v="4"/>
    </i>
    <i r="1">
      <x/>
    </i>
    <i r="1" i="1">
      <x v="1"/>
    </i>
    <i>
      <x v="5"/>
    </i>
    <i r="1">
      <x/>
    </i>
    <i r="1" i="1">
      <x v="1"/>
    </i>
    <i>
      <x v="6"/>
    </i>
    <i r="1">
      <x/>
    </i>
    <i r="1" i="1">
      <x v="1"/>
    </i>
    <i>
      <x v="7"/>
    </i>
    <i r="1">
      <x/>
    </i>
    <i r="1" i="1">
      <x v="1"/>
    </i>
    <i>
      <x v="8"/>
    </i>
    <i r="1">
      <x/>
    </i>
    <i r="1" i="1">
      <x v="1"/>
    </i>
    <i>
      <x v="9"/>
    </i>
    <i r="1">
      <x/>
    </i>
    <i r="1" i="1">
      <x v="1"/>
    </i>
    <i>
      <x v="10"/>
    </i>
    <i r="1">
      <x/>
    </i>
    <i r="1" i="1">
      <x v="1"/>
    </i>
    <i>
      <x v="11"/>
    </i>
    <i r="1">
      <x/>
    </i>
    <i r="1" i="1">
      <x v="1"/>
    </i>
    <i>
      <x v="12"/>
    </i>
    <i r="1">
      <x/>
    </i>
    <i r="1" i="1">
      <x v="1"/>
    </i>
    <i>
      <x v="13"/>
    </i>
    <i r="1">
      <x/>
    </i>
    <i r="1" i="1">
      <x v="1"/>
    </i>
    <i>
      <x v="14"/>
    </i>
    <i r="1">
      <x/>
    </i>
    <i r="1" i="1">
      <x v="1"/>
    </i>
    <i>
      <x v="15"/>
    </i>
    <i r="1">
      <x/>
    </i>
    <i r="1" i="1">
      <x v="1"/>
    </i>
    <i>
      <x v="16"/>
    </i>
    <i r="1">
      <x/>
    </i>
    <i r="1" i="1">
      <x v="1"/>
    </i>
    <i>
      <x v="17"/>
    </i>
    <i r="1">
      <x/>
    </i>
    <i r="1" i="1">
      <x v="1"/>
    </i>
    <i>
      <x v="18"/>
    </i>
    <i r="1">
      <x/>
    </i>
    <i r="1" i="1">
      <x v="1"/>
    </i>
    <i>
      <x v="19"/>
    </i>
    <i r="1">
      <x/>
    </i>
    <i r="1" i="1">
      <x v="1"/>
    </i>
    <i>
      <x v="20"/>
    </i>
    <i r="1">
      <x/>
    </i>
    <i r="1" i="1">
      <x v="1"/>
    </i>
    <i>
      <x v="21"/>
    </i>
    <i r="1">
      <x/>
    </i>
    <i r="1" i="1">
      <x v="1"/>
    </i>
    <i>
      <x v="22"/>
    </i>
    <i r="1">
      <x/>
    </i>
    <i r="1" i="1">
      <x v="1"/>
    </i>
    <i>
      <x v="23"/>
    </i>
    <i r="1">
      <x/>
    </i>
    <i r="1" i="1">
      <x v="1"/>
    </i>
    <i>
      <x v="24"/>
    </i>
    <i r="1">
      <x/>
    </i>
    <i r="1" i="1">
      <x v="1"/>
    </i>
    <i>
      <x v="25"/>
    </i>
    <i r="1">
      <x/>
    </i>
    <i r="1" i="1">
      <x v="1"/>
    </i>
    <i>
      <x v="26"/>
    </i>
    <i r="1">
      <x/>
    </i>
    <i r="1" i="1">
      <x v="1"/>
    </i>
    <i>
      <x v="27"/>
    </i>
    <i r="1">
      <x/>
    </i>
    <i r="1" i="1">
      <x v="1"/>
    </i>
    <i>
      <x v="28"/>
    </i>
    <i r="1">
      <x/>
    </i>
    <i r="1" i="1">
      <x v="1"/>
    </i>
    <i>
      <x v="29"/>
    </i>
    <i r="1">
      <x/>
    </i>
    <i r="1" i="1">
      <x v="1"/>
    </i>
    <i>
      <x v="30"/>
    </i>
    <i r="1">
      <x/>
    </i>
    <i r="1" i="1">
      <x v="1"/>
    </i>
  </rowItems>
  <colFields count="1">
    <field x="4"/>
  </colFields>
  <colItems count="3">
    <i>
      <x v="1"/>
    </i>
    <i>
      <x v="3"/>
    </i>
    <i>
      <x v="5"/>
    </i>
  </colItems>
  <dataFields count="2">
    <dataField name="Max verbruik" fld="5" subtotal="max" baseField="0" baseItem="0"/>
    <dataField name="Min verbruik" fld="5" subtotal="min"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3400-000000000000}" name="Draaitabel1" cacheId="4" applyNumberFormats="0" applyBorderFormats="0" applyFontFormats="0" applyPatternFormats="0" applyAlignmentFormats="0" applyWidthHeightFormats="1" dataCaption="Waarden" updatedVersion="3" minRefreshableVersion="3" showCalcMbrs="0" useAutoFormatting="1" itemPrintTitles="1" createdVersion="3" indent="0" showHeaders="0" compact="0" compactData="0" gridDropZones="1" multipleFieldFilters="0">
  <location ref="L37:O42" firstHeaderRow="1" firstDataRow="2" firstDataCol="1"/>
  <pivotFields count="7">
    <pivotField compact="0" outline="0" showAll="0"/>
    <pivotField axis="axisCol" dataField="1" compact="0" outline="0" showAll="0">
      <items count="3">
        <item x="0"/>
        <item x="1"/>
        <item t="default"/>
      </items>
    </pivotField>
    <pivotField compact="0" numFmtId="176" outline="0" showAll="0"/>
    <pivotField compact="0" outline="0" showAll="0"/>
    <pivotField compact="0" outline="0" showAll="0"/>
    <pivotField compact="0" outline="0" showAll="0"/>
    <pivotField axis="axisRow" compact="0" outline="0" showAll="0">
      <items count="6">
        <item x="0"/>
        <item x="1"/>
        <item x="2"/>
        <item x="3"/>
        <item x="4"/>
        <item t="default"/>
      </items>
    </pivotField>
  </pivotFields>
  <rowFields count="1">
    <field x="6"/>
  </rowFields>
  <rowItems count="4">
    <i>
      <x v="1"/>
    </i>
    <i>
      <x v="2"/>
    </i>
    <i>
      <x v="3"/>
    </i>
    <i t="grand">
      <x/>
    </i>
  </rowItems>
  <colFields count="1">
    <field x="1"/>
  </colFields>
  <colItems count="3">
    <i>
      <x/>
    </i>
    <i>
      <x v="1"/>
    </i>
    <i t="grand">
      <x/>
    </i>
  </colItems>
  <dataFields count="1">
    <dataField name="Aantal bijeenkomsten" fld="1"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000000-0007-0000-3400-000002000000}" name="Draaitabel4" cacheId="4" applyNumberFormats="0" applyBorderFormats="0" applyFontFormats="0" applyPatternFormats="0" applyAlignmentFormats="0" applyWidthHeightFormats="1" dataCaption="Waarden" updatedVersion="3" minRefreshableVersion="3" showCalcMbrs="0" useAutoFormatting="1" itemPrintTitles="1" createdVersion="3" indent="0" showHeaders="0" compact="0" compactData="0" gridDropZones="1" multipleFieldFilters="0">
  <location ref="L24:O31" firstHeaderRow="1" firstDataRow="2" firstDataCol="1"/>
  <pivotFields count="7">
    <pivotField dataField="1" compact="0" outline="0" showAll="0"/>
    <pivotField axis="axisCol" compact="0" outline="0" showAll="0">
      <items count="3">
        <item x="0"/>
        <item x="1"/>
        <item t="default"/>
      </items>
    </pivotField>
    <pivotField compact="0" numFmtId="176" outline="0" showAll="0"/>
    <pivotField compact="0" outline="0" showAll="0"/>
    <pivotField axis="axisRow" compact="0" outline="0" showAll="0">
      <items count="6">
        <item x="4"/>
        <item x="1"/>
        <item x="2"/>
        <item x="0"/>
        <item x="3"/>
        <item t="default"/>
      </items>
    </pivotField>
    <pivotField compact="0" outline="0" showAll="0"/>
    <pivotField compact="0" outline="0" showAll="0"/>
  </pivotFields>
  <rowFields count="1">
    <field x="4"/>
  </rowFields>
  <rowItems count="6">
    <i>
      <x/>
    </i>
    <i>
      <x v="1"/>
    </i>
    <i>
      <x v="2"/>
    </i>
    <i>
      <x v="3"/>
    </i>
    <i>
      <x v="4"/>
    </i>
    <i t="grand">
      <x/>
    </i>
  </rowItems>
  <colFields count="1">
    <field x="1"/>
  </colFields>
  <colItems count="3">
    <i>
      <x/>
    </i>
    <i>
      <x v="1"/>
    </i>
    <i t="grand">
      <x/>
    </i>
  </colItems>
  <dataFields count="1">
    <dataField name="Percentage leden" fld="0" subtotal="count" showDataAs="percentOfTotal" baseField="0" baseItem="0" numFmtId="9"/>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000000-0007-0000-3400-000001000000}" name="Draaitabel3" cacheId="4" applyNumberFormats="0" applyBorderFormats="0" applyFontFormats="0" applyPatternFormats="0" applyAlignmentFormats="0" applyWidthHeightFormats="1" dataCaption="Waarden" updatedVersion="3" minRefreshableVersion="3" showCalcMbrs="0" useAutoFormatting="1" itemPrintTitles="1" createdVersion="3" indent="0" showHeaders="0" compact="0" compactData="0" gridDropZones="1" multipleFieldFilters="0">
  <location ref="L11:O18" firstHeaderRow="1" firstDataRow="2" firstDataCol="1"/>
  <pivotFields count="7">
    <pivotField dataField="1" compact="0" outline="0" showAll="0"/>
    <pivotField axis="axisCol" compact="0" outline="0" showAll="0">
      <items count="3">
        <item x="0"/>
        <item x="1"/>
        <item t="default"/>
      </items>
    </pivotField>
    <pivotField compact="0" numFmtId="176" outline="0" showAll="0"/>
    <pivotField axis="axisRow" compact="0" outline="0" showAll="0">
      <items count="6">
        <item x="3"/>
        <item x="4"/>
        <item x="2"/>
        <item x="0"/>
        <item x="1"/>
        <item t="default"/>
      </items>
    </pivotField>
    <pivotField compact="0" outline="0" showAll="0"/>
    <pivotField compact="0" outline="0" showAll="0"/>
    <pivotField compact="0" outline="0" showAll="0"/>
  </pivotFields>
  <rowFields count="1">
    <field x="3"/>
  </rowFields>
  <rowItems count="6">
    <i>
      <x/>
    </i>
    <i>
      <x v="1"/>
    </i>
    <i>
      <x v="2"/>
    </i>
    <i>
      <x v="3"/>
    </i>
    <i>
      <x v="4"/>
    </i>
    <i t="grand">
      <x/>
    </i>
  </rowItems>
  <colFields count="1">
    <field x="1"/>
  </colFields>
  <colItems count="3">
    <i>
      <x/>
    </i>
    <i>
      <x v="1"/>
    </i>
    <i t="grand">
      <x/>
    </i>
  </colItems>
  <dataFields count="1">
    <dataField name="Aantal leden" fld="0"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7B3FA97-EDBD-4E31-A723-66322CE810BA}" name="Draaitabel1" cacheId="11" applyNumberFormats="0" applyBorderFormats="0" applyFontFormats="0" applyPatternFormats="0" applyAlignmentFormats="0" applyWidthHeightFormats="1" dataCaption="Waarden" updatedVersion="6" minRefreshableVersion="3" useAutoFormatting="1" itemPrintTitles="1" createdVersion="6" indent="0" outline="1" outlineData="1" multipleFieldFilters="0">
  <location ref="Q9:R40" firstHeaderRow="1" firstDataRow="1" firstDataCol="1" rowPageCount="1" colPageCount="1"/>
  <pivotFields count="4">
    <pivotField showAll="0"/>
    <pivotField axis="axisRow" showAll="0" sortType="ascending">
      <items count="31">
        <item x="17"/>
        <item x="2"/>
        <item x="25"/>
        <item x="28"/>
        <item x="12"/>
        <item x="3"/>
        <item x="29"/>
        <item x="18"/>
        <item x="23"/>
        <item x="0"/>
        <item x="4"/>
        <item x="13"/>
        <item x="26"/>
        <item x="14"/>
        <item x="9"/>
        <item x="27"/>
        <item x="19"/>
        <item x="1"/>
        <item x="24"/>
        <item x="15"/>
        <item x="21"/>
        <item x="10"/>
        <item x="8"/>
        <item x="11"/>
        <item x="22"/>
        <item x="5"/>
        <item x="16"/>
        <item x="6"/>
        <item x="20"/>
        <item x="7"/>
        <item t="default"/>
      </items>
      <autoSortScope>
        <pivotArea dataOnly="0" outline="0" fieldPosition="0">
          <references count="1">
            <reference field="4294967294" count="1" selected="0">
              <x v="0"/>
            </reference>
          </references>
        </pivotArea>
      </autoSortScope>
    </pivotField>
    <pivotField axis="axisPage" showAll="0">
      <items count="5">
        <item x="0"/>
        <item x="1"/>
        <item x="2"/>
        <item x="3"/>
        <item t="default"/>
      </items>
    </pivotField>
    <pivotField dataField="1" showAll="0"/>
  </pivotFields>
  <rowFields count="1">
    <field x="1"/>
  </rowFields>
  <rowItems count="31">
    <i>
      <x v="19"/>
    </i>
    <i>
      <x v="20"/>
    </i>
    <i>
      <x v="25"/>
    </i>
    <i>
      <x v="21"/>
    </i>
    <i>
      <x v="28"/>
    </i>
    <i>
      <x v="11"/>
    </i>
    <i>
      <x v="23"/>
    </i>
    <i>
      <x v="22"/>
    </i>
    <i>
      <x v="2"/>
    </i>
    <i>
      <x v="29"/>
    </i>
    <i>
      <x v="15"/>
    </i>
    <i>
      <x v="6"/>
    </i>
    <i>
      <x v="4"/>
    </i>
    <i>
      <x v="16"/>
    </i>
    <i>
      <x v="10"/>
    </i>
    <i>
      <x v="24"/>
    </i>
    <i>
      <x v="3"/>
    </i>
    <i>
      <x v="8"/>
    </i>
    <i>
      <x v="13"/>
    </i>
    <i>
      <x v="5"/>
    </i>
    <i>
      <x v="1"/>
    </i>
    <i>
      <x/>
    </i>
    <i>
      <x v="17"/>
    </i>
    <i>
      <x v="14"/>
    </i>
    <i>
      <x v="7"/>
    </i>
    <i>
      <x v="9"/>
    </i>
    <i>
      <x v="26"/>
    </i>
    <i>
      <x v="18"/>
    </i>
    <i>
      <x v="12"/>
    </i>
    <i>
      <x v="27"/>
    </i>
    <i t="grand">
      <x/>
    </i>
  </rowItems>
  <colItems count="1">
    <i/>
  </colItems>
  <pageFields count="1">
    <pageField fld="2" item="3" hier="-1"/>
  </pageFields>
  <dataFields count="1">
    <dataField name="Gemiddelde van Prijs" fld="3" subtotal="average" baseField="1" baseItem="3" numFmtId="17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722B1DD-00CC-4C52-9B46-EA6C3EA96C17}" name="Draaitabel1" cacheId="12" applyNumberFormats="0" applyBorderFormats="0" applyFontFormats="0" applyPatternFormats="0" applyAlignmentFormats="0" applyWidthHeightFormats="1" dataCaption="Waarden" updatedVersion="6" minRefreshableVersion="3" useAutoFormatting="1" itemPrintTitles="1" createdVersion="6" indent="0" outline="1" outlineData="1" multipleFieldFilters="0" chartFormat="1">
  <location ref="R9:T12" firstHeaderRow="0" firstDataRow="1" firstDataCol="1"/>
  <pivotFields count="5">
    <pivotField showAll="0"/>
    <pivotField axis="axisRow" showAll="0">
      <items count="3">
        <item x="0"/>
        <item x="1"/>
        <item t="default"/>
      </items>
    </pivotField>
    <pivotField showAll="0">
      <items count="4">
        <item x="0"/>
        <item x="1"/>
        <item x="2"/>
        <item t="default"/>
      </items>
    </pivotField>
    <pivotField dataField="1" showAll="0"/>
    <pivotField dataField="1" showAll="0"/>
  </pivotFields>
  <rowFields count="1">
    <field x="1"/>
  </rowFields>
  <rowItems count="3">
    <i>
      <x/>
    </i>
    <i>
      <x v="1"/>
    </i>
    <i t="grand">
      <x/>
    </i>
  </rowItems>
  <colFields count="1">
    <field x="-2"/>
  </colFields>
  <colItems count="2">
    <i>
      <x/>
    </i>
    <i i="1">
      <x v="1"/>
    </i>
  </colItems>
  <dataFields count="2">
    <dataField name="Gemiddelde van Rekenen" fld="3" subtotal="average" baseField="1" baseItem="0" numFmtId="168"/>
    <dataField name="Gemiddelde van Taal" fld="4" subtotal="average" baseField="1" baseItem="0" numFmtId="168"/>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Gegevens_1" connectionId="4" xr16:uid="{A36C4FB4-8F99-4AF4-898F-A623C6D9969B}" autoFormatId="16" applyNumberFormats="0" applyBorderFormats="0" applyFontFormats="0" applyPatternFormats="0" applyAlignmentFormats="0" applyWidthHeightFormats="0">
  <queryTableRefresh nextId="3">
    <queryTableFields count="2">
      <queryTableField id="1" name="Datum" tableColumnId="1"/>
      <queryTableField id="2" name="Verkoop"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Gegevens_1" connectionId="1" xr16:uid="{AC397A76-4644-4302-9BC4-E0EA871D872D}" autoFormatId="16" applyNumberFormats="0" applyBorderFormats="0" applyFontFormats="0" applyPatternFormats="0" applyAlignmentFormats="0" applyWidthHeightFormats="0">
  <queryTableRefresh nextId="4">
    <queryTableFields count="3">
      <queryTableField id="1" name="Product" tableColumnId="1"/>
      <queryTableField id="2" name="Grootte" tableColumnId="2"/>
      <queryTableField id="3" name="Prijs"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eGegevens_1" connectionId="2" xr16:uid="{054DBABE-6A77-47D9-98CA-B087D4178788}" autoFormatId="16" applyNumberFormats="0" applyBorderFormats="0" applyFontFormats="0" applyPatternFormats="0" applyAlignmentFormats="0" applyWidthHeightFormats="0">
  <queryTableRefresh nextId="5">
    <queryTableFields count="4">
      <queryTableField id="1" name="Stad" tableColumnId="1"/>
      <queryTableField id="2" name="Land" tableColumnId="2"/>
      <queryTableField id="3" name="Produkt" tableColumnId="3"/>
      <queryTableField id="4" name="Prijs"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eGegevens_1" connectionId="3" xr16:uid="{7AA1D78F-C9E0-4DD2-8D5A-EDF5454FA5DE}" autoFormatId="16" applyNumberFormats="0" applyBorderFormats="0" applyFontFormats="0" applyPatternFormats="0" applyAlignmentFormats="0" applyWidthHeightFormats="0">
  <queryTableRefresh nextId="8">
    <queryTableFields count="5">
      <queryTableField id="1" name="ID" tableColumnId="1"/>
      <queryTableField id="2" name="Jaar" tableColumnId="2"/>
      <queryTableField id="6" name="Kwartaal" tableColumnId="6"/>
      <queryTableField id="4" name="Rekenen" tableColumnId="4"/>
      <queryTableField id="5" name="Taal" tableColumnId="5"/>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90817F-4F72-4AA9-9EBD-8460383950E8}" name="TabelContent" displayName="TabelContent" ref="A1:F80" totalsRowShown="0" headerRowDxfId="32" dataDxfId="31">
  <autoFilter ref="A1:F80" xr:uid="{7328319C-B89D-4204-9673-E216E75CFAFF}"/>
  <sortState xmlns:xlrd2="http://schemas.microsoft.com/office/spreadsheetml/2017/richdata2" ref="A2:F77">
    <sortCondition ref="A1:A77"/>
  </sortState>
  <tableColumns count="6">
    <tableColumn id="1" xr3:uid="{9EE87079-873A-48C5-86EE-EE30A2E79E16}" name="Code" dataDxfId="30" dataCellStyle="Hyperlink"/>
    <tableColumn id="2" xr3:uid="{80091B45-DD43-49DB-A63F-BBDB6699B52F}" name="Titel-NL" dataDxfId="29"/>
    <tableColumn id="3" xr3:uid="{4DA82624-E9D8-436E-821A-497DCD5E483E}" name="Cat-NL" dataDxfId="28"/>
    <tableColumn id="4" xr3:uid="{24D24E10-F9D7-4B3F-9D58-6E16DBEAECD9}" name="Niveau" dataDxfId="27"/>
    <tableColumn id="5" xr3:uid="{0D87D96D-7FB7-4852-83D5-81BF44666DD9}" name="Titel-EN" dataDxfId="26"/>
    <tableColumn id="6" xr3:uid="{6AFAD9C0-513D-4A69-BDD6-B6CCC69B53C9}" name="Cat-EN" dataDxfId="25"/>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D9A13C-9052-4BC4-8C5E-AF49429DF7F8}" name="Verkopen" displayName="Verkopen" ref="E8:F41" tableType="queryTable" totalsRowShown="0" headerRowDxfId="24" dataDxfId="23" headerRowCellStyle="Standaard 5" dataCellStyle="Standaard 5">
  <autoFilter ref="E8:F41" xr:uid="{30320EB1-D9CD-4FF1-BF70-E9CF8F1D0FA9}"/>
  <tableColumns count="2">
    <tableColumn id="1" xr3:uid="{71BA7518-9FB8-4B77-B819-11B80B420754}" uniqueName="1" name="Datum" queryTableFieldId="1" dataDxfId="22" dataCellStyle="Standaard 5"/>
    <tableColumn id="2" xr3:uid="{2003C176-8637-4D6A-B843-B1CD23CE1BAD}" uniqueName="2" name="Verkoop" queryTableFieldId="2" dataDxfId="21" dataCellStyle="Standaard 5"/>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6BD747-23EF-4481-8371-3726D6771C06}" name="Tabel3" displayName="Tabel3" ref="A1:E11" totalsRowShown="0">
  <autoFilter ref="A1:E11" xr:uid="{611CDCCF-E417-4102-8544-AA0508E4743F}"/>
  <tableColumns count="5">
    <tableColumn id="1" xr3:uid="{335AC688-87C0-4704-99F7-597EC3C31714}" name="Jaar" dataDxfId="20"/>
    <tableColumn id="2" xr3:uid="{AF750676-3CFA-4246-82EE-8E4960DC70E0}" name="Omzet (x €1000)" dataDxfId="19"/>
    <tableColumn id="3" xr3:uid="{5636A4B0-C623-4078-AC5E-BDD46BDFA2D4}" name="Voorspellen_x000a_(Omzet (x €1000))"/>
    <tableColumn id="4" xr3:uid="{F88F3A61-0E2C-43FE-885B-27B92BB20639}" name="Laagste betrouwbaarheidsgrens_x000a_(Omzet (x €1000))"/>
    <tableColumn id="5" xr3:uid="{F0FE87D8-D8FC-41F8-B93C-B32FDADD6F85}" name="Hoogste betrouwbaarheidsgrens_x000a_(Omzet (x €1000))"/>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BCD0B2D-A647-4B35-B78B-CF1FE907C505}" name="tblTidy001" displayName="tblTidy001" ref="D8:G17" totalsRowShown="0" headerRowDxfId="16" dataDxfId="15" dataCellStyle="Komma">
  <autoFilter ref="D8:G17" xr:uid="{C6E4DAB3-7E3B-415B-BDEA-82E1075A4D08}"/>
  <tableColumns count="4">
    <tableColumn id="1" xr3:uid="{EFB938C7-D872-4325-B3DC-EC44879266FA}" name="Product"/>
    <tableColumn id="2" xr3:uid="{B3C99FE9-AD3E-4DC0-A29A-AD298B30270F}" name="Tall" dataDxfId="14" dataCellStyle="Komma"/>
    <tableColumn id="3" xr3:uid="{8A756A54-EFCB-4CF8-AEDD-EB70652291B7}" name="Grande" dataDxfId="13" dataCellStyle="Komma"/>
    <tableColumn id="4" xr3:uid="{EB609A16-6835-4E79-ACDD-DB675A7B10A5}" name="Venti" dataDxfId="12" dataCellStyle="Komma"/>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27E8D7F-010B-4F6A-AB2F-075D504B5165}" name="tblTidy001_2" displayName="tblTidy001_2" ref="J8:L34" tableType="queryTable" totalsRowShown="0">
  <autoFilter ref="J8:L34" xr:uid="{9372C642-088F-4EE0-BFEC-49739DA70C99}"/>
  <tableColumns count="3">
    <tableColumn id="1" xr3:uid="{4FF14436-068B-483E-8D01-32D8DF2F9F66}" uniqueName="1" name="Product" queryTableFieldId="1" dataDxfId="11"/>
    <tableColumn id="2" xr3:uid="{669C012E-EEF2-44F3-B95A-E89F96F8E6F8}" uniqueName="2" name="Grootte" queryTableFieldId="2" dataDxfId="10"/>
    <tableColumn id="3" xr3:uid="{C5CA6408-702A-4108-890F-AE0B967444BD}" uniqueName="3" name="Prijs" queryTableFieldId="3"/>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4589AEC-6E8D-4274-A011-576F14583028}" name="tblTidy002" displayName="tblTidy002" ref="D8:H129" totalsRowShown="0">
  <autoFilter ref="D8:H129" xr:uid="{7AF4E77A-1A6E-4CFA-A960-229FA2F25356}"/>
  <tableColumns count="5">
    <tableColumn id="1" xr3:uid="{72015F39-796F-473A-8F18-2C6884261BF6}" name="Location"/>
    <tableColumn id="2" xr3:uid="{AFF4B555-5B49-45C0-8C4E-34FA43097318}" name="Bread" dataDxfId="9"/>
    <tableColumn id="3" xr3:uid="{43F48210-AA07-4117-901D-A5775E7E06CA}" name="Cheese" dataDxfId="8"/>
    <tableColumn id="4" xr3:uid="{9D70B17F-CBD8-4589-82CC-086E8A6C0BA3}" name="Milk" dataDxfId="7"/>
    <tableColumn id="5" xr3:uid="{FCF2B626-CC71-41CF-8075-830801E80A73}" name="Rice" dataDxfId="6"/>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135548E-3A75-41D7-BDA0-3768264D5216}" name="tblTidy002_2" displayName="tblTidy002_2" ref="K8:N477" tableType="queryTable" totalsRowShown="0">
  <autoFilter ref="K8:N477" xr:uid="{14067D97-69E4-48C5-B83C-42D204E3E244}"/>
  <tableColumns count="4">
    <tableColumn id="1" xr3:uid="{FF7FF80E-A04B-4348-9FDC-9ED967E32A11}" uniqueName="1" name="Stad" queryTableFieldId="1" dataDxfId="5"/>
    <tableColumn id="2" xr3:uid="{52BCC56C-11BB-478D-84F5-EBB7E4FD3FF9}" uniqueName="2" name="Land" queryTableFieldId="2" dataDxfId="4"/>
    <tableColumn id="3" xr3:uid="{E7F49B36-C2F9-4E25-A2A6-860D0AEC0524}" uniqueName="3" name="Produkt" queryTableFieldId="3" dataDxfId="3"/>
    <tableColumn id="4" xr3:uid="{095C49A4-1555-49ED-AF11-985DDFB455A7}" uniqueName="4" name="Prijs" queryTableFieldId="4"/>
  </tableColumns>
  <tableStyleInfo name="TableStyleMedium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E4A83F0-70BC-4C3C-A3ED-D4CE16081455}" name="tblTidy003" displayName="tblTidy003" ref="D8:I20" totalsRowShown="0" headerRowDxfId="2">
  <autoFilter ref="D8:I20" xr:uid="{8D18C854-2C00-4838-AB2D-7199CAD2B9AC}"/>
  <tableColumns count="6">
    <tableColumn id="1" xr3:uid="{4E78ED3B-695C-4503-BFA2-D673C3803E0E}" name="ID"/>
    <tableColumn id="2" xr3:uid="{E4AA49E7-2873-46FC-B908-DC419066B1BA}" name="Toets"/>
    <tableColumn id="3" xr3:uid="{DBBDD918-1D96-41C9-986B-6EF0FF29E34F}" name="Jaar"/>
    <tableColumn id="4" xr3:uid="{69FBF040-1247-42FB-A549-DA604B0D4DC0}" name="Herfst"/>
    <tableColumn id="5" xr3:uid="{6668AB0F-7B23-4D19-8041-4DBA8DBAC2D4}" name="Winter"/>
    <tableColumn id="6" xr3:uid="{35EB3B6F-9B58-4B64-A0BA-DC98125A3D63}" name="Lent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12DFCCC-1B75-497D-810A-39B1A59B6BBD}" name="tblTidy003_2" displayName="tblTidy003_2" ref="K9:O27" tableType="queryTable" totalsRowShown="0">
  <autoFilter ref="K9:O27" xr:uid="{055A522C-7C37-424C-83C5-C2991B1B7A67}"/>
  <tableColumns count="5">
    <tableColumn id="1" xr3:uid="{7D21B78E-BF8F-4486-BE94-A05D49C85924}" uniqueName="1" name="ID" queryTableFieldId="1"/>
    <tableColumn id="2" xr3:uid="{CEA7DE5A-73E8-4204-A164-D2306AB3DC17}" uniqueName="2" name="Jaar" queryTableFieldId="2" dataDxfId="1"/>
    <tableColumn id="6" xr3:uid="{2F291322-EE62-403C-96A8-6155E22AC39F}" uniqueName="6" name="Kwartaal" queryTableFieldId="6" dataDxfId="0"/>
    <tableColumn id="4" xr3:uid="{B89EA02B-F904-4AA6-A76A-0AAB8A9EC0FF}" uniqueName="4" name="Rekenen" queryTableFieldId="4"/>
    <tableColumn id="5" xr3:uid="{30E17FE5-B33D-467B-83B5-A440C7F939D0}" uniqueName="5" name="Taal" queryTableFieldId="5"/>
  </tableColumns>
  <tableStyleInfo name="TableStyleMedium4"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8.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9.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0.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1.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2.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3.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4.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5.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6.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7.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pivotTable" Target="../pivotTables/pivotTable2.xml"/></Relationships>
</file>

<file path=xl/worksheets/_rels/sheet49.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ivotTable" Target="../pivotTables/pivotTable3.xml"/></Relationships>
</file>

<file path=xl/worksheets/_rels/sheet50.xml.rels><?xml version="1.0" encoding="UTF-8" standalone="yes"?>
<Relationships xmlns="http://schemas.openxmlformats.org/package/2006/relationships"><Relationship Id="rId2" Type="http://schemas.openxmlformats.org/officeDocument/2006/relationships/printerSettings" Target="../printerSettings/printerSettings46.bin"/><Relationship Id="rId1" Type="http://schemas.openxmlformats.org/officeDocument/2006/relationships/pivotTable" Target="../pivotTables/pivotTable4.xml"/></Relationships>
</file>

<file path=xl/worksheets/_rels/sheet51.xml.rels><?xml version="1.0" encoding="UTF-8" standalone="yes"?>
<Relationships xmlns="http://schemas.openxmlformats.org/package/2006/relationships"><Relationship Id="rId2" Type="http://schemas.openxmlformats.org/officeDocument/2006/relationships/printerSettings" Target="../printerSettings/printerSettings47.bin"/><Relationship Id="rId1" Type="http://schemas.openxmlformats.org/officeDocument/2006/relationships/pivotTable" Target="../pivotTables/pivotTable5.xml"/></Relationships>
</file>

<file path=xl/worksheets/_rels/sheet52.xml.rels><?xml version="1.0" encoding="UTF-8" standalone="yes"?>
<Relationships xmlns="http://schemas.openxmlformats.org/package/2006/relationships"><Relationship Id="rId2" Type="http://schemas.openxmlformats.org/officeDocument/2006/relationships/printerSettings" Target="../printerSettings/printerSettings48.bin"/><Relationship Id="rId1" Type="http://schemas.openxmlformats.org/officeDocument/2006/relationships/pivotTable" Target="../pivotTables/pivotTable6.xml"/></Relationships>
</file>

<file path=xl/worksheets/_rels/sheet53.xml.rels><?xml version="1.0" encoding="UTF-8" standalone="yes"?>
<Relationships xmlns="http://schemas.openxmlformats.org/package/2006/relationships"><Relationship Id="rId2" Type="http://schemas.openxmlformats.org/officeDocument/2006/relationships/printerSettings" Target="../printerSettings/printerSettings49.bin"/><Relationship Id="rId1" Type="http://schemas.openxmlformats.org/officeDocument/2006/relationships/pivotTable" Target="../pivotTables/pivotTable7.xml"/></Relationships>
</file>

<file path=xl/worksheets/_rels/sheet54.xml.rels><?xml version="1.0" encoding="UTF-8" standalone="yes"?>
<Relationships xmlns="http://schemas.openxmlformats.org/package/2006/relationships"><Relationship Id="rId2" Type="http://schemas.openxmlformats.org/officeDocument/2006/relationships/printerSettings" Target="../printerSettings/printerSettings50.bin"/><Relationship Id="rId1" Type="http://schemas.openxmlformats.org/officeDocument/2006/relationships/pivotTable" Target="../pivotTables/pivotTable8.xml"/></Relationships>
</file>

<file path=xl/worksheets/_rels/sheet55.xml.rels><?xml version="1.0" encoding="UTF-8" standalone="yes"?>
<Relationships xmlns="http://schemas.openxmlformats.org/package/2006/relationships"><Relationship Id="rId2" Type="http://schemas.openxmlformats.org/officeDocument/2006/relationships/printerSettings" Target="../printerSettings/printerSettings51.bin"/><Relationship Id="rId1" Type="http://schemas.openxmlformats.org/officeDocument/2006/relationships/pivotTable" Target="../pivotTables/pivotTable9.xml"/></Relationships>
</file>

<file path=xl/worksheets/_rels/sheet56.xml.rels><?xml version="1.0" encoding="UTF-8" standalone="yes"?>
<Relationships xmlns="http://schemas.openxmlformats.org/package/2006/relationships"><Relationship Id="rId2" Type="http://schemas.openxmlformats.org/officeDocument/2006/relationships/printerSettings" Target="../printerSettings/printerSettings52.bin"/><Relationship Id="rId1" Type="http://schemas.openxmlformats.org/officeDocument/2006/relationships/pivotTable" Target="../pivotTables/pivotTable10.xml"/></Relationships>
</file>

<file path=xl/worksheets/_rels/sheet57.xml.rels><?xml version="1.0" encoding="UTF-8" standalone="yes"?>
<Relationships xmlns="http://schemas.openxmlformats.org/package/2006/relationships"><Relationship Id="rId2" Type="http://schemas.openxmlformats.org/officeDocument/2006/relationships/printerSettings" Target="../printerSettings/printerSettings53.bin"/><Relationship Id="rId1" Type="http://schemas.openxmlformats.org/officeDocument/2006/relationships/pivotTable" Target="../pivotTables/pivotTable11.xml"/></Relationships>
</file>

<file path=xl/worksheets/_rels/sheet58.xml.rels><?xml version="1.0" encoding="UTF-8" standalone="yes"?>
<Relationships xmlns="http://schemas.openxmlformats.org/package/2006/relationships"><Relationship Id="rId3" Type="http://schemas.openxmlformats.org/officeDocument/2006/relationships/pivotTable" Target="../pivotTables/pivotTable14.xml"/><Relationship Id="rId2" Type="http://schemas.openxmlformats.org/officeDocument/2006/relationships/pivotTable" Target="../pivotTables/pivotTable13.xml"/><Relationship Id="rId1" Type="http://schemas.openxmlformats.org/officeDocument/2006/relationships/pivotTable" Target="../pivotTables/pivotTable12.xml"/><Relationship Id="rId4" Type="http://schemas.openxmlformats.org/officeDocument/2006/relationships/printerSettings" Target="../printerSettings/printerSettings54.bin"/></Relationships>
</file>

<file path=xl/worksheets/_rels/sheet59.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55.bin"/></Relationships>
</file>

<file path=xl/worksheets/_rels/sheet60.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56.bin"/></Relationships>
</file>

<file path=xl/worksheets/_rels/sheet61.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57.bin"/></Relationships>
</file>

<file path=xl/worksheets/_rels/sheet62.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58.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5.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61.bin"/></Relationships>
</file>

<file path=xl/worksheets/_rels/sheet66.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62.bin"/></Relationships>
</file>

<file path=xl/worksheets/_rels/sheet67.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63.bin"/></Relationships>
</file>

<file path=xl/worksheets/_rels/sheet68.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64.bin"/></Relationships>
</file>

<file path=xl/worksheets/_rels/sheet69.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printerSettings" Target="../printerSettings/printerSettings65.bin"/></Relationships>
</file>

<file path=xl/worksheets/_rels/sheet70.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printerSettings" Target="../printerSettings/printerSettings66.bin"/></Relationships>
</file>

<file path=xl/worksheets/_rels/sheet71.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printerSettings" Target="../printerSettings/printerSettings67.bin"/></Relationships>
</file>

<file path=xl/worksheets/_rels/sheet72.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printerSettings" Target="../printerSettings/printerSettings68.bin"/></Relationships>
</file>

<file path=xl/worksheets/_rels/sheet73.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printerSettings" Target="../printerSettings/printerSettings69.bin"/></Relationships>
</file>

<file path=xl/worksheets/_rels/sheet74.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printerSettings" Target="../printerSettings/printerSettings70.bin"/></Relationships>
</file>

<file path=xl/worksheets/_rels/sheet75.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printerSettings" Target="../printerSettings/printerSettings71.bin"/></Relationships>
</file>

<file path=xl/worksheets/_rels/sheet76.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printerSettings" Target="../printerSettings/printerSettings72.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79.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75.bin"/></Relationships>
</file>

<file path=xl/worksheets/_rels/sheet80.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printerSettings" Target="../printerSettings/printerSettings76.bin"/><Relationship Id="rId1" Type="http://schemas.openxmlformats.org/officeDocument/2006/relationships/pivotTable" Target="../pivotTables/pivotTable15.xml"/><Relationship Id="rId4" Type="http://schemas.openxmlformats.org/officeDocument/2006/relationships/table" Target="../tables/table7.xml"/></Relationships>
</file>

<file path=xl/worksheets/_rels/sheet81.xml.rels><?xml version="1.0" encoding="UTF-8" standalone="yes"?>
<Relationships xmlns="http://schemas.openxmlformats.org/package/2006/relationships"><Relationship Id="rId3" Type="http://schemas.openxmlformats.org/officeDocument/2006/relationships/drawing" Target="../drawings/drawing54.xml"/><Relationship Id="rId2" Type="http://schemas.openxmlformats.org/officeDocument/2006/relationships/printerSettings" Target="../printerSettings/printerSettings77.bin"/><Relationship Id="rId1" Type="http://schemas.openxmlformats.org/officeDocument/2006/relationships/pivotTable" Target="../pivotTables/pivotTable16.xml"/><Relationship Id="rId5" Type="http://schemas.openxmlformats.org/officeDocument/2006/relationships/table" Target="../tables/table9.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F80"/>
  <sheetViews>
    <sheetView workbookViewId="0">
      <pane ySplit="1" topLeftCell="A62" activePane="bottomLeft" state="frozen"/>
      <selection pane="bottomLeft" activeCell="A80" sqref="A80"/>
    </sheetView>
  </sheetViews>
  <sheetFormatPr defaultRowHeight="12.75" x14ac:dyDescent="0.2"/>
  <cols>
    <col min="1" max="1" width="8.7109375" style="317" customWidth="1"/>
    <col min="2" max="2" width="40.7109375" style="317" customWidth="1"/>
    <col min="3" max="3" width="22.85546875" style="317" bestFit="1" customWidth="1"/>
    <col min="4" max="4" width="9.28515625" style="317" customWidth="1"/>
    <col min="5" max="5" width="40.7109375" style="317" customWidth="1"/>
    <col min="6" max="6" width="12.28515625" style="317" bestFit="1" customWidth="1"/>
    <col min="7" max="16384" width="9.140625" style="317"/>
  </cols>
  <sheetData>
    <row r="1" spans="1:6" ht="15.95" customHeight="1" x14ac:dyDescent="0.2">
      <c r="A1" s="317" t="s">
        <v>1183</v>
      </c>
      <c r="B1" s="317" t="s">
        <v>1184</v>
      </c>
      <c r="C1" s="317" t="s">
        <v>1254</v>
      </c>
      <c r="D1" s="317" t="s">
        <v>1084</v>
      </c>
      <c r="E1" s="317" t="s">
        <v>1185</v>
      </c>
      <c r="F1" s="317" t="s">
        <v>1255</v>
      </c>
    </row>
    <row r="2" spans="1:6" ht="15.95" customHeight="1" x14ac:dyDescent="0.2">
      <c r="A2" s="318" t="s">
        <v>1325</v>
      </c>
      <c r="B2" s="317" t="s">
        <v>1326</v>
      </c>
      <c r="C2" s="317" t="s">
        <v>1327</v>
      </c>
      <c r="D2" s="317">
        <v>2</v>
      </c>
      <c r="E2" s="317" t="s">
        <v>1328</v>
      </c>
      <c r="F2" s="317" t="s">
        <v>1327</v>
      </c>
    </row>
    <row r="3" spans="1:6" ht="15.95" customHeight="1" x14ac:dyDescent="0.2">
      <c r="A3" s="318" t="s">
        <v>1305</v>
      </c>
      <c r="B3" s="317" t="s">
        <v>1306</v>
      </c>
      <c r="C3" s="317" t="s">
        <v>1309</v>
      </c>
      <c r="D3" s="317">
        <v>3</v>
      </c>
      <c r="E3" s="317" t="s">
        <v>1311</v>
      </c>
      <c r="F3" s="317" t="s">
        <v>1310</v>
      </c>
    </row>
    <row r="4" spans="1:6" ht="15.95" customHeight="1" x14ac:dyDescent="0.2">
      <c r="A4" s="318" t="s">
        <v>1308</v>
      </c>
      <c r="B4" s="317" t="s">
        <v>1307</v>
      </c>
      <c r="C4" s="317" t="s">
        <v>1309</v>
      </c>
      <c r="D4" s="317">
        <v>3</v>
      </c>
      <c r="E4" s="317" t="s">
        <v>1312</v>
      </c>
      <c r="F4" s="317" t="s">
        <v>1310</v>
      </c>
    </row>
    <row r="5" spans="1:6" ht="15.95" customHeight="1" x14ac:dyDescent="0.2">
      <c r="A5" s="318" t="s">
        <v>69</v>
      </c>
      <c r="B5" s="317" t="s">
        <v>42</v>
      </c>
      <c r="C5" s="317" t="s">
        <v>1078</v>
      </c>
      <c r="D5" s="317">
        <v>1</v>
      </c>
      <c r="E5" s="317" t="s">
        <v>1186</v>
      </c>
      <c r="F5" s="317" t="s">
        <v>1257</v>
      </c>
    </row>
    <row r="6" spans="1:6" ht="15.95" customHeight="1" x14ac:dyDescent="0.2">
      <c r="A6" s="318" t="s">
        <v>1122</v>
      </c>
      <c r="B6" s="317" t="s">
        <v>713</v>
      </c>
      <c r="C6" s="317" t="s">
        <v>1078</v>
      </c>
      <c r="D6" s="317">
        <v>2</v>
      </c>
      <c r="E6" s="317" t="s">
        <v>1187</v>
      </c>
      <c r="F6" s="317" t="s">
        <v>1257</v>
      </c>
    </row>
    <row r="7" spans="1:6" ht="15.95" customHeight="1" x14ac:dyDescent="0.2">
      <c r="A7" s="318" t="s">
        <v>70</v>
      </c>
      <c r="B7" s="317" t="s">
        <v>44</v>
      </c>
      <c r="C7" s="317" t="s">
        <v>1078</v>
      </c>
      <c r="D7" s="317">
        <v>2</v>
      </c>
      <c r="E7" s="317" t="s">
        <v>1188</v>
      </c>
      <c r="F7" s="317" t="s">
        <v>1257</v>
      </c>
    </row>
    <row r="8" spans="1:6" ht="15.95" customHeight="1" x14ac:dyDescent="0.2">
      <c r="A8" s="318" t="s">
        <v>71</v>
      </c>
      <c r="B8" s="317" t="s">
        <v>45</v>
      </c>
      <c r="C8" s="317" t="s">
        <v>1078</v>
      </c>
      <c r="D8" s="317">
        <v>2</v>
      </c>
      <c r="E8" s="317" t="s">
        <v>1189</v>
      </c>
      <c r="F8" s="317" t="s">
        <v>1257</v>
      </c>
    </row>
    <row r="9" spans="1:6" ht="15.95" customHeight="1" x14ac:dyDescent="0.2">
      <c r="A9" s="318" t="s">
        <v>77</v>
      </c>
      <c r="B9" s="317" t="s">
        <v>46</v>
      </c>
      <c r="C9" s="317" t="s">
        <v>1078</v>
      </c>
      <c r="D9" s="317">
        <v>3</v>
      </c>
      <c r="E9" s="317" t="s">
        <v>1190</v>
      </c>
      <c r="F9" s="317" t="s">
        <v>1257</v>
      </c>
    </row>
    <row r="10" spans="1:6" ht="15.95" customHeight="1" x14ac:dyDescent="0.2">
      <c r="A10" s="318" t="s">
        <v>325</v>
      </c>
      <c r="B10" s="317" t="s">
        <v>659</v>
      </c>
      <c r="C10" s="317" t="s">
        <v>1078</v>
      </c>
      <c r="D10" s="317">
        <v>3</v>
      </c>
      <c r="E10" s="317" t="s">
        <v>1191</v>
      </c>
      <c r="F10" s="317" t="s">
        <v>1257</v>
      </c>
    </row>
    <row r="11" spans="1:6" ht="15.95" customHeight="1" x14ac:dyDescent="0.2">
      <c r="A11" s="318" t="s">
        <v>1142</v>
      </c>
      <c r="B11" s="317" t="s">
        <v>1136</v>
      </c>
      <c r="C11" s="317" t="s">
        <v>1078</v>
      </c>
      <c r="D11" s="317">
        <v>1</v>
      </c>
      <c r="E11" s="317" t="s">
        <v>1192</v>
      </c>
      <c r="F11" s="317" t="s">
        <v>1257</v>
      </c>
    </row>
    <row r="12" spans="1:6" ht="15.95" customHeight="1" x14ac:dyDescent="0.2">
      <c r="A12" s="318" t="s">
        <v>1152</v>
      </c>
      <c r="B12" s="317" t="s">
        <v>1143</v>
      </c>
      <c r="C12" s="317" t="s">
        <v>1078</v>
      </c>
      <c r="D12" s="317">
        <v>2</v>
      </c>
      <c r="E12" s="317" t="s">
        <v>1193</v>
      </c>
      <c r="F12" s="317" t="s">
        <v>1257</v>
      </c>
    </row>
    <row r="13" spans="1:6" ht="15.95" customHeight="1" x14ac:dyDescent="0.2">
      <c r="A13" s="318" t="s">
        <v>1156</v>
      </c>
      <c r="B13" s="317" t="s">
        <v>1153</v>
      </c>
      <c r="C13" s="317" t="s">
        <v>1078</v>
      </c>
      <c r="D13" s="317">
        <v>1</v>
      </c>
      <c r="E13" s="317" t="s">
        <v>1194</v>
      </c>
      <c r="F13" s="317" t="s">
        <v>1257</v>
      </c>
    </row>
    <row r="14" spans="1:6" ht="15.95" customHeight="1" x14ac:dyDescent="0.2">
      <c r="A14" s="318" t="s">
        <v>1166</v>
      </c>
      <c r="B14" s="317" t="s">
        <v>1165</v>
      </c>
      <c r="C14" s="317" t="s">
        <v>1078</v>
      </c>
      <c r="D14" s="317">
        <v>1</v>
      </c>
      <c r="E14" s="317" t="s">
        <v>1195</v>
      </c>
      <c r="F14" s="317" t="s">
        <v>1257</v>
      </c>
    </row>
    <row r="15" spans="1:6" ht="15.95" customHeight="1" x14ac:dyDescent="0.2">
      <c r="A15" s="318" t="s">
        <v>1274</v>
      </c>
      <c r="B15" s="317" t="s">
        <v>1275</v>
      </c>
      <c r="C15" s="317" t="s">
        <v>1078</v>
      </c>
      <c r="D15" s="317">
        <v>1</v>
      </c>
      <c r="E15" s="317" t="s">
        <v>1279</v>
      </c>
      <c r="F15" s="317" t="s">
        <v>1257</v>
      </c>
    </row>
    <row r="16" spans="1:6" ht="15.95" customHeight="1" x14ac:dyDescent="0.2">
      <c r="A16" s="318" t="s">
        <v>1313</v>
      </c>
      <c r="B16" s="317" t="s">
        <v>1315</v>
      </c>
      <c r="C16" s="317" t="s">
        <v>1078</v>
      </c>
      <c r="D16" s="317">
        <v>1</v>
      </c>
      <c r="E16" s="317" t="s">
        <v>1317</v>
      </c>
      <c r="F16" s="317" t="s">
        <v>1257</v>
      </c>
    </row>
    <row r="17" spans="1:6" ht="15.95" customHeight="1" x14ac:dyDescent="0.2">
      <c r="A17" s="318" t="s">
        <v>1314</v>
      </c>
      <c r="B17" s="317" t="s">
        <v>1316</v>
      </c>
      <c r="C17" s="317" t="s">
        <v>1078</v>
      </c>
      <c r="D17" s="317">
        <v>2</v>
      </c>
      <c r="E17" s="317" t="s">
        <v>1318</v>
      </c>
      <c r="F17" s="317" t="s">
        <v>1257</v>
      </c>
    </row>
    <row r="18" spans="1:6" ht="15.95" customHeight="1" x14ac:dyDescent="0.2">
      <c r="A18" s="318" t="s">
        <v>618</v>
      </c>
      <c r="B18" s="317" t="s">
        <v>367</v>
      </c>
      <c r="C18" s="317" t="s">
        <v>362</v>
      </c>
      <c r="D18" s="317">
        <v>2</v>
      </c>
      <c r="E18" s="317" t="s">
        <v>367</v>
      </c>
      <c r="F18" s="317" t="s">
        <v>1256</v>
      </c>
    </row>
    <row r="19" spans="1:6" ht="15.95" customHeight="1" x14ac:dyDescent="0.2">
      <c r="A19" s="318" t="s">
        <v>729</v>
      </c>
      <c r="B19" s="317" t="s">
        <v>724</v>
      </c>
      <c r="C19" s="317" t="s">
        <v>362</v>
      </c>
      <c r="D19" s="317">
        <v>2</v>
      </c>
      <c r="E19" s="317" t="s">
        <v>1196</v>
      </c>
      <c r="F19" s="317" t="s">
        <v>1256</v>
      </c>
    </row>
    <row r="20" spans="1:6" ht="15.95" customHeight="1" x14ac:dyDescent="0.2">
      <c r="A20" s="318" t="s">
        <v>737</v>
      </c>
      <c r="B20" s="317" t="s">
        <v>730</v>
      </c>
      <c r="C20" s="317" t="s">
        <v>362</v>
      </c>
      <c r="D20" s="317">
        <v>3</v>
      </c>
      <c r="E20" s="317" t="s">
        <v>1197</v>
      </c>
      <c r="F20" s="317" t="s">
        <v>1256</v>
      </c>
    </row>
    <row r="21" spans="1:6" ht="15.95" customHeight="1" x14ac:dyDescent="0.2">
      <c r="A21" s="318" t="s">
        <v>1102</v>
      </c>
      <c r="B21" s="317" t="s">
        <v>1101</v>
      </c>
      <c r="C21" s="317" t="s">
        <v>362</v>
      </c>
      <c r="D21" s="317">
        <v>2</v>
      </c>
      <c r="E21" s="317" t="s">
        <v>1198</v>
      </c>
      <c r="F21" s="317" t="s">
        <v>1256</v>
      </c>
    </row>
    <row r="22" spans="1:6" ht="15.95" customHeight="1" x14ac:dyDescent="0.2">
      <c r="A22" s="318" t="s">
        <v>72</v>
      </c>
      <c r="B22" s="317" t="s">
        <v>48</v>
      </c>
      <c r="C22" s="317" t="s">
        <v>1080</v>
      </c>
      <c r="D22" s="317">
        <v>2</v>
      </c>
      <c r="E22" s="317" t="s">
        <v>1199</v>
      </c>
      <c r="F22" s="317" t="s">
        <v>1258</v>
      </c>
    </row>
    <row r="23" spans="1:6" ht="15.95" customHeight="1" x14ac:dyDescent="0.2">
      <c r="A23" s="318" t="s">
        <v>73</v>
      </c>
      <c r="B23" s="317" t="s">
        <v>49</v>
      </c>
      <c r="C23" s="317" t="s">
        <v>1080</v>
      </c>
      <c r="D23" s="317">
        <v>1</v>
      </c>
      <c r="E23" s="317" t="s">
        <v>1200</v>
      </c>
      <c r="F23" s="317" t="s">
        <v>1258</v>
      </c>
    </row>
    <row r="24" spans="1:6" ht="15.95" customHeight="1" x14ac:dyDescent="0.2">
      <c r="A24" s="318" t="s">
        <v>74</v>
      </c>
      <c r="B24" s="317" t="s">
        <v>50</v>
      </c>
      <c r="C24" s="317" t="s">
        <v>1080</v>
      </c>
      <c r="D24" s="317">
        <v>2</v>
      </c>
      <c r="E24" s="317" t="s">
        <v>1201</v>
      </c>
      <c r="F24" s="317" t="s">
        <v>1258</v>
      </c>
    </row>
    <row r="25" spans="1:6" ht="15.95" customHeight="1" x14ac:dyDescent="0.2">
      <c r="A25" s="318" t="s">
        <v>323</v>
      </c>
      <c r="B25" s="317" t="s">
        <v>636</v>
      </c>
      <c r="C25" s="317" t="s">
        <v>1080</v>
      </c>
      <c r="D25" s="317">
        <v>2</v>
      </c>
      <c r="E25" s="317" t="s">
        <v>1202</v>
      </c>
      <c r="F25" s="317" t="s">
        <v>1258</v>
      </c>
    </row>
    <row r="26" spans="1:6" ht="15.95" customHeight="1" x14ac:dyDescent="0.2">
      <c r="A26" s="318" t="s">
        <v>324</v>
      </c>
      <c r="B26" s="317" t="s">
        <v>669</v>
      </c>
      <c r="C26" s="317" t="s">
        <v>1080</v>
      </c>
      <c r="D26" s="317">
        <v>2</v>
      </c>
      <c r="E26" s="317" t="s">
        <v>1203</v>
      </c>
      <c r="F26" s="317" t="s">
        <v>1258</v>
      </c>
    </row>
    <row r="27" spans="1:6" ht="15.95" customHeight="1" x14ac:dyDescent="0.2">
      <c r="A27" s="318" t="s">
        <v>1135</v>
      </c>
      <c r="B27" s="317" t="s">
        <v>1124</v>
      </c>
      <c r="C27" s="317" t="s">
        <v>1080</v>
      </c>
      <c r="D27" s="317">
        <v>1</v>
      </c>
      <c r="E27" s="317" t="s">
        <v>1204</v>
      </c>
      <c r="F27" s="317" t="s">
        <v>1258</v>
      </c>
    </row>
    <row r="28" spans="1:6" ht="15.95" customHeight="1" x14ac:dyDescent="0.2">
      <c r="A28" s="318" t="s">
        <v>75</v>
      </c>
      <c r="B28" s="317" t="s">
        <v>68</v>
      </c>
      <c r="C28" s="317" t="s">
        <v>1081</v>
      </c>
      <c r="D28" s="317">
        <v>2</v>
      </c>
      <c r="E28" s="317" t="s">
        <v>1205</v>
      </c>
      <c r="F28" s="317" t="s">
        <v>1259</v>
      </c>
    </row>
    <row r="29" spans="1:6" ht="15.95" customHeight="1" x14ac:dyDescent="0.2">
      <c r="A29" s="318" t="s">
        <v>76</v>
      </c>
      <c r="B29" s="317" t="s">
        <v>124</v>
      </c>
      <c r="C29" s="317" t="s">
        <v>1081</v>
      </c>
      <c r="D29" s="317">
        <v>2</v>
      </c>
      <c r="E29" s="317" t="s">
        <v>1206</v>
      </c>
      <c r="F29" s="317" t="s">
        <v>1259</v>
      </c>
    </row>
    <row r="30" spans="1:6" ht="15.95" customHeight="1" x14ac:dyDescent="0.2">
      <c r="A30" s="318" t="s">
        <v>78</v>
      </c>
      <c r="B30" s="317" t="s">
        <v>1088</v>
      </c>
      <c r="C30" s="317" t="s">
        <v>1081</v>
      </c>
      <c r="D30" s="317">
        <v>2</v>
      </c>
      <c r="E30" s="317" t="s">
        <v>1207</v>
      </c>
      <c r="F30" s="317" t="s">
        <v>1259</v>
      </c>
    </row>
    <row r="31" spans="1:6" ht="15.95" customHeight="1" x14ac:dyDescent="0.2">
      <c r="A31" s="318" t="s">
        <v>79</v>
      </c>
      <c r="B31" s="317" t="s">
        <v>315</v>
      </c>
      <c r="C31" s="317" t="s">
        <v>1081</v>
      </c>
      <c r="D31" s="317">
        <v>2</v>
      </c>
      <c r="E31" s="317" t="s">
        <v>1208</v>
      </c>
      <c r="F31" s="317" t="s">
        <v>1259</v>
      </c>
    </row>
    <row r="32" spans="1:6" ht="15.95" customHeight="1" x14ac:dyDescent="0.2">
      <c r="A32" s="318" t="s">
        <v>1094</v>
      </c>
      <c r="B32" s="317" t="s">
        <v>1089</v>
      </c>
      <c r="C32" s="317" t="s">
        <v>1090</v>
      </c>
      <c r="D32" s="317">
        <v>2</v>
      </c>
      <c r="E32" s="317" t="s">
        <v>1209</v>
      </c>
      <c r="F32" s="317" t="s">
        <v>1090</v>
      </c>
    </row>
    <row r="33" spans="1:6" ht="15.95" customHeight="1" x14ac:dyDescent="0.2">
      <c r="A33" s="318" t="s">
        <v>1095</v>
      </c>
      <c r="B33" s="317" t="s">
        <v>1091</v>
      </c>
      <c r="C33" s="317" t="s">
        <v>1090</v>
      </c>
      <c r="D33" s="317">
        <v>2</v>
      </c>
      <c r="E33" s="317" t="s">
        <v>1210</v>
      </c>
      <c r="F33" s="317" t="s">
        <v>1090</v>
      </c>
    </row>
    <row r="34" spans="1:6" ht="15.95" customHeight="1" x14ac:dyDescent="0.2">
      <c r="A34" s="318" t="s">
        <v>1096</v>
      </c>
      <c r="B34" s="317" t="s">
        <v>1092</v>
      </c>
      <c r="C34" s="317" t="s">
        <v>1090</v>
      </c>
      <c r="D34" s="317">
        <v>2</v>
      </c>
      <c r="E34" s="317" t="s">
        <v>1211</v>
      </c>
      <c r="F34" s="317" t="s">
        <v>1090</v>
      </c>
    </row>
    <row r="35" spans="1:6" ht="15.95" customHeight="1" x14ac:dyDescent="0.2">
      <c r="A35" s="318" t="s">
        <v>1097</v>
      </c>
      <c r="B35" s="317" t="s">
        <v>1093</v>
      </c>
      <c r="C35" s="317" t="s">
        <v>1090</v>
      </c>
      <c r="D35" s="317">
        <v>2</v>
      </c>
      <c r="E35" s="317" t="s">
        <v>1212</v>
      </c>
      <c r="F35" s="317" t="s">
        <v>1090</v>
      </c>
    </row>
    <row r="36" spans="1:6" ht="15.95" customHeight="1" x14ac:dyDescent="0.2">
      <c r="A36" s="318" t="s">
        <v>319</v>
      </c>
      <c r="B36" s="317" t="s">
        <v>326</v>
      </c>
      <c r="C36" s="317" t="s">
        <v>316</v>
      </c>
      <c r="D36" s="317">
        <v>3</v>
      </c>
      <c r="E36" s="317" t="s">
        <v>1213</v>
      </c>
      <c r="F36" s="317" t="s">
        <v>1260</v>
      </c>
    </row>
    <row r="37" spans="1:6" ht="15.95" customHeight="1" x14ac:dyDescent="0.2">
      <c r="A37" s="318" t="s">
        <v>320</v>
      </c>
      <c r="B37" s="317" t="s">
        <v>653</v>
      </c>
      <c r="C37" s="317" t="s">
        <v>316</v>
      </c>
      <c r="D37" s="317">
        <v>3</v>
      </c>
      <c r="E37" s="317" t="s">
        <v>1214</v>
      </c>
      <c r="F37" s="317" t="s">
        <v>1260</v>
      </c>
    </row>
    <row r="38" spans="1:6" ht="15.95" customHeight="1" x14ac:dyDescent="0.2">
      <c r="A38" s="318" t="s">
        <v>321</v>
      </c>
      <c r="B38" s="317" t="s">
        <v>317</v>
      </c>
      <c r="C38" s="317" t="s">
        <v>316</v>
      </c>
      <c r="D38" s="317">
        <v>3</v>
      </c>
      <c r="E38" s="317" t="s">
        <v>1215</v>
      </c>
      <c r="F38" s="317" t="s">
        <v>1260</v>
      </c>
    </row>
    <row r="39" spans="1:6" ht="15.95" customHeight="1" x14ac:dyDescent="0.2">
      <c r="A39" s="318" t="s">
        <v>322</v>
      </c>
      <c r="B39" s="317" t="s">
        <v>318</v>
      </c>
      <c r="C39" s="317" t="s">
        <v>316</v>
      </c>
      <c r="D39" s="317">
        <v>2</v>
      </c>
      <c r="E39" s="317" t="s">
        <v>1216</v>
      </c>
      <c r="F39" s="317" t="s">
        <v>1260</v>
      </c>
    </row>
    <row r="40" spans="1:6" ht="15.95" customHeight="1" x14ac:dyDescent="0.2">
      <c r="A40" s="318" t="s">
        <v>1103</v>
      </c>
      <c r="B40" s="317" t="s">
        <v>43</v>
      </c>
      <c r="C40" s="317" t="s">
        <v>1261</v>
      </c>
      <c r="D40" s="317">
        <v>2</v>
      </c>
      <c r="E40" s="317" t="s">
        <v>1217</v>
      </c>
      <c r="F40" s="317" t="s">
        <v>1262</v>
      </c>
    </row>
    <row r="41" spans="1:6" ht="15.95" customHeight="1" x14ac:dyDescent="0.2">
      <c r="A41" s="318" t="s">
        <v>1104</v>
      </c>
      <c r="B41" s="317" t="s">
        <v>709</v>
      </c>
      <c r="C41" s="317" t="s">
        <v>1261</v>
      </c>
      <c r="D41" s="317">
        <v>3</v>
      </c>
      <c r="E41" s="317" t="s">
        <v>1218</v>
      </c>
      <c r="F41" s="317" t="s">
        <v>1262</v>
      </c>
    </row>
    <row r="42" spans="1:6" ht="15.95" customHeight="1" x14ac:dyDescent="0.2">
      <c r="A42" s="318" t="s">
        <v>1118</v>
      </c>
      <c r="B42" s="317" t="s">
        <v>1109</v>
      </c>
      <c r="C42" s="317" t="s">
        <v>1263</v>
      </c>
      <c r="D42" s="317">
        <v>2</v>
      </c>
      <c r="E42" s="317" t="s">
        <v>1219</v>
      </c>
      <c r="F42" s="317" t="s">
        <v>1264</v>
      </c>
    </row>
    <row r="43" spans="1:6" ht="15.95" customHeight="1" x14ac:dyDescent="0.2">
      <c r="A43" s="318" t="s">
        <v>1119</v>
      </c>
      <c r="B43" s="317" t="s">
        <v>1111</v>
      </c>
      <c r="C43" s="317" t="s">
        <v>1263</v>
      </c>
      <c r="D43" s="317">
        <v>2</v>
      </c>
      <c r="E43" s="317" t="s">
        <v>1220</v>
      </c>
      <c r="F43" s="317" t="s">
        <v>1264</v>
      </c>
    </row>
    <row r="44" spans="1:6" ht="15.95" customHeight="1" x14ac:dyDescent="0.2">
      <c r="A44" s="318" t="s">
        <v>1120</v>
      </c>
      <c r="B44" s="317" t="s">
        <v>1114</v>
      </c>
      <c r="C44" s="317" t="s">
        <v>1263</v>
      </c>
      <c r="D44" s="317">
        <v>2</v>
      </c>
      <c r="E44" s="317" t="s">
        <v>1221</v>
      </c>
      <c r="F44" s="317" t="s">
        <v>1264</v>
      </c>
    </row>
    <row r="45" spans="1:6" ht="15.95" customHeight="1" x14ac:dyDescent="0.2">
      <c r="A45" s="318" t="s">
        <v>1121</v>
      </c>
      <c r="B45" s="317" t="s">
        <v>1117</v>
      </c>
      <c r="C45" s="317" t="s">
        <v>1263</v>
      </c>
      <c r="D45" s="317">
        <v>2</v>
      </c>
      <c r="E45" s="317" t="s">
        <v>1222</v>
      </c>
      <c r="F45" s="317" t="s">
        <v>1264</v>
      </c>
    </row>
    <row r="46" spans="1:6" ht="15.95" customHeight="1" x14ac:dyDescent="0.2">
      <c r="A46" s="318" t="s">
        <v>617</v>
      </c>
      <c r="B46" s="317" t="s">
        <v>616</v>
      </c>
      <c r="C46" s="317" t="s">
        <v>1079</v>
      </c>
      <c r="D46" s="317">
        <v>2</v>
      </c>
      <c r="E46" s="317" t="s">
        <v>1223</v>
      </c>
      <c r="F46" s="317" t="s">
        <v>1265</v>
      </c>
    </row>
    <row r="47" spans="1:6" ht="15.95" customHeight="1" x14ac:dyDescent="0.2">
      <c r="A47" s="318" t="s">
        <v>619</v>
      </c>
      <c r="B47" s="317" t="s">
        <v>758</v>
      </c>
      <c r="C47" s="317" t="s">
        <v>1079</v>
      </c>
      <c r="D47" s="317">
        <v>2</v>
      </c>
      <c r="E47" s="317" t="s">
        <v>1224</v>
      </c>
      <c r="F47" s="317" t="s">
        <v>1265</v>
      </c>
    </row>
    <row r="48" spans="1:6" ht="15.95" customHeight="1" x14ac:dyDescent="0.2">
      <c r="A48" s="318" t="s">
        <v>757</v>
      </c>
      <c r="B48" s="317" t="s">
        <v>759</v>
      </c>
      <c r="C48" s="317" t="s">
        <v>1079</v>
      </c>
      <c r="D48" s="317">
        <v>3</v>
      </c>
      <c r="E48" s="317" t="s">
        <v>1225</v>
      </c>
      <c r="F48" s="317" t="s">
        <v>1265</v>
      </c>
    </row>
    <row r="49" spans="1:6" ht="15.95" customHeight="1" x14ac:dyDescent="0.2">
      <c r="A49" s="318" t="s">
        <v>766</v>
      </c>
      <c r="B49" s="317" t="s">
        <v>764</v>
      </c>
      <c r="C49" s="317" t="s">
        <v>1079</v>
      </c>
      <c r="D49" s="317">
        <v>2</v>
      </c>
      <c r="E49" s="317" t="s">
        <v>1226</v>
      </c>
      <c r="F49" s="317" t="s">
        <v>1265</v>
      </c>
    </row>
    <row r="50" spans="1:6" ht="15.95" customHeight="1" x14ac:dyDescent="0.2">
      <c r="A50" s="318" t="s">
        <v>767</v>
      </c>
      <c r="B50" s="317" t="s">
        <v>765</v>
      </c>
      <c r="C50" s="317" t="s">
        <v>1079</v>
      </c>
      <c r="D50" s="317">
        <v>2</v>
      </c>
      <c r="E50" s="317" t="s">
        <v>1227</v>
      </c>
      <c r="F50" s="317" t="s">
        <v>1265</v>
      </c>
    </row>
    <row r="51" spans="1:6" ht="15.95" customHeight="1" x14ac:dyDescent="0.2">
      <c r="A51" s="318" t="s">
        <v>794</v>
      </c>
      <c r="B51" s="317" t="s">
        <v>793</v>
      </c>
      <c r="C51" s="317" t="s">
        <v>1079</v>
      </c>
      <c r="D51" s="317">
        <v>2</v>
      </c>
      <c r="E51" s="317" t="s">
        <v>1228</v>
      </c>
      <c r="F51" s="317" t="s">
        <v>1265</v>
      </c>
    </row>
    <row r="52" spans="1:6" ht="15.95" customHeight="1" x14ac:dyDescent="0.2">
      <c r="A52" s="318" t="s">
        <v>805</v>
      </c>
      <c r="B52" s="317" t="s">
        <v>804</v>
      </c>
      <c r="C52" s="317" t="s">
        <v>1079</v>
      </c>
      <c r="D52" s="317">
        <v>2</v>
      </c>
      <c r="E52" s="317" t="s">
        <v>1229</v>
      </c>
      <c r="F52" s="317" t="s">
        <v>1265</v>
      </c>
    </row>
    <row r="53" spans="1:6" ht="15.95" customHeight="1" x14ac:dyDescent="0.2">
      <c r="A53" s="318" t="s">
        <v>806</v>
      </c>
      <c r="B53" s="317" t="s">
        <v>828</v>
      </c>
      <c r="C53" s="317" t="s">
        <v>1079</v>
      </c>
      <c r="D53" s="317">
        <v>3</v>
      </c>
      <c r="E53" s="317" t="s">
        <v>1230</v>
      </c>
      <c r="F53" s="317" t="s">
        <v>1265</v>
      </c>
    </row>
    <row r="54" spans="1:6" ht="15.95" customHeight="1" x14ac:dyDescent="0.2">
      <c r="A54" s="318" t="s">
        <v>844</v>
      </c>
      <c r="B54" s="317" t="s">
        <v>846</v>
      </c>
      <c r="C54" s="317" t="s">
        <v>1079</v>
      </c>
      <c r="D54" s="317">
        <v>3</v>
      </c>
      <c r="E54" s="317" t="s">
        <v>1231</v>
      </c>
      <c r="F54" s="317" t="s">
        <v>1265</v>
      </c>
    </row>
    <row r="55" spans="1:6" ht="15.95" customHeight="1" x14ac:dyDescent="0.2">
      <c r="A55" s="318" t="s">
        <v>845</v>
      </c>
      <c r="B55" s="317" t="s">
        <v>843</v>
      </c>
      <c r="C55" s="317" t="s">
        <v>1079</v>
      </c>
      <c r="D55" s="317">
        <v>2</v>
      </c>
      <c r="E55" s="317" t="s">
        <v>1232</v>
      </c>
      <c r="F55" s="317" t="s">
        <v>1265</v>
      </c>
    </row>
    <row r="56" spans="1:6" ht="15.95" customHeight="1" x14ac:dyDescent="0.2">
      <c r="A56" s="318" t="s">
        <v>849</v>
      </c>
      <c r="B56" s="317" t="s">
        <v>847</v>
      </c>
      <c r="C56" s="317" t="s">
        <v>1079</v>
      </c>
      <c r="D56" s="317">
        <v>2</v>
      </c>
      <c r="E56" s="317" t="s">
        <v>1233</v>
      </c>
      <c r="F56" s="317" t="s">
        <v>1265</v>
      </c>
    </row>
    <row r="57" spans="1:6" ht="15.95" customHeight="1" x14ac:dyDescent="0.2">
      <c r="A57" s="318" t="s">
        <v>850</v>
      </c>
      <c r="B57" s="317" t="s">
        <v>848</v>
      </c>
      <c r="C57" s="317" t="s">
        <v>1079</v>
      </c>
      <c r="D57" s="317">
        <v>3</v>
      </c>
      <c r="E57" s="317" t="s">
        <v>1234</v>
      </c>
      <c r="F57" s="317" t="s">
        <v>1265</v>
      </c>
    </row>
    <row r="58" spans="1:6" ht="15.95" customHeight="1" x14ac:dyDescent="0.2">
      <c r="A58" s="318" t="s">
        <v>621</v>
      </c>
      <c r="B58" s="317" t="s">
        <v>1015</v>
      </c>
      <c r="C58" s="317" t="s">
        <v>1082</v>
      </c>
      <c r="D58" s="317">
        <v>2</v>
      </c>
      <c r="E58" s="317" t="s">
        <v>1235</v>
      </c>
      <c r="F58" s="317" t="s">
        <v>1082</v>
      </c>
    </row>
    <row r="59" spans="1:6" ht="15.95" customHeight="1" x14ac:dyDescent="0.2">
      <c r="A59" s="318" t="s">
        <v>1026</v>
      </c>
      <c r="B59" s="317" t="s">
        <v>1025</v>
      </c>
      <c r="C59" s="317" t="s">
        <v>1082</v>
      </c>
      <c r="D59" s="317">
        <v>2</v>
      </c>
      <c r="E59" s="317" t="s">
        <v>1236</v>
      </c>
      <c r="F59" s="317" t="s">
        <v>1082</v>
      </c>
    </row>
    <row r="60" spans="1:6" ht="15.95" customHeight="1" x14ac:dyDescent="0.2">
      <c r="A60" s="318" t="s">
        <v>1075</v>
      </c>
      <c r="B60" s="317" t="s">
        <v>1052</v>
      </c>
      <c r="C60" s="317" t="s">
        <v>1082</v>
      </c>
      <c r="D60" s="317">
        <v>2</v>
      </c>
      <c r="E60" s="317" t="s">
        <v>1237</v>
      </c>
      <c r="F60" s="317" t="s">
        <v>1082</v>
      </c>
    </row>
    <row r="61" spans="1:6" ht="15.95" customHeight="1" x14ac:dyDescent="0.2">
      <c r="A61" s="318" t="s">
        <v>1076</v>
      </c>
      <c r="B61" s="317" t="s">
        <v>1074</v>
      </c>
      <c r="C61" s="317" t="s">
        <v>1082</v>
      </c>
      <c r="D61" s="317">
        <v>3</v>
      </c>
      <c r="E61" s="317" t="s">
        <v>1238</v>
      </c>
      <c r="F61" s="317" t="s">
        <v>1082</v>
      </c>
    </row>
    <row r="62" spans="1:6" ht="15.95" customHeight="1" x14ac:dyDescent="0.2">
      <c r="A62" s="318" t="s">
        <v>635</v>
      </c>
      <c r="B62" s="317" t="s">
        <v>634</v>
      </c>
      <c r="C62" s="317" t="s">
        <v>620</v>
      </c>
      <c r="D62" s="317">
        <v>2</v>
      </c>
      <c r="E62" s="317" t="s">
        <v>1239</v>
      </c>
      <c r="F62" s="317" t="s">
        <v>1266</v>
      </c>
    </row>
    <row r="63" spans="1:6" ht="15.95" customHeight="1" x14ac:dyDescent="0.2">
      <c r="A63" s="318" t="s">
        <v>910</v>
      </c>
      <c r="B63" s="317" t="s">
        <v>895</v>
      </c>
      <c r="C63" s="317" t="s">
        <v>620</v>
      </c>
      <c r="D63" s="317">
        <v>2</v>
      </c>
      <c r="E63" s="317" t="s">
        <v>1240</v>
      </c>
      <c r="F63" s="317" t="s">
        <v>1266</v>
      </c>
    </row>
    <row r="64" spans="1:6" ht="15.95" customHeight="1" x14ac:dyDescent="0.2">
      <c r="A64" s="318" t="s">
        <v>911</v>
      </c>
      <c r="B64" s="317" t="s">
        <v>909</v>
      </c>
      <c r="C64" s="317" t="s">
        <v>620</v>
      </c>
      <c r="D64" s="317">
        <v>2</v>
      </c>
      <c r="E64" s="317" t="s">
        <v>1241</v>
      </c>
      <c r="F64" s="317" t="s">
        <v>1266</v>
      </c>
    </row>
    <row r="65" spans="1:6" ht="15.95" customHeight="1" x14ac:dyDescent="0.2">
      <c r="A65" s="318" t="s">
        <v>921</v>
      </c>
      <c r="B65" s="317" t="s">
        <v>920</v>
      </c>
      <c r="C65" s="317" t="s">
        <v>620</v>
      </c>
      <c r="D65" s="317">
        <v>2</v>
      </c>
      <c r="E65" s="317" t="s">
        <v>1242</v>
      </c>
      <c r="F65" s="317" t="s">
        <v>1266</v>
      </c>
    </row>
    <row r="66" spans="1:6" ht="15.95" customHeight="1" x14ac:dyDescent="0.2">
      <c r="A66" s="318" t="s">
        <v>950</v>
      </c>
      <c r="B66" s="317" t="s">
        <v>1083</v>
      </c>
      <c r="C66" s="317" t="s">
        <v>620</v>
      </c>
      <c r="D66" s="317">
        <v>2</v>
      </c>
      <c r="E66" s="317" t="s">
        <v>1243</v>
      </c>
      <c r="F66" s="317" t="s">
        <v>1266</v>
      </c>
    </row>
    <row r="67" spans="1:6" ht="15.95" customHeight="1" x14ac:dyDescent="0.2">
      <c r="A67" s="318" t="s">
        <v>951</v>
      </c>
      <c r="B67" s="317" t="s">
        <v>942</v>
      </c>
      <c r="C67" s="317" t="s">
        <v>620</v>
      </c>
      <c r="D67" s="317">
        <v>3</v>
      </c>
      <c r="E67" s="317" t="s">
        <v>1244</v>
      </c>
      <c r="F67" s="317" t="s">
        <v>1266</v>
      </c>
    </row>
    <row r="68" spans="1:6" ht="15.95" customHeight="1" x14ac:dyDescent="0.2">
      <c r="A68" s="318" t="s">
        <v>952</v>
      </c>
      <c r="B68" s="317" t="s">
        <v>953</v>
      </c>
      <c r="C68" s="317" t="s">
        <v>620</v>
      </c>
      <c r="D68" s="317">
        <v>2</v>
      </c>
      <c r="E68" s="317" t="s">
        <v>1245</v>
      </c>
      <c r="F68" s="317" t="s">
        <v>1266</v>
      </c>
    </row>
    <row r="69" spans="1:6" ht="15.95" customHeight="1" x14ac:dyDescent="0.2">
      <c r="A69" s="318" t="s">
        <v>1003</v>
      </c>
      <c r="B69" s="317" t="s">
        <v>971</v>
      </c>
      <c r="C69" s="317" t="s">
        <v>620</v>
      </c>
      <c r="D69" s="317">
        <v>3</v>
      </c>
      <c r="E69" s="317" t="s">
        <v>1246</v>
      </c>
      <c r="F69" s="317" t="s">
        <v>1266</v>
      </c>
    </row>
    <row r="70" spans="1:6" ht="15.95" customHeight="1" x14ac:dyDescent="0.2">
      <c r="A70" s="318" t="s">
        <v>1004</v>
      </c>
      <c r="B70" s="317" t="s">
        <v>972</v>
      </c>
      <c r="C70" s="317" t="s">
        <v>620</v>
      </c>
      <c r="D70" s="317">
        <v>3</v>
      </c>
      <c r="E70" s="317" t="s">
        <v>1247</v>
      </c>
      <c r="F70" s="317" t="s">
        <v>1266</v>
      </c>
    </row>
    <row r="71" spans="1:6" ht="15.95" customHeight="1" x14ac:dyDescent="0.2">
      <c r="A71" s="318" t="s">
        <v>1005</v>
      </c>
      <c r="B71" s="317" t="s">
        <v>1002</v>
      </c>
      <c r="C71" s="317" t="s">
        <v>620</v>
      </c>
      <c r="D71" s="317">
        <v>3</v>
      </c>
      <c r="E71" s="317" t="s">
        <v>1248</v>
      </c>
      <c r="F71" s="317" t="s">
        <v>1266</v>
      </c>
    </row>
    <row r="72" spans="1:6" ht="15.95" customHeight="1" x14ac:dyDescent="0.2">
      <c r="A72" s="318" t="s">
        <v>361</v>
      </c>
      <c r="B72" s="317" t="s">
        <v>360</v>
      </c>
      <c r="C72" s="317" t="s">
        <v>359</v>
      </c>
      <c r="D72" s="317">
        <v>2</v>
      </c>
      <c r="E72" s="317" t="s">
        <v>1249</v>
      </c>
      <c r="F72" s="317" t="s">
        <v>1267</v>
      </c>
    </row>
    <row r="73" spans="1:6" ht="15.95" customHeight="1" x14ac:dyDescent="0.2">
      <c r="A73" s="318" t="s">
        <v>693</v>
      </c>
      <c r="B73" s="317" t="s">
        <v>694</v>
      </c>
      <c r="C73" s="317" t="s">
        <v>359</v>
      </c>
      <c r="D73" s="317">
        <v>3</v>
      </c>
      <c r="E73" s="317" t="s">
        <v>1250</v>
      </c>
      <c r="F73" s="317" t="s">
        <v>1267</v>
      </c>
    </row>
    <row r="74" spans="1:6" ht="15.95" customHeight="1" x14ac:dyDescent="0.2">
      <c r="A74" s="318" t="s">
        <v>700</v>
      </c>
      <c r="B74" s="317" t="s">
        <v>695</v>
      </c>
      <c r="C74" s="317" t="s">
        <v>359</v>
      </c>
      <c r="D74" s="317">
        <v>2</v>
      </c>
      <c r="E74" s="317" t="s">
        <v>1251</v>
      </c>
      <c r="F74" s="317" t="s">
        <v>1267</v>
      </c>
    </row>
    <row r="75" spans="1:6" ht="15.95" customHeight="1" x14ac:dyDescent="0.2">
      <c r="A75" s="318" t="s">
        <v>747</v>
      </c>
      <c r="B75" s="317" t="s">
        <v>746</v>
      </c>
      <c r="C75" s="317" t="s">
        <v>359</v>
      </c>
      <c r="D75" s="317">
        <v>3</v>
      </c>
      <c r="E75" s="317" t="s">
        <v>1252</v>
      </c>
      <c r="F75" s="317" t="s">
        <v>1267</v>
      </c>
    </row>
    <row r="76" spans="1:6" ht="15.95" customHeight="1" x14ac:dyDescent="0.2">
      <c r="A76" s="318" t="s">
        <v>1280</v>
      </c>
      <c r="B76" s="317" t="s">
        <v>1281</v>
      </c>
      <c r="C76" s="317" t="s">
        <v>1282</v>
      </c>
      <c r="D76" s="317">
        <v>2</v>
      </c>
      <c r="E76" s="317" t="s">
        <v>1287</v>
      </c>
      <c r="F76" s="317" t="s">
        <v>1289</v>
      </c>
    </row>
    <row r="77" spans="1:6" x14ac:dyDescent="0.2">
      <c r="A77" s="318" t="s">
        <v>1290</v>
      </c>
      <c r="B77" s="317" t="s">
        <v>318</v>
      </c>
      <c r="C77" s="317" t="s">
        <v>1282</v>
      </c>
      <c r="D77" s="317">
        <v>3</v>
      </c>
      <c r="E77" s="317" t="s">
        <v>1291</v>
      </c>
      <c r="F77" s="317" t="s">
        <v>1289</v>
      </c>
    </row>
    <row r="78" spans="1:6" x14ac:dyDescent="0.2">
      <c r="A78" s="318" t="s">
        <v>1332</v>
      </c>
      <c r="B78" s="317" t="s">
        <v>1333</v>
      </c>
      <c r="C78" s="317" t="s">
        <v>1335</v>
      </c>
      <c r="D78" s="317">
        <v>2</v>
      </c>
      <c r="E78" s="317" t="s">
        <v>1336</v>
      </c>
      <c r="F78" s="317" t="s">
        <v>1334</v>
      </c>
    </row>
    <row r="79" spans="1:6" x14ac:dyDescent="0.2">
      <c r="A79" s="318" t="s">
        <v>1350</v>
      </c>
      <c r="B79" s="317" t="s">
        <v>1351</v>
      </c>
      <c r="C79" s="317" t="s">
        <v>1335</v>
      </c>
      <c r="D79" s="317">
        <v>3</v>
      </c>
      <c r="E79" s="317" t="s">
        <v>1352</v>
      </c>
      <c r="F79" s="317" t="s">
        <v>1334</v>
      </c>
    </row>
    <row r="80" spans="1:6" x14ac:dyDescent="0.2">
      <c r="A80" s="318" t="s">
        <v>1633</v>
      </c>
      <c r="B80" s="317" t="s">
        <v>1646</v>
      </c>
      <c r="C80" s="317" t="s">
        <v>1335</v>
      </c>
      <c r="D80" s="317">
        <v>3</v>
      </c>
      <c r="E80" s="317" t="s">
        <v>1647</v>
      </c>
      <c r="F80" s="317" t="s">
        <v>1334</v>
      </c>
    </row>
  </sheetData>
  <phoneticPr fontId="40" type="noConversion"/>
  <hyperlinks>
    <hyperlink ref="A5" location="form001!A1" display="form001" xr:uid="{00000000-0004-0000-0100-000000000000}"/>
    <hyperlink ref="A6" location="form002!A1" display="form002" xr:uid="{00000000-0004-0000-0100-000001000000}"/>
    <hyperlink ref="A7" location="form003!A1" display="form003" xr:uid="{00000000-0004-0000-0100-000002000000}"/>
    <hyperlink ref="A8" location="form004!A1" display="form004" xr:uid="{00000000-0004-0000-0100-000003000000}"/>
    <hyperlink ref="A9" location="form005!A1" display="form005" xr:uid="{00000000-0004-0000-0100-000004000000}"/>
    <hyperlink ref="A10" location="form006!A1" display="form006" xr:uid="{00000000-0004-0000-0100-000005000000}"/>
    <hyperlink ref="A11" location="form007!A1" display="form007" xr:uid="{00000000-0004-0000-0100-000006000000}"/>
    <hyperlink ref="A12" location="form008!A1" display="form008" xr:uid="{00000000-0004-0000-0100-000007000000}"/>
    <hyperlink ref="A13" location="form009!A1" display="form009" xr:uid="{00000000-0004-0000-0100-000008000000}"/>
    <hyperlink ref="A14" location="form010!A1" display="form010" xr:uid="{00000000-0004-0000-0100-000009000000}"/>
    <hyperlink ref="A18" location="goal001!A1" display="goal001" xr:uid="{00000000-0004-0000-0100-00000A000000}"/>
    <hyperlink ref="A19" location="goal002!A1" display="goal002" xr:uid="{00000000-0004-0000-0100-00000B000000}"/>
    <hyperlink ref="A20" location="goal003!A1" display="goal003" xr:uid="{00000000-0004-0000-0100-00000C000000}"/>
    <hyperlink ref="A21" location="goal004!A1" display="goal004" xr:uid="{00000000-0004-0000-0100-00000D000000}"/>
    <hyperlink ref="A22" location="graf001!A1" display="graf001" xr:uid="{00000000-0004-0000-0100-00000E000000}"/>
    <hyperlink ref="A23" location="graf002!A1" display="graf002" xr:uid="{00000000-0004-0000-0100-00000F000000}"/>
    <hyperlink ref="A24" location="graf003!A1" display="graf003" xr:uid="{00000000-0004-0000-0100-000010000000}"/>
    <hyperlink ref="A25" location="graf004!A1" display="graf004" xr:uid="{00000000-0004-0000-0100-000011000000}"/>
    <hyperlink ref="A26" location="graf005!A1" display="graf005" xr:uid="{00000000-0004-0000-0100-000012000000}"/>
    <hyperlink ref="A27" location="graf006!A1" display="graf006" xr:uid="{00000000-0004-0000-0100-000013000000}"/>
    <hyperlink ref="A28" location="list001!A1" display="list001" xr:uid="{00000000-0004-0000-0100-000014000000}"/>
    <hyperlink ref="A29" location="list002!A1" display="list002" xr:uid="{00000000-0004-0000-0100-000015000000}"/>
    <hyperlink ref="A30" location="list003!A1" display="list003" xr:uid="{00000000-0004-0000-0100-000016000000}"/>
    <hyperlink ref="A31" location="list004!A1" display="list004" xr:uid="{00000000-0004-0000-0100-000017000000}"/>
    <hyperlink ref="A32" location="macr001!A1" display="macr001" xr:uid="{00000000-0004-0000-0100-000018000000}"/>
    <hyperlink ref="A33" location="macr002!A1" display="macr002" xr:uid="{00000000-0004-0000-0100-000019000000}"/>
    <hyperlink ref="A34" location="macr003!A1" display="macr003" xr:uid="{00000000-0004-0000-0100-00001A000000}"/>
    <hyperlink ref="A35" location="macr004!A1" display="macr004" xr:uid="{00000000-0004-0000-0100-00001B000000}"/>
    <hyperlink ref="A36" location="math001!A1" display="math001" xr:uid="{00000000-0004-0000-0100-00001C000000}"/>
    <hyperlink ref="A37" location="math002!A1" display="math002" xr:uid="{00000000-0004-0000-0100-00001D000000}"/>
    <hyperlink ref="A38" location="math003!A1" display="math003" xr:uid="{00000000-0004-0000-0100-00001E000000}"/>
    <hyperlink ref="A39" location="math004!A1" display="math004" xr:uid="{00000000-0004-0000-0100-00001F000000}"/>
    <hyperlink ref="A40" location="matr001!A1" display="matr001" xr:uid="{00000000-0004-0000-0100-000020000000}"/>
    <hyperlink ref="A41" location="matr002!A1" display="matr002" xr:uid="{00000000-0004-0000-0100-000021000000}"/>
    <hyperlink ref="A42" location="meas001!A1" display="meas001" xr:uid="{00000000-0004-0000-0100-000022000000}"/>
    <hyperlink ref="A43" location="meas002!A1" display="meas002" xr:uid="{00000000-0004-0000-0100-000023000000}"/>
    <hyperlink ref="A44" location="meas003!A1" display="meas003" xr:uid="{00000000-0004-0000-0100-000024000000}"/>
    <hyperlink ref="A45" location="meas004!A1" display="meas004" xr:uid="{00000000-0004-0000-0100-000025000000}"/>
    <hyperlink ref="A46" location="pivo001!A1" display="pivo001" xr:uid="{00000000-0004-0000-0100-000026000000}"/>
    <hyperlink ref="A47" location="pivo002!A1" display="pivo002" xr:uid="{00000000-0004-0000-0100-000027000000}"/>
    <hyperlink ref="A48" location="pivo003!A1" display="pivo003" xr:uid="{00000000-0004-0000-0100-000028000000}"/>
    <hyperlink ref="A49" location="pivo004!A1" display="pivo004" xr:uid="{00000000-0004-0000-0100-000029000000}"/>
    <hyperlink ref="A50" location="pivo005!A1" display="pivo005" xr:uid="{00000000-0004-0000-0100-00002A000000}"/>
    <hyperlink ref="A51" location="pivo006!A1" display="pivo006" xr:uid="{00000000-0004-0000-0100-00002B000000}"/>
    <hyperlink ref="A52" location="pivo007!A1" display="pivo007" xr:uid="{00000000-0004-0000-0100-00002C000000}"/>
    <hyperlink ref="A53" location="pivo008!A1" display="pivo008" xr:uid="{00000000-0004-0000-0100-00002D000000}"/>
    <hyperlink ref="A54" location="pivo009!A1" display="pivo009" xr:uid="{00000000-0004-0000-0100-00002E000000}"/>
    <hyperlink ref="A55" location="pivo010!A1" display="pivo010" xr:uid="{00000000-0004-0000-0100-00002F000000}"/>
    <hyperlink ref="A56" location="pivo011!A1" display="pivo011" xr:uid="{00000000-0004-0000-0100-000030000000}"/>
    <hyperlink ref="A57" location="pivo012!A1" display="pivo012" xr:uid="{00000000-0004-0000-0100-000031000000}"/>
    <hyperlink ref="A58" location="scen001!A1" display="scen001" xr:uid="{00000000-0004-0000-0100-000032000000}"/>
    <hyperlink ref="A59" location="scen002!A1" display="scen002" xr:uid="{00000000-0004-0000-0100-000033000000}"/>
    <hyperlink ref="A60" location="scen003!A1" display="scen003" xr:uid="{00000000-0004-0000-0100-000034000000}"/>
    <hyperlink ref="A61" location="scen004!A1" display="scen004" xr:uid="{00000000-0004-0000-0100-000035000000}"/>
    <hyperlink ref="A62" location="solv001!A1" display="solv001" xr:uid="{00000000-0004-0000-0100-000036000000}"/>
    <hyperlink ref="A63" location="solv002!A1" display="solv002" xr:uid="{00000000-0004-0000-0100-000037000000}"/>
    <hyperlink ref="A64" location="solv003!A1" display="solv003" xr:uid="{00000000-0004-0000-0100-000038000000}"/>
    <hyperlink ref="A65" location="solv004!A1" display="solv004" xr:uid="{00000000-0004-0000-0100-000039000000}"/>
    <hyperlink ref="A66" location="solv005!A1" display="solv005" xr:uid="{00000000-0004-0000-0100-00003A000000}"/>
    <hyperlink ref="A67" location="solv006!A1" display="solv006" xr:uid="{00000000-0004-0000-0100-00003B000000}"/>
    <hyperlink ref="A68" location="solv007!A1" display="solv007" xr:uid="{00000000-0004-0000-0100-00003C000000}"/>
    <hyperlink ref="A69" location="solv008!A1" display="solv008" xr:uid="{00000000-0004-0000-0100-00003D000000}"/>
    <hyperlink ref="A70" location="solv009!A1" display="solv009" xr:uid="{00000000-0004-0000-0100-00003E000000}"/>
    <hyperlink ref="A71" location="solv010!A1" display="solv010" xr:uid="{00000000-0004-0000-0100-00003F000000}"/>
    <hyperlink ref="A72" location="stat001!A1" display="stat001" xr:uid="{00000000-0004-0000-0100-000040000000}"/>
    <hyperlink ref="A73" location="stat002!A1" display="stat002" xr:uid="{00000000-0004-0000-0100-000041000000}"/>
    <hyperlink ref="A74" location="stat003!A1" display="stat003" xr:uid="{00000000-0004-0000-0100-000042000000}"/>
    <hyperlink ref="A75" location="stat004!A1" display="stat004" xr:uid="{00000000-0004-0000-0100-000043000000}"/>
    <hyperlink ref="A15" location="form011!A1" display="form011" xr:uid="{00000000-0004-0000-0100-000044000000}"/>
    <hyperlink ref="A76" location="tabl001!A1" display="tabl001" xr:uid="{00000000-0004-0000-0100-000045000000}"/>
    <hyperlink ref="A77" location="tabl002!A1" display="tabl002" xr:uid="{00000000-0004-0000-0100-000046000000}"/>
    <hyperlink ref="A3" location="fcast001!A1" display="fcast001" xr:uid="{F2F74463-5E92-4AB5-BF98-F882A21A2BFC}"/>
    <hyperlink ref="A4" location="fcast002!A1" display="fcast002" xr:uid="{EE50ED07-4880-4B38-A40C-A8CF9580B0CB}"/>
    <hyperlink ref="A16" location="form012!A1" display="form012" xr:uid="{E35258ED-AC9A-4CD7-AFE0-8FD2633C1CC8}"/>
    <hyperlink ref="A17" location="form013!A1" display="form013" xr:uid="{7D41AF72-47C3-4111-9A55-DF478CEE96CA}"/>
    <hyperlink ref="A2" location="data001!A1" display="data001" xr:uid="{12CA7819-7B1A-4213-8547-5C1FD478F24B}"/>
    <hyperlink ref="A78" location="tidy001!A1" display="tidy001" xr:uid="{18D32B8F-1F8F-4C2A-B262-EA635F17E706}"/>
    <hyperlink ref="A79" location="tidy002!A1" display="tidy002" xr:uid="{81F13301-0B7D-4EDA-8FE1-9D0D21D895B6}"/>
    <hyperlink ref="A80" location="tidy003!A1" display="tidy003" xr:uid="{14E83149-B141-4D91-B355-7DC2A08255E4}"/>
  </hyperlink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3CECD-6161-4D65-A5E5-5CBDB3D33B6A}">
  <dimension ref="B1:F41"/>
  <sheetViews>
    <sheetView workbookViewId="0">
      <pane xSplit="1" ySplit="6" topLeftCell="B7" activePane="bottomRight" state="frozen"/>
      <selection pane="topRight" activeCell="B1" sqref="B1"/>
      <selection pane="bottomLeft" activeCell="A7" sqref="A7"/>
      <selection pane="bottomRight"/>
    </sheetView>
  </sheetViews>
  <sheetFormatPr defaultRowHeight="15" x14ac:dyDescent="0.25"/>
  <cols>
    <col min="1" max="2" width="3.7109375" style="329" customWidth="1"/>
    <col min="3" max="3" width="7.7109375" style="329" customWidth="1"/>
    <col min="4" max="4" width="10.7109375" style="329" customWidth="1"/>
    <col min="5" max="5" width="9.42578125" style="329" bestFit="1" customWidth="1"/>
    <col min="6" max="6" width="10.85546875" style="329" bestFit="1" customWidth="1"/>
    <col min="7" max="16384" width="9.140625" style="329"/>
  </cols>
  <sheetData>
    <row r="1" spans="2:6" x14ac:dyDescent="0.25">
      <c r="B1" s="355" t="s">
        <v>1253</v>
      </c>
      <c r="C1" s="355"/>
      <c r="D1" s="336" t="s">
        <v>1325</v>
      </c>
    </row>
    <row r="2" spans="2:6" x14ac:dyDescent="0.25">
      <c r="B2" s="355" t="s">
        <v>1085</v>
      </c>
      <c r="C2" s="355"/>
      <c r="D2" s="336" t="str">
        <f>VLOOKUP(D$1,TabelContent[],COLUMN(TabelContent[Titel-NL]))</f>
        <v>Eenvoudig csv bestand importeren</v>
      </c>
    </row>
    <row r="3" spans="2:6" x14ac:dyDescent="0.25">
      <c r="B3" s="355" t="s">
        <v>1086</v>
      </c>
      <c r="C3" s="355"/>
      <c r="D3" s="336" t="str">
        <f>VLOOKUP(D$1,TabelContent[],COLUMN(TabelContent[Cat-NL]))</f>
        <v>Data</v>
      </c>
    </row>
    <row r="4" spans="2:6" x14ac:dyDescent="0.25">
      <c r="B4" s="355" t="s">
        <v>1087</v>
      </c>
      <c r="C4" s="355" t="s">
        <v>1077</v>
      </c>
      <c r="D4" s="336">
        <f>VLOOKUP(D$1,TabelContent[],COLUMN(TabelContent[Niveau]))</f>
        <v>2</v>
      </c>
    </row>
    <row r="6" spans="2:6" x14ac:dyDescent="0.25">
      <c r="B6" s="356" t="s">
        <v>47</v>
      </c>
      <c r="C6" s="356"/>
      <c r="D6" s="356"/>
    </row>
    <row r="8" spans="2:6" x14ac:dyDescent="0.25">
      <c r="E8" s="348" t="s">
        <v>701</v>
      </c>
      <c r="F8" s="348" t="s">
        <v>1324</v>
      </c>
    </row>
    <row r="9" spans="2:6" x14ac:dyDescent="0.25">
      <c r="E9" s="347">
        <v>40544</v>
      </c>
      <c r="F9" s="4">
        <v>3240325</v>
      </c>
    </row>
    <row r="10" spans="2:6" x14ac:dyDescent="0.25">
      <c r="E10" s="347">
        <v>40575</v>
      </c>
      <c r="F10" s="4">
        <v>2741349</v>
      </c>
    </row>
    <row r="11" spans="2:6" x14ac:dyDescent="0.25">
      <c r="E11" s="347">
        <v>40603</v>
      </c>
      <c r="F11" s="4">
        <v>2987427</v>
      </c>
    </row>
    <row r="12" spans="2:6" x14ac:dyDescent="0.25">
      <c r="E12" s="347">
        <v>40634</v>
      </c>
      <c r="F12" s="4">
        <v>3456892</v>
      </c>
    </row>
    <row r="13" spans="2:6" x14ac:dyDescent="0.25">
      <c r="E13" s="347">
        <v>40664</v>
      </c>
      <c r="F13" s="4">
        <v>3740738</v>
      </c>
    </row>
    <row r="14" spans="2:6" x14ac:dyDescent="0.25">
      <c r="E14" s="347">
        <v>40695</v>
      </c>
      <c r="F14" s="4">
        <v>3979178</v>
      </c>
    </row>
    <row r="15" spans="2:6" x14ac:dyDescent="0.25">
      <c r="E15" s="347">
        <v>40725</v>
      </c>
      <c r="F15" s="4">
        <v>4160454</v>
      </c>
    </row>
    <row r="16" spans="2:6" x14ac:dyDescent="0.25">
      <c r="E16" s="347">
        <v>40756</v>
      </c>
      <c r="F16" s="4">
        <v>4162013</v>
      </c>
    </row>
    <row r="17" spans="5:6" x14ac:dyDescent="0.25">
      <c r="E17" s="347">
        <v>40787</v>
      </c>
      <c r="F17" s="4">
        <v>3809132</v>
      </c>
    </row>
    <row r="18" spans="5:6" x14ac:dyDescent="0.25">
      <c r="E18" s="347">
        <v>40817</v>
      </c>
      <c r="F18" s="4">
        <v>3794419</v>
      </c>
    </row>
    <row r="19" spans="5:6" x14ac:dyDescent="0.25">
      <c r="E19" s="347">
        <v>40848</v>
      </c>
      <c r="F19" s="4">
        <v>3719219</v>
      </c>
    </row>
    <row r="20" spans="5:6" x14ac:dyDescent="0.25">
      <c r="E20" s="347">
        <v>40878</v>
      </c>
      <c r="F20" s="4">
        <v>3812981</v>
      </c>
    </row>
    <row r="21" spans="5:6" x14ac:dyDescent="0.25">
      <c r="E21" s="347">
        <v>40909</v>
      </c>
      <c r="F21" s="4">
        <v>3480451</v>
      </c>
    </row>
    <row r="22" spans="5:6" x14ac:dyDescent="0.25">
      <c r="E22" s="347">
        <v>40940</v>
      </c>
      <c r="F22" s="4">
        <v>3183133</v>
      </c>
    </row>
    <row r="23" spans="5:6" x14ac:dyDescent="0.25">
      <c r="E23" s="347">
        <v>40969</v>
      </c>
      <c r="F23" s="4">
        <v>3764529</v>
      </c>
    </row>
    <row r="24" spans="5:6" x14ac:dyDescent="0.25">
      <c r="E24" s="347">
        <v>41000</v>
      </c>
      <c r="F24" s="4">
        <v>3500189</v>
      </c>
    </row>
    <row r="25" spans="5:6" x14ac:dyDescent="0.25">
      <c r="E25" s="347">
        <v>41030</v>
      </c>
      <c r="F25" s="4">
        <v>3389811</v>
      </c>
    </row>
    <row r="26" spans="5:6" x14ac:dyDescent="0.25">
      <c r="E26" s="347">
        <v>41061</v>
      </c>
      <c r="F26" s="4">
        <v>4348789</v>
      </c>
    </row>
    <row r="27" spans="5:6" x14ac:dyDescent="0.25">
      <c r="E27" s="347">
        <v>41091</v>
      </c>
      <c r="F27" s="4">
        <v>4442455</v>
      </c>
    </row>
    <row r="28" spans="5:6" x14ac:dyDescent="0.25">
      <c r="E28" s="347">
        <v>41122</v>
      </c>
      <c r="F28" s="4">
        <v>4593383</v>
      </c>
    </row>
    <row r="29" spans="5:6" x14ac:dyDescent="0.25">
      <c r="E29" s="347">
        <v>41153</v>
      </c>
      <c r="F29" s="4">
        <v>4029783</v>
      </c>
    </row>
    <row r="30" spans="5:6" x14ac:dyDescent="0.25">
      <c r="E30" s="347">
        <v>41183</v>
      </c>
      <c r="F30" s="4">
        <v>4211211</v>
      </c>
    </row>
    <row r="31" spans="5:6" x14ac:dyDescent="0.25">
      <c r="E31" s="347">
        <v>41214</v>
      </c>
      <c r="F31" s="4">
        <v>3854682</v>
      </c>
    </row>
    <row r="32" spans="5:6" x14ac:dyDescent="0.25">
      <c r="E32" s="347">
        <v>41244</v>
      </c>
      <c r="F32" s="4">
        <v>3554831</v>
      </c>
    </row>
    <row r="33" spans="5:6" x14ac:dyDescent="0.25">
      <c r="E33" s="347">
        <v>41275</v>
      </c>
      <c r="F33" s="4">
        <v>3488309</v>
      </c>
    </row>
    <row r="34" spans="5:6" x14ac:dyDescent="0.25">
      <c r="E34" s="347">
        <v>41306</v>
      </c>
      <c r="F34" s="4">
        <v>3270444</v>
      </c>
    </row>
    <row r="35" spans="5:6" x14ac:dyDescent="0.25">
      <c r="E35" s="347">
        <v>41334</v>
      </c>
      <c r="F35" s="4">
        <v>3709943</v>
      </c>
    </row>
    <row r="36" spans="5:6" x14ac:dyDescent="0.25">
      <c r="E36" s="347">
        <v>41365</v>
      </c>
      <c r="F36" s="4">
        <v>3655530</v>
      </c>
    </row>
    <row r="37" spans="5:6" x14ac:dyDescent="0.25">
      <c r="E37" s="347">
        <v>41395</v>
      </c>
      <c r="F37" s="4">
        <v>4097990</v>
      </c>
    </row>
    <row r="38" spans="5:6" x14ac:dyDescent="0.25">
      <c r="E38" s="347">
        <v>41426</v>
      </c>
      <c r="F38" s="4">
        <v>4472583</v>
      </c>
    </row>
    <row r="39" spans="5:6" x14ac:dyDescent="0.25">
      <c r="E39" s="347">
        <v>41456</v>
      </c>
      <c r="F39" s="4">
        <v>4531711</v>
      </c>
    </row>
    <row r="40" spans="5:6" x14ac:dyDescent="0.25">
      <c r="E40" s="347">
        <v>41487</v>
      </c>
      <c r="F40" s="4">
        <v>4504466</v>
      </c>
    </row>
    <row r="41" spans="5:6" x14ac:dyDescent="0.25">
      <c r="E41" s="347">
        <v>41518</v>
      </c>
      <c r="F41" s="4">
        <v>4054338</v>
      </c>
    </row>
  </sheetData>
  <mergeCells count="5">
    <mergeCell ref="B1:C1"/>
    <mergeCell ref="B2:C2"/>
    <mergeCell ref="B3:C3"/>
    <mergeCell ref="B4:C4"/>
    <mergeCell ref="B6:D6"/>
  </mergeCells>
  <hyperlinks>
    <hyperlink ref="B6:D6" location="Inhoud!A1" display="Ga naar Inhoudsopgave" xr:uid="{F5BBFEF2-32E5-4898-9F1A-5D39672DDF51}"/>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6A82D-6CA4-45ED-A137-BB33F6567EA1}">
  <dimension ref="B1:P28"/>
  <sheetViews>
    <sheetView workbookViewId="0">
      <pane xSplit="1" ySplit="6" topLeftCell="B7" activePane="bottomRight" state="frozen"/>
      <selection pane="topRight" activeCell="B1" sqref="B1"/>
      <selection pane="bottomLeft" activeCell="A7" sqref="A7"/>
      <selection pane="bottomRight" activeCell="D4" sqref="D4"/>
    </sheetView>
  </sheetViews>
  <sheetFormatPr defaultRowHeight="15" x14ac:dyDescent="0.25"/>
  <cols>
    <col min="1" max="2" width="3.7109375" style="329" customWidth="1"/>
    <col min="3" max="3" width="7.7109375" style="329" customWidth="1"/>
    <col min="4" max="5" width="10.7109375" style="329" customWidth="1"/>
    <col min="6" max="6" width="9.140625" style="329"/>
    <col min="7" max="7" width="16" style="329" bestFit="1" customWidth="1"/>
    <col min="8" max="16384" width="9.140625" style="329"/>
  </cols>
  <sheetData>
    <row r="1" spans="2:16" x14ac:dyDescent="0.25">
      <c r="B1" s="355" t="s">
        <v>1253</v>
      </c>
      <c r="C1" s="355"/>
      <c r="D1" s="327" t="s">
        <v>1305</v>
      </c>
    </row>
    <row r="2" spans="2:16" x14ac:dyDescent="0.25">
      <c r="B2" s="355" t="s">
        <v>1085</v>
      </c>
      <c r="C2" s="355"/>
      <c r="D2" s="327" t="str">
        <f>VLOOKUP(D$1,TabelContent[],COLUMN(TabelContent[Titel-NL]))</f>
        <v>Inkomsten uit advertenties</v>
      </c>
    </row>
    <row r="3" spans="2:16" x14ac:dyDescent="0.25">
      <c r="B3" s="355" t="s">
        <v>1086</v>
      </c>
      <c r="C3" s="355"/>
      <c r="D3" s="333" t="str">
        <f>VLOOKUP(D$1,TabelContent[],COLUMN(TabelContent[Cat-NL]))</f>
        <v>Prognose</v>
      </c>
    </row>
    <row r="4" spans="2:16" x14ac:dyDescent="0.25">
      <c r="B4" s="355" t="s">
        <v>1087</v>
      </c>
      <c r="C4" s="355" t="s">
        <v>1077</v>
      </c>
      <c r="D4" s="333">
        <f>VLOOKUP(D$1,TabelContent[],COLUMN(TabelContent[Niveau]))</f>
        <v>3</v>
      </c>
    </row>
    <row r="6" spans="2:16" x14ac:dyDescent="0.25">
      <c r="B6" s="356" t="s">
        <v>47</v>
      </c>
      <c r="C6" s="356"/>
      <c r="D6" s="356"/>
    </row>
    <row r="8" spans="2:16" x14ac:dyDescent="0.25">
      <c r="D8" s="328" t="s">
        <v>1295</v>
      </c>
    </row>
    <row r="10" spans="2:16" ht="30" x14ac:dyDescent="0.25">
      <c r="D10" s="328" t="s">
        <v>1296</v>
      </c>
      <c r="E10" s="330" t="s">
        <v>1297</v>
      </c>
    </row>
    <row r="11" spans="2:16" x14ac:dyDescent="0.25">
      <c r="D11" s="329">
        <v>0</v>
      </c>
      <c r="E11" s="331">
        <v>2</v>
      </c>
      <c r="F11" s="331"/>
      <c r="O11" s="329" t="s">
        <v>1298</v>
      </c>
      <c r="P11" s="329" t="s">
        <v>1299</v>
      </c>
    </row>
    <row r="12" spans="2:16" x14ac:dyDescent="0.25">
      <c r="D12" s="329">
        <v>2</v>
      </c>
      <c r="E12" s="331">
        <v>2.4980000000000002</v>
      </c>
      <c r="F12" s="331"/>
      <c r="O12" s="329">
        <v>2</v>
      </c>
      <c r="P12" s="329">
        <v>0.8135</v>
      </c>
    </row>
    <row r="13" spans="2:16" x14ac:dyDescent="0.25">
      <c r="D13" s="329">
        <v>4</v>
      </c>
      <c r="E13" s="331">
        <v>3.6840000000000002</v>
      </c>
      <c r="F13" s="331"/>
      <c r="O13" s="329">
        <v>3</v>
      </c>
      <c r="P13" s="329">
        <v>0.95140000000000002</v>
      </c>
    </row>
    <row r="14" spans="2:16" x14ac:dyDescent="0.25">
      <c r="D14" s="329">
        <v>6</v>
      </c>
      <c r="E14" s="331">
        <v>5.1619999999999999</v>
      </c>
      <c r="F14" s="331"/>
      <c r="O14" s="329">
        <v>4</v>
      </c>
      <c r="P14" s="329">
        <v>0.98829999999999996</v>
      </c>
    </row>
    <row r="15" spans="2:16" x14ac:dyDescent="0.25">
      <c r="D15" s="329">
        <v>8</v>
      </c>
      <c r="E15" s="331">
        <v>6.6120000000000001</v>
      </c>
      <c r="F15" s="331"/>
    </row>
    <row r="16" spans="2:16" x14ac:dyDescent="0.25">
      <c r="D16" s="329">
        <v>10</v>
      </c>
      <c r="E16" s="331">
        <v>8.375</v>
      </c>
      <c r="F16" s="331"/>
    </row>
    <row r="17" spans="4:6" x14ac:dyDescent="0.25">
      <c r="D17" s="329">
        <v>12</v>
      </c>
      <c r="E17" s="331">
        <v>9.4120000000000008</v>
      </c>
      <c r="F17" s="331"/>
    </row>
    <row r="18" spans="4:6" x14ac:dyDescent="0.25">
      <c r="D18" s="329">
        <v>14</v>
      </c>
      <c r="E18" s="331">
        <v>10.88</v>
      </c>
      <c r="F18" s="331"/>
    </row>
    <row r="19" spans="4:6" x14ac:dyDescent="0.25">
      <c r="D19" s="329">
        <v>16</v>
      </c>
      <c r="E19" s="331">
        <v>11.798999999999999</v>
      </c>
      <c r="F19" s="331"/>
    </row>
    <row r="20" spans="4:6" x14ac:dyDescent="0.25">
      <c r="D20" s="329">
        <v>18</v>
      </c>
      <c r="E20" s="331">
        <v>13.211</v>
      </c>
      <c r="F20" s="331"/>
    </row>
    <row r="21" spans="4:6" x14ac:dyDescent="0.25">
      <c r="D21" s="329">
        <v>20</v>
      </c>
      <c r="E21" s="331">
        <v>14.14</v>
      </c>
      <c r="F21" s="331"/>
    </row>
    <row r="22" spans="4:6" x14ac:dyDescent="0.25">
      <c r="D22" s="329">
        <v>22</v>
      </c>
      <c r="E22" s="331">
        <v>16.652000000000001</v>
      </c>
      <c r="F22" s="331"/>
    </row>
    <row r="23" spans="4:6" x14ac:dyDescent="0.25">
      <c r="D23" s="329">
        <v>24</v>
      </c>
      <c r="E23" s="331">
        <v>18.709</v>
      </c>
      <c r="F23" s="331"/>
    </row>
    <row r="24" spans="4:6" x14ac:dyDescent="0.25">
      <c r="D24" s="329">
        <v>26</v>
      </c>
      <c r="E24" s="331">
        <v>19.449000000000002</v>
      </c>
      <c r="F24" s="331"/>
    </row>
    <row r="25" spans="4:6" x14ac:dyDescent="0.25">
      <c r="D25" s="329">
        <v>28</v>
      </c>
      <c r="E25" s="331">
        <v>18.398</v>
      </c>
      <c r="F25" s="331"/>
    </row>
    <row r="26" spans="4:6" x14ac:dyDescent="0.25">
      <c r="D26" s="329">
        <v>30</v>
      </c>
      <c r="E26" s="331">
        <v>17.312000000000001</v>
      </c>
      <c r="F26" s="331"/>
    </row>
    <row r="27" spans="4:6" x14ac:dyDescent="0.25">
      <c r="D27" s="329">
        <v>32</v>
      </c>
      <c r="E27" s="331">
        <v>14.186</v>
      </c>
      <c r="F27" s="331"/>
    </row>
    <row r="28" spans="4:6" x14ac:dyDescent="0.25">
      <c r="D28" s="329">
        <v>34</v>
      </c>
      <c r="E28" s="331">
        <v>7.0529999999999999</v>
      </c>
      <c r="F28" s="331"/>
    </row>
  </sheetData>
  <mergeCells count="5">
    <mergeCell ref="B1:C1"/>
    <mergeCell ref="B2:C2"/>
    <mergeCell ref="B3:C3"/>
    <mergeCell ref="B4:C4"/>
    <mergeCell ref="B6:D6"/>
  </mergeCells>
  <hyperlinks>
    <hyperlink ref="B6:D6" location="Inhoud!A1" display="Ga naar Inhoudsopgave" xr:uid="{C75B721A-1829-4BB8-8330-879EC79E714E}"/>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081AE-BEE6-42DF-BCDB-022D3CB39376}">
  <dimension ref="B1:F27"/>
  <sheetViews>
    <sheetView workbookViewId="0">
      <pane xSplit="1" ySplit="6" topLeftCell="B7" activePane="bottomRight" state="frozen"/>
      <selection pane="topRight" activeCell="B1" sqref="B1"/>
      <selection pane="bottomLeft" activeCell="A7" sqref="A7"/>
      <selection pane="bottomRight"/>
    </sheetView>
  </sheetViews>
  <sheetFormatPr defaultRowHeight="15" x14ac:dyDescent="0.25"/>
  <cols>
    <col min="1" max="2" width="3.7109375" style="325" customWidth="1"/>
    <col min="3" max="3" width="7.7109375" style="325" customWidth="1"/>
    <col min="4" max="4" width="7" style="325" customWidth="1"/>
    <col min="5" max="5" width="14.85546875" style="325" bestFit="1" customWidth="1"/>
    <col min="6" max="16384" width="9.140625" style="325"/>
  </cols>
  <sheetData>
    <row r="1" spans="2:5" x14ac:dyDescent="0.25">
      <c r="B1" s="355" t="s">
        <v>1253</v>
      </c>
      <c r="C1" s="355"/>
      <c r="D1" s="327" t="s">
        <v>1308</v>
      </c>
      <c r="E1" s="329"/>
    </row>
    <row r="2" spans="2:5" x14ac:dyDescent="0.25">
      <c r="B2" s="355" t="s">
        <v>1085</v>
      </c>
      <c r="C2" s="355"/>
      <c r="D2" s="332" t="str">
        <f>VLOOKUP(D$1,TabelContent[],COLUMN(TabelContent[Titel-NL]))</f>
        <v>Omzet voorspelling</v>
      </c>
      <c r="E2" s="329"/>
    </row>
    <row r="3" spans="2:5" x14ac:dyDescent="0.25">
      <c r="B3" s="355" t="s">
        <v>1086</v>
      </c>
      <c r="C3" s="355"/>
      <c r="D3" s="332" t="str">
        <f>VLOOKUP(D$1,TabelContent[],COLUMN(TabelContent[Cat-NL]))</f>
        <v>Prognose</v>
      </c>
      <c r="E3" s="329"/>
    </row>
    <row r="4" spans="2:5" x14ac:dyDescent="0.25">
      <c r="B4" s="355" t="s">
        <v>1087</v>
      </c>
      <c r="C4" s="355" t="s">
        <v>1077</v>
      </c>
      <c r="D4" s="332">
        <f>VLOOKUP(D$1,TabelContent[],COLUMN(TabelContent[Niveau]))</f>
        <v>3</v>
      </c>
      <c r="E4" s="329"/>
    </row>
    <row r="6" spans="2:5" x14ac:dyDescent="0.25">
      <c r="B6" s="356" t="s">
        <v>47</v>
      </c>
      <c r="C6" s="356"/>
      <c r="D6" s="356"/>
    </row>
    <row r="8" spans="2:5" x14ac:dyDescent="0.25">
      <c r="D8" s="324" t="s">
        <v>53</v>
      </c>
      <c r="E8" s="324" t="s">
        <v>1300</v>
      </c>
    </row>
    <row r="9" spans="2:5" x14ac:dyDescent="0.25">
      <c r="D9" s="325">
        <v>2007</v>
      </c>
      <c r="E9" s="325">
        <v>5975</v>
      </c>
    </row>
    <row r="10" spans="2:5" x14ac:dyDescent="0.25">
      <c r="D10" s="325">
        <v>2008</v>
      </c>
      <c r="E10" s="325">
        <v>6880</v>
      </c>
    </row>
    <row r="11" spans="2:5" x14ac:dyDescent="0.25">
      <c r="D11" s="325">
        <v>2009</v>
      </c>
      <c r="E11" s="325">
        <v>8970</v>
      </c>
    </row>
    <row r="12" spans="2:5" x14ac:dyDescent="0.25">
      <c r="D12" s="325">
        <v>2010</v>
      </c>
      <c r="E12" s="325">
        <v>9021</v>
      </c>
    </row>
    <row r="13" spans="2:5" x14ac:dyDescent="0.25">
      <c r="D13" s="325">
        <v>2011</v>
      </c>
      <c r="E13" s="325">
        <v>9901</v>
      </c>
    </row>
    <row r="14" spans="2:5" x14ac:dyDescent="0.25">
      <c r="D14" s="325">
        <v>2012</v>
      </c>
      <c r="E14" s="325">
        <v>11994</v>
      </c>
    </row>
    <row r="15" spans="2:5" x14ac:dyDescent="0.25">
      <c r="D15" s="325">
        <v>2013</v>
      </c>
      <c r="E15" s="325">
        <v>14287</v>
      </c>
    </row>
    <row r="16" spans="2:5" x14ac:dyDescent="0.25">
      <c r="D16" s="325">
        <v>2014</v>
      </c>
      <c r="E16" s="325">
        <v>15552</v>
      </c>
    </row>
    <row r="17" spans="4:6" x14ac:dyDescent="0.25">
      <c r="D17" s="325">
        <v>2015</v>
      </c>
      <c r="E17" s="325">
        <v>17963</v>
      </c>
    </row>
    <row r="19" spans="4:6" x14ac:dyDescent="0.25">
      <c r="D19" s="325">
        <v>2016</v>
      </c>
      <c r="E19" s="326">
        <f>GROWTH(E9:E17,D9:D17,D19)</f>
        <v>20599.950633970493</v>
      </c>
    </row>
    <row r="24" spans="4:6" x14ac:dyDescent="0.25">
      <c r="F24" s="325" t="s">
        <v>1301</v>
      </c>
    </row>
    <row r="25" spans="4:6" x14ac:dyDescent="0.25">
      <c r="E25" s="325" t="s">
        <v>1302</v>
      </c>
      <c r="F25" s="325">
        <v>0.96689999999999998</v>
      </c>
    </row>
    <row r="26" spans="4:6" x14ac:dyDescent="0.25">
      <c r="E26" s="325" t="s">
        <v>1303</v>
      </c>
      <c r="F26" s="325">
        <v>0.9667</v>
      </c>
    </row>
    <row r="27" spans="4:6" x14ac:dyDescent="0.25">
      <c r="E27" s="325" t="s">
        <v>1304</v>
      </c>
      <c r="F27" s="325">
        <v>0.9829</v>
      </c>
    </row>
  </sheetData>
  <mergeCells count="5">
    <mergeCell ref="B1:C1"/>
    <mergeCell ref="B2:C2"/>
    <mergeCell ref="B3:C3"/>
    <mergeCell ref="B4:C4"/>
    <mergeCell ref="B6:D6"/>
  </mergeCells>
  <hyperlinks>
    <hyperlink ref="B6:D6" location="Inhoud!A1" display="Ga naar Inhoudsopgave" xr:uid="{BEDEF40D-D7DF-433E-81FC-A071EAB01D76}"/>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10738-2661-4003-9432-9A99D9F39506}">
  <dimension ref="A1:E11"/>
  <sheetViews>
    <sheetView workbookViewId="0">
      <selection activeCell="A14" sqref="A14"/>
    </sheetView>
  </sheetViews>
  <sheetFormatPr defaultRowHeight="12.75" x14ac:dyDescent="0.2"/>
  <cols>
    <col min="2" max="2" width="18.5703125" customWidth="1"/>
    <col min="3" max="3" width="20.7109375" bestFit="1" customWidth="1"/>
    <col min="4" max="4" width="34.28515625" bestFit="1" customWidth="1"/>
    <col min="5" max="5" width="34.5703125" bestFit="1" customWidth="1"/>
  </cols>
  <sheetData>
    <row r="1" spans="1:5" ht="25.5" x14ac:dyDescent="0.2">
      <c r="A1" t="s">
        <v>53</v>
      </c>
      <c r="B1" t="s">
        <v>1300</v>
      </c>
      <c r="C1" s="349" t="s">
        <v>1329</v>
      </c>
      <c r="D1" s="349" t="s">
        <v>1330</v>
      </c>
      <c r="E1" s="349" t="s">
        <v>1331</v>
      </c>
    </row>
    <row r="2" spans="1:5" x14ac:dyDescent="0.2">
      <c r="A2" s="115">
        <v>2007</v>
      </c>
      <c r="B2" s="115">
        <v>5975</v>
      </c>
    </row>
    <row r="3" spans="1:5" x14ac:dyDescent="0.2">
      <c r="A3" s="115">
        <v>2008</v>
      </c>
      <c r="B3" s="115">
        <v>6880</v>
      </c>
    </row>
    <row r="4" spans="1:5" x14ac:dyDescent="0.2">
      <c r="A4" s="115">
        <v>2009</v>
      </c>
      <c r="B4" s="115">
        <v>8970</v>
      </c>
    </row>
    <row r="5" spans="1:5" x14ac:dyDescent="0.2">
      <c r="A5" s="115">
        <v>2010</v>
      </c>
      <c r="B5" s="115">
        <v>9021</v>
      </c>
    </row>
    <row r="6" spans="1:5" x14ac:dyDescent="0.2">
      <c r="A6" s="115">
        <v>2011</v>
      </c>
      <c r="B6" s="115">
        <v>9901</v>
      </c>
    </row>
    <row r="7" spans="1:5" x14ac:dyDescent="0.2">
      <c r="A7" s="115">
        <v>2012</v>
      </c>
      <c r="B7" s="115">
        <v>11994</v>
      </c>
    </row>
    <row r="8" spans="1:5" x14ac:dyDescent="0.2">
      <c r="A8" s="115">
        <v>2013</v>
      </c>
      <c r="B8" s="115">
        <v>14287</v>
      </c>
    </row>
    <row r="9" spans="1:5" x14ac:dyDescent="0.2">
      <c r="A9" s="115">
        <v>2014</v>
      </c>
      <c r="B9" s="115">
        <v>15552</v>
      </c>
    </row>
    <row r="10" spans="1:5" x14ac:dyDescent="0.2">
      <c r="A10" s="115">
        <v>2015</v>
      </c>
      <c r="B10" s="115">
        <v>17963</v>
      </c>
      <c r="C10" s="115">
        <v>17963</v>
      </c>
      <c r="D10" s="105">
        <v>17963</v>
      </c>
      <c r="E10" s="105">
        <v>17963</v>
      </c>
    </row>
    <row r="11" spans="1:5" x14ac:dyDescent="0.2">
      <c r="A11" s="115">
        <v>2016</v>
      </c>
      <c r="C11" s="115">
        <f>_xlfn.FORECAST.ETS(A11,$B$2:$B$10,$A$2:$A$10,1,1)</f>
        <v>19328.669729250836</v>
      </c>
      <c r="D11" s="105">
        <f>C11-_xlfn.FORECAST.ETS.CONFINT(A11,$B$2:$B$10,$A$2:$A$10,0.95,1,1)</f>
        <v>17870.237604376249</v>
      </c>
      <c r="E11" s="105">
        <f>C11+_xlfn.FORECAST.ETS.CONFINT(A11,$B$2:$B$10,$A$2:$A$10,0.95,1,1)</f>
        <v>20787.101854125423</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3"/>
  <dimension ref="B1:J14"/>
  <sheetViews>
    <sheetView workbookViewId="0">
      <pane xSplit="1" ySplit="6" topLeftCell="B7" activePane="bottomRight" state="frozen"/>
      <selection pane="topRight" activeCell="B1" sqref="B1"/>
      <selection pane="bottomLeft" activeCell="A5" sqref="A5"/>
      <selection pane="bottomRight" activeCell="D4" sqref="D4"/>
    </sheetView>
  </sheetViews>
  <sheetFormatPr defaultRowHeight="12.75" x14ac:dyDescent="0.2"/>
  <cols>
    <col min="1" max="2" width="3.7109375" customWidth="1"/>
    <col min="3" max="3" width="7.7109375" customWidth="1"/>
    <col min="4" max="4" width="13.85546875" customWidth="1"/>
    <col min="5" max="5" width="10.28515625" bestFit="1" customWidth="1"/>
    <col min="6" max="6" width="10.7109375" bestFit="1" customWidth="1"/>
    <col min="7" max="7" width="12" bestFit="1" customWidth="1"/>
    <col min="8" max="8" width="8.28515625" bestFit="1" customWidth="1"/>
    <col min="9" max="9" width="10" bestFit="1" customWidth="1"/>
  </cols>
  <sheetData>
    <row r="1" spans="2:10" s="4" customFormat="1" x14ac:dyDescent="0.2">
      <c r="B1" s="355" t="s">
        <v>1253</v>
      </c>
      <c r="C1" s="355"/>
      <c r="D1" s="316" t="s">
        <v>69</v>
      </c>
    </row>
    <row r="2" spans="2:10" s="4" customFormat="1" x14ac:dyDescent="0.2">
      <c r="B2" s="355" t="s">
        <v>1085</v>
      </c>
      <c r="C2" s="355"/>
      <c r="D2" s="332" t="str">
        <f>VLOOKUP(D$1,TabelContent[],COLUMN(TabelContent[Titel-NL]))</f>
        <v>Resultaten computerbedrijf</v>
      </c>
    </row>
    <row r="3" spans="2:10" s="4" customFormat="1" x14ac:dyDescent="0.2">
      <c r="B3" s="355" t="s">
        <v>1086</v>
      </c>
      <c r="C3" s="355"/>
      <c r="D3" s="332" t="str">
        <f>VLOOKUP(D$1,TabelContent[],COLUMN(TabelContent[Cat-NL]))</f>
        <v>Formule</v>
      </c>
    </row>
    <row r="4" spans="2:10" s="4" customFormat="1" x14ac:dyDescent="0.2">
      <c r="B4" s="355" t="s">
        <v>1087</v>
      </c>
      <c r="C4" s="355" t="s">
        <v>1077</v>
      </c>
      <c r="D4" s="332">
        <f>VLOOKUP(D$1,TabelContent[],COLUMN(TabelContent[Niveau]))</f>
        <v>1</v>
      </c>
    </row>
    <row r="5" spans="2:10" x14ac:dyDescent="0.2">
      <c r="B5" s="16"/>
      <c r="C5" s="16"/>
      <c r="D5" s="24"/>
      <c r="E5" s="16"/>
      <c r="F5" s="16"/>
      <c r="G5" s="16"/>
      <c r="H5" s="16"/>
    </row>
    <row r="6" spans="2:10" x14ac:dyDescent="0.2">
      <c r="B6" s="356" t="s">
        <v>47</v>
      </c>
      <c r="C6" s="356"/>
      <c r="D6" s="356"/>
      <c r="E6" s="16"/>
      <c r="F6" s="16"/>
      <c r="G6" s="16"/>
      <c r="H6" s="16"/>
    </row>
    <row r="7" spans="2:10" x14ac:dyDescent="0.2">
      <c r="B7" s="16"/>
      <c r="C7" s="16"/>
      <c r="D7" s="16"/>
      <c r="E7" s="16"/>
      <c r="F7" s="16"/>
      <c r="G7" s="16"/>
      <c r="H7" s="16"/>
    </row>
    <row r="8" spans="2:10" x14ac:dyDescent="0.2">
      <c r="B8" s="16"/>
      <c r="D8" s="23" t="s">
        <v>10</v>
      </c>
      <c r="E8" s="24"/>
      <c r="F8" s="24"/>
      <c r="G8" s="25">
        <v>5000</v>
      </c>
      <c r="H8" s="26">
        <v>0.15</v>
      </c>
      <c r="I8" s="16"/>
    </row>
    <row r="9" spans="2:10" x14ac:dyDescent="0.2">
      <c r="B9" s="16"/>
      <c r="D9" s="16"/>
      <c r="E9" s="16"/>
      <c r="F9" s="16"/>
      <c r="G9" s="22"/>
      <c r="H9" s="27"/>
      <c r="I9" s="16" t="s">
        <v>1167</v>
      </c>
      <c r="J9" s="4" t="s">
        <v>1168</v>
      </c>
    </row>
    <row r="10" spans="2:10" ht="25.5" x14ac:dyDescent="0.2">
      <c r="B10" s="16"/>
      <c r="D10" s="23" t="s">
        <v>0</v>
      </c>
      <c r="E10" s="23" t="s">
        <v>1</v>
      </c>
      <c r="F10" s="23" t="s">
        <v>2</v>
      </c>
      <c r="G10" s="23" t="s">
        <v>3</v>
      </c>
      <c r="H10" s="28" t="s">
        <v>4</v>
      </c>
      <c r="I10" s="23" t="s">
        <v>5</v>
      </c>
      <c r="J10" s="23" t="s">
        <v>5</v>
      </c>
    </row>
    <row r="11" spans="2:10" x14ac:dyDescent="0.2">
      <c r="B11" s="16"/>
      <c r="D11" s="16" t="s">
        <v>6</v>
      </c>
      <c r="E11" s="22">
        <v>160000</v>
      </c>
      <c r="F11" s="22">
        <v>178000</v>
      </c>
      <c r="G11" s="22">
        <f>F11-E11</f>
        <v>18000</v>
      </c>
      <c r="H11" s="29">
        <f>G11/E11</f>
        <v>0.1125</v>
      </c>
      <c r="I11" s="16" t="str">
        <f>IF(AND(G11&gt;$G$8,H11&gt;$H$8),"goed","slecht")</f>
        <v>slecht</v>
      </c>
      <c r="J11" s="16" t="str">
        <f>IF(G11&gt;$G$8,IF(H11&gt;$H$8,"goed","slecht"),"slecht")</f>
        <v>slecht</v>
      </c>
    </row>
    <row r="12" spans="2:10" x14ac:dyDescent="0.2">
      <c r="B12" s="16"/>
      <c r="D12" s="16" t="s">
        <v>7</v>
      </c>
      <c r="E12" s="22">
        <v>40000</v>
      </c>
      <c r="F12" s="22">
        <v>47000</v>
      </c>
      <c r="G12" s="22">
        <f t="shared" ref="G12:G14" si="0">F12-E12</f>
        <v>7000</v>
      </c>
      <c r="H12" s="29">
        <f t="shared" ref="H12:H14" si="1">G12/E12</f>
        <v>0.17499999999999999</v>
      </c>
      <c r="I12" s="16" t="str">
        <f>IF(AND(G12&gt;$G$8,H12&gt;$H$8),"goed","slecht")</f>
        <v>goed</v>
      </c>
      <c r="J12" s="16" t="str">
        <f t="shared" ref="J12:J14" si="2">IF(G12&gt;$G$8,IF(H12&gt;$H$8,"goed","slecht"),"slecht")</f>
        <v>goed</v>
      </c>
    </row>
    <row r="13" spans="2:10" x14ac:dyDescent="0.2">
      <c r="B13" s="16"/>
      <c r="D13" s="16" t="s">
        <v>8</v>
      </c>
      <c r="E13" s="22">
        <v>30000</v>
      </c>
      <c r="F13" s="22">
        <v>45000</v>
      </c>
      <c r="G13" s="22">
        <f t="shared" si="0"/>
        <v>15000</v>
      </c>
      <c r="H13" s="29">
        <f t="shared" si="1"/>
        <v>0.5</v>
      </c>
      <c r="I13" s="16" t="str">
        <f>IF(AND(G13&gt;$G$8,H13&gt;$H$8),"goed","slecht")</f>
        <v>goed</v>
      </c>
      <c r="J13" s="16" t="str">
        <f t="shared" si="2"/>
        <v>goed</v>
      </c>
    </row>
    <row r="14" spans="2:10" x14ac:dyDescent="0.2">
      <c r="D14" s="16" t="s">
        <v>9</v>
      </c>
      <c r="E14" s="22">
        <v>26000</v>
      </c>
      <c r="F14" s="22">
        <v>30500</v>
      </c>
      <c r="G14" s="22">
        <f t="shared" si="0"/>
        <v>4500</v>
      </c>
      <c r="H14" s="29">
        <f t="shared" si="1"/>
        <v>0.17307692307692307</v>
      </c>
      <c r="I14" s="16" t="str">
        <f>IF(AND(G14&gt;$G$8,H14&gt;$H$8),"goed","slecht")</f>
        <v>slecht</v>
      </c>
      <c r="J14" s="16" t="str">
        <f t="shared" si="2"/>
        <v>slecht</v>
      </c>
    </row>
  </sheetData>
  <mergeCells count="5">
    <mergeCell ref="B1:C1"/>
    <mergeCell ref="B6:D6"/>
    <mergeCell ref="B2:C2"/>
    <mergeCell ref="B3:C3"/>
    <mergeCell ref="B4:C4"/>
  </mergeCells>
  <hyperlinks>
    <hyperlink ref="B6:D6" location="Inhoud!A1" display="Ga naar Inhoudsopgave" xr:uid="{00000000-0004-0000-0200-000000000000}"/>
  </hyperlinks>
  <pageMargins left="0.7" right="0.7" top="0.75" bottom="0.75" header="0.3" footer="0.3"/>
  <pageSetup paperSize="9"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Blad23"/>
  <dimension ref="B1:F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8" style="4" customWidth="1"/>
    <col min="5" max="6" width="21.7109375" style="4" customWidth="1"/>
    <col min="7" max="16384" width="9.140625" style="4"/>
  </cols>
  <sheetData>
    <row r="1" spans="2:6" x14ac:dyDescent="0.2">
      <c r="B1" s="355" t="s">
        <v>1253</v>
      </c>
      <c r="C1" s="355"/>
      <c r="D1" s="316" t="s">
        <v>1122</v>
      </c>
    </row>
    <row r="2" spans="2:6" x14ac:dyDescent="0.2">
      <c r="B2" s="355" t="s">
        <v>1085</v>
      </c>
      <c r="C2" s="355"/>
      <c r="D2" s="332" t="str">
        <f>VLOOKUP(D$1,TabelContent[],COLUMN(TabelContent[Titel-NL]))</f>
        <v>Artikelgegevens opzoeken</v>
      </c>
    </row>
    <row r="3" spans="2:6" x14ac:dyDescent="0.2">
      <c r="B3" s="355" t="s">
        <v>1086</v>
      </c>
      <c r="C3" s="355"/>
      <c r="D3" s="332" t="str">
        <f>VLOOKUP(D$1,TabelContent[],COLUMN(TabelContent[Cat-NL]))</f>
        <v>Formule</v>
      </c>
    </row>
    <row r="4" spans="2:6" x14ac:dyDescent="0.2">
      <c r="B4" s="355" t="s">
        <v>1087</v>
      </c>
      <c r="C4" s="355" t="s">
        <v>1077</v>
      </c>
      <c r="D4" s="332">
        <f>VLOOKUP(D$1,TabelContent[],COLUMN(TabelContent[Niveau]))</f>
        <v>2</v>
      </c>
    </row>
    <row r="5" spans="2:6" x14ac:dyDescent="0.2">
      <c r="B5" s="16"/>
      <c r="C5" s="16"/>
      <c r="D5" s="16"/>
      <c r="E5" s="16"/>
    </row>
    <row r="6" spans="2:6" x14ac:dyDescent="0.2">
      <c r="B6" s="356" t="s">
        <v>47</v>
      </c>
      <c r="C6" s="356"/>
      <c r="D6" s="356"/>
      <c r="E6" s="356"/>
    </row>
    <row r="7" spans="2:6" x14ac:dyDescent="0.2">
      <c r="B7" s="16"/>
      <c r="C7" s="16"/>
      <c r="D7" s="16"/>
      <c r="E7" s="16"/>
    </row>
    <row r="8" spans="2:6" x14ac:dyDescent="0.2">
      <c r="D8" s="1" t="s">
        <v>711</v>
      </c>
    </row>
    <row r="9" spans="2:6" x14ac:dyDescent="0.2">
      <c r="E9" s="98" t="s">
        <v>721</v>
      </c>
      <c r="F9" s="99">
        <v>205</v>
      </c>
    </row>
    <row r="10" spans="2:6" x14ac:dyDescent="0.2">
      <c r="D10" s="1" t="s">
        <v>712</v>
      </c>
      <c r="F10" s="99"/>
    </row>
    <row r="11" spans="2:6" x14ac:dyDescent="0.2">
      <c r="E11" s="93" t="s">
        <v>722</v>
      </c>
      <c r="F11" s="99" t="str">
        <f>VLOOKUP($F$9,D$15:$F$21,2,FALSE)</f>
        <v>HP OfficeJet H470wbt</v>
      </c>
    </row>
    <row r="12" spans="2:6" x14ac:dyDescent="0.2">
      <c r="E12" s="98" t="s">
        <v>723</v>
      </c>
      <c r="F12" s="100">
        <f>VLOOKUP($F$9,D$15:$F$21,3,FALSE)</f>
        <v>293</v>
      </c>
    </row>
    <row r="14" spans="2:6" x14ac:dyDescent="0.2">
      <c r="B14" s="16"/>
      <c r="D14" s="93" t="s">
        <v>710</v>
      </c>
      <c r="E14" s="23" t="s">
        <v>27</v>
      </c>
      <c r="F14" s="93" t="s">
        <v>131</v>
      </c>
    </row>
    <row r="15" spans="2:6" x14ac:dyDescent="0.2">
      <c r="D15" s="16">
        <v>145</v>
      </c>
      <c r="E15" s="16" t="s">
        <v>714</v>
      </c>
      <c r="F15" s="100">
        <v>85</v>
      </c>
    </row>
    <row r="16" spans="2:6" x14ac:dyDescent="0.2">
      <c r="D16" s="16">
        <v>155</v>
      </c>
      <c r="E16" s="16" t="s">
        <v>715</v>
      </c>
      <c r="F16" s="100">
        <v>354</v>
      </c>
    </row>
    <row r="17" spans="4:6" x14ac:dyDescent="0.2">
      <c r="D17" s="16">
        <v>187</v>
      </c>
      <c r="E17" s="16" t="s">
        <v>716</v>
      </c>
      <c r="F17" s="100">
        <v>271</v>
      </c>
    </row>
    <row r="18" spans="4:6" x14ac:dyDescent="0.2">
      <c r="D18" s="16">
        <v>205</v>
      </c>
      <c r="E18" s="16" t="s">
        <v>717</v>
      </c>
      <c r="F18" s="100">
        <v>293</v>
      </c>
    </row>
    <row r="19" spans="4:6" x14ac:dyDescent="0.2">
      <c r="D19" s="16">
        <v>225</v>
      </c>
      <c r="E19" s="16" t="s">
        <v>718</v>
      </c>
      <c r="F19" s="100">
        <v>62</v>
      </c>
    </row>
    <row r="20" spans="4:6" x14ac:dyDescent="0.2">
      <c r="D20" s="16">
        <v>319</v>
      </c>
      <c r="E20" s="16" t="s">
        <v>719</v>
      </c>
      <c r="F20" s="100">
        <v>34</v>
      </c>
    </row>
    <row r="21" spans="4:6" x14ac:dyDescent="0.2">
      <c r="D21" s="16">
        <v>377</v>
      </c>
      <c r="E21" s="16" t="s">
        <v>720</v>
      </c>
      <c r="F21" s="100">
        <v>87</v>
      </c>
    </row>
  </sheetData>
  <mergeCells count="5">
    <mergeCell ref="B6:E6"/>
    <mergeCell ref="B2:C2"/>
    <mergeCell ref="B3:C3"/>
    <mergeCell ref="B4:C4"/>
    <mergeCell ref="B1:C1"/>
  </mergeCells>
  <hyperlinks>
    <hyperlink ref="B6:D6" location="sjabloon!A1" display="Ga naar Inhoudsopgave" xr:uid="{00000000-0004-0000-0300-000000000000}"/>
    <hyperlink ref="B6:E6" location="Inhoud!A1" display="Ga naar Inhoudsopgave" xr:uid="{00000000-0004-0000-0300-000001000000}"/>
  </hyperlinks>
  <pageMargins left="0.7" right="0.7" top="0.75" bottom="0.75" header="0.3" footer="0.3"/>
  <pageSetup paperSize="9"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Blad5"/>
  <dimension ref="B1:E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26.28515625" bestFit="1" customWidth="1"/>
    <col min="5" max="5" width="13.85546875" bestFit="1" customWidth="1"/>
  </cols>
  <sheetData>
    <row r="1" spans="2:5" s="4" customFormat="1" x14ac:dyDescent="0.2">
      <c r="B1" s="355" t="s">
        <v>1253</v>
      </c>
      <c r="C1" s="355"/>
      <c r="D1" s="316" t="s">
        <v>70</v>
      </c>
    </row>
    <row r="2" spans="2:5" s="4" customFormat="1" x14ac:dyDescent="0.2">
      <c r="B2" s="355" t="s">
        <v>1085</v>
      </c>
      <c r="C2" s="355"/>
      <c r="D2" s="332" t="str">
        <f>VLOOKUP(D$1,TabelContent[],COLUMN(TabelContent[Titel-NL]))</f>
        <v>Datum rekenen</v>
      </c>
    </row>
    <row r="3" spans="2:5" s="4" customFormat="1" x14ac:dyDescent="0.2">
      <c r="B3" s="355" t="s">
        <v>1086</v>
      </c>
      <c r="C3" s="355"/>
      <c r="D3" s="332" t="str">
        <f>VLOOKUP(D$1,TabelContent[],COLUMN(TabelContent[Cat-NL]))</f>
        <v>Formule</v>
      </c>
    </row>
    <row r="4" spans="2:5" s="4" customFormat="1" x14ac:dyDescent="0.2">
      <c r="B4" s="355" t="s">
        <v>1087</v>
      </c>
      <c r="C4" s="355" t="s">
        <v>1077</v>
      </c>
      <c r="D4" s="332">
        <f>VLOOKUP(D$1,TabelContent[],COLUMN(TabelContent[Niveau]))</f>
        <v>2</v>
      </c>
    </row>
    <row r="5" spans="2:5" s="4" customFormat="1" x14ac:dyDescent="0.2"/>
    <row r="6" spans="2:5" x14ac:dyDescent="0.2">
      <c r="B6" s="357" t="s">
        <v>47</v>
      </c>
      <c r="C6" s="357"/>
      <c r="D6" s="358"/>
      <c r="E6" s="358"/>
    </row>
    <row r="7" spans="2:5" x14ac:dyDescent="0.2">
      <c r="B7" s="16"/>
      <c r="C7" s="16"/>
      <c r="D7" s="16"/>
      <c r="E7" s="16"/>
    </row>
    <row r="8" spans="2:5" x14ac:dyDescent="0.2">
      <c r="B8" s="16"/>
      <c r="C8" s="23" t="s">
        <v>697</v>
      </c>
      <c r="D8" s="16"/>
      <c r="E8" s="16"/>
    </row>
    <row r="9" spans="2:5" x14ac:dyDescent="0.2">
      <c r="B9" s="16"/>
      <c r="C9" s="16"/>
      <c r="D9" s="16" t="s">
        <v>13</v>
      </c>
      <c r="E9" s="19">
        <v>24532</v>
      </c>
    </row>
    <row r="10" spans="2:5" x14ac:dyDescent="0.2">
      <c r="B10" s="16"/>
      <c r="C10" s="16"/>
      <c r="D10" s="16" t="s">
        <v>17</v>
      </c>
      <c r="E10" s="20">
        <v>67</v>
      </c>
    </row>
    <row r="11" spans="2:5" x14ac:dyDescent="0.2">
      <c r="B11" s="16"/>
      <c r="C11" s="16"/>
      <c r="D11" s="16"/>
      <c r="E11" s="16"/>
    </row>
    <row r="12" spans="2:5" x14ac:dyDescent="0.2">
      <c r="B12" s="16"/>
      <c r="C12" s="23" t="s">
        <v>698</v>
      </c>
      <c r="D12" s="16"/>
      <c r="E12" s="16"/>
    </row>
    <row r="13" spans="2:5" x14ac:dyDescent="0.2">
      <c r="B13" s="16"/>
      <c r="C13" s="16"/>
      <c r="D13" s="16" t="s">
        <v>14</v>
      </c>
      <c r="E13" s="19">
        <f>DATE(YEAR(geboortedatum)+AOW_Leeftijd,MONTH(geboortedatum),DAY(geboortedatum))</f>
        <v>49004</v>
      </c>
    </row>
    <row r="14" spans="2:5" x14ac:dyDescent="0.2">
      <c r="B14" s="16"/>
      <c r="C14" s="16"/>
      <c r="D14" s="16" t="s">
        <v>15</v>
      </c>
      <c r="E14" s="19">
        <f ca="1">TODAY()</f>
        <v>43808</v>
      </c>
    </row>
    <row r="15" spans="2:5" x14ac:dyDescent="0.2">
      <c r="B15" s="16"/>
      <c r="C15" s="16"/>
      <c r="D15" s="16" t="s">
        <v>16</v>
      </c>
      <c r="E15" s="20">
        <f ca="1">AOW_Datum-E14</f>
        <v>5196</v>
      </c>
    </row>
  </sheetData>
  <mergeCells count="5">
    <mergeCell ref="B6:E6"/>
    <mergeCell ref="B2:C2"/>
    <mergeCell ref="B3:C3"/>
    <mergeCell ref="B4:C4"/>
    <mergeCell ref="B1:C1"/>
  </mergeCells>
  <hyperlinks>
    <hyperlink ref="B6:C6" location="Inhoud!A1" display="Ga naar Inhoudsopgave" xr:uid="{00000000-0004-0000-0400-000000000000}"/>
  </hyperlinks>
  <pageMargins left="0.7" right="0.7" top="0.75" bottom="0.75" header="0.3" footer="0.3"/>
  <pageSetup paperSize="9"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Blad6"/>
  <dimension ref="B1:F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18" customWidth="1"/>
    <col min="5" max="5" width="10.28515625" bestFit="1" customWidth="1"/>
    <col min="6" max="6" width="9.5703125" bestFit="1" customWidth="1"/>
  </cols>
  <sheetData>
    <row r="1" spans="2:6" s="4" customFormat="1" x14ac:dyDescent="0.2">
      <c r="B1" s="355" t="s">
        <v>1253</v>
      </c>
      <c r="C1" s="355"/>
      <c r="D1" s="316" t="s">
        <v>71</v>
      </c>
    </row>
    <row r="2" spans="2:6" s="4" customFormat="1" x14ac:dyDescent="0.2">
      <c r="B2" s="355" t="s">
        <v>1085</v>
      </c>
      <c r="C2" s="355"/>
      <c r="D2" s="332" t="str">
        <f>VLOOKUP(D$1,TabelContent[],COLUMN(TabelContent[Titel-NL]))</f>
        <v>Commissie bepalen</v>
      </c>
    </row>
    <row r="3" spans="2:6" s="4" customFormat="1" x14ac:dyDescent="0.2">
      <c r="B3" s="355" t="s">
        <v>1086</v>
      </c>
      <c r="C3" s="355"/>
      <c r="D3" s="332" t="str">
        <f>VLOOKUP(D$1,TabelContent[],COLUMN(TabelContent[Cat-NL]))</f>
        <v>Formule</v>
      </c>
    </row>
    <row r="4" spans="2:6" s="4" customFormat="1" x14ac:dyDescent="0.2">
      <c r="B4" s="355" t="s">
        <v>1087</v>
      </c>
      <c r="C4" s="355" t="s">
        <v>1077</v>
      </c>
      <c r="D4" s="332">
        <f>VLOOKUP(D$1,TabelContent[],COLUMN(TabelContent[Niveau]))</f>
        <v>2</v>
      </c>
    </row>
    <row r="5" spans="2:6" x14ac:dyDescent="0.2">
      <c r="B5" s="16"/>
      <c r="C5" s="16"/>
      <c r="D5" s="16"/>
      <c r="E5" s="16"/>
    </row>
    <row r="6" spans="2:6" x14ac:dyDescent="0.2">
      <c r="B6" s="356" t="s">
        <v>47</v>
      </c>
      <c r="C6" s="356"/>
      <c r="D6" s="356"/>
      <c r="E6" s="16"/>
    </row>
    <row r="7" spans="2:6" x14ac:dyDescent="0.2">
      <c r="B7" s="16"/>
      <c r="C7" s="16"/>
      <c r="D7" s="16"/>
      <c r="E7" s="16"/>
    </row>
    <row r="8" spans="2:6" x14ac:dyDescent="0.2">
      <c r="B8" s="16"/>
      <c r="D8" s="16" t="s">
        <v>18</v>
      </c>
      <c r="E8" s="16">
        <v>150000</v>
      </c>
      <c r="F8" s="16"/>
    </row>
    <row r="9" spans="2:6" x14ac:dyDescent="0.2">
      <c r="B9" s="16"/>
      <c r="D9" s="16" t="s">
        <v>19</v>
      </c>
      <c r="E9" s="21">
        <v>5.5E-2</v>
      </c>
      <c r="F9" s="16"/>
    </row>
    <row r="10" spans="2:6" x14ac:dyDescent="0.2">
      <c r="B10" s="16"/>
      <c r="D10" s="16" t="s">
        <v>20</v>
      </c>
      <c r="E10" s="21">
        <v>6.25E-2</v>
      </c>
      <c r="F10" s="16"/>
    </row>
    <row r="11" spans="2:6" x14ac:dyDescent="0.2">
      <c r="B11" s="16"/>
      <c r="D11" s="16"/>
      <c r="E11" s="16"/>
      <c r="F11" s="16"/>
    </row>
    <row r="12" spans="2:6" x14ac:dyDescent="0.2">
      <c r="B12" s="16"/>
      <c r="D12" s="16" t="s">
        <v>21</v>
      </c>
      <c r="E12" s="16" t="s">
        <v>22</v>
      </c>
      <c r="F12" s="16" t="s">
        <v>23</v>
      </c>
    </row>
    <row r="13" spans="2:6" x14ac:dyDescent="0.2">
      <c r="B13" s="16"/>
      <c r="D13" s="16" t="s">
        <v>24</v>
      </c>
      <c r="E13" s="22">
        <v>149000</v>
      </c>
      <c r="F13" s="22">
        <f>IF(E13&lt;VerkoopDoelstelling,CommissieLaag*E13,CommissieHoog*E13)</f>
        <v>8195</v>
      </c>
    </row>
    <row r="14" spans="2:6" x14ac:dyDescent="0.2">
      <c r="B14" s="16"/>
      <c r="D14" s="16" t="s">
        <v>25</v>
      </c>
      <c r="E14" s="22">
        <v>198000</v>
      </c>
      <c r="F14" s="22">
        <f>IF(E14&lt;VerkoopDoelstelling,CommissieLaag*E14,CommissieHoog*E14)</f>
        <v>12375</v>
      </c>
    </row>
    <row r="15" spans="2:6" x14ac:dyDescent="0.2">
      <c r="B15" s="16"/>
      <c r="D15" s="16" t="s">
        <v>26</v>
      </c>
      <c r="E15" s="22">
        <v>123000</v>
      </c>
      <c r="F15" s="22">
        <f>IF(E15&lt;VerkoopDoelstelling,CommissieLaag*E15,CommissieHoog*E15)</f>
        <v>6765</v>
      </c>
    </row>
  </sheetData>
  <mergeCells count="5">
    <mergeCell ref="B6:D6"/>
    <mergeCell ref="B2:C2"/>
    <mergeCell ref="B3:C3"/>
    <mergeCell ref="B4:C4"/>
    <mergeCell ref="B1:C1"/>
  </mergeCells>
  <hyperlinks>
    <hyperlink ref="B6:D6" location="Inhoud!A1" display="Ga naar Inhoudsopgave" xr:uid="{00000000-0004-0000-0500-000000000000}"/>
  </hyperlinks>
  <pageMargins left="0.7" right="0.7" top="0.75" bottom="0.75" header="0.3" footer="0.3"/>
  <pageSetup paperSize="9"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Blad7"/>
  <dimension ref="B1:J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18" customWidth="1"/>
    <col min="5" max="5" width="9.5703125" bestFit="1" customWidth="1"/>
    <col min="6" max="6" width="10.5703125" customWidth="1"/>
    <col min="7" max="7" width="9.28515625" customWidth="1"/>
    <col min="8" max="8" width="7.42578125" bestFit="1" customWidth="1"/>
    <col min="9" max="9" width="7" bestFit="1" customWidth="1"/>
    <col min="10" max="10" width="8.42578125" bestFit="1" customWidth="1"/>
  </cols>
  <sheetData>
    <row r="1" spans="2:10" s="4" customFormat="1" x14ac:dyDescent="0.2">
      <c r="B1" s="355" t="s">
        <v>1253</v>
      </c>
      <c r="C1" s="355"/>
      <c r="D1" s="316" t="s">
        <v>77</v>
      </c>
    </row>
    <row r="2" spans="2:10" s="4" customFormat="1" x14ac:dyDescent="0.2">
      <c r="B2" s="355" t="s">
        <v>1085</v>
      </c>
      <c r="C2" s="355"/>
      <c r="D2" s="332" t="str">
        <f>VLOOKUP(D$1,TabelContent[],COLUMN(TabelContent[Titel-NL]))</f>
        <v>Geboortedata</v>
      </c>
    </row>
    <row r="3" spans="2:10" s="4" customFormat="1" x14ac:dyDescent="0.2">
      <c r="B3" s="355" t="s">
        <v>1086</v>
      </c>
      <c r="C3" s="355"/>
      <c r="D3" s="332" t="str">
        <f>VLOOKUP(D$1,TabelContent[],COLUMN(TabelContent[Cat-NL]))</f>
        <v>Formule</v>
      </c>
    </row>
    <row r="4" spans="2:10" s="4" customFormat="1" x14ac:dyDescent="0.2">
      <c r="B4" s="355" t="s">
        <v>1087</v>
      </c>
      <c r="C4" s="355" t="s">
        <v>1077</v>
      </c>
      <c r="D4" s="332">
        <f>VLOOKUP(D$1,TabelContent[],COLUMN(TabelContent[Niveau]))</f>
        <v>3</v>
      </c>
    </row>
    <row r="5" spans="2:10" x14ac:dyDescent="0.2">
      <c r="B5" s="16"/>
      <c r="C5" s="16"/>
      <c r="D5" s="16"/>
      <c r="E5" s="16"/>
      <c r="F5" s="16"/>
      <c r="G5" s="16"/>
      <c r="H5" s="16"/>
      <c r="I5" s="16"/>
    </row>
    <row r="6" spans="2:10" x14ac:dyDescent="0.2">
      <c r="B6" s="356" t="s">
        <v>47</v>
      </c>
      <c r="C6" s="356"/>
      <c r="D6" s="356"/>
      <c r="E6" s="16"/>
      <c r="F6" s="16"/>
      <c r="G6" s="16"/>
      <c r="H6" s="16"/>
      <c r="I6" s="16"/>
    </row>
    <row r="7" spans="2:10" x14ac:dyDescent="0.2">
      <c r="B7" s="16"/>
      <c r="C7" s="16"/>
      <c r="D7" s="16"/>
      <c r="E7" s="16"/>
      <c r="F7" s="16"/>
      <c r="G7" s="16"/>
      <c r="H7" s="16"/>
      <c r="I7" s="16"/>
    </row>
    <row r="8" spans="2:10" ht="18" x14ac:dyDescent="0.2">
      <c r="B8" s="16"/>
      <c r="D8" s="359" t="s">
        <v>39</v>
      </c>
      <c r="E8" s="360"/>
      <c r="F8" s="360"/>
      <c r="G8" s="360"/>
      <c r="H8" s="360"/>
      <c r="I8" s="360"/>
      <c r="J8" s="360"/>
    </row>
    <row r="9" spans="2:10" x14ac:dyDescent="0.2">
      <c r="B9" s="16"/>
      <c r="D9" s="361" t="s">
        <v>40</v>
      </c>
      <c r="E9" s="360"/>
      <c r="F9" s="360"/>
      <c r="G9" s="360"/>
      <c r="H9" s="360"/>
      <c r="I9" s="360"/>
      <c r="J9" s="360"/>
    </row>
    <row r="10" spans="2:10" x14ac:dyDescent="0.2">
      <c r="B10" s="16"/>
      <c r="D10" s="16"/>
      <c r="E10" s="16"/>
      <c r="F10" s="16"/>
      <c r="G10" s="16"/>
      <c r="H10" s="16"/>
      <c r="I10" s="16"/>
      <c r="J10" s="16"/>
    </row>
    <row r="11" spans="2:10" x14ac:dyDescent="0.2">
      <c r="B11" s="16"/>
      <c r="D11" s="23" t="s">
        <v>34</v>
      </c>
      <c r="E11" s="30">
        <v>40277</v>
      </c>
      <c r="F11" s="16"/>
      <c r="G11" s="16"/>
      <c r="H11" s="16"/>
      <c r="I11" s="16"/>
      <c r="J11" s="16"/>
    </row>
    <row r="12" spans="2:10" x14ac:dyDescent="0.2">
      <c r="B12" s="16"/>
      <c r="D12" s="24"/>
      <c r="E12" s="16"/>
      <c r="F12" s="16"/>
      <c r="G12" s="16"/>
      <c r="H12" s="16"/>
      <c r="I12" s="16"/>
      <c r="J12" s="16"/>
    </row>
    <row r="13" spans="2:10" ht="25.5" x14ac:dyDescent="0.2">
      <c r="B13" s="16"/>
      <c r="D13" s="23" t="s">
        <v>27</v>
      </c>
      <c r="E13" s="23" t="s">
        <v>28</v>
      </c>
      <c r="F13" s="28" t="s">
        <v>35</v>
      </c>
      <c r="G13" s="28" t="s">
        <v>36</v>
      </c>
      <c r="H13" s="28" t="s">
        <v>37</v>
      </c>
      <c r="I13" s="28" t="s">
        <v>41</v>
      </c>
      <c r="J13" s="28" t="s">
        <v>38</v>
      </c>
    </row>
    <row r="14" spans="2:10" x14ac:dyDescent="0.2">
      <c r="B14" s="16"/>
      <c r="D14" s="16" t="s">
        <v>24</v>
      </c>
      <c r="E14" s="30">
        <v>40247</v>
      </c>
      <c r="F14" s="31">
        <v>40249</v>
      </c>
      <c r="G14" s="32" t="str">
        <f>IF(F14&lt;&gt;"",IF(F14&lt;E14,E14-F14,""),"")</f>
        <v/>
      </c>
      <c r="H14" s="32">
        <f>IF(AND(F14&lt;&gt;"",F14&gt;E14),F14-E14,"")</f>
        <v>2</v>
      </c>
      <c r="I14" s="285" t="str">
        <f>IF(AND(F14&lt;&gt;"",F14=E14),"ja","")</f>
        <v/>
      </c>
      <c r="J14" s="33" t="str">
        <f>IF(AND(F14="",E14&lt;RapportDatum),"ja","")</f>
        <v/>
      </c>
    </row>
    <row r="15" spans="2:10" x14ac:dyDescent="0.2">
      <c r="B15" s="16"/>
      <c r="D15" s="16" t="s">
        <v>25</v>
      </c>
      <c r="E15" s="30">
        <v>40254</v>
      </c>
      <c r="F15" s="16"/>
      <c r="G15" s="32" t="str">
        <f t="shared" ref="G15:G21" si="0">IF(F15&lt;&gt;"",IF(F15&lt;E15,E15-F15,""),"")</f>
        <v/>
      </c>
      <c r="H15" s="32" t="str">
        <f t="shared" ref="H15:H21" si="1">IF(AND(F15&lt;&gt;"",F15&gt;E15),F15-E15,"")</f>
        <v/>
      </c>
      <c r="I15" s="285" t="str">
        <f t="shared" ref="I15:I21" si="2">IF(AND(F15&lt;&gt;"",F15=E15),"ja","")</f>
        <v/>
      </c>
      <c r="J15" s="33" t="str">
        <f t="shared" ref="J15:J21" si="3">IF(AND(F15="",E15&lt;RapportDatum),"ja","")</f>
        <v>ja</v>
      </c>
    </row>
    <row r="16" spans="2:10" x14ac:dyDescent="0.2">
      <c r="B16" s="16"/>
      <c r="D16" s="16" t="s">
        <v>29</v>
      </c>
      <c r="E16" s="30">
        <v>40259</v>
      </c>
      <c r="F16" s="31">
        <v>40262</v>
      </c>
      <c r="G16" s="32" t="str">
        <f t="shared" si="0"/>
        <v/>
      </c>
      <c r="H16" s="32">
        <f t="shared" si="1"/>
        <v>3</v>
      </c>
      <c r="I16" s="285" t="str">
        <f t="shared" si="2"/>
        <v/>
      </c>
      <c r="J16" s="33" t="str">
        <f t="shared" si="3"/>
        <v/>
      </c>
    </row>
    <row r="17" spans="2:10" x14ac:dyDescent="0.2">
      <c r="B17" s="16"/>
      <c r="D17" s="16" t="s">
        <v>30</v>
      </c>
      <c r="E17" s="30">
        <v>40271</v>
      </c>
      <c r="F17" s="16"/>
      <c r="G17" s="32" t="str">
        <f t="shared" si="0"/>
        <v/>
      </c>
      <c r="H17" s="32" t="str">
        <f t="shared" si="1"/>
        <v/>
      </c>
      <c r="I17" s="285" t="str">
        <f t="shared" si="2"/>
        <v/>
      </c>
      <c r="J17" s="33" t="str">
        <f t="shared" si="3"/>
        <v>ja</v>
      </c>
    </row>
    <row r="18" spans="2:10" x14ac:dyDescent="0.2">
      <c r="B18" s="16"/>
      <c r="D18" s="16" t="s">
        <v>31</v>
      </c>
      <c r="E18" s="30">
        <v>40276</v>
      </c>
      <c r="F18" s="34">
        <v>40276</v>
      </c>
      <c r="G18" s="32" t="str">
        <f t="shared" si="0"/>
        <v/>
      </c>
      <c r="H18" s="32" t="str">
        <f t="shared" si="1"/>
        <v/>
      </c>
      <c r="I18" s="285" t="str">
        <f t="shared" si="2"/>
        <v>ja</v>
      </c>
      <c r="J18" s="33" t="str">
        <f t="shared" si="3"/>
        <v/>
      </c>
    </row>
    <row r="19" spans="2:10" x14ac:dyDescent="0.2">
      <c r="B19" s="16"/>
      <c r="D19" s="16" t="s">
        <v>32</v>
      </c>
      <c r="E19" s="30">
        <v>40278</v>
      </c>
      <c r="F19" s="31">
        <v>40274</v>
      </c>
      <c r="G19" s="32">
        <f t="shared" si="0"/>
        <v>4</v>
      </c>
      <c r="H19" s="32" t="str">
        <f t="shared" si="1"/>
        <v/>
      </c>
      <c r="I19" s="285" t="str">
        <f t="shared" si="2"/>
        <v/>
      </c>
      <c r="J19" s="33" t="str">
        <f t="shared" si="3"/>
        <v/>
      </c>
    </row>
    <row r="20" spans="2:10" x14ac:dyDescent="0.2">
      <c r="B20" s="16"/>
      <c r="D20" s="16" t="s">
        <v>33</v>
      </c>
      <c r="E20" s="30">
        <v>40283</v>
      </c>
      <c r="F20" s="31">
        <v>40275</v>
      </c>
      <c r="G20" s="32">
        <f t="shared" si="0"/>
        <v>8</v>
      </c>
      <c r="H20" s="32" t="str">
        <f t="shared" si="1"/>
        <v/>
      </c>
      <c r="I20" s="285" t="str">
        <f t="shared" si="2"/>
        <v/>
      </c>
      <c r="J20" s="33" t="str">
        <f t="shared" si="3"/>
        <v/>
      </c>
    </row>
    <row r="21" spans="2:10" x14ac:dyDescent="0.2">
      <c r="B21" s="16"/>
      <c r="D21" s="16" t="s">
        <v>26</v>
      </c>
      <c r="E21" s="30">
        <v>40284</v>
      </c>
      <c r="F21" s="34"/>
      <c r="G21" s="32" t="str">
        <f t="shared" si="0"/>
        <v/>
      </c>
      <c r="H21" s="32" t="str">
        <f t="shared" si="1"/>
        <v/>
      </c>
      <c r="I21" s="285" t="str">
        <f t="shared" si="2"/>
        <v/>
      </c>
      <c r="J21" s="33" t="str">
        <f t="shared" si="3"/>
        <v/>
      </c>
    </row>
  </sheetData>
  <mergeCells count="7">
    <mergeCell ref="B1:C1"/>
    <mergeCell ref="D8:J8"/>
    <mergeCell ref="D9:J9"/>
    <mergeCell ref="B6:D6"/>
    <mergeCell ref="B2:C2"/>
    <mergeCell ref="B3:C3"/>
    <mergeCell ref="B4:C4"/>
  </mergeCells>
  <hyperlinks>
    <hyperlink ref="B6:D6" location="Inhoud!A1" display="Ga naar Inhoudsopgave" xr:uid="{00000000-0004-0000-0600-000000000000}"/>
  </hyperlinks>
  <pageMargins left="0.7" right="0.7" top="0.75" bottom="0.75" header="0.3" footer="0.3"/>
  <pageSetup paperSize="9"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Blad16"/>
  <dimension ref="B1:G23"/>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5.5703125" style="4" customWidth="1"/>
    <col min="5" max="5" width="12.140625" style="4" bestFit="1" customWidth="1"/>
    <col min="6" max="6" width="17.28515625" style="4" bestFit="1" customWidth="1"/>
    <col min="7" max="7" width="8.28515625" style="4" bestFit="1" customWidth="1"/>
    <col min="8" max="16384" width="9.140625" style="4"/>
  </cols>
  <sheetData>
    <row r="1" spans="2:7" x14ac:dyDescent="0.2">
      <c r="B1" s="355" t="s">
        <v>1253</v>
      </c>
      <c r="C1" s="355"/>
      <c r="D1" s="316" t="s">
        <v>325</v>
      </c>
    </row>
    <row r="2" spans="2:7" x14ac:dyDescent="0.2">
      <c r="B2" s="355" t="s">
        <v>1085</v>
      </c>
      <c r="C2" s="355"/>
      <c r="D2" s="332" t="str">
        <f>VLOOKUP(D$1,TabelContent[],COLUMN(TabelContent[Titel-NL]))</f>
        <v>BTW aangifte</v>
      </c>
    </row>
    <row r="3" spans="2:7" x14ac:dyDescent="0.2">
      <c r="B3" s="355" t="s">
        <v>1086</v>
      </c>
      <c r="C3" s="355"/>
      <c r="D3" s="332" t="str">
        <f>VLOOKUP(D$1,TabelContent[],COLUMN(TabelContent[Cat-NL]))</f>
        <v>Formule</v>
      </c>
    </row>
    <row r="4" spans="2:7" x14ac:dyDescent="0.2">
      <c r="B4" s="355" t="s">
        <v>1087</v>
      </c>
      <c r="C4" s="355" t="s">
        <v>1077</v>
      </c>
      <c r="D4" s="332">
        <f>VLOOKUP(D$1,TabelContent[],COLUMN(TabelContent[Niveau]))</f>
        <v>3</v>
      </c>
    </row>
    <row r="5" spans="2:7" x14ac:dyDescent="0.2">
      <c r="B5" s="16"/>
      <c r="C5" s="16"/>
      <c r="D5" s="16"/>
      <c r="E5" s="16"/>
      <c r="F5" s="16"/>
    </row>
    <row r="6" spans="2:7" x14ac:dyDescent="0.2">
      <c r="B6" s="356" t="s">
        <v>47</v>
      </c>
      <c r="C6" s="356"/>
      <c r="D6" s="356"/>
      <c r="E6" s="16"/>
      <c r="F6" s="16"/>
    </row>
    <row r="7" spans="2:7" x14ac:dyDescent="0.2">
      <c r="B7" s="16"/>
      <c r="C7" s="16"/>
      <c r="D7" s="16"/>
      <c r="E7" s="16"/>
      <c r="F7" s="16"/>
    </row>
    <row r="8" spans="2:7" x14ac:dyDescent="0.2">
      <c r="B8" s="16"/>
      <c r="D8" s="23" t="s">
        <v>662</v>
      </c>
      <c r="E8" s="16"/>
      <c r="F8" s="16"/>
      <c r="G8" s="16"/>
    </row>
    <row r="9" spans="2:7" x14ac:dyDescent="0.2">
      <c r="B9" s="16"/>
      <c r="D9" s="16" t="s">
        <v>654</v>
      </c>
      <c r="E9" s="22">
        <v>20000</v>
      </c>
      <c r="F9" s="16"/>
      <c r="G9" s="16"/>
    </row>
    <row r="10" spans="2:7" x14ac:dyDescent="0.2">
      <c r="B10" s="16"/>
      <c r="D10" s="16" t="s">
        <v>656</v>
      </c>
      <c r="E10" s="22">
        <v>1000</v>
      </c>
      <c r="F10" s="16"/>
      <c r="G10" s="16"/>
    </row>
    <row r="11" spans="2:7" x14ac:dyDescent="0.2">
      <c r="B11" s="16"/>
      <c r="D11" s="16"/>
      <c r="E11" s="16"/>
      <c r="F11" s="16"/>
      <c r="G11" s="16"/>
    </row>
    <row r="12" spans="2:7" x14ac:dyDescent="0.2">
      <c r="B12" s="16"/>
      <c r="D12" s="23" t="s">
        <v>663</v>
      </c>
      <c r="E12" s="22"/>
      <c r="F12" s="16"/>
      <c r="G12" s="16"/>
    </row>
    <row r="13" spans="2:7" x14ac:dyDescent="0.2">
      <c r="B13" s="16"/>
      <c r="D13" s="16" t="s">
        <v>660</v>
      </c>
      <c r="E13" s="22">
        <v>1345</v>
      </c>
      <c r="F13" s="16"/>
      <c r="G13" s="16"/>
    </row>
    <row r="14" spans="2:7" x14ac:dyDescent="0.2">
      <c r="B14" s="16"/>
      <c r="D14" s="16" t="s">
        <v>661</v>
      </c>
      <c r="E14" s="22">
        <v>1883</v>
      </c>
      <c r="F14" s="16"/>
      <c r="G14" s="16"/>
    </row>
    <row r="15" spans="2:7" x14ac:dyDescent="0.2">
      <c r="B15" s="16"/>
      <c r="D15" s="16" t="s">
        <v>666</v>
      </c>
      <c r="E15" s="29">
        <v>0.21</v>
      </c>
      <c r="F15" s="16"/>
      <c r="G15" s="16"/>
    </row>
    <row r="16" spans="2:7" x14ac:dyDescent="0.2">
      <c r="B16" s="16"/>
      <c r="D16" s="16"/>
      <c r="E16" s="29"/>
      <c r="F16" s="16"/>
      <c r="G16" s="16"/>
    </row>
    <row r="17" spans="2:7" x14ac:dyDescent="0.2">
      <c r="B17" s="16"/>
      <c r="D17" s="23" t="s">
        <v>664</v>
      </c>
      <c r="E17" s="16"/>
      <c r="F17" s="16"/>
      <c r="G17" s="16"/>
    </row>
    <row r="18" spans="2:7" x14ac:dyDescent="0.2">
      <c r="B18" s="16"/>
      <c r="D18" s="16" t="s">
        <v>655</v>
      </c>
      <c r="E18" s="22">
        <f>E15*E9</f>
        <v>4200</v>
      </c>
      <c r="F18" s="16"/>
      <c r="G18" s="16"/>
    </row>
    <row r="19" spans="2:7" x14ac:dyDescent="0.2">
      <c r="B19" s="16"/>
      <c r="D19" s="16" t="s">
        <v>656</v>
      </c>
      <c r="E19" s="22">
        <f>E10</f>
        <v>1000</v>
      </c>
      <c r="F19" s="16"/>
      <c r="G19" s="16"/>
    </row>
    <row r="20" spans="2:7" x14ac:dyDescent="0.2">
      <c r="B20" s="16"/>
      <c r="D20" s="16" t="s">
        <v>657</v>
      </c>
      <c r="E20" s="22">
        <f>E18-E19</f>
        <v>3200</v>
      </c>
      <c r="F20" s="16"/>
      <c r="G20" s="16"/>
    </row>
    <row r="21" spans="2:7" x14ac:dyDescent="0.2">
      <c r="B21" s="16"/>
      <c r="D21" s="16" t="s">
        <v>658</v>
      </c>
      <c r="E21" s="22">
        <f>IF(E20&lt;0,0,IF(E20&gt;E14,0,IF(E20&lt;=E13,E20,2.5*(E14-E20))))</f>
        <v>0</v>
      </c>
      <c r="F21" s="16"/>
      <c r="G21" s="16"/>
    </row>
    <row r="22" spans="2:7" x14ac:dyDescent="0.2">
      <c r="B22" s="16"/>
      <c r="D22" s="23" t="str">
        <f>IF(E20&lt;0,"Terug te ontvangen","Te betalen")</f>
        <v>Te betalen</v>
      </c>
      <c r="E22" s="25">
        <f>ABS(E20-E21)</f>
        <v>3200</v>
      </c>
      <c r="F22" s="16"/>
      <c r="G22" s="16"/>
    </row>
    <row r="23" spans="2:7" x14ac:dyDescent="0.2">
      <c r="B23" s="16"/>
      <c r="D23" s="16"/>
      <c r="E23" s="16"/>
      <c r="F23" s="16"/>
      <c r="G23" s="16"/>
    </row>
  </sheetData>
  <mergeCells count="5">
    <mergeCell ref="B6:D6"/>
    <mergeCell ref="B2:C2"/>
    <mergeCell ref="B3:C3"/>
    <mergeCell ref="B4:C4"/>
    <mergeCell ref="B1:C1"/>
  </mergeCells>
  <hyperlinks>
    <hyperlink ref="B6:D6" location="Inhoud!A1" display="Ga naar Inhoudsopgave" xr:uid="{00000000-0004-0000-0700-000000000000}"/>
  </hyperlinks>
  <pageMargins left="0.7" right="0.7" top="0.75" bottom="0.75" header="0.3" footer="0.3"/>
  <pageSetup paperSize="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2"/>
  <dimension ref="B1:E13"/>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8" style="4" customWidth="1"/>
    <col min="5" max="5" width="10.28515625" style="4" bestFit="1" customWidth="1"/>
    <col min="6" max="6" width="9.5703125" style="4" bestFit="1" customWidth="1"/>
    <col min="7" max="16384" width="9.140625" style="4"/>
  </cols>
  <sheetData>
    <row r="1" spans="2:5" x14ac:dyDescent="0.2">
      <c r="B1" s="355" t="s">
        <v>1253</v>
      </c>
      <c r="C1" s="355"/>
      <c r="D1" s="316" t="s">
        <v>1142</v>
      </c>
    </row>
    <row r="2" spans="2:5" x14ac:dyDescent="0.2">
      <c r="B2" s="355" t="s">
        <v>1085</v>
      </c>
      <c r="C2" s="355"/>
      <c r="D2" s="332" t="str">
        <f>VLOOKUP(D$1,TabelContent[],COLUMN(TabelContent[Titel-NL]))</f>
        <v>Prijs kaartje</v>
      </c>
    </row>
    <row r="3" spans="2:5" x14ac:dyDescent="0.2">
      <c r="B3" s="355" t="s">
        <v>1086</v>
      </c>
      <c r="C3" s="355"/>
      <c r="D3" s="332" t="str">
        <f>VLOOKUP(D$1,TabelContent[],COLUMN(TabelContent[Cat-NL]))</f>
        <v>Formule</v>
      </c>
    </row>
    <row r="4" spans="2:5" x14ac:dyDescent="0.2">
      <c r="B4" s="355" t="s">
        <v>1087</v>
      </c>
      <c r="C4" s="355" t="s">
        <v>1077</v>
      </c>
      <c r="D4" s="332">
        <f>VLOOKUP(D$1,TabelContent[],COLUMN(TabelContent[Niveau]))</f>
        <v>1</v>
      </c>
    </row>
    <row r="5" spans="2:5" x14ac:dyDescent="0.2">
      <c r="B5" s="16"/>
      <c r="C5" s="16"/>
      <c r="D5" s="16"/>
      <c r="E5" s="16"/>
    </row>
    <row r="6" spans="2:5" x14ac:dyDescent="0.2">
      <c r="B6" s="356" t="s">
        <v>47</v>
      </c>
      <c r="C6" s="356"/>
      <c r="D6" s="356"/>
      <c r="E6" s="16"/>
    </row>
    <row r="7" spans="2:5" x14ac:dyDescent="0.2">
      <c r="B7" s="16"/>
      <c r="C7" s="16"/>
      <c r="D7" s="16"/>
      <c r="E7" s="16"/>
    </row>
    <row r="8" spans="2:5" x14ac:dyDescent="0.2">
      <c r="D8" s="1" t="s">
        <v>1137</v>
      </c>
      <c r="E8" s="1" t="s">
        <v>1138</v>
      </c>
    </row>
    <row r="9" spans="2:5" x14ac:dyDescent="0.2">
      <c r="D9" s="4" t="s">
        <v>1139</v>
      </c>
      <c r="E9" s="255">
        <v>3</v>
      </c>
    </row>
    <row r="10" spans="2:5" x14ac:dyDescent="0.2">
      <c r="D10" s="4" t="s">
        <v>1140</v>
      </c>
      <c r="E10" s="255">
        <v>6</v>
      </c>
    </row>
    <row r="12" spans="2:5" x14ac:dyDescent="0.2">
      <c r="D12" s="4" t="s">
        <v>1141</v>
      </c>
      <c r="E12" s="4">
        <v>10</v>
      </c>
    </row>
    <row r="13" spans="2:5" x14ac:dyDescent="0.2">
      <c r="D13" s="4" t="s">
        <v>1138</v>
      </c>
      <c r="E13" s="255">
        <f>IF(E12&gt;12,E10,E9)</f>
        <v>3</v>
      </c>
    </row>
  </sheetData>
  <mergeCells count="5">
    <mergeCell ref="B2:C2"/>
    <mergeCell ref="B3:C3"/>
    <mergeCell ref="B4:C4"/>
    <mergeCell ref="B6:D6"/>
    <mergeCell ref="B1:C1"/>
  </mergeCells>
  <hyperlinks>
    <hyperlink ref="B6:D6" location="Inhoud!A1" display="Ga naar Inhoudsopgave" xr:uid="{00000000-0004-0000-0800-000000000000}"/>
  </hyperlinks>
  <pageMargins left="0.7" right="0.7" top="0.75" bottom="0.75" header="0.3" footer="0.3"/>
  <pageSetup paperSize="9"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3"/>
  <dimension ref="B1:F17"/>
  <sheetViews>
    <sheetView workbookViewId="0">
      <pane xSplit="1" ySplit="6" topLeftCell="B7" activePane="bottomRight" state="frozen"/>
      <selection pane="topRight" activeCell="B1" sqref="B1"/>
      <selection pane="bottomLeft" activeCell="A5" sqref="A5"/>
      <selection pane="bottomRight" activeCell="D2" sqref="D2:D4"/>
    </sheetView>
  </sheetViews>
  <sheetFormatPr defaultRowHeight="12.75" x14ac:dyDescent="0.2"/>
  <cols>
    <col min="1" max="2" width="3.7109375" style="4" customWidth="1"/>
    <col min="3" max="3" width="7.7109375" style="4" customWidth="1"/>
    <col min="4" max="4" width="20.7109375" style="4" bestFit="1" customWidth="1"/>
    <col min="5" max="5" width="17.85546875" style="4" bestFit="1" customWidth="1"/>
    <col min="6" max="6" width="18.140625" style="4" bestFit="1" customWidth="1"/>
    <col min="7" max="16384" width="9.140625" style="4"/>
  </cols>
  <sheetData>
    <row r="1" spans="2:6" x14ac:dyDescent="0.2">
      <c r="B1" s="355" t="s">
        <v>1253</v>
      </c>
      <c r="C1" s="355"/>
      <c r="D1" s="316" t="s">
        <v>1152</v>
      </c>
    </row>
    <row r="2" spans="2:6" x14ac:dyDescent="0.2">
      <c r="B2" s="355" t="s">
        <v>1085</v>
      </c>
      <c r="C2" s="355"/>
      <c r="D2" s="332" t="str">
        <f>VLOOKUP(D$1,TabelContent[],COLUMN(TabelContent[Titel-NL]))</f>
        <v>OZB belasting</v>
      </c>
    </row>
    <row r="3" spans="2:6" x14ac:dyDescent="0.2">
      <c r="B3" s="355" t="s">
        <v>1086</v>
      </c>
      <c r="C3" s="355"/>
      <c r="D3" s="332" t="str">
        <f>VLOOKUP(D$1,TabelContent[],COLUMN(TabelContent[Cat-NL]))</f>
        <v>Formule</v>
      </c>
    </row>
    <row r="4" spans="2:6" x14ac:dyDescent="0.2">
      <c r="B4" s="355" t="s">
        <v>1087</v>
      </c>
      <c r="C4" s="355" t="s">
        <v>1077</v>
      </c>
      <c r="D4" s="332">
        <f>VLOOKUP(D$1,TabelContent[],COLUMN(TabelContent[Niveau]))</f>
        <v>2</v>
      </c>
    </row>
    <row r="5" spans="2:6" x14ac:dyDescent="0.2">
      <c r="B5" s="16"/>
      <c r="C5" s="16"/>
      <c r="D5" s="16"/>
      <c r="E5" s="16"/>
    </row>
    <row r="6" spans="2:6" x14ac:dyDescent="0.2">
      <c r="B6" s="356" t="s">
        <v>47</v>
      </c>
      <c r="C6" s="356"/>
      <c r="D6" s="356"/>
      <c r="E6" s="16"/>
    </row>
    <row r="7" spans="2:6" x14ac:dyDescent="0.2">
      <c r="B7" s="16"/>
      <c r="C7" s="16"/>
      <c r="D7" s="16"/>
      <c r="E7" s="16"/>
    </row>
    <row r="8" spans="2:6" ht="15.75" x14ac:dyDescent="0.25">
      <c r="D8" s="274" t="s">
        <v>1144</v>
      </c>
      <c r="E8" s="114"/>
      <c r="F8" s="114"/>
    </row>
    <row r="9" spans="2:6" x14ac:dyDescent="0.2">
      <c r="D9" s="4" t="s">
        <v>1145</v>
      </c>
      <c r="E9" s="275">
        <v>1.0640000000000001E-3</v>
      </c>
      <c r="F9" s="4" t="s">
        <v>1146</v>
      </c>
    </row>
    <row r="10" spans="2:6" x14ac:dyDescent="0.2">
      <c r="D10" s="4" t="s">
        <v>1147</v>
      </c>
      <c r="E10" s="275">
        <v>1.224E-3</v>
      </c>
      <c r="F10" s="4" t="s">
        <v>1146</v>
      </c>
    </row>
    <row r="12" spans="2:6" x14ac:dyDescent="0.2">
      <c r="D12" s="4" t="s">
        <v>1148</v>
      </c>
      <c r="E12" s="282">
        <v>375000</v>
      </c>
    </row>
    <row r="13" spans="2:6" x14ac:dyDescent="0.2">
      <c r="E13" s="276"/>
      <c r="F13" s="277" t="s">
        <v>665</v>
      </c>
    </row>
    <row r="14" spans="2:6" x14ac:dyDescent="0.2">
      <c r="D14" s="4" t="s">
        <v>1149</v>
      </c>
      <c r="E14" s="281" t="s">
        <v>810</v>
      </c>
      <c r="F14" s="279">
        <f>IF(E14="ja",E9*$E$12,0)</f>
        <v>399</v>
      </c>
    </row>
    <row r="15" spans="2:6" x14ac:dyDescent="0.2">
      <c r="D15" s="4" t="s">
        <v>1150</v>
      </c>
      <c r="E15" s="281" t="s">
        <v>810</v>
      </c>
      <c r="F15" s="279">
        <f>IF(E15="ja",E10*$E$12,0)</f>
        <v>459</v>
      </c>
    </row>
    <row r="16" spans="2:6" ht="13.5" thickBot="1" x14ac:dyDescent="0.25">
      <c r="F16" s="115"/>
    </row>
    <row r="17" spans="5:6" ht="13.5" thickBot="1" x14ac:dyDescent="0.25">
      <c r="E17" s="278" t="s">
        <v>1151</v>
      </c>
      <c r="F17" s="280">
        <f>F14+F15</f>
        <v>858</v>
      </c>
    </row>
  </sheetData>
  <mergeCells count="5">
    <mergeCell ref="B2:C2"/>
    <mergeCell ref="B3:C3"/>
    <mergeCell ref="B4:C4"/>
    <mergeCell ref="B6:D6"/>
    <mergeCell ref="B1:C1"/>
  </mergeCells>
  <hyperlinks>
    <hyperlink ref="B6:D6" location="Inhoud!A1" display="Ga naar Inhoudsopgave" xr:uid="{00000000-0004-0000-0900-000000000000}"/>
  </hyperlinks>
  <pageMargins left="0.7" right="0.7" top="0.75" bottom="0.75" header="0.3" footer="0.3"/>
  <pageSetup paperSize="9"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4"/>
  <dimension ref="B1:E13"/>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7109375" style="4" bestFit="1" customWidth="1"/>
    <col min="5" max="5" width="11.85546875" style="4" bestFit="1" customWidth="1"/>
    <col min="6" max="16384" width="9.140625" style="4"/>
  </cols>
  <sheetData>
    <row r="1" spans="2:5" x14ac:dyDescent="0.2">
      <c r="B1" s="355" t="s">
        <v>1253</v>
      </c>
      <c r="C1" s="355"/>
      <c r="D1" s="316" t="s">
        <v>1156</v>
      </c>
    </row>
    <row r="2" spans="2:5" x14ac:dyDescent="0.2">
      <c r="B2" s="355" t="s">
        <v>1085</v>
      </c>
      <c r="C2" s="355"/>
      <c r="D2" s="332" t="str">
        <f>VLOOKUP(D$1,TabelContent[],COLUMN(TabelContent[Titel-NL]))</f>
        <v>Spaardeposito</v>
      </c>
    </row>
    <row r="3" spans="2:5" x14ac:dyDescent="0.2">
      <c r="B3" s="355" t="s">
        <v>1086</v>
      </c>
      <c r="C3" s="355"/>
      <c r="D3" s="332" t="str">
        <f>VLOOKUP(D$1,TabelContent[],COLUMN(TabelContent[Cat-NL]))</f>
        <v>Formule</v>
      </c>
    </row>
    <row r="4" spans="2:5" x14ac:dyDescent="0.2">
      <c r="B4" s="355" t="s">
        <v>1087</v>
      </c>
      <c r="C4" s="355" t="s">
        <v>1077</v>
      </c>
      <c r="D4" s="332">
        <f>VLOOKUP(D$1,TabelContent[],COLUMN(TabelContent[Niveau]))</f>
        <v>1</v>
      </c>
    </row>
    <row r="5" spans="2:5" x14ac:dyDescent="0.2">
      <c r="B5" s="16"/>
      <c r="C5" s="16"/>
      <c r="D5" s="16"/>
    </row>
    <row r="6" spans="2:5" x14ac:dyDescent="0.2">
      <c r="B6" s="356" t="s">
        <v>47</v>
      </c>
      <c r="C6" s="356"/>
      <c r="D6" s="356"/>
    </row>
    <row r="7" spans="2:5" x14ac:dyDescent="0.2">
      <c r="B7" s="16"/>
      <c r="C7" s="16"/>
      <c r="D7" s="16"/>
    </row>
    <row r="8" spans="2:5" x14ac:dyDescent="0.2">
      <c r="D8" s="4" t="s">
        <v>665</v>
      </c>
      <c r="E8" s="255">
        <v>20000</v>
      </c>
    </row>
    <row r="9" spans="2:5" x14ac:dyDescent="0.2">
      <c r="D9" s="4" t="s">
        <v>1154</v>
      </c>
      <c r="E9" s="283">
        <v>2.75E-2</v>
      </c>
    </row>
    <row r="11" spans="2:5" x14ac:dyDescent="0.2">
      <c r="D11" s="4" t="s">
        <v>1155</v>
      </c>
    </row>
    <row r="12" spans="2:5" x14ac:dyDescent="0.2">
      <c r="D12" s="4" t="s">
        <v>1066</v>
      </c>
      <c r="E12" s="253">
        <f>E8*E9</f>
        <v>550</v>
      </c>
    </row>
    <row r="13" spans="2:5" x14ac:dyDescent="0.2">
      <c r="D13" s="4" t="s">
        <v>665</v>
      </c>
      <c r="E13" s="253">
        <f>E8+E12</f>
        <v>20550</v>
      </c>
    </row>
  </sheetData>
  <mergeCells count="5">
    <mergeCell ref="B2:C2"/>
    <mergeCell ref="B3:C3"/>
    <mergeCell ref="B4:C4"/>
    <mergeCell ref="B6:D6"/>
    <mergeCell ref="B1:C1"/>
  </mergeCells>
  <hyperlinks>
    <hyperlink ref="B6:D6" location="Inhoud!A1" display="Ga naar Inhoudsopgave" xr:uid="{00000000-0004-0000-0A00-000000000000}"/>
  </hyperlinks>
  <pageMargins left="0.7" right="0.7" top="0.75" bottom="0.75" header="0.3" footer="0.3"/>
  <pageSetup paperSize="9"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5"/>
  <dimension ref="B1:F1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7109375" style="4" bestFit="1" customWidth="1"/>
    <col min="5" max="16384" width="9.140625" style="4"/>
  </cols>
  <sheetData>
    <row r="1" spans="2:6" x14ac:dyDescent="0.2">
      <c r="B1" s="355" t="s">
        <v>1253</v>
      </c>
      <c r="C1" s="355"/>
      <c r="D1" s="316" t="s">
        <v>1166</v>
      </c>
    </row>
    <row r="2" spans="2:6" x14ac:dyDescent="0.2">
      <c r="B2" s="355" t="s">
        <v>1085</v>
      </c>
      <c r="C2" s="355"/>
      <c r="D2" s="332" t="str">
        <f>VLOOKUP(D$1,TabelContent[],COLUMN(TabelContent[Titel-NL]))</f>
        <v>Wet van Joule</v>
      </c>
    </row>
    <row r="3" spans="2:6" x14ac:dyDescent="0.2">
      <c r="B3" s="355" t="s">
        <v>1086</v>
      </c>
      <c r="C3" s="355"/>
      <c r="D3" s="332" t="str">
        <f>VLOOKUP(D$1,TabelContent[],COLUMN(TabelContent[Cat-NL]))</f>
        <v>Formule</v>
      </c>
    </row>
    <row r="4" spans="2:6" x14ac:dyDescent="0.2">
      <c r="B4" s="355" t="s">
        <v>1087</v>
      </c>
      <c r="C4" s="355" t="s">
        <v>1077</v>
      </c>
      <c r="D4" s="332">
        <f>VLOOKUP(D$1,TabelContent[],COLUMN(TabelContent[Niveau]))</f>
        <v>1</v>
      </c>
    </row>
    <row r="5" spans="2:6" x14ac:dyDescent="0.2">
      <c r="B5" s="16"/>
      <c r="C5" s="16"/>
      <c r="D5" s="16"/>
    </row>
    <row r="6" spans="2:6" x14ac:dyDescent="0.2">
      <c r="B6" s="356" t="s">
        <v>47</v>
      </c>
      <c r="C6" s="356"/>
      <c r="D6" s="356"/>
    </row>
    <row r="7" spans="2:6" x14ac:dyDescent="0.2">
      <c r="B7" s="16"/>
      <c r="C7" s="16"/>
      <c r="D7" s="16"/>
    </row>
    <row r="8" spans="2:6" x14ac:dyDescent="0.2">
      <c r="D8" s="4" t="s">
        <v>1157</v>
      </c>
      <c r="E8" s="4">
        <v>2</v>
      </c>
      <c r="F8" s="4" t="s">
        <v>1158</v>
      </c>
    </row>
    <row r="9" spans="2:6" x14ac:dyDescent="0.2">
      <c r="D9" s="4" t="s">
        <v>1159</v>
      </c>
      <c r="E9" s="4">
        <v>5</v>
      </c>
      <c r="F9" s="4" t="s">
        <v>1160</v>
      </c>
    </row>
    <row r="10" spans="2:6" x14ac:dyDescent="0.2">
      <c r="D10" s="4" t="s">
        <v>1164</v>
      </c>
      <c r="E10" s="4">
        <v>30</v>
      </c>
      <c r="F10" s="4" t="s">
        <v>1161</v>
      </c>
    </row>
    <row r="11" spans="2:6" x14ac:dyDescent="0.2">
      <c r="D11" s="4" t="s">
        <v>1163</v>
      </c>
      <c r="E11" s="4">
        <f>0.24*E8^2*E9*E10</f>
        <v>144</v>
      </c>
      <c r="F11" s="4" t="s">
        <v>1162</v>
      </c>
    </row>
  </sheetData>
  <mergeCells count="5">
    <mergeCell ref="B2:C2"/>
    <mergeCell ref="B3:C3"/>
    <mergeCell ref="B4:C4"/>
    <mergeCell ref="B6:D6"/>
    <mergeCell ref="B1:C1"/>
  </mergeCells>
  <hyperlinks>
    <hyperlink ref="B6:D6" location="Inhoud!A1" display="Ga naar Inhoudsopgave" xr:uid="{00000000-0004-0000-0B00-000000000000}"/>
  </hyperlinks>
  <pageMargins left="0.7" right="0.7" top="0.75" bottom="0.75" header="0.3" footer="0.3"/>
  <pageSetup paperSize="9" orientation="landscape"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G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7109375" style="4" bestFit="1" customWidth="1"/>
    <col min="5" max="5" width="10.28515625" style="4" bestFit="1" customWidth="1"/>
    <col min="6" max="16384" width="9.140625" style="4"/>
  </cols>
  <sheetData>
    <row r="1" spans="2:7" x14ac:dyDescent="0.2">
      <c r="B1" s="355" t="s">
        <v>1253</v>
      </c>
      <c r="C1" s="355"/>
      <c r="D1" s="319" t="s">
        <v>1274</v>
      </c>
    </row>
    <row r="2" spans="2:7" x14ac:dyDescent="0.2">
      <c r="B2" s="355" t="s">
        <v>1085</v>
      </c>
      <c r="C2" s="355"/>
      <c r="D2" s="332" t="str">
        <f>VLOOKUP(D$1,TabelContent[],COLUMN(TabelContent[Titel-NL]))</f>
        <v>Investering obligatie</v>
      </c>
    </row>
    <row r="3" spans="2:7" x14ac:dyDescent="0.2">
      <c r="B3" s="355" t="s">
        <v>1086</v>
      </c>
      <c r="C3" s="355"/>
      <c r="D3" s="332" t="str">
        <f>VLOOKUP(D$1,TabelContent[],COLUMN(TabelContent[Cat-NL]))</f>
        <v>Formule</v>
      </c>
    </row>
    <row r="4" spans="2:7" x14ac:dyDescent="0.2">
      <c r="B4" s="355" t="s">
        <v>1087</v>
      </c>
      <c r="C4" s="355" t="s">
        <v>1077</v>
      </c>
      <c r="D4" s="332">
        <f>VLOOKUP(D$1,TabelContent[],COLUMN(TabelContent[Niveau]))</f>
        <v>1</v>
      </c>
    </row>
    <row r="5" spans="2:7" x14ac:dyDescent="0.2">
      <c r="B5" s="16"/>
      <c r="C5" s="16"/>
      <c r="D5" s="16"/>
    </row>
    <row r="6" spans="2:7" x14ac:dyDescent="0.2">
      <c r="B6" s="356" t="s">
        <v>47</v>
      </c>
      <c r="C6" s="356"/>
      <c r="D6" s="356"/>
    </row>
    <row r="7" spans="2:7" x14ac:dyDescent="0.2">
      <c r="B7" s="16"/>
      <c r="C7" s="16"/>
      <c r="D7" s="16"/>
    </row>
    <row r="8" spans="2:7" x14ac:dyDescent="0.2">
      <c r="D8" s="4" t="s">
        <v>1276</v>
      </c>
      <c r="E8" s="4" t="s">
        <v>1277</v>
      </c>
      <c r="F8" s="4" t="s">
        <v>1066</v>
      </c>
      <c r="G8" s="4" t="s">
        <v>1278</v>
      </c>
    </row>
    <row r="9" spans="2:7" x14ac:dyDescent="0.2">
      <c r="D9" s="320">
        <f>-PV(F9,G9,,E9)</f>
        <v>252591.95005755726</v>
      </c>
      <c r="E9" s="101">
        <v>300000</v>
      </c>
      <c r="F9" s="102">
        <v>3.5000000000000003E-2</v>
      </c>
      <c r="G9" s="4">
        <v>5</v>
      </c>
    </row>
  </sheetData>
  <mergeCells count="5">
    <mergeCell ref="B1:C1"/>
    <mergeCell ref="B2:C2"/>
    <mergeCell ref="B3:C3"/>
    <mergeCell ref="B4:C4"/>
    <mergeCell ref="B6:D6"/>
  </mergeCells>
  <hyperlinks>
    <hyperlink ref="B6:D6" location="Inhoud!A1" display="Ga naar Inhoudsopgave" xr:uid="{00000000-0004-0000-0C00-000000000000}"/>
  </hyperlinks>
  <pageMargins left="0.7" right="0.7" top="0.75" bottom="0.75" header="0.3" footer="0.3"/>
  <pageSetup paperSize="9"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078BD-7675-471E-B9A8-69B25EDE01EA}">
  <dimension ref="B1:P1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7109375" style="4" bestFit="1" customWidth="1"/>
    <col min="5" max="5" width="9.140625" style="4" customWidth="1"/>
    <col min="6" max="16" width="4.7109375" style="4" customWidth="1"/>
    <col min="17" max="16384" width="9.140625" style="4"/>
  </cols>
  <sheetData>
    <row r="1" spans="2:16" x14ac:dyDescent="0.2">
      <c r="B1" s="355" t="s">
        <v>1253</v>
      </c>
      <c r="C1" s="355"/>
      <c r="D1" s="334" t="s">
        <v>1313</v>
      </c>
      <c r="E1" s="334"/>
    </row>
    <row r="2" spans="2:16" x14ac:dyDescent="0.2">
      <c r="B2" s="355" t="s">
        <v>1085</v>
      </c>
      <c r="C2" s="355"/>
      <c r="D2" s="334" t="str">
        <f>VLOOKUP(D$1,TabelContent[],COLUMN(TabelContent[Titel-NL]))</f>
        <v>Vermenigvuldigingstabel</v>
      </c>
      <c r="E2" s="334"/>
    </row>
    <row r="3" spans="2:16" x14ac:dyDescent="0.2">
      <c r="B3" s="355" t="s">
        <v>1086</v>
      </c>
      <c r="C3" s="355"/>
      <c r="D3" s="334" t="str">
        <f>VLOOKUP(D$1,TabelContent[],COLUMN(TabelContent[Cat-NL]))</f>
        <v>Formule</v>
      </c>
      <c r="E3" s="334"/>
    </row>
    <row r="4" spans="2:16" x14ac:dyDescent="0.2">
      <c r="B4" s="355" t="s">
        <v>1087</v>
      </c>
      <c r="C4" s="355" t="s">
        <v>1077</v>
      </c>
      <c r="D4" s="334">
        <f>VLOOKUP(D$1,TabelContent[],COLUMN(TabelContent[Niveau]))</f>
        <v>1</v>
      </c>
      <c r="E4" s="334"/>
    </row>
    <row r="5" spans="2:16" x14ac:dyDescent="0.2">
      <c r="B5" s="16"/>
      <c r="C5" s="16"/>
      <c r="D5" s="16"/>
      <c r="E5" s="16"/>
    </row>
    <row r="6" spans="2:16" x14ac:dyDescent="0.2">
      <c r="B6" s="356" t="s">
        <v>47</v>
      </c>
      <c r="C6" s="356"/>
      <c r="D6" s="356"/>
      <c r="E6" s="335"/>
    </row>
    <row r="7" spans="2:16" x14ac:dyDescent="0.2">
      <c r="B7" s="16"/>
      <c r="C7" s="16"/>
      <c r="D7" s="16"/>
      <c r="E7" s="16"/>
    </row>
    <row r="8" spans="2:16" ht="24.95" customHeight="1" thickBot="1" x14ac:dyDescent="0.25">
      <c r="G8" s="337">
        <v>1</v>
      </c>
      <c r="H8" s="337">
        <v>2</v>
      </c>
      <c r="I8" s="337">
        <v>3</v>
      </c>
      <c r="J8" s="337">
        <v>4</v>
      </c>
      <c r="K8" s="337">
        <v>5</v>
      </c>
      <c r="L8" s="337">
        <v>6</v>
      </c>
      <c r="M8" s="337">
        <v>7</v>
      </c>
      <c r="N8" s="337">
        <v>8</v>
      </c>
      <c r="O8" s="337">
        <v>9</v>
      </c>
      <c r="P8" s="337">
        <v>10</v>
      </c>
    </row>
    <row r="9" spans="2:16" ht="24.95" customHeight="1" x14ac:dyDescent="0.2">
      <c r="F9" s="337">
        <v>1</v>
      </c>
      <c r="G9" s="339">
        <f>G$8*$F9</f>
        <v>1</v>
      </c>
      <c r="H9" s="340">
        <f t="shared" ref="H9:P18" si="0">H$8*$F9</f>
        <v>2</v>
      </c>
      <c r="I9" s="340">
        <f t="shared" si="0"/>
        <v>3</v>
      </c>
      <c r="J9" s="340">
        <f t="shared" si="0"/>
        <v>4</v>
      </c>
      <c r="K9" s="340">
        <f t="shared" si="0"/>
        <v>5</v>
      </c>
      <c r="L9" s="340">
        <f t="shared" si="0"/>
        <v>6</v>
      </c>
      <c r="M9" s="340">
        <f t="shared" si="0"/>
        <v>7</v>
      </c>
      <c r="N9" s="340">
        <f t="shared" si="0"/>
        <v>8</v>
      </c>
      <c r="O9" s="340">
        <f t="shared" si="0"/>
        <v>9</v>
      </c>
      <c r="P9" s="341">
        <f t="shared" si="0"/>
        <v>10</v>
      </c>
    </row>
    <row r="10" spans="2:16" ht="24.95" customHeight="1" x14ac:dyDescent="0.2">
      <c r="F10" s="337">
        <v>2</v>
      </c>
      <c r="G10" s="342">
        <f t="shared" ref="G10:G18" si="1">G$8*$F10</f>
        <v>2</v>
      </c>
      <c r="H10" s="338">
        <f t="shared" si="0"/>
        <v>4</v>
      </c>
      <c r="I10" s="338">
        <f t="shared" si="0"/>
        <v>6</v>
      </c>
      <c r="J10" s="338">
        <f t="shared" si="0"/>
        <v>8</v>
      </c>
      <c r="K10" s="338">
        <f t="shared" si="0"/>
        <v>10</v>
      </c>
      <c r="L10" s="338">
        <f t="shared" si="0"/>
        <v>12</v>
      </c>
      <c r="M10" s="338">
        <f t="shared" si="0"/>
        <v>14</v>
      </c>
      <c r="N10" s="338">
        <f t="shared" si="0"/>
        <v>16</v>
      </c>
      <c r="O10" s="338">
        <f t="shared" si="0"/>
        <v>18</v>
      </c>
      <c r="P10" s="343">
        <f t="shared" si="0"/>
        <v>20</v>
      </c>
    </row>
    <row r="11" spans="2:16" ht="24.95" customHeight="1" x14ac:dyDescent="0.2">
      <c r="F11" s="337">
        <v>3</v>
      </c>
      <c r="G11" s="342">
        <f t="shared" si="1"/>
        <v>3</v>
      </c>
      <c r="H11" s="338">
        <f t="shared" si="0"/>
        <v>6</v>
      </c>
      <c r="I11" s="338">
        <f t="shared" si="0"/>
        <v>9</v>
      </c>
      <c r="J11" s="338">
        <f t="shared" si="0"/>
        <v>12</v>
      </c>
      <c r="K11" s="338">
        <f t="shared" si="0"/>
        <v>15</v>
      </c>
      <c r="L11" s="338">
        <f t="shared" si="0"/>
        <v>18</v>
      </c>
      <c r="M11" s="338">
        <f t="shared" si="0"/>
        <v>21</v>
      </c>
      <c r="N11" s="338">
        <f t="shared" si="0"/>
        <v>24</v>
      </c>
      <c r="O11" s="338">
        <f t="shared" si="0"/>
        <v>27</v>
      </c>
      <c r="P11" s="343">
        <f t="shared" si="0"/>
        <v>30</v>
      </c>
    </row>
    <row r="12" spans="2:16" ht="24.95" customHeight="1" x14ac:dyDescent="0.2">
      <c r="F12" s="337">
        <v>4</v>
      </c>
      <c r="G12" s="342">
        <f t="shared" si="1"/>
        <v>4</v>
      </c>
      <c r="H12" s="338">
        <f t="shared" si="0"/>
        <v>8</v>
      </c>
      <c r="I12" s="338">
        <f t="shared" si="0"/>
        <v>12</v>
      </c>
      <c r="J12" s="338">
        <f t="shared" si="0"/>
        <v>16</v>
      </c>
      <c r="K12" s="338">
        <f t="shared" si="0"/>
        <v>20</v>
      </c>
      <c r="L12" s="338">
        <f t="shared" si="0"/>
        <v>24</v>
      </c>
      <c r="M12" s="338">
        <f t="shared" si="0"/>
        <v>28</v>
      </c>
      <c r="N12" s="338">
        <f t="shared" si="0"/>
        <v>32</v>
      </c>
      <c r="O12" s="338">
        <f t="shared" si="0"/>
        <v>36</v>
      </c>
      <c r="P12" s="343">
        <f t="shared" si="0"/>
        <v>40</v>
      </c>
    </row>
    <row r="13" spans="2:16" ht="24.95" customHeight="1" x14ac:dyDescent="0.2">
      <c r="F13" s="337">
        <v>5</v>
      </c>
      <c r="G13" s="342">
        <f t="shared" si="1"/>
        <v>5</v>
      </c>
      <c r="H13" s="338">
        <f t="shared" si="0"/>
        <v>10</v>
      </c>
      <c r="I13" s="338">
        <f t="shared" si="0"/>
        <v>15</v>
      </c>
      <c r="J13" s="338">
        <f t="shared" si="0"/>
        <v>20</v>
      </c>
      <c r="K13" s="338">
        <f t="shared" si="0"/>
        <v>25</v>
      </c>
      <c r="L13" s="338">
        <f t="shared" si="0"/>
        <v>30</v>
      </c>
      <c r="M13" s="338">
        <f t="shared" si="0"/>
        <v>35</v>
      </c>
      <c r="N13" s="338">
        <f t="shared" si="0"/>
        <v>40</v>
      </c>
      <c r="O13" s="338">
        <f t="shared" si="0"/>
        <v>45</v>
      </c>
      <c r="P13" s="343">
        <f t="shared" si="0"/>
        <v>50</v>
      </c>
    </row>
    <row r="14" spans="2:16" ht="24.95" customHeight="1" x14ac:dyDescent="0.2">
      <c r="F14" s="337">
        <v>6</v>
      </c>
      <c r="G14" s="342">
        <f t="shared" si="1"/>
        <v>6</v>
      </c>
      <c r="H14" s="338">
        <f t="shared" si="0"/>
        <v>12</v>
      </c>
      <c r="I14" s="338">
        <f t="shared" si="0"/>
        <v>18</v>
      </c>
      <c r="J14" s="338">
        <f t="shared" si="0"/>
        <v>24</v>
      </c>
      <c r="K14" s="338">
        <f t="shared" si="0"/>
        <v>30</v>
      </c>
      <c r="L14" s="338">
        <f t="shared" si="0"/>
        <v>36</v>
      </c>
      <c r="M14" s="338">
        <f t="shared" si="0"/>
        <v>42</v>
      </c>
      <c r="N14" s="338">
        <f t="shared" si="0"/>
        <v>48</v>
      </c>
      <c r="O14" s="338">
        <f t="shared" si="0"/>
        <v>54</v>
      </c>
      <c r="P14" s="343">
        <f t="shared" si="0"/>
        <v>60</v>
      </c>
    </row>
    <row r="15" spans="2:16" ht="24.95" customHeight="1" x14ac:dyDescent="0.2">
      <c r="F15" s="337">
        <v>7</v>
      </c>
      <c r="G15" s="342">
        <f t="shared" si="1"/>
        <v>7</v>
      </c>
      <c r="H15" s="338">
        <f t="shared" si="0"/>
        <v>14</v>
      </c>
      <c r="I15" s="338">
        <f t="shared" si="0"/>
        <v>21</v>
      </c>
      <c r="J15" s="338">
        <f t="shared" si="0"/>
        <v>28</v>
      </c>
      <c r="K15" s="338">
        <f t="shared" si="0"/>
        <v>35</v>
      </c>
      <c r="L15" s="338">
        <f t="shared" si="0"/>
        <v>42</v>
      </c>
      <c r="M15" s="338">
        <f t="shared" si="0"/>
        <v>49</v>
      </c>
      <c r="N15" s="338">
        <f t="shared" si="0"/>
        <v>56</v>
      </c>
      <c r="O15" s="338">
        <f t="shared" si="0"/>
        <v>63</v>
      </c>
      <c r="P15" s="343">
        <f t="shared" si="0"/>
        <v>70</v>
      </c>
    </row>
    <row r="16" spans="2:16" ht="24.95" customHeight="1" x14ac:dyDescent="0.2">
      <c r="F16" s="337">
        <v>8</v>
      </c>
      <c r="G16" s="342">
        <f t="shared" si="1"/>
        <v>8</v>
      </c>
      <c r="H16" s="338">
        <f t="shared" si="0"/>
        <v>16</v>
      </c>
      <c r="I16" s="338">
        <f t="shared" si="0"/>
        <v>24</v>
      </c>
      <c r="J16" s="338">
        <f t="shared" si="0"/>
        <v>32</v>
      </c>
      <c r="K16" s="338">
        <f t="shared" si="0"/>
        <v>40</v>
      </c>
      <c r="L16" s="338">
        <f t="shared" si="0"/>
        <v>48</v>
      </c>
      <c r="M16" s="338">
        <f t="shared" si="0"/>
        <v>56</v>
      </c>
      <c r="N16" s="338">
        <f t="shared" si="0"/>
        <v>64</v>
      </c>
      <c r="O16" s="338">
        <f t="shared" si="0"/>
        <v>72</v>
      </c>
      <c r="P16" s="343">
        <f t="shared" si="0"/>
        <v>80</v>
      </c>
    </row>
    <row r="17" spans="6:16" ht="24.95" customHeight="1" x14ac:dyDescent="0.2">
      <c r="F17" s="337">
        <v>9</v>
      </c>
      <c r="G17" s="342">
        <f t="shared" si="1"/>
        <v>9</v>
      </c>
      <c r="H17" s="338">
        <f t="shared" si="0"/>
        <v>18</v>
      </c>
      <c r="I17" s="338">
        <f t="shared" si="0"/>
        <v>27</v>
      </c>
      <c r="J17" s="338">
        <f t="shared" si="0"/>
        <v>36</v>
      </c>
      <c r="K17" s="338">
        <f t="shared" si="0"/>
        <v>45</v>
      </c>
      <c r="L17" s="338">
        <f t="shared" si="0"/>
        <v>54</v>
      </c>
      <c r="M17" s="338">
        <f t="shared" si="0"/>
        <v>63</v>
      </c>
      <c r="N17" s="338">
        <f t="shared" si="0"/>
        <v>72</v>
      </c>
      <c r="O17" s="338">
        <f t="shared" si="0"/>
        <v>81</v>
      </c>
      <c r="P17" s="343">
        <f t="shared" si="0"/>
        <v>90</v>
      </c>
    </row>
    <row r="18" spans="6:16" ht="24.95" customHeight="1" thickBot="1" x14ac:dyDescent="0.25">
      <c r="F18" s="337">
        <v>10</v>
      </c>
      <c r="G18" s="344">
        <f t="shared" si="1"/>
        <v>10</v>
      </c>
      <c r="H18" s="345">
        <f t="shared" si="0"/>
        <v>20</v>
      </c>
      <c r="I18" s="345">
        <f t="shared" si="0"/>
        <v>30</v>
      </c>
      <c r="J18" s="345">
        <f t="shared" si="0"/>
        <v>40</v>
      </c>
      <c r="K18" s="345">
        <f t="shared" si="0"/>
        <v>50</v>
      </c>
      <c r="L18" s="345">
        <f t="shared" si="0"/>
        <v>60</v>
      </c>
      <c r="M18" s="345">
        <f t="shared" si="0"/>
        <v>70</v>
      </c>
      <c r="N18" s="345">
        <f t="shared" si="0"/>
        <v>80</v>
      </c>
      <c r="O18" s="345">
        <f t="shared" si="0"/>
        <v>90</v>
      </c>
      <c r="P18" s="346">
        <f t="shared" si="0"/>
        <v>100</v>
      </c>
    </row>
  </sheetData>
  <mergeCells count="5">
    <mergeCell ref="B1:C1"/>
    <mergeCell ref="B2:C2"/>
    <mergeCell ref="B3:C3"/>
    <mergeCell ref="B4:C4"/>
    <mergeCell ref="B6:D6"/>
  </mergeCells>
  <hyperlinks>
    <hyperlink ref="B6:D6" location="Inhoud!A1" display="Ga naar Inhoudsopgave" xr:uid="{854A94A8-83EF-44CA-BA08-D4851B16B349}"/>
  </hyperlinks>
  <pageMargins left="0.7" right="0.7" top="0.75" bottom="0.75" header="0.3" footer="0.3"/>
  <pageSetup paperSize="9"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B394C-0B10-4369-AEA5-4CBAB9BAD74E}">
  <dimension ref="B1:H1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7109375" style="4" bestFit="1" customWidth="1"/>
    <col min="5" max="5" width="11.42578125" style="4" bestFit="1" customWidth="1"/>
    <col min="6" max="6" width="9.140625" style="4"/>
    <col min="7" max="7" width="12.140625" style="4" bestFit="1" customWidth="1"/>
    <col min="8" max="8" width="10.7109375" style="4" customWidth="1"/>
    <col min="9" max="16384" width="9.140625" style="4"/>
  </cols>
  <sheetData>
    <row r="1" spans="2:8" x14ac:dyDescent="0.2">
      <c r="B1" s="355" t="s">
        <v>1253</v>
      </c>
      <c r="C1" s="355"/>
      <c r="D1" s="334" t="s">
        <v>1314</v>
      </c>
    </row>
    <row r="2" spans="2:8" x14ac:dyDescent="0.2">
      <c r="B2" s="355" t="s">
        <v>1085</v>
      </c>
      <c r="C2" s="355"/>
      <c r="D2" s="334" t="str">
        <f>VLOOKUP(D$1,TabelContent[],COLUMN(TabelContent[Titel-NL]))</f>
        <v>Prijs olijfolie</v>
      </c>
    </row>
    <row r="3" spans="2:8" x14ac:dyDescent="0.2">
      <c r="B3" s="355" t="s">
        <v>1086</v>
      </c>
      <c r="C3" s="355"/>
      <c r="D3" s="334" t="str">
        <f>VLOOKUP(D$1,TabelContent[],COLUMN(TabelContent[Cat-NL]))</f>
        <v>Formule</v>
      </c>
    </row>
    <row r="4" spans="2:8" x14ac:dyDescent="0.2">
      <c r="B4" s="355" t="s">
        <v>1087</v>
      </c>
      <c r="C4" s="355" t="s">
        <v>1077</v>
      </c>
      <c r="D4" s="334">
        <f>VLOOKUP(D$1,TabelContent[],COLUMN(TabelContent[Niveau]))</f>
        <v>2</v>
      </c>
    </row>
    <row r="5" spans="2:8" x14ac:dyDescent="0.2">
      <c r="B5" s="16"/>
      <c r="C5" s="16"/>
      <c r="D5" s="16"/>
    </row>
    <row r="6" spans="2:8" x14ac:dyDescent="0.2">
      <c r="B6" s="356" t="s">
        <v>47</v>
      </c>
      <c r="C6" s="356"/>
      <c r="D6" s="356"/>
    </row>
    <row r="7" spans="2:8" x14ac:dyDescent="0.2">
      <c r="B7" s="16"/>
      <c r="C7" s="16"/>
      <c r="D7" s="16"/>
    </row>
    <row r="8" spans="2:8" x14ac:dyDescent="0.2">
      <c r="E8" s="4" t="s">
        <v>1319</v>
      </c>
      <c r="F8" s="4">
        <v>20</v>
      </c>
      <c r="G8" s="4" t="s">
        <v>1322</v>
      </c>
      <c r="H8" s="4">
        <v>21</v>
      </c>
    </row>
    <row r="9" spans="2:8" x14ac:dyDescent="0.2">
      <c r="E9" s="4" t="s">
        <v>1320</v>
      </c>
      <c r="F9" s="255">
        <v>45</v>
      </c>
      <c r="G9" s="4" t="s">
        <v>1323</v>
      </c>
      <c r="H9" s="255">
        <f>IF(blikken_totaal&lt;=staffel_limiet,blikken_totaal*prijs_hoog,staffel_limiet*prijs_hoog+(blikken_totaal-staffel_limiet)*prijs_laag)</f>
        <v>940</v>
      </c>
    </row>
    <row r="10" spans="2:8" x14ac:dyDescent="0.2">
      <c r="E10" s="4" t="s">
        <v>1321</v>
      </c>
      <c r="F10" s="255">
        <v>40</v>
      </c>
    </row>
  </sheetData>
  <mergeCells count="5">
    <mergeCell ref="B1:C1"/>
    <mergeCell ref="B2:C2"/>
    <mergeCell ref="B3:C3"/>
    <mergeCell ref="B4:C4"/>
    <mergeCell ref="B6:D6"/>
  </mergeCells>
  <hyperlinks>
    <hyperlink ref="B6:D6" location="Inhoud!A1" display="Ga naar Inhoudsopgave" xr:uid="{17851C2E-E1F7-450E-B861-665CEA7C2E6F}"/>
  </hyperlinks>
  <pageMargins left="0.7" right="0.7" top="0.75" bottom="0.75" header="0.3" footer="0.3"/>
  <pageSetup paperSize="9"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Blad24"/>
  <dimension ref="B1:E1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9" style="4" bestFit="1" customWidth="1"/>
    <col min="5" max="5" width="11.85546875" style="4" bestFit="1" customWidth="1"/>
    <col min="6" max="16384" width="9.140625" style="4"/>
  </cols>
  <sheetData>
    <row r="1" spans="2:5" x14ac:dyDescent="0.2">
      <c r="B1" s="355" t="s">
        <v>1253</v>
      </c>
      <c r="C1" s="355"/>
      <c r="D1" s="316" t="s">
        <v>618</v>
      </c>
    </row>
    <row r="2" spans="2:5" x14ac:dyDescent="0.2">
      <c r="B2" s="355" t="s">
        <v>1085</v>
      </c>
      <c r="C2" s="355"/>
      <c r="D2" s="332" t="str">
        <f>VLOOKUP(D$1,TabelContent[],COLUMN(TabelContent[Titel-NL]))</f>
        <v>Freelancer</v>
      </c>
    </row>
    <row r="3" spans="2:5" x14ac:dyDescent="0.2">
      <c r="B3" s="355" t="s">
        <v>1086</v>
      </c>
      <c r="C3" s="355"/>
      <c r="D3" s="332" t="str">
        <f>VLOOKUP(D$1,TabelContent[],COLUMN(TabelContent[Cat-NL]))</f>
        <v>Doelzoeken</v>
      </c>
    </row>
    <row r="4" spans="2:5" x14ac:dyDescent="0.2">
      <c r="B4" s="355" t="s">
        <v>1087</v>
      </c>
      <c r="C4" s="355" t="s">
        <v>1077</v>
      </c>
      <c r="D4" s="332">
        <f>VLOOKUP(D$1,TabelContent[],COLUMN(TabelContent[Niveau]))</f>
        <v>2</v>
      </c>
    </row>
    <row r="5" spans="2:5" x14ac:dyDescent="0.2">
      <c r="B5" s="16"/>
      <c r="C5" s="16"/>
      <c r="D5" s="16"/>
    </row>
    <row r="6" spans="2:5" x14ac:dyDescent="0.2">
      <c r="B6" s="356" t="s">
        <v>47</v>
      </c>
      <c r="C6" s="356"/>
      <c r="D6" s="356"/>
    </row>
    <row r="7" spans="2:5" x14ac:dyDescent="0.2">
      <c r="B7" s="16"/>
      <c r="C7" s="16"/>
      <c r="D7" s="16"/>
    </row>
    <row r="8" spans="2:5" x14ac:dyDescent="0.2">
      <c r="B8" s="16"/>
      <c r="D8" s="16" t="s">
        <v>368</v>
      </c>
      <c r="E8" s="36">
        <v>7.8E-2</v>
      </c>
    </row>
    <row r="9" spans="2:5" x14ac:dyDescent="0.2">
      <c r="B9" s="16"/>
      <c r="D9" s="16" t="s">
        <v>369</v>
      </c>
      <c r="E9" s="37">
        <v>64102.564102564109</v>
      </c>
    </row>
    <row r="10" spans="2:5" x14ac:dyDescent="0.2">
      <c r="B10" s="16"/>
      <c r="D10" s="16" t="s">
        <v>370</v>
      </c>
      <c r="E10" s="38">
        <f>E8*E9</f>
        <v>5000.0000000000009</v>
      </c>
    </row>
  </sheetData>
  <mergeCells count="5">
    <mergeCell ref="B6:D6"/>
    <mergeCell ref="B2:C2"/>
    <mergeCell ref="B3:C3"/>
    <mergeCell ref="B4:C4"/>
    <mergeCell ref="B1:C1"/>
  </mergeCells>
  <hyperlinks>
    <hyperlink ref="B6:D6" location="Inhoud!A1" display="Ga naar Inhoudsopgave" xr:uid="{00000000-0004-0000-0D00-000000000000}"/>
  </hyperlinks>
  <pageMargins left="0.7" right="0.7" top="0.75" bottom="0.75" header="0.3" footer="0.3"/>
  <pageSetup paperSize="9" orientation="landscape"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Blad25"/>
  <dimension ref="B1:F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6.140625" style="4" customWidth="1"/>
    <col min="5" max="5" width="9.7109375" style="4" customWidth="1"/>
    <col min="6" max="16384" width="9.140625" style="4"/>
  </cols>
  <sheetData>
    <row r="1" spans="2:6" x14ac:dyDescent="0.2">
      <c r="B1" s="355" t="s">
        <v>1253</v>
      </c>
      <c r="C1" s="355"/>
      <c r="D1" s="316" t="s">
        <v>729</v>
      </c>
    </row>
    <row r="2" spans="2:6" x14ac:dyDescent="0.2">
      <c r="B2" s="355" t="s">
        <v>1085</v>
      </c>
      <c r="C2" s="355"/>
      <c r="D2" s="332" t="str">
        <f>VLOOKUP(D$1,TabelContent[],COLUMN(TabelContent[Titel-NL]))</f>
        <v>Betaling lening</v>
      </c>
      <c r="E2" s="332" t="e">
        <f>VLOOKUP(E$1,TabelContent[],COLUMN(TabelContent[Titel-NL]))</f>
        <v>#N/A</v>
      </c>
    </row>
    <row r="3" spans="2:6" x14ac:dyDescent="0.2">
      <c r="B3" s="355" t="s">
        <v>1086</v>
      </c>
      <c r="C3" s="355"/>
      <c r="D3" s="332" t="str">
        <f>VLOOKUP(D$1,TabelContent[],COLUMN(TabelContent[Cat-NL]))</f>
        <v>Doelzoeken</v>
      </c>
      <c r="E3" s="332" t="e">
        <f>VLOOKUP(E$1,TabelContent[],COLUMN(TabelContent[Cat-NL]))</f>
        <v>#N/A</v>
      </c>
    </row>
    <row r="4" spans="2:6" x14ac:dyDescent="0.2">
      <c r="B4" s="355" t="s">
        <v>1087</v>
      </c>
      <c r="C4" s="355" t="s">
        <v>1077</v>
      </c>
      <c r="D4" s="332">
        <f>VLOOKUP(D$1,TabelContent[],COLUMN(TabelContent[Niveau]))</f>
        <v>2</v>
      </c>
      <c r="E4" s="332" t="e">
        <f>VLOOKUP(E$1,TabelContent[],COLUMN(TabelContent[Niveau]))</f>
        <v>#N/A</v>
      </c>
    </row>
    <row r="5" spans="2:6" x14ac:dyDescent="0.2">
      <c r="B5" s="16"/>
      <c r="C5" s="16"/>
      <c r="D5" s="16"/>
    </row>
    <row r="6" spans="2:6" x14ac:dyDescent="0.2">
      <c r="B6" s="357" t="s">
        <v>47</v>
      </c>
      <c r="C6" s="357"/>
      <c r="D6" s="357"/>
      <c r="E6" s="360"/>
    </row>
    <row r="7" spans="2:6" x14ac:dyDescent="0.2">
      <c r="B7" s="16"/>
      <c r="C7" s="16"/>
      <c r="D7" s="16"/>
    </row>
    <row r="8" spans="2:6" x14ac:dyDescent="0.2">
      <c r="D8" s="1" t="s">
        <v>711</v>
      </c>
    </row>
    <row r="9" spans="2:6" x14ac:dyDescent="0.2">
      <c r="D9" s="1"/>
      <c r="E9" s="102">
        <v>0.08</v>
      </c>
      <c r="F9" s="4" t="s">
        <v>726</v>
      </c>
    </row>
    <row r="10" spans="2:6" x14ac:dyDescent="0.2">
      <c r="E10" s="4">
        <v>10</v>
      </c>
      <c r="F10" s="4" t="s">
        <v>727</v>
      </c>
    </row>
    <row r="11" spans="2:6" x14ac:dyDescent="0.2">
      <c r="E11" s="101">
        <v>7280.3918774254716</v>
      </c>
      <c r="F11" s="4" t="s">
        <v>725</v>
      </c>
    </row>
    <row r="13" spans="2:6" x14ac:dyDescent="0.2">
      <c r="D13" s="1" t="s">
        <v>5</v>
      </c>
    </row>
    <row r="14" spans="2:6" x14ac:dyDescent="0.2">
      <c r="E14" s="103">
        <f>PMT(E9/12,E10,E11,0,1)</f>
        <v>-749.99999999999375</v>
      </c>
      <c r="F14" s="4" t="s">
        <v>728</v>
      </c>
    </row>
  </sheetData>
  <mergeCells count="5">
    <mergeCell ref="B6:E6"/>
    <mergeCell ref="B2:C2"/>
    <mergeCell ref="B3:C3"/>
    <mergeCell ref="B4:C4"/>
    <mergeCell ref="B1:C1"/>
  </mergeCells>
  <hyperlinks>
    <hyperlink ref="B6:D6" location="Inhoud!A1" display="Ga naar Inhoudsopgave" xr:uid="{00000000-0004-0000-0E00-000000000000}"/>
  </hyperlinks>
  <pageMargins left="0.7" right="0.7" top="0.75" bottom="0.75" header="0.3" footer="0.3"/>
  <pageSetup paperSize="9" orientation="landscape"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Blad26"/>
  <dimension ref="B1:K8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16384" width="9.140625" style="4"/>
  </cols>
  <sheetData>
    <row r="1" spans="2:5" x14ac:dyDescent="0.2">
      <c r="B1" s="355" t="s">
        <v>1253</v>
      </c>
      <c r="C1" s="355"/>
      <c r="D1" s="316" t="s">
        <v>737</v>
      </c>
    </row>
    <row r="2" spans="2:5" x14ac:dyDescent="0.2">
      <c r="B2" s="355" t="s">
        <v>1085</v>
      </c>
      <c r="C2" s="355"/>
      <c r="D2" s="332" t="str">
        <f>VLOOKUP(D$1,TabelContent[],COLUMN(TabelContent[Titel-NL]))</f>
        <v>Break-even bepalen</v>
      </c>
      <c r="E2" s="95"/>
    </row>
    <row r="3" spans="2:5" x14ac:dyDescent="0.2">
      <c r="B3" s="355" t="s">
        <v>1086</v>
      </c>
      <c r="C3" s="355"/>
      <c r="D3" s="332" t="str">
        <f>VLOOKUP(D$1,TabelContent[],COLUMN(TabelContent[Cat-NL]))</f>
        <v>Doelzoeken</v>
      </c>
      <c r="E3" s="95"/>
    </row>
    <row r="4" spans="2:5" x14ac:dyDescent="0.2">
      <c r="B4" s="355" t="s">
        <v>1087</v>
      </c>
      <c r="C4" s="355" t="s">
        <v>1077</v>
      </c>
      <c r="D4" s="332">
        <f>VLOOKUP(D$1,TabelContent[],COLUMN(TabelContent[Niveau]))</f>
        <v>3</v>
      </c>
      <c r="E4" s="95"/>
    </row>
    <row r="5" spans="2:5" x14ac:dyDescent="0.2">
      <c r="B5" s="16"/>
      <c r="C5" s="16"/>
      <c r="D5" s="16"/>
      <c r="E5" s="16"/>
    </row>
    <row r="6" spans="2:5" x14ac:dyDescent="0.2">
      <c r="B6" s="356" t="s">
        <v>47</v>
      </c>
      <c r="C6" s="356"/>
      <c r="D6" s="356"/>
      <c r="E6" s="356"/>
    </row>
    <row r="7" spans="2:5" x14ac:dyDescent="0.2">
      <c r="B7" s="16"/>
      <c r="C7" s="16"/>
      <c r="D7" s="16"/>
      <c r="E7" s="16"/>
    </row>
    <row r="8" spans="2:5" x14ac:dyDescent="0.2">
      <c r="B8" s="16"/>
      <c r="C8" s="98" t="s">
        <v>738</v>
      </c>
      <c r="D8" s="98" t="s">
        <v>731</v>
      </c>
      <c r="E8" s="98" t="s">
        <v>732</v>
      </c>
    </row>
    <row r="9" spans="2:5" x14ac:dyDescent="0.2">
      <c r="B9" s="16"/>
      <c r="C9" s="95">
        <v>0</v>
      </c>
      <c r="D9" s="95">
        <f>C9^2+8*C9+15</f>
        <v>15</v>
      </c>
      <c r="E9" s="95">
        <f>-5*C9^2+80*C9</f>
        <v>0</v>
      </c>
    </row>
    <row r="10" spans="2:5" x14ac:dyDescent="0.2">
      <c r="B10" s="16"/>
      <c r="C10" s="95">
        <v>0.2</v>
      </c>
      <c r="D10" s="95">
        <f>C10^2+8*C10+15</f>
        <v>16.64</v>
      </c>
      <c r="E10" s="95">
        <f>-5*C10^2+80*C10</f>
        <v>15.8</v>
      </c>
    </row>
    <row r="11" spans="2:5" x14ac:dyDescent="0.2">
      <c r="B11" s="16"/>
      <c r="C11" s="95">
        <v>0.4</v>
      </c>
      <c r="D11" s="95">
        <f t="shared" ref="D11:D74" si="0">C11^2+8*C11+15</f>
        <v>18.36</v>
      </c>
      <c r="E11" s="95">
        <f t="shared" ref="E11:E74" si="1">-5*C11^2+80*C11</f>
        <v>31.2</v>
      </c>
    </row>
    <row r="12" spans="2:5" x14ac:dyDescent="0.2">
      <c r="B12" s="16"/>
      <c r="C12" s="95">
        <v>0.6</v>
      </c>
      <c r="D12" s="95">
        <f t="shared" si="0"/>
        <v>20.16</v>
      </c>
      <c r="E12" s="95">
        <f t="shared" si="1"/>
        <v>46.2</v>
      </c>
    </row>
    <row r="13" spans="2:5" x14ac:dyDescent="0.2">
      <c r="B13" s="16"/>
      <c r="C13" s="95">
        <v>0.8</v>
      </c>
      <c r="D13" s="95">
        <f t="shared" si="0"/>
        <v>22.04</v>
      </c>
      <c r="E13" s="95">
        <f t="shared" si="1"/>
        <v>60.8</v>
      </c>
    </row>
    <row r="14" spans="2:5" x14ac:dyDescent="0.2">
      <c r="B14" s="16"/>
      <c r="C14" s="95">
        <v>1</v>
      </c>
      <c r="D14" s="95">
        <f t="shared" si="0"/>
        <v>24</v>
      </c>
      <c r="E14" s="95">
        <f t="shared" si="1"/>
        <v>75</v>
      </c>
    </row>
    <row r="15" spans="2:5" x14ac:dyDescent="0.2">
      <c r="B15" s="16"/>
      <c r="C15" s="95">
        <v>1.2</v>
      </c>
      <c r="D15" s="95">
        <f t="shared" si="0"/>
        <v>26.04</v>
      </c>
      <c r="E15" s="95">
        <f t="shared" si="1"/>
        <v>88.8</v>
      </c>
    </row>
    <row r="16" spans="2:5" x14ac:dyDescent="0.2">
      <c r="C16" s="95">
        <v>1.4</v>
      </c>
      <c r="D16" s="95">
        <f t="shared" si="0"/>
        <v>28.159999999999997</v>
      </c>
      <c r="E16" s="95">
        <f t="shared" si="1"/>
        <v>102.2</v>
      </c>
    </row>
    <row r="17" spans="3:11" x14ac:dyDescent="0.2">
      <c r="C17" s="95">
        <v>1.6</v>
      </c>
      <c r="D17" s="95">
        <f t="shared" si="0"/>
        <v>30.36</v>
      </c>
      <c r="E17" s="95">
        <f t="shared" si="1"/>
        <v>115.2</v>
      </c>
    </row>
    <row r="18" spans="3:11" x14ac:dyDescent="0.2">
      <c r="C18" s="95">
        <v>1.8</v>
      </c>
      <c r="D18" s="95">
        <f t="shared" si="0"/>
        <v>32.64</v>
      </c>
      <c r="E18" s="95">
        <f t="shared" si="1"/>
        <v>127.8</v>
      </c>
    </row>
    <row r="19" spans="3:11" x14ac:dyDescent="0.2">
      <c r="C19" s="95">
        <v>2</v>
      </c>
      <c r="D19" s="95">
        <f t="shared" si="0"/>
        <v>35</v>
      </c>
      <c r="E19" s="95">
        <f t="shared" si="1"/>
        <v>140</v>
      </c>
    </row>
    <row r="20" spans="3:11" x14ac:dyDescent="0.2">
      <c r="C20" s="95">
        <v>2.2000000000000002</v>
      </c>
      <c r="D20" s="95">
        <f t="shared" si="0"/>
        <v>37.44</v>
      </c>
      <c r="E20" s="95">
        <f t="shared" si="1"/>
        <v>151.80000000000001</v>
      </c>
    </row>
    <row r="21" spans="3:11" x14ac:dyDescent="0.2">
      <c r="C21" s="95">
        <v>2.4</v>
      </c>
      <c r="D21" s="95">
        <f t="shared" si="0"/>
        <v>39.96</v>
      </c>
      <c r="E21" s="95">
        <f t="shared" si="1"/>
        <v>163.19999999999999</v>
      </c>
    </row>
    <row r="22" spans="3:11" x14ac:dyDescent="0.2">
      <c r="C22" s="95">
        <v>2.6</v>
      </c>
      <c r="D22" s="95">
        <f t="shared" si="0"/>
        <v>42.56</v>
      </c>
      <c r="E22" s="95">
        <f t="shared" si="1"/>
        <v>174.2</v>
      </c>
    </row>
    <row r="23" spans="3:11" x14ac:dyDescent="0.2">
      <c r="C23" s="95">
        <v>2.8</v>
      </c>
      <c r="D23" s="95">
        <f t="shared" si="0"/>
        <v>45.239999999999995</v>
      </c>
      <c r="E23" s="95">
        <f t="shared" si="1"/>
        <v>184.8</v>
      </c>
    </row>
    <row r="24" spans="3:11" x14ac:dyDescent="0.2">
      <c r="C24" s="95">
        <v>3</v>
      </c>
      <c r="D24" s="95">
        <f t="shared" si="0"/>
        <v>48</v>
      </c>
      <c r="E24" s="95">
        <f t="shared" si="1"/>
        <v>195</v>
      </c>
    </row>
    <row r="25" spans="3:11" x14ac:dyDescent="0.2">
      <c r="C25" s="95">
        <v>3.2</v>
      </c>
      <c r="D25" s="95">
        <f t="shared" si="0"/>
        <v>50.84</v>
      </c>
      <c r="E25" s="95">
        <f t="shared" si="1"/>
        <v>204.79999999999998</v>
      </c>
    </row>
    <row r="26" spans="3:11" x14ac:dyDescent="0.2">
      <c r="C26" s="95">
        <v>3.4</v>
      </c>
      <c r="D26" s="95">
        <f t="shared" si="0"/>
        <v>53.76</v>
      </c>
      <c r="E26" s="95">
        <f t="shared" si="1"/>
        <v>214.2</v>
      </c>
    </row>
    <row r="27" spans="3:11" x14ac:dyDescent="0.2">
      <c r="C27" s="95">
        <v>3.6</v>
      </c>
      <c r="D27" s="95">
        <f t="shared" si="0"/>
        <v>56.760000000000005</v>
      </c>
      <c r="E27" s="95">
        <f t="shared" si="1"/>
        <v>223.2</v>
      </c>
      <c r="G27" s="362" t="s">
        <v>734</v>
      </c>
      <c r="H27" s="360"/>
      <c r="I27" s="360"/>
      <c r="J27" s="360"/>
      <c r="K27" s="360"/>
    </row>
    <row r="28" spans="3:11" x14ac:dyDescent="0.2">
      <c r="C28" s="95">
        <v>3.8</v>
      </c>
      <c r="D28" s="95">
        <f t="shared" si="0"/>
        <v>59.839999999999996</v>
      </c>
      <c r="E28" s="95">
        <f t="shared" si="1"/>
        <v>231.8</v>
      </c>
      <c r="H28" s="98" t="s">
        <v>738</v>
      </c>
      <c r="I28" s="98" t="s">
        <v>731</v>
      </c>
      <c r="J28" s="98" t="s">
        <v>732</v>
      </c>
      <c r="K28" s="98" t="s">
        <v>733</v>
      </c>
    </row>
    <row r="29" spans="3:11" x14ac:dyDescent="0.2">
      <c r="C29" s="95">
        <v>4</v>
      </c>
      <c r="D29" s="95">
        <f t="shared" si="0"/>
        <v>63</v>
      </c>
      <c r="E29" s="95">
        <f t="shared" si="1"/>
        <v>240</v>
      </c>
      <c r="G29" s="98" t="s">
        <v>735</v>
      </c>
      <c r="H29" s="104">
        <v>0.212081555285868</v>
      </c>
      <c r="I29" s="96">
        <f t="shared" ref="I29:I30" si="2">H29^2+8*H29+15</f>
        <v>16.741631028379416</v>
      </c>
      <c r="J29" s="96">
        <f t="shared" ref="J29" si="3">-5*H29^2+80*H29</f>
        <v>16.741631492407077</v>
      </c>
      <c r="K29" s="105">
        <f>J29-I29</f>
        <v>4.6402766074038482E-7</v>
      </c>
    </row>
    <row r="30" spans="3:11" x14ac:dyDescent="0.2">
      <c r="C30" s="95">
        <v>4.2</v>
      </c>
      <c r="D30" s="95">
        <f t="shared" si="0"/>
        <v>66.240000000000009</v>
      </c>
      <c r="E30" s="95">
        <f t="shared" si="1"/>
        <v>247.8</v>
      </c>
      <c r="G30" s="98" t="s">
        <v>736</v>
      </c>
      <c r="H30" s="104">
        <v>11.7879185093717</v>
      </c>
      <c r="I30" s="96">
        <f t="shared" si="2"/>
        <v>248.25837085856151</v>
      </c>
      <c r="J30" s="96">
        <f t="shared" ref="J30" si="4">-5*H30^2+80*H30</f>
        <v>248.25836683179648</v>
      </c>
      <c r="K30" s="105">
        <f>J30-I30</f>
        <v>-4.026765026310386E-6</v>
      </c>
    </row>
    <row r="31" spans="3:11" x14ac:dyDescent="0.2">
      <c r="C31" s="95">
        <v>4.4000000000000004</v>
      </c>
      <c r="D31" s="95">
        <f t="shared" si="0"/>
        <v>69.56</v>
      </c>
      <c r="E31" s="95">
        <f t="shared" si="1"/>
        <v>255.2</v>
      </c>
    </row>
    <row r="32" spans="3:11" x14ac:dyDescent="0.2">
      <c r="C32" s="95">
        <v>4.5999999999999996</v>
      </c>
      <c r="D32" s="95">
        <f t="shared" si="0"/>
        <v>72.959999999999994</v>
      </c>
      <c r="E32" s="95">
        <f t="shared" si="1"/>
        <v>262.20000000000005</v>
      </c>
    </row>
    <row r="33" spans="3:5" x14ac:dyDescent="0.2">
      <c r="C33" s="95">
        <v>4.8</v>
      </c>
      <c r="D33" s="95">
        <f t="shared" si="0"/>
        <v>76.44</v>
      </c>
      <c r="E33" s="95">
        <f t="shared" si="1"/>
        <v>268.8</v>
      </c>
    </row>
    <row r="34" spans="3:5" x14ac:dyDescent="0.2">
      <c r="C34" s="95">
        <v>5</v>
      </c>
      <c r="D34" s="95">
        <f t="shared" si="0"/>
        <v>80</v>
      </c>
      <c r="E34" s="95">
        <f t="shared" si="1"/>
        <v>275</v>
      </c>
    </row>
    <row r="35" spans="3:5" x14ac:dyDescent="0.2">
      <c r="C35" s="95">
        <v>5.2</v>
      </c>
      <c r="D35" s="95">
        <f t="shared" si="0"/>
        <v>83.64</v>
      </c>
      <c r="E35" s="95">
        <f t="shared" si="1"/>
        <v>280.79999999999995</v>
      </c>
    </row>
    <row r="36" spans="3:5" x14ac:dyDescent="0.2">
      <c r="C36" s="95">
        <v>5.4</v>
      </c>
      <c r="D36" s="95">
        <f t="shared" si="0"/>
        <v>87.360000000000014</v>
      </c>
      <c r="E36" s="95">
        <f t="shared" si="1"/>
        <v>286.2</v>
      </c>
    </row>
    <row r="37" spans="3:5" x14ac:dyDescent="0.2">
      <c r="C37" s="95">
        <v>5.6</v>
      </c>
      <c r="D37" s="95">
        <f t="shared" si="0"/>
        <v>91.16</v>
      </c>
      <c r="E37" s="95">
        <f t="shared" si="1"/>
        <v>291.20000000000005</v>
      </c>
    </row>
    <row r="38" spans="3:5" x14ac:dyDescent="0.2">
      <c r="C38" s="95">
        <v>5.8</v>
      </c>
      <c r="D38" s="95">
        <f t="shared" si="0"/>
        <v>95.039999999999992</v>
      </c>
      <c r="E38" s="95">
        <f t="shared" si="1"/>
        <v>295.8</v>
      </c>
    </row>
    <row r="39" spans="3:5" x14ac:dyDescent="0.2">
      <c r="C39" s="95">
        <v>6</v>
      </c>
      <c r="D39" s="95">
        <f t="shared" si="0"/>
        <v>99</v>
      </c>
      <c r="E39" s="95">
        <f t="shared" si="1"/>
        <v>300</v>
      </c>
    </row>
    <row r="40" spans="3:5" x14ac:dyDescent="0.2">
      <c r="C40" s="95">
        <v>6.2</v>
      </c>
      <c r="D40" s="95">
        <f t="shared" si="0"/>
        <v>103.04</v>
      </c>
      <c r="E40" s="95">
        <f t="shared" si="1"/>
        <v>303.79999999999995</v>
      </c>
    </row>
    <row r="41" spans="3:5" x14ac:dyDescent="0.2">
      <c r="C41" s="95">
        <v>6.4</v>
      </c>
      <c r="D41" s="95">
        <f t="shared" si="0"/>
        <v>107.16000000000001</v>
      </c>
      <c r="E41" s="95">
        <f t="shared" si="1"/>
        <v>307.19999999999993</v>
      </c>
    </row>
    <row r="42" spans="3:5" x14ac:dyDescent="0.2">
      <c r="C42" s="95">
        <v>6.6</v>
      </c>
      <c r="D42" s="95">
        <f t="shared" si="0"/>
        <v>111.35999999999999</v>
      </c>
      <c r="E42" s="95">
        <f t="shared" si="1"/>
        <v>310.20000000000005</v>
      </c>
    </row>
    <row r="43" spans="3:5" x14ac:dyDescent="0.2">
      <c r="C43" s="95">
        <v>6.8</v>
      </c>
      <c r="D43" s="95">
        <f t="shared" si="0"/>
        <v>115.63999999999999</v>
      </c>
      <c r="E43" s="95">
        <f t="shared" si="1"/>
        <v>312.8</v>
      </c>
    </row>
    <row r="44" spans="3:5" x14ac:dyDescent="0.2">
      <c r="C44" s="95">
        <v>7</v>
      </c>
      <c r="D44" s="95">
        <f t="shared" si="0"/>
        <v>120</v>
      </c>
      <c r="E44" s="95">
        <f t="shared" si="1"/>
        <v>315</v>
      </c>
    </row>
    <row r="45" spans="3:5" x14ac:dyDescent="0.2">
      <c r="C45" s="95">
        <v>7.2</v>
      </c>
      <c r="D45" s="95">
        <f t="shared" si="0"/>
        <v>124.44</v>
      </c>
      <c r="E45" s="95">
        <f t="shared" si="1"/>
        <v>316.79999999999995</v>
      </c>
    </row>
    <row r="46" spans="3:5" x14ac:dyDescent="0.2">
      <c r="C46" s="95">
        <v>7.4</v>
      </c>
      <c r="D46" s="95">
        <f t="shared" si="0"/>
        <v>128.96</v>
      </c>
      <c r="E46" s="95">
        <f t="shared" si="1"/>
        <v>318.2</v>
      </c>
    </row>
    <row r="47" spans="3:5" x14ac:dyDescent="0.2">
      <c r="C47" s="95">
        <v>7.6</v>
      </c>
      <c r="D47" s="95">
        <f t="shared" si="0"/>
        <v>133.56</v>
      </c>
      <c r="E47" s="95">
        <f t="shared" si="1"/>
        <v>319.2</v>
      </c>
    </row>
    <row r="48" spans="3:5" x14ac:dyDescent="0.2">
      <c r="C48" s="95">
        <v>7.8</v>
      </c>
      <c r="D48" s="95">
        <f t="shared" si="0"/>
        <v>138.24</v>
      </c>
      <c r="E48" s="95">
        <f t="shared" si="1"/>
        <v>319.8</v>
      </c>
    </row>
    <row r="49" spans="3:5" x14ac:dyDescent="0.2">
      <c r="C49" s="95">
        <v>8</v>
      </c>
      <c r="D49" s="95">
        <f t="shared" si="0"/>
        <v>143</v>
      </c>
      <c r="E49" s="95">
        <f t="shared" si="1"/>
        <v>320</v>
      </c>
    </row>
    <row r="50" spans="3:5" x14ac:dyDescent="0.2">
      <c r="C50" s="95">
        <v>8.1999999999999993</v>
      </c>
      <c r="D50" s="95">
        <f t="shared" si="0"/>
        <v>147.83999999999997</v>
      </c>
      <c r="E50" s="95">
        <f t="shared" si="1"/>
        <v>319.8</v>
      </c>
    </row>
    <row r="51" spans="3:5" x14ac:dyDescent="0.2">
      <c r="C51" s="95">
        <v>8.4</v>
      </c>
      <c r="D51" s="95">
        <f t="shared" si="0"/>
        <v>152.76</v>
      </c>
      <c r="E51" s="95">
        <f t="shared" si="1"/>
        <v>319.2</v>
      </c>
    </row>
    <row r="52" spans="3:5" x14ac:dyDescent="0.2">
      <c r="C52" s="95">
        <v>8.6</v>
      </c>
      <c r="D52" s="95">
        <f t="shared" si="0"/>
        <v>157.76</v>
      </c>
      <c r="E52" s="95">
        <f t="shared" si="1"/>
        <v>318.20000000000005</v>
      </c>
    </row>
    <row r="53" spans="3:5" x14ac:dyDescent="0.2">
      <c r="C53" s="95">
        <v>8.8000000000000007</v>
      </c>
      <c r="D53" s="95">
        <f t="shared" si="0"/>
        <v>162.84000000000003</v>
      </c>
      <c r="E53" s="95">
        <f t="shared" si="1"/>
        <v>316.79999999999995</v>
      </c>
    </row>
    <row r="54" spans="3:5" x14ac:dyDescent="0.2">
      <c r="C54" s="95">
        <v>9</v>
      </c>
      <c r="D54" s="95">
        <f t="shared" si="0"/>
        <v>168</v>
      </c>
      <c r="E54" s="95">
        <f t="shared" si="1"/>
        <v>315</v>
      </c>
    </row>
    <row r="55" spans="3:5" x14ac:dyDescent="0.2">
      <c r="C55" s="95">
        <v>9.1999999999999993</v>
      </c>
      <c r="D55" s="95">
        <f t="shared" si="0"/>
        <v>173.23999999999998</v>
      </c>
      <c r="E55" s="95">
        <f t="shared" si="1"/>
        <v>312.80000000000007</v>
      </c>
    </row>
    <row r="56" spans="3:5" x14ac:dyDescent="0.2">
      <c r="C56" s="95">
        <v>9.4</v>
      </c>
      <c r="D56" s="95">
        <f t="shared" si="0"/>
        <v>178.56</v>
      </c>
      <c r="E56" s="95">
        <f t="shared" si="1"/>
        <v>310.19999999999993</v>
      </c>
    </row>
    <row r="57" spans="3:5" x14ac:dyDescent="0.2">
      <c r="C57" s="95">
        <v>9.6</v>
      </c>
      <c r="D57" s="95">
        <f t="shared" si="0"/>
        <v>183.95999999999998</v>
      </c>
      <c r="E57" s="95">
        <f t="shared" si="1"/>
        <v>307.20000000000005</v>
      </c>
    </row>
    <row r="58" spans="3:5" x14ac:dyDescent="0.2">
      <c r="C58" s="95">
        <v>9.8000000000000007</v>
      </c>
      <c r="D58" s="95">
        <f t="shared" si="0"/>
        <v>189.44000000000003</v>
      </c>
      <c r="E58" s="95">
        <f t="shared" si="1"/>
        <v>303.7999999999999</v>
      </c>
    </row>
    <row r="59" spans="3:5" x14ac:dyDescent="0.2">
      <c r="C59" s="95">
        <v>10</v>
      </c>
      <c r="D59" s="95">
        <f t="shared" si="0"/>
        <v>195</v>
      </c>
      <c r="E59" s="95">
        <f t="shared" si="1"/>
        <v>300</v>
      </c>
    </row>
    <row r="60" spans="3:5" x14ac:dyDescent="0.2">
      <c r="C60" s="95">
        <v>10.199999999999999</v>
      </c>
      <c r="D60" s="95">
        <f t="shared" si="0"/>
        <v>200.64</v>
      </c>
      <c r="E60" s="95">
        <f t="shared" si="1"/>
        <v>295.80000000000007</v>
      </c>
    </row>
    <row r="61" spans="3:5" x14ac:dyDescent="0.2">
      <c r="C61" s="95">
        <v>10.4</v>
      </c>
      <c r="D61" s="95">
        <f t="shared" si="0"/>
        <v>206.36</v>
      </c>
      <c r="E61" s="95">
        <f t="shared" si="1"/>
        <v>291.19999999999993</v>
      </c>
    </row>
    <row r="62" spans="3:5" x14ac:dyDescent="0.2">
      <c r="C62" s="95">
        <v>10.6</v>
      </c>
      <c r="D62" s="95">
        <f t="shared" si="0"/>
        <v>212.16</v>
      </c>
      <c r="E62" s="95">
        <f t="shared" si="1"/>
        <v>286.20000000000005</v>
      </c>
    </row>
    <row r="63" spans="3:5" x14ac:dyDescent="0.2">
      <c r="C63" s="95">
        <v>10.8</v>
      </c>
      <c r="D63" s="95">
        <f t="shared" si="0"/>
        <v>218.04000000000002</v>
      </c>
      <c r="E63" s="95">
        <f t="shared" si="1"/>
        <v>280.79999999999995</v>
      </c>
    </row>
    <row r="64" spans="3:5" x14ac:dyDescent="0.2">
      <c r="C64" s="95">
        <v>11</v>
      </c>
      <c r="D64" s="95">
        <f t="shared" si="0"/>
        <v>224</v>
      </c>
      <c r="E64" s="95">
        <f t="shared" si="1"/>
        <v>275</v>
      </c>
    </row>
    <row r="65" spans="3:5" x14ac:dyDescent="0.2">
      <c r="C65" s="95">
        <v>11.2</v>
      </c>
      <c r="D65" s="95">
        <f t="shared" si="0"/>
        <v>230.03999999999996</v>
      </c>
      <c r="E65" s="95">
        <f t="shared" si="1"/>
        <v>268.80000000000007</v>
      </c>
    </row>
    <row r="66" spans="3:5" x14ac:dyDescent="0.2">
      <c r="C66" s="95">
        <v>11.4</v>
      </c>
      <c r="D66" s="95">
        <f t="shared" si="0"/>
        <v>236.16000000000003</v>
      </c>
      <c r="E66" s="95">
        <f t="shared" si="1"/>
        <v>262.19999999999993</v>
      </c>
    </row>
    <row r="67" spans="3:5" x14ac:dyDescent="0.2">
      <c r="C67" s="95">
        <v>11.6</v>
      </c>
      <c r="D67" s="95">
        <f t="shared" si="0"/>
        <v>242.36</v>
      </c>
      <c r="E67" s="95">
        <f t="shared" si="1"/>
        <v>255.20000000000005</v>
      </c>
    </row>
    <row r="68" spans="3:5" x14ac:dyDescent="0.2">
      <c r="C68" s="95">
        <v>11.8</v>
      </c>
      <c r="D68" s="95">
        <f t="shared" si="0"/>
        <v>248.64000000000001</v>
      </c>
      <c r="E68" s="95">
        <f t="shared" si="1"/>
        <v>247.79999999999995</v>
      </c>
    </row>
    <row r="69" spans="3:5" x14ac:dyDescent="0.2">
      <c r="C69" s="95">
        <v>12</v>
      </c>
      <c r="D69" s="95">
        <f t="shared" si="0"/>
        <v>255</v>
      </c>
      <c r="E69" s="95">
        <f t="shared" si="1"/>
        <v>240</v>
      </c>
    </row>
    <row r="70" spans="3:5" x14ac:dyDescent="0.2">
      <c r="C70" s="95">
        <v>12.2</v>
      </c>
      <c r="D70" s="95">
        <f t="shared" si="0"/>
        <v>261.43999999999994</v>
      </c>
      <c r="E70" s="95">
        <f t="shared" si="1"/>
        <v>231.80000000000018</v>
      </c>
    </row>
    <row r="71" spans="3:5" x14ac:dyDescent="0.2">
      <c r="C71" s="95">
        <v>12.4</v>
      </c>
      <c r="D71" s="95">
        <f t="shared" si="0"/>
        <v>267.96000000000004</v>
      </c>
      <c r="E71" s="95">
        <f t="shared" si="1"/>
        <v>223.19999999999993</v>
      </c>
    </row>
    <row r="72" spans="3:5" x14ac:dyDescent="0.2">
      <c r="C72" s="95">
        <v>12.6</v>
      </c>
      <c r="D72" s="95">
        <f t="shared" si="0"/>
        <v>274.56</v>
      </c>
      <c r="E72" s="95">
        <f t="shared" si="1"/>
        <v>214.20000000000005</v>
      </c>
    </row>
    <row r="73" spans="3:5" x14ac:dyDescent="0.2">
      <c r="C73" s="95">
        <v>12.8</v>
      </c>
      <c r="D73" s="95">
        <f t="shared" si="0"/>
        <v>281.24</v>
      </c>
      <c r="E73" s="95">
        <f t="shared" si="1"/>
        <v>204.79999999999984</v>
      </c>
    </row>
    <row r="74" spans="3:5" x14ac:dyDescent="0.2">
      <c r="C74" s="95">
        <v>13</v>
      </c>
      <c r="D74" s="95">
        <f t="shared" si="0"/>
        <v>288</v>
      </c>
      <c r="E74" s="95">
        <f t="shared" si="1"/>
        <v>195</v>
      </c>
    </row>
    <row r="75" spans="3:5" x14ac:dyDescent="0.2">
      <c r="C75" s="95">
        <v>13.2</v>
      </c>
      <c r="D75" s="95">
        <f t="shared" ref="D75:D89" si="5">C75^2+8*C75+15</f>
        <v>294.83999999999997</v>
      </c>
      <c r="E75" s="95">
        <f t="shared" ref="E75:E89" si="6">-5*C75^2+80*C75</f>
        <v>184.80000000000007</v>
      </c>
    </row>
    <row r="76" spans="3:5" x14ac:dyDescent="0.2">
      <c r="C76" s="95">
        <v>13.4</v>
      </c>
      <c r="D76" s="95">
        <f t="shared" si="5"/>
        <v>301.76</v>
      </c>
      <c r="E76" s="95">
        <f t="shared" si="6"/>
        <v>174.20000000000005</v>
      </c>
    </row>
    <row r="77" spans="3:5" x14ac:dyDescent="0.2">
      <c r="C77" s="95">
        <v>13.6</v>
      </c>
      <c r="D77" s="95">
        <f t="shared" si="5"/>
        <v>308.76</v>
      </c>
      <c r="E77" s="95">
        <f t="shared" si="6"/>
        <v>163.20000000000005</v>
      </c>
    </row>
    <row r="78" spans="3:5" x14ac:dyDescent="0.2">
      <c r="C78" s="95">
        <v>13.8</v>
      </c>
      <c r="D78" s="95">
        <f t="shared" si="5"/>
        <v>315.84000000000003</v>
      </c>
      <c r="E78" s="95">
        <f t="shared" si="6"/>
        <v>151.79999999999984</v>
      </c>
    </row>
    <row r="79" spans="3:5" x14ac:dyDescent="0.2">
      <c r="C79" s="95">
        <v>14</v>
      </c>
      <c r="D79" s="95">
        <f t="shared" si="5"/>
        <v>323</v>
      </c>
      <c r="E79" s="95">
        <f t="shared" si="6"/>
        <v>140</v>
      </c>
    </row>
    <row r="80" spans="3:5" x14ac:dyDescent="0.2">
      <c r="C80" s="95">
        <v>14.2</v>
      </c>
      <c r="D80" s="95">
        <f t="shared" si="5"/>
        <v>330.24</v>
      </c>
      <c r="E80" s="95">
        <f t="shared" si="6"/>
        <v>127.80000000000007</v>
      </c>
    </row>
    <row r="81" spans="3:5" x14ac:dyDescent="0.2">
      <c r="C81" s="95">
        <v>14.4</v>
      </c>
      <c r="D81" s="95">
        <f t="shared" si="5"/>
        <v>337.56</v>
      </c>
      <c r="E81" s="95">
        <f t="shared" si="6"/>
        <v>115.19999999999982</v>
      </c>
    </row>
    <row r="82" spans="3:5" x14ac:dyDescent="0.2">
      <c r="C82" s="95">
        <v>14.6</v>
      </c>
      <c r="D82" s="95">
        <f t="shared" si="5"/>
        <v>344.96</v>
      </c>
      <c r="E82" s="95">
        <f t="shared" si="6"/>
        <v>102.20000000000005</v>
      </c>
    </row>
    <row r="83" spans="3:5" x14ac:dyDescent="0.2">
      <c r="C83" s="95">
        <v>14.8</v>
      </c>
      <c r="D83" s="95">
        <f t="shared" si="5"/>
        <v>352.44000000000005</v>
      </c>
      <c r="E83" s="95">
        <f t="shared" si="6"/>
        <v>88.799999999999955</v>
      </c>
    </row>
    <row r="84" spans="3:5" x14ac:dyDescent="0.2">
      <c r="C84" s="95">
        <v>15</v>
      </c>
      <c r="D84" s="95">
        <f t="shared" si="5"/>
        <v>360</v>
      </c>
      <c r="E84" s="95">
        <f t="shared" si="6"/>
        <v>75</v>
      </c>
    </row>
    <row r="85" spans="3:5" x14ac:dyDescent="0.2">
      <c r="C85" s="95">
        <v>15.2</v>
      </c>
      <c r="D85" s="95">
        <f t="shared" si="5"/>
        <v>367.64</v>
      </c>
      <c r="E85" s="95">
        <f t="shared" si="6"/>
        <v>60.799999999999955</v>
      </c>
    </row>
    <row r="86" spans="3:5" x14ac:dyDescent="0.2">
      <c r="C86" s="95">
        <v>15.4</v>
      </c>
      <c r="D86" s="95">
        <f t="shared" si="5"/>
        <v>375.36</v>
      </c>
      <c r="E86" s="95">
        <f t="shared" si="6"/>
        <v>46.199999999999818</v>
      </c>
    </row>
    <row r="87" spans="3:5" x14ac:dyDescent="0.2">
      <c r="C87" s="95">
        <v>15.6</v>
      </c>
      <c r="D87" s="95">
        <f t="shared" si="5"/>
        <v>383.15999999999997</v>
      </c>
      <c r="E87" s="95">
        <f t="shared" si="6"/>
        <v>31.200000000000045</v>
      </c>
    </row>
    <row r="88" spans="3:5" x14ac:dyDescent="0.2">
      <c r="C88" s="95">
        <v>15.8</v>
      </c>
      <c r="D88" s="95">
        <f t="shared" si="5"/>
        <v>391.04</v>
      </c>
      <c r="E88" s="95">
        <f t="shared" si="6"/>
        <v>15.799999999999955</v>
      </c>
    </row>
    <row r="89" spans="3:5" x14ac:dyDescent="0.2">
      <c r="C89" s="95">
        <v>16</v>
      </c>
      <c r="D89" s="95">
        <f t="shared" si="5"/>
        <v>399</v>
      </c>
      <c r="E89" s="95">
        <f t="shared" si="6"/>
        <v>0</v>
      </c>
    </row>
  </sheetData>
  <mergeCells count="6">
    <mergeCell ref="G27:K27"/>
    <mergeCell ref="B1:C1"/>
    <mergeCell ref="B6:E6"/>
    <mergeCell ref="B2:C2"/>
    <mergeCell ref="B3:C3"/>
    <mergeCell ref="B4:C4"/>
  </mergeCells>
  <hyperlinks>
    <hyperlink ref="B6:D6" location="sjabloon!A1" display="Ga naar Inhoudsopgave" xr:uid="{00000000-0004-0000-0F00-000000000000}"/>
    <hyperlink ref="B6:E6" location="Inhoud!A1" display="Ga naar Inhoudsopgave" xr:uid="{00000000-0004-0000-0F00-000001000000}"/>
  </hyperlinks>
  <pageMargins left="0.7" right="0.7" top="0.75" bottom="0.75" header="0.3" footer="0.3"/>
  <pageSetup paperSize="9" orientation="landscape"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6"/>
  <dimension ref="B1:F22"/>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0.28515625" style="4" customWidth="1"/>
    <col min="5" max="5" width="11.85546875" style="4" bestFit="1" customWidth="1"/>
    <col min="6" max="6" width="10.85546875" style="4" bestFit="1" customWidth="1"/>
    <col min="7" max="16384" width="9.140625" style="4"/>
  </cols>
  <sheetData>
    <row r="1" spans="2:6" x14ac:dyDescent="0.2">
      <c r="B1" s="355" t="s">
        <v>1253</v>
      </c>
      <c r="C1" s="355"/>
      <c r="D1" s="316" t="s">
        <v>1102</v>
      </c>
    </row>
    <row r="2" spans="2:6" x14ac:dyDescent="0.2">
      <c r="B2" s="355" t="s">
        <v>1085</v>
      </c>
      <c r="C2" s="355"/>
      <c r="D2" s="332" t="str">
        <f>VLOOKUP(D$1,TabelContent[],COLUMN(TabelContent[Titel-NL]))</f>
        <v>Spaarbedrag</v>
      </c>
    </row>
    <row r="3" spans="2:6" x14ac:dyDescent="0.2">
      <c r="B3" s="355" t="s">
        <v>1086</v>
      </c>
      <c r="C3" s="355"/>
      <c r="D3" s="332" t="str">
        <f>VLOOKUP(D$1,TabelContent[],COLUMN(TabelContent[Cat-NL]))</f>
        <v>Doelzoeken</v>
      </c>
    </row>
    <row r="4" spans="2:6" x14ac:dyDescent="0.2">
      <c r="B4" s="355" t="s">
        <v>1087</v>
      </c>
      <c r="C4" s="355" t="s">
        <v>1077</v>
      </c>
      <c r="D4" s="332">
        <f>VLOOKUP(D$1,TabelContent[],COLUMN(TabelContent[Niveau]))</f>
        <v>2</v>
      </c>
    </row>
    <row r="5" spans="2:6" x14ac:dyDescent="0.2">
      <c r="B5" s="16"/>
      <c r="C5" s="16"/>
      <c r="D5" s="16"/>
    </row>
    <row r="6" spans="2:6" x14ac:dyDescent="0.2">
      <c r="B6" s="356" t="s">
        <v>47</v>
      </c>
      <c r="C6" s="356"/>
      <c r="D6" s="356"/>
    </row>
    <row r="7" spans="2:6" x14ac:dyDescent="0.2">
      <c r="B7" s="16"/>
      <c r="C7" s="16"/>
      <c r="D7" s="16"/>
    </row>
    <row r="8" spans="2:6" x14ac:dyDescent="0.2">
      <c r="D8" s="4" t="s">
        <v>1098</v>
      </c>
      <c r="E8" s="255">
        <v>1000</v>
      </c>
    </row>
    <row r="9" spans="2:6" x14ac:dyDescent="0.2">
      <c r="D9" s="4" t="s">
        <v>1099</v>
      </c>
      <c r="E9" s="102">
        <v>2.7E-2</v>
      </c>
    </row>
    <row r="11" spans="2:6" x14ac:dyDescent="0.2">
      <c r="D11" s="147" t="s">
        <v>53</v>
      </c>
      <c r="E11" s="147" t="s">
        <v>1066</v>
      </c>
      <c r="F11" s="147" t="s">
        <v>1100</v>
      </c>
    </row>
    <row r="12" spans="2:6" x14ac:dyDescent="0.2">
      <c r="D12" s="265">
        <v>2010</v>
      </c>
      <c r="F12" s="255">
        <f>E8</f>
        <v>1000</v>
      </c>
    </row>
    <row r="13" spans="2:6" x14ac:dyDescent="0.2">
      <c r="D13" s="265">
        <v>2011</v>
      </c>
      <c r="E13" s="253">
        <f>$E$9*F12</f>
        <v>27</v>
      </c>
      <c r="F13" s="253">
        <f>F12+E13</f>
        <v>1027</v>
      </c>
    </row>
    <row r="14" spans="2:6" x14ac:dyDescent="0.2">
      <c r="D14" s="265">
        <v>2012</v>
      </c>
      <c r="E14" s="253">
        <f t="shared" ref="E14:E22" si="0">$E$9*F13</f>
        <v>27.728999999999999</v>
      </c>
      <c r="F14" s="253">
        <f t="shared" ref="F14:F22" si="1">F13+E14</f>
        <v>1054.729</v>
      </c>
    </row>
    <row r="15" spans="2:6" x14ac:dyDescent="0.2">
      <c r="D15" s="265">
        <v>2013</v>
      </c>
      <c r="E15" s="253">
        <f t="shared" si="0"/>
        <v>28.477683000000003</v>
      </c>
      <c r="F15" s="253">
        <f t="shared" si="1"/>
        <v>1083.2066830000001</v>
      </c>
    </row>
    <row r="16" spans="2:6" x14ac:dyDescent="0.2">
      <c r="D16" s="265">
        <v>2014</v>
      </c>
      <c r="E16" s="253">
        <f t="shared" si="0"/>
        <v>29.246580441000003</v>
      </c>
      <c r="F16" s="253">
        <f t="shared" si="1"/>
        <v>1112.4532634410002</v>
      </c>
    </row>
    <row r="17" spans="4:6" x14ac:dyDescent="0.2">
      <c r="D17" s="265">
        <v>2015</v>
      </c>
      <c r="E17" s="253">
        <f t="shared" si="0"/>
        <v>30.036238112907007</v>
      </c>
      <c r="F17" s="253">
        <f t="shared" si="1"/>
        <v>1142.4895015539073</v>
      </c>
    </row>
    <row r="18" spans="4:6" x14ac:dyDescent="0.2">
      <c r="D18" s="265">
        <v>2016</v>
      </c>
      <c r="E18" s="253">
        <f t="shared" si="0"/>
        <v>30.847216541955497</v>
      </c>
      <c r="F18" s="253">
        <f t="shared" si="1"/>
        <v>1173.3367180958628</v>
      </c>
    </row>
    <row r="19" spans="4:6" x14ac:dyDescent="0.2">
      <c r="D19" s="265">
        <v>2017</v>
      </c>
      <c r="E19" s="253">
        <f t="shared" si="0"/>
        <v>31.680091388588295</v>
      </c>
      <c r="F19" s="253">
        <f t="shared" si="1"/>
        <v>1205.0168094844512</v>
      </c>
    </row>
    <row r="20" spans="4:6" x14ac:dyDescent="0.2">
      <c r="D20" s="265">
        <v>2018</v>
      </c>
      <c r="E20" s="253">
        <f t="shared" si="0"/>
        <v>32.535453856080181</v>
      </c>
      <c r="F20" s="253">
        <f t="shared" si="1"/>
        <v>1237.5522633405315</v>
      </c>
    </row>
    <row r="21" spans="4:6" x14ac:dyDescent="0.2">
      <c r="D21" s="265">
        <v>2019</v>
      </c>
      <c r="E21" s="253">
        <f t="shared" si="0"/>
        <v>33.413911110194348</v>
      </c>
      <c r="F21" s="253">
        <f t="shared" si="1"/>
        <v>1270.9661744507257</v>
      </c>
    </row>
    <row r="22" spans="4:6" x14ac:dyDescent="0.2">
      <c r="D22" s="265">
        <v>2020</v>
      </c>
      <c r="E22" s="253">
        <f t="shared" si="0"/>
        <v>34.316086710169593</v>
      </c>
      <c r="F22" s="253">
        <f t="shared" si="1"/>
        <v>1305.2822611608954</v>
      </c>
    </row>
  </sheetData>
  <mergeCells count="5">
    <mergeCell ref="B2:C2"/>
    <mergeCell ref="B3:C3"/>
    <mergeCell ref="B4:C4"/>
    <mergeCell ref="B6:D6"/>
    <mergeCell ref="B1:C1"/>
  </mergeCells>
  <hyperlinks>
    <hyperlink ref="B6:D6" location="Inhoud!A1" display="Ga naar Inhoudsopgave" xr:uid="{00000000-0004-0000-1000-000000000000}"/>
  </hyperlinks>
  <pageMargins left="0.7" right="0.7" top="0.75" bottom="0.75" header="0.3" footer="0.3"/>
  <pageSetup paperSize="9"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Blad9"/>
  <dimension ref="B1:D3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s>
  <sheetData>
    <row r="1" spans="2:4" s="4" customFormat="1" x14ac:dyDescent="0.2">
      <c r="B1" s="355" t="s">
        <v>1253</v>
      </c>
      <c r="C1" s="355"/>
      <c r="D1" s="316" t="s">
        <v>72</v>
      </c>
    </row>
    <row r="2" spans="2:4" s="4" customFormat="1" x14ac:dyDescent="0.2">
      <c r="B2" s="355" t="s">
        <v>1085</v>
      </c>
      <c r="C2" s="355"/>
      <c r="D2" s="332" t="str">
        <f>VLOOKUP(D$1,TabelContent[],COLUMN(TabelContent[Titel-NL]))</f>
        <v>Derdegraads grafiek</v>
      </c>
    </row>
    <row r="3" spans="2:4" s="4" customFormat="1" x14ac:dyDescent="0.2">
      <c r="B3" s="355" t="s">
        <v>1086</v>
      </c>
      <c r="C3" s="355"/>
      <c r="D3" s="332" t="str">
        <f>VLOOKUP(D$1,TabelContent[],COLUMN(TabelContent[Cat-NL]))</f>
        <v>Grafiek</v>
      </c>
    </row>
    <row r="4" spans="2:4" s="4" customFormat="1" x14ac:dyDescent="0.2">
      <c r="B4" s="355" t="s">
        <v>1087</v>
      </c>
      <c r="C4" s="355" t="s">
        <v>1077</v>
      </c>
      <c r="D4" s="332">
        <f>VLOOKUP(D$1,TabelContent[],COLUMN(TabelContent[Niveau]))</f>
        <v>2</v>
      </c>
    </row>
    <row r="5" spans="2:4" x14ac:dyDescent="0.2">
      <c r="B5" s="16"/>
      <c r="C5" s="16"/>
      <c r="D5" s="16"/>
    </row>
    <row r="6" spans="2:4" x14ac:dyDescent="0.2">
      <c r="B6" s="356" t="s">
        <v>47</v>
      </c>
      <c r="C6" s="356"/>
      <c r="D6" s="356"/>
    </row>
    <row r="7" spans="2:4" x14ac:dyDescent="0.2">
      <c r="B7" s="16"/>
      <c r="C7" s="16"/>
      <c r="D7" s="16"/>
    </row>
    <row r="8" spans="2:4" x14ac:dyDescent="0.2">
      <c r="B8" s="16"/>
      <c r="C8" s="39" t="s">
        <v>51</v>
      </c>
      <c r="D8" s="39" t="s">
        <v>52</v>
      </c>
    </row>
    <row r="9" spans="2:4" x14ac:dyDescent="0.2">
      <c r="B9" s="16"/>
      <c r="C9" s="40">
        <v>-1</v>
      </c>
      <c r="D9" s="41">
        <f>(C9-0.5)^3</f>
        <v>-3.375</v>
      </c>
    </row>
    <row r="10" spans="2:4" x14ac:dyDescent="0.2">
      <c r="B10" s="16"/>
      <c r="C10" s="40">
        <v>-0.9</v>
      </c>
      <c r="D10" s="41">
        <f t="shared" ref="D10:D39" si="0">(C10-0.5)^3</f>
        <v>-2.7439999999999993</v>
      </c>
    </row>
    <row r="11" spans="2:4" x14ac:dyDescent="0.2">
      <c r="B11" s="16"/>
      <c r="C11" s="40">
        <v>-0.8</v>
      </c>
      <c r="D11" s="41">
        <f t="shared" si="0"/>
        <v>-2.1970000000000005</v>
      </c>
    </row>
    <row r="12" spans="2:4" x14ac:dyDescent="0.2">
      <c r="B12" s="16"/>
      <c r="C12" s="40">
        <v>-0.7</v>
      </c>
      <c r="D12" s="41">
        <f t="shared" si="0"/>
        <v>-1.728</v>
      </c>
    </row>
    <row r="13" spans="2:4" x14ac:dyDescent="0.2">
      <c r="B13" s="16"/>
      <c r="C13" s="40">
        <v>-0.6</v>
      </c>
      <c r="D13" s="41">
        <f t="shared" si="0"/>
        <v>-1.3310000000000004</v>
      </c>
    </row>
    <row r="14" spans="2:4" x14ac:dyDescent="0.2">
      <c r="B14" s="16"/>
      <c r="C14" s="40">
        <v>-0.5</v>
      </c>
      <c r="D14" s="41">
        <f t="shared" si="0"/>
        <v>-1</v>
      </c>
    </row>
    <row r="15" spans="2:4" x14ac:dyDescent="0.2">
      <c r="B15" s="16"/>
      <c r="C15" s="40">
        <v>-0.4</v>
      </c>
      <c r="D15" s="41">
        <f t="shared" si="0"/>
        <v>-0.72900000000000009</v>
      </c>
    </row>
    <row r="16" spans="2:4" x14ac:dyDescent="0.2">
      <c r="B16" s="16"/>
      <c r="C16" s="40">
        <v>-0.3</v>
      </c>
      <c r="D16" s="41">
        <f t="shared" si="0"/>
        <v>-0.51200000000000012</v>
      </c>
    </row>
    <row r="17" spans="2:4" x14ac:dyDescent="0.2">
      <c r="B17" s="16"/>
      <c r="C17" s="40">
        <v>-0.2</v>
      </c>
      <c r="D17" s="41">
        <f t="shared" si="0"/>
        <v>-0.34299999999999992</v>
      </c>
    </row>
    <row r="18" spans="2:4" x14ac:dyDescent="0.2">
      <c r="B18" s="16"/>
      <c r="C18" s="40">
        <v>-0.1</v>
      </c>
      <c r="D18" s="41">
        <f t="shared" si="0"/>
        <v>-0.216</v>
      </c>
    </row>
    <row r="19" spans="2:4" x14ac:dyDescent="0.2">
      <c r="B19" s="16"/>
      <c r="C19" s="40">
        <v>0</v>
      </c>
      <c r="D19" s="41">
        <f t="shared" si="0"/>
        <v>-0.125</v>
      </c>
    </row>
    <row r="20" spans="2:4" x14ac:dyDescent="0.2">
      <c r="B20" s="16"/>
      <c r="C20" s="40">
        <v>9.9999999999999645E-2</v>
      </c>
      <c r="D20" s="41">
        <f t="shared" si="0"/>
        <v>-6.4000000000000168E-2</v>
      </c>
    </row>
    <row r="21" spans="2:4" x14ac:dyDescent="0.2">
      <c r="B21" s="16"/>
      <c r="C21" s="40">
        <v>0.2</v>
      </c>
      <c r="D21" s="41">
        <f t="shared" si="0"/>
        <v>-2.7E-2</v>
      </c>
    </row>
    <row r="22" spans="2:4" x14ac:dyDescent="0.2">
      <c r="B22" s="16"/>
      <c r="C22" s="40">
        <v>0.3</v>
      </c>
      <c r="D22" s="41">
        <f t="shared" si="0"/>
        <v>-8.0000000000000019E-3</v>
      </c>
    </row>
    <row r="23" spans="2:4" x14ac:dyDescent="0.2">
      <c r="B23" s="16"/>
      <c r="C23" s="40">
        <v>0.4</v>
      </c>
      <c r="D23" s="41">
        <f t="shared" si="0"/>
        <v>-9.9999999999999937E-4</v>
      </c>
    </row>
    <row r="24" spans="2:4" x14ac:dyDescent="0.2">
      <c r="B24" s="16"/>
      <c r="C24" s="40">
        <v>0.5</v>
      </c>
      <c r="D24" s="41">
        <f t="shared" si="0"/>
        <v>0</v>
      </c>
    </row>
    <row r="25" spans="2:4" x14ac:dyDescent="0.2">
      <c r="B25" s="16"/>
      <c r="C25" s="40">
        <v>0.6</v>
      </c>
      <c r="D25" s="41">
        <f t="shared" si="0"/>
        <v>9.9999999999999937E-4</v>
      </c>
    </row>
    <row r="26" spans="2:4" x14ac:dyDescent="0.2">
      <c r="B26" s="16"/>
      <c r="C26" s="40">
        <v>0.7</v>
      </c>
      <c r="D26" s="41">
        <f t="shared" si="0"/>
        <v>7.999999999999995E-3</v>
      </c>
    </row>
    <row r="27" spans="2:4" x14ac:dyDescent="0.2">
      <c r="B27" s="16"/>
      <c r="C27" s="40">
        <v>0.8</v>
      </c>
      <c r="D27" s="41">
        <f t="shared" si="0"/>
        <v>2.700000000000001E-2</v>
      </c>
    </row>
    <row r="28" spans="2:4" x14ac:dyDescent="0.2">
      <c r="B28" s="16"/>
      <c r="C28" s="40">
        <v>0.89999999999999947</v>
      </c>
      <c r="D28" s="41">
        <f t="shared" si="0"/>
        <v>6.3999999999999752E-2</v>
      </c>
    </row>
    <row r="29" spans="2:4" x14ac:dyDescent="0.2">
      <c r="B29" s="16"/>
      <c r="C29" s="40">
        <v>1</v>
      </c>
      <c r="D29" s="41">
        <f t="shared" si="0"/>
        <v>0.125</v>
      </c>
    </row>
    <row r="30" spans="2:4" x14ac:dyDescent="0.2">
      <c r="B30" s="16"/>
      <c r="C30" s="40">
        <v>1.1000000000000001</v>
      </c>
      <c r="D30" s="41">
        <f t="shared" si="0"/>
        <v>0.21600000000000008</v>
      </c>
    </row>
    <row r="31" spans="2:4" x14ac:dyDescent="0.2">
      <c r="B31" s="16"/>
      <c r="C31" s="40">
        <v>1.2</v>
      </c>
      <c r="D31" s="41">
        <f t="shared" si="0"/>
        <v>0.34299999999999992</v>
      </c>
    </row>
    <row r="32" spans="2:4" x14ac:dyDescent="0.2">
      <c r="B32" s="16"/>
      <c r="C32" s="40">
        <v>1.3</v>
      </c>
      <c r="D32" s="41">
        <f t="shared" si="0"/>
        <v>0.51200000000000012</v>
      </c>
    </row>
    <row r="33" spans="2:4" x14ac:dyDescent="0.2">
      <c r="B33" s="16"/>
      <c r="C33" s="40">
        <v>1.4</v>
      </c>
      <c r="D33" s="41">
        <f t="shared" si="0"/>
        <v>0.72899999999999976</v>
      </c>
    </row>
    <row r="34" spans="2:4" x14ac:dyDescent="0.2">
      <c r="B34" s="16"/>
      <c r="C34" s="40">
        <v>1.5</v>
      </c>
      <c r="D34" s="41">
        <f t="shared" si="0"/>
        <v>1</v>
      </c>
    </row>
    <row r="35" spans="2:4" x14ac:dyDescent="0.2">
      <c r="B35" s="16"/>
      <c r="C35" s="40">
        <v>1.6</v>
      </c>
      <c r="D35" s="41">
        <f t="shared" si="0"/>
        <v>1.3310000000000004</v>
      </c>
    </row>
    <row r="36" spans="2:4" x14ac:dyDescent="0.2">
      <c r="B36" s="16"/>
      <c r="C36" s="40">
        <v>1.7</v>
      </c>
      <c r="D36" s="41">
        <f t="shared" si="0"/>
        <v>1.728</v>
      </c>
    </row>
    <row r="37" spans="2:4" x14ac:dyDescent="0.2">
      <c r="B37" s="16"/>
      <c r="C37" s="40">
        <v>1.8</v>
      </c>
      <c r="D37" s="41">
        <f t="shared" si="0"/>
        <v>2.1970000000000005</v>
      </c>
    </row>
    <row r="38" spans="2:4" x14ac:dyDescent="0.2">
      <c r="B38" s="16"/>
      <c r="C38" s="40">
        <v>1.9</v>
      </c>
      <c r="D38" s="41">
        <f t="shared" si="0"/>
        <v>2.7439999999999993</v>
      </c>
    </row>
    <row r="39" spans="2:4" x14ac:dyDescent="0.2">
      <c r="B39" s="16"/>
      <c r="C39" s="40">
        <v>2</v>
      </c>
      <c r="D39" s="41">
        <f t="shared" si="0"/>
        <v>3.375</v>
      </c>
    </row>
  </sheetData>
  <mergeCells count="5">
    <mergeCell ref="B6:D6"/>
    <mergeCell ref="B2:C2"/>
    <mergeCell ref="B3:C3"/>
    <mergeCell ref="B4:C4"/>
    <mergeCell ref="B1:C1"/>
  </mergeCells>
  <hyperlinks>
    <hyperlink ref="B6:D6" location="Inhoud!A1" display="Ga naar Inhoudsopgave" xr:uid="{00000000-0004-0000-1100-000000000000}"/>
  </hyperlinks>
  <pageMargins left="0.7" right="0.7" top="0.75" bottom="0.75" header="0.3" footer="0.3"/>
  <pageSetup paperSize="9"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Blad10"/>
  <dimension ref="B1:I12"/>
  <sheetViews>
    <sheetView workbookViewId="0">
      <pane xSplit="1" ySplit="6" topLeftCell="B7" activePane="bottomRight" state="frozen"/>
      <selection pane="topRight" activeCell="B1" sqref="B1"/>
      <selection pane="bottomLeft" activeCell="A6" sqref="A6"/>
      <selection pane="bottomRight" activeCell="D2" sqref="D2:D4"/>
    </sheetView>
  </sheetViews>
  <sheetFormatPr defaultRowHeight="12.75" x14ac:dyDescent="0.2"/>
  <cols>
    <col min="1" max="2" width="3.7109375" style="4" customWidth="1"/>
    <col min="3" max="3" width="7.7109375" style="4" customWidth="1"/>
    <col min="4" max="9" width="8.7109375" style="4" customWidth="1"/>
    <col min="10" max="16384" width="9.140625" style="4"/>
  </cols>
  <sheetData>
    <row r="1" spans="2:9" x14ac:dyDescent="0.2">
      <c r="B1" s="355" t="s">
        <v>1253</v>
      </c>
      <c r="C1" s="355"/>
      <c r="D1" s="316" t="s">
        <v>73</v>
      </c>
    </row>
    <row r="2" spans="2:9" x14ac:dyDescent="0.2">
      <c r="B2" s="355" t="s">
        <v>1085</v>
      </c>
      <c r="C2" s="355"/>
      <c r="D2" s="332" t="str">
        <f>VLOOKUP(D$1,TabelContent[],COLUMN(TabelContent[Titel-NL]))</f>
        <v>Reizen</v>
      </c>
    </row>
    <row r="3" spans="2:9" x14ac:dyDescent="0.2">
      <c r="B3" s="355" t="s">
        <v>1086</v>
      </c>
      <c r="C3" s="355"/>
      <c r="D3" s="332" t="str">
        <f>VLOOKUP(D$1,TabelContent[],COLUMN(TabelContent[Cat-NL]))</f>
        <v>Grafiek</v>
      </c>
    </row>
    <row r="4" spans="2:9" x14ac:dyDescent="0.2">
      <c r="B4" s="355" t="s">
        <v>1087</v>
      </c>
      <c r="C4" s="355" t="s">
        <v>1077</v>
      </c>
      <c r="D4" s="332">
        <f>VLOOKUP(D$1,TabelContent[],COLUMN(TabelContent[Niveau]))</f>
        <v>1</v>
      </c>
    </row>
    <row r="5" spans="2:9" x14ac:dyDescent="0.2">
      <c r="B5" s="16"/>
      <c r="C5" s="16"/>
      <c r="D5" s="16"/>
      <c r="E5" s="16"/>
      <c r="F5" s="16"/>
      <c r="G5" s="16"/>
      <c r="H5" s="16"/>
      <c r="I5" s="16"/>
    </row>
    <row r="6" spans="2:9" x14ac:dyDescent="0.2">
      <c r="B6" s="356" t="s">
        <v>47</v>
      </c>
      <c r="C6" s="356"/>
      <c r="D6" s="356"/>
      <c r="E6" s="16"/>
      <c r="F6" s="16"/>
      <c r="G6" s="16"/>
      <c r="H6" s="16"/>
      <c r="I6" s="16"/>
    </row>
    <row r="7" spans="2:9" ht="13.5" thickBot="1" x14ac:dyDescent="0.25">
      <c r="B7" s="16"/>
      <c r="C7" s="16"/>
      <c r="D7" s="16"/>
      <c r="E7" s="16"/>
      <c r="F7" s="16"/>
      <c r="G7" s="16"/>
      <c r="H7" s="16"/>
      <c r="I7" s="16"/>
    </row>
    <row r="8" spans="2:9" ht="13.5" thickBot="1" x14ac:dyDescent="0.25">
      <c r="B8" s="16"/>
      <c r="C8" s="42" t="s">
        <v>53</v>
      </c>
      <c r="D8" s="42" t="s">
        <v>54</v>
      </c>
      <c r="E8" s="42" t="s">
        <v>55</v>
      </c>
      <c r="F8" s="42" t="s">
        <v>56</v>
      </c>
      <c r="G8" s="42" t="s">
        <v>57</v>
      </c>
      <c r="H8" s="42" t="s">
        <v>58</v>
      </c>
      <c r="I8" s="42" t="s">
        <v>59</v>
      </c>
    </row>
    <row r="9" spans="2:9" x14ac:dyDescent="0.2">
      <c r="B9" s="16"/>
      <c r="C9" s="43">
        <v>2008</v>
      </c>
      <c r="D9" s="43">
        <v>180</v>
      </c>
      <c r="E9" s="43">
        <v>350</v>
      </c>
      <c r="F9" s="43">
        <v>145</v>
      </c>
      <c r="G9" s="43">
        <v>330</v>
      </c>
      <c r="H9" s="43">
        <v>267</v>
      </c>
      <c r="I9" s="43">
        <f>SUM(D9:H9)</f>
        <v>1272</v>
      </c>
    </row>
    <row r="10" spans="2:9" x14ac:dyDescent="0.2">
      <c r="B10" s="16"/>
      <c r="C10" s="44">
        <v>2009</v>
      </c>
      <c r="D10" s="44">
        <v>210</v>
      </c>
      <c r="E10" s="44">
        <v>400</v>
      </c>
      <c r="F10" s="44">
        <v>110</v>
      </c>
      <c r="G10" s="44">
        <v>350</v>
      </c>
      <c r="H10" s="44">
        <v>305</v>
      </c>
      <c r="I10" s="43">
        <f t="shared" ref="I10:I11" si="0">SUM(D10:H10)</f>
        <v>1375</v>
      </c>
    </row>
    <row r="11" spans="2:9" ht="13.5" thickBot="1" x14ac:dyDescent="0.25">
      <c r="B11" s="16"/>
      <c r="C11" s="45">
        <v>2010</v>
      </c>
      <c r="D11" s="45">
        <v>200</v>
      </c>
      <c r="E11" s="45">
        <v>450</v>
      </c>
      <c r="F11" s="45">
        <v>95</v>
      </c>
      <c r="G11" s="45">
        <v>320</v>
      </c>
      <c r="H11" s="45">
        <v>380</v>
      </c>
      <c r="I11" s="43">
        <f t="shared" si="0"/>
        <v>1445</v>
      </c>
    </row>
    <row r="12" spans="2:9" ht="13.5" thickBot="1" x14ac:dyDescent="0.25">
      <c r="B12" s="16"/>
      <c r="C12" s="42" t="s">
        <v>59</v>
      </c>
      <c r="D12" s="46">
        <f>SUM(D9:D11)</f>
        <v>590</v>
      </c>
      <c r="E12" s="46">
        <f t="shared" ref="E12:I12" si="1">SUM(E9:E11)</f>
        <v>1200</v>
      </c>
      <c r="F12" s="46">
        <f t="shared" si="1"/>
        <v>350</v>
      </c>
      <c r="G12" s="46">
        <f t="shared" si="1"/>
        <v>1000</v>
      </c>
      <c r="H12" s="46">
        <f t="shared" si="1"/>
        <v>952</v>
      </c>
      <c r="I12" s="46">
        <f t="shared" si="1"/>
        <v>4092</v>
      </c>
    </row>
  </sheetData>
  <mergeCells count="5">
    <mergeCell ref="B6:D6"/>
    <mergeCell ref="B2:C2"/>
    <mergeCell ref="B3:C3"/>
    <mergeCell ref="B4:C4"/>
    <mergeCell ref="B1:C1"/>
  </mergeCells>
  <hyperlinks>
    <hyperlink ref="B6:D6" location="Inhoud!A1" display="Ga naar Inhoudsopgave" xr:uid="{00000000-0004-0000-1200-000000000000}"/>
  </hyperlinks>
  <pageMargins left="0.7" right="0.7" top="0.75" bottom="0.75" header="0.3" footer="0.3"/>
  <pageSetup paperSize="9" orientation="landscape"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Blad11"/>
  <dimension ref="B1:F15"/>
  <sheetViews>
    <sheetView workbookViewId="0">
      <pane xSplit="1" ySplit="6" topLeftCell="B7" activePane="bottomRight" state="frozen"/>
      <selection pane="topRight" activeCell="B1" sqref="B1"/>
      <selection pane="bottomLeft" activeCell="A6" sqref="A6"/>
      <selection pane="bottomRight"/>
    </sheetView>
  </sheetViews>
  <sheetFormatPr defaultRowHeight="12.75" x14ac:dyDescent="0.2"/>
  <cols>
    <col min="1" max="2" width="3.7109375" style="4" customWidth="1"/>
    <col min="3" max="3" width="7.7109375" style="4" customWidth="1"/>
    <col min="4" max="6" width="10.7109375" style="4" customWidth="1"/>
    <col min="7" max="16384" width="9.140625" style="4"/>
  </cols>
  <sheetData>
    <row r="1" spans="2:6" x14ac:dyDescent="0.2">
      <c r="B1" s="355" t="s">
        <v>1253</v>
      </c>
      <c r="C1" s="355"/>
      <c r="D1" s="316" t="s">
        <v>74</v>
      </c>
    </row>
    <row r="2" spans="2:6" x14ac:dyDescent="0.2">
      <c r="B2" s="355" t="s">
        <v>1085</v>
      </c>
      <c r="C2" s="355"/>
      <c r="D2" s="332" t="str">
        <f>VLOOKUP(D$1,TabelContent[],COLUMN(TabelContent[Titel-NL]))</f>
        <v>Verkoopcijfers</v>
      </c>
    </row>
    <row r="3" spans="2:6" x14ac:dyDescent="0.2">
      <c r="B3" s="355" t="s">
        <v>1086</v>
      </c>
      <c r="C3" s="355"/>
      <c r="D3" s="332" t="str">
        <f>VLOOKUP(D$1,TabelContent[],COLUMN(TabelContent[Cat-NL]))</f>
        <v>Grafiek</v>
      </c>
    </row>
    <row r="4" spans="2:6" x14ac:dyDescent="0.2">
      <c r="B4" s="355" t="s">
        <v>1087</v>
      </c>
      <c r="C4" s="355" t="s">
        <v>1077</v>
      </c>
      <c r="D4" s="332">
        <f>VLOOKUP(D$1,TabelContent[],COLUMN(TabelContent[Niveau]))</f>
        <v>2</v>
      </c>
    </row>
    <row r="5" spans="2:6" x14ac:dyDescent="0.2">
      <c r="B5" s="16"/>
      <c r="C5" s="16"/>
      <c r="D5" s="16"/>
      <c r="E5" s="16"/>
      <c r="F5" s="16"/>
    </row>
    <row r="6" spans="2:6" x14ac:dyDescent="0.2">
      <c r="B6" s="356" t="s">
        <v>47</v>
      </c>
      <c r="C6" s="356"/>
      <c r="D6" s="356"/>
      <c r="E6" s="16"/>
      <c r="F6" s="16"/>
    </row>
    <row r="7" spans="2:6" x14ac:dyDescent="0.2">
      <c r="B7" s="16"/>
      <c r="C7" s="16"/>
      <c r="D7" s="16"/>
      <c r="E7" s="16"/>
      <c r="F7" s="16"/>
    </row>
    <row r="8" spans="2:6" x14ac:dyDescent="0.2">
      <c r="B8" s="16"/>
      <c r="C8" s="16" t="s">
        <v>50</v>
      </c>
      <c r="D8" s="16"/>
      <c r="E8" s="16"/>
      <c r="F8" s="16"/>
    </row>
    <row r="9" spans="2:6" ht="13.5" thickBot="1" x14ac:dyDescent="0.25">
      <c r="B9" s="16"/>
      <c r="C9" s="16"/>
      <c r="D9" s="16"/>
      <c r="E9" s="16"/>
      <c r="F9" s="16"/>
    </row>
    <row r="10" spans="2:6" ht="13.5" thickBot="1" x14ac:dyDescent="0.25">
      <c r="B10" s="16"/>
      <c r="C10" s="47"/>
      <c r="D10" s="48" t="s">
        <v>60</v>
      </c>
      <c r="E10" s="48" t="s">
        <v>61</v>
      </c>
      <c r="F10" s="48" t="s">
        <v>62</v>
      </c>
    </row>
    <row r="11" spans="2:6" x14ac:dyDescent="0.2">
      <c r="B11" s="16"/>
      <c r="C11" s="16" t="s">
        <v>63</v>
      </c>
      <c r="D11" s="22">
        <v>85000</v>
      </c>
      <c r="E11" s="22">
        <v>75000</v>
      </c>
      <c r="F11" s="49">
        <f>(E11-D11)/D11</f>
        <v>-0.11764705882352941</v>
      </c>
    </row>
    <row r="12" spans="2:6" x14ac:dyDescent="0.2">
      <c r="B12" s="16"/>
      <c r="C12" s="16" t="s">
        <v>64</v>
      </c>
      <c r="D12" s="22">
        <v>100000</v>
      </c>
      <c r="E12" s="22">
        <v>80000</v>
      </c>
      <c r="F12" s="49">
        <f t="shared" ref="F12:F14" si="0">(E12-D12)/D12</f>
        <v>-0.2</v>
      </c>
    </row>
    <row r="13" spans="2:6" x14ac:dyDescent="0.2">
      <c r="B13" s="16"/>
      <c r="C13" s="16" t="s">
        <v>65</v>
      </c>
      <c r="D13" s="22">
        <v>115000</v>
      </c>
      <c r="E13" s="22">
        <v>90000</v>
      </c>
      <c r="F13" s="49">
        <f t="shared" si="0"/>
        <v>-0.21739130434782608</v>
      </c>
    </row>
    <row r="14" spans="2:6" ht="13.5" thickBot="1" x14ac:dyDescent="0.25">
      <c r="B14" s="16"/>
      <c r="C14" s="16" t="s">
        <v>66</v>
      </c>
      <c r="D14" s="22">
        <v>120000</v>
      </c>
      <c r="E14" s="22">
        <v>100000</v>
      </c>
      <c r="F14" s="49">
        <f t="shared" si="0"/>
        <v>-0.16666666666666666</v>
      </c>
    </row>
    <row r="15" spans="2:6" ht="13.5" thickBot="1" x14ac:dyDescent="0.25">
      <c r="B15" s="16"/>
      <c r="C15" s="47"/>
      <c r="D15" s="47"/>
      <c r="E15" s="47" t="s">
        <v>67</v>
      </c>
      <c r="F15" s="50">
        <f>AVERAGE(F11:F14)</f>
        <v>-0.17542625745950552</v>
      </c>
    </row>
  </sheetData>
  <mergeCells count="5">
    <mergeCell ref="B6:D6"/>
    <mergeCell ref="B2:C2"/>
    <mergeCell ref="B3:C3"/>
    <mergeCell ref="B4:C4"/>
    <mergeCell ref="B1:C1"/>
  </mergeCells>
  <hyperlinks>
    <hyperlink ref="B6:D6" location="Inhoud!A1" display="Ga naar Inhoudsopgave" xr:uid="{00000000-0004-0000-1300-000000000000}"/>
  </hyperlinks>
  <pageMargins left="0.7" right="0.7" top="0.75" bottom="0.75" header="0.3" footer="0.3"/>
  <pageSetup paperSize="9" orientation="landscape"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Blad27"/>
  <dimension ref="B1:K1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5.85546875" style="4" customWidth="1"/>
    <col min="5" max="11" width="6.28515625" style="4" bestFit="1" customWidth="1"/>
    <col min="12" max="16384" width="9.140625" style="4"/>
  </cols>
  <sheetData>
    <row r="1" spans="2:11" x14ac:dyDescent="0.2">
      <c r="B1" s="355" t="s">
        <v>1253</v>
      </c>
      <c r="C1" s="355"/>
      <c r="D1" s="316" t="s">
        <v>323</v>
      </c>
    </row>
    <row r="2" spans="2:11" x14ac:dyDescent="0.2">
      <c r="B2" s="355" t="s">
        <v>1085</v>
      </c>
      <c r="C2" s="355"/>
      <c r="D2" s="332" t="str">
        <f>VLOOKUP(D$1,TabelContent[],COLUMN(TabelContent[Titel-NL]))</f>
        <v>Leeftijdsopbouw</v>
      </c>
    </row>
    <row r="3" spans="2:11" x14ac:dyDescent="0.2">
      <c r="B3" s="355" t="s">
        <v>1086</v>
      </c>
      <c r="C3" s="355"/>
      <c r="D3" s="332" t="str">
        <f>VLOOKUP(D$1,TabelContent[],COLUMN(TabelContent[Cat-NL]))</f>
        <v>Grafiek</v>
      </c>
    </row>
    <row r="4" spans="2:11" x14ac:dyDescent="0.2">
      <c r="B4" s="355" t="s">
        <v>1087</v>
      </c>
      <c r="C4" s="355" t="s">
        <v>1077</v>
      </c>
      <c r="D4" s="332">
        <f>VLOOKUP(D$1,TabelContent[],COLUMN(TabelContent[Niveau]))</f>
        <v>2</v>
      </c>
    </row>
    <row r="5" spans="2:11" x14ac:dyDescent="0.2">
      <c r="B5" s="16"/>
      <c r="C5" s="16"/>
      <c r="D5" s="16"/>
      <c r="E5" s="16"/>
      <c r="F5" s="16"/>
      <c r="G5" s="16"/>
      <c r="H5" s="16"/>
      <c r="I5" s="16"/>
      <c r="J5" s="16"/>
    </row>
    <row r="6" spans="2:11" x14ac:dyDescent="0.2">
      <c r="B6" s="356" t="s">
        <v>47</v>
      </c>
      <c r="C6" s="356"/>
      <c r="D6" s="356"/>
      <c r="E6" s="16"/>
      <c r="F6" s="16"/>
      <c r="G6" s="16"/>
      <c r="H6" s="16"/>
      <c r="I6" s="16"/>
      <c r="J6" s="16"/>
    </row>
    <row r="7" spans="2:11" x14ac:dyDescent="0.2">
      <c r="B7" s="16"/>
      <c r="C7" s="16"/>
      <c r="D7" s="16"/>
      <c r="E7" s="16"/>
      <c r="F7" s="16"/>
      <c r="G7" s="16"/>
      <c r="H7" s="16"/>
      <c r="I7" s="16"/>
      <c r="J7" s="16"/>
    </row>
    <row r="8" spans="2:11" x14ac:dyDescent="0.2">
      <c r="B8" s="16"/>
      <c r="D8" s="51"/>
      <c r="E8" s="52" t="s">
        <v>637</v>
      </c>
      <c r="F8" s="52" t="s">
        <v>638</v>
      </c>
      <c r="G8" s="52" t="s">
        <v>639</v>
      </c>
      <c r="H8" s="52" t="s">
        <v>640</v>
      </c>
      <c r="I8" s="52" t="s">
        <v>641</v>
      </c>
      <c r="J8" s="52" t="s">
        <v>642</v>
      </c>
      <c r="K8" s="52" t="s">
        <v>643</v>
      </c>
    </row>
    <row r="9" spans="2:11" x14ac:dyDescent="0.2">
      <c r="B9" s="16"/>
      <c r="D9" s="53" t="s">
        <v>644</v>
      </c>
      <c r="E9" s="54">
        <v>0.21067276580411265</v>
      </c>
      <c r="F9" s="54">
        <v>0.19760031615307849</v>
      </c>
      <c r="G9" s="54">
        <v>0.18525314176113039</v>
      </c>
      <c r="H9" s="54">
        <v>0.13919622817775926</v>
      </c>
      <c r="I9" s="54">
        <v>0.1218389111244302</v>
      </c>
      <c r="J9" s="54">
        <v>0.12513661477753019</v>
      </c>
      <c r="K9" s="54">
        <v>0.1163276790108277</v>
      </c>
    </row>
    <row r="10" spans="2:11" x14ac:dyDescent="0.2">
      <c r="B10" s="16"/>
      <c r="D10" s="53" t="s">
        <v>645</v>
      </c>
      <c r="E10" s="54">
        <v>0.16257783037473772</v>
      </c>
      <c r="F10" s="54">
        <v>0.1817415115753753</v>
      </c>
      <c r="G10" s="54">
        <v>0.17419601946993202</v>
      </c>
      <c r="H10" s="54">
        <v>0.17531520442744575</v>
      </c>
      <c r="I10" s="54">
        <v>0.1348128268491397</v>
      </c>
      <c r="J10" s="54">
        <v>0.11900232918031134</v>
      </c>
      <c r="K10" s="54">
        <v>0.12067603785438409</v>
      </c>
    </row>
    <row r="11" spans="2:11" x14ac:dyDescent="0.2">
      <c r="B11" s="16"/>
      <c r="D11" s="53" t="s">
        <v>646</v>
      </c>
      <c r="E11" s="54">
        <v>0.15907690340650976</v>
      </c>
      <c r="F11" s="54">
        <v>0.13789760655232861</v>
      </c>
      <c r="G11" s="54">
        <v>0.15996470339732888</v>
      </c>
      <c r="H11" s="54">
        <v>0.16592801625205963</v>
      </c>
      <c r="I11" s="54">
        <v>0.17156456634024447</v>
      </c>
      <c r="J11" s="54">
        <v>0.13440265507644691</v>
      </c>
      <c r="K11" s="54">
        <v>0.12140370047907724</v>
      </c>
    </row>
    <row r="12" spans="2:11" x14ac:dyDescent="0.2">
      <c r="B12" s="16"/>
      <c r="D12" s="53" t="s">
        <v>647</v>
      </c>
      <c r="E12" s="54">
        <v>0.13527193644455698</v>
      </c>
      <c r="F12" s="54">
        <v>0.13351432840155786</v>
      </c>
      <c r="G12" s="54">
        <v>0.12175074421454371</v>
      </c>
      <c r="H12" s="54">
        <v>0.1492784692428806</v>
      </c>
      <c r="I12" s="54">
        <v>0.15827284121603155</v>
      </c>
      <c r="J12" s="54">
        <v>0.16574352541454052</v>
      </c>
      <c r="K12" s="54">
        <v>0.13155405412335416</v>
      </c>
    </row>
    <row r="13" spans="2:11" x14ac:dyDescent="0.2">
      <c r="B13" s="16"/>
      <c r="D13" s="53" t="s">
        <v>648</v>
      </c>
      <c r="E13" s="54">
        <v>0.12280631066445805</v>
      </c>
      <c r="F13" s="54">
        <v>0.11551726886342373</v>
      </c>
      <c r="G13" s="54">
        <v>0.116333546103872</v>
      </c>
      <c r="H13" s="54">
        <v>0.11158465955679273</v>
      </c>
      <c r="I13" s="54">
        <v>0.13934938312208486</v>
      </c>
      <c r="J13" s="54">
        <v>0.1480571988691341</v>
      </c>
      <c r="K13" s="54">
        <v>0.15597820306245755</v>
      </c>
    </row>
    <row r="14" spans="2:11" x14ac:dyDescent="0.2">
      <c r="B14" s="16"/>
      <c r="D14" s="53" t="s">
        <v>649</v>
      </c>
      <c r="E14" s="54">
        <v>9.5487950111167369E-2</v>
      </c>
      <c r="F14" s="54">
        <v>0.10320248634216249</v>
      </c>
      <c r="G14" s="54">
        <v>9.7572617689620653E-2</v>
      </c>
      <c r="H14" s="54">
        <v>0.10273455125372809</v>
      </c>
      <c r="I14" s="54">
        <v>0.10123401099098114</v>
      </c>
      <c r="J14" s="54">
        <v>0.1263728138326205</v>
      </c>
      <c r="K14" s="54">
        <v>0.13636274509744772</v>
      </c>
    </row>
    <row r="15" spans="2:11" x14ac:dyDescent="0.2">
      <c r="B15" s="16"/>
      <c r="D15" s="53" t="s">
        <v>650</v>
      </c>
      <c r="E15" s="54">
        <v>6.7249054107438158E-2</v>
      </c>
      <c r="F15" s="54">
        <v>7.4680391624816267E-2</v>
      </c>
      <c r="G15" s="54">
        <v>8.0371311986976626E-2</v>
      </c>
      <c r="H15" s="54">
        <v>7.9669922973605728E-2</v>
      </c>
      <c r="I15" s="54">
        <v>8.7209235958807391E-2</v>
      </c>
      <c r="J15" s="54">
        <v>8.6228965673744565E-2</v>
      </c>
      <c r="K15" s="54">
        <v>0.11136996832999406</v>
      </c>
    </row>
    <row r="16" spans="2:11" x14ac:dyDescent="0.2">
      <c r="B16" s="16"/>
      <c r="D16" s="53" t="s">
        <v>651</v>
      </c>
      <c r="E16" s="54">
        <v>3.6923943525997843E-2</v>
      </c>
      <c r="F16" s="54">
        <v>4.2322786197101336E-2</v>
      </c>
      <c r="G16" s="54">
        <v>4.7444974660086139E-2</v>
      </c>
      <c r="H16" s="54">
        <v>5.4159906448180382E-2</v>
      </c>
      <c r="I16" s="54">
        <v>5.6998205951503081E-2</v>
      </c>
      <c r="J16" s="54">
        <v>6.3516526464089965E-2</v>
      </c>
      <c r="K16" s="54">
        <v>6.7232925463781609E-2</v>
      </c>
    </row>
    <row r="17" spans="2:11" x14ac:dyDescent="0.2">
      <c r="B17" s="16"/>
      <c r="D17" s="53" t="s">
        <v>652</v>
      </c>
      <c r="E17" s="54">
        <v>9.9333055610214775E-3</v>
      </c>
      <c r="F17" s="54">
        <v>1.3523304290155934E-2</v>
      </c>
      <c r="G17" s="54">
        <v>1.7112940716509612E-2</v>
      </c>
      <c r="H17" s="54">
        <v>2.2133041667547843E-2</v>
      </c>
      <c r="I17" s="54">
        <v>2.872001844677757E-2</v>
      </c>
      <c r="J17" s="54">
        <v>3.1539370711581922E-2</v>
      </c>
      <c r="K17" s="54">
        <v>3.9094686578675861E-2</v>
      </c>
    </row>
  </sheetData>
  <mergeCells count="5">
    <mergeCell ref="B6:D6"/>
    <mergeCell ref="B2:C2"/>
    <mergeCell ref="B3:C3"/>
    <mergeCell ref="B4:C4"/>
    <mergeCell ref="B1:C1"/>
  </mergeCells>
  <hyperlinks>
    <hyperlink ref="B6:D6" location="Inhoud!A1" display="Ga naar Inhoudsopgave" xr:uid="{00000000-0004-0000-1400-000000000000}"/>
  </hyperlinks>
  <pageMargins left="0.7" right="0.7" top="0.75" bottom="0.75" header="0.3" footer="0.3"/>
  <pageSetup paperSize="9" orientation="landscape"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Blad28"/>
  <dimension ref="B1:E1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9" style="4" bestFit="1" customWidth="1"/>
    <col min="5" max="16384" width="9.140625" style="4"/>
  </cols>
  <sheetData>
    <row r="1" spans="2:5" x14ac:dyDescent="0.2">
      <c r="B1" s="355" t="s">
        <v>1253</v>
      </c>
      <c r="C1" s="355"/>
      <c r="D1" s="316" t="s">
        <v>324</v>
      </c>
    </row>
    <row r="2" spans="2:5" x14ac:dyDescent="0.2">
      <c r="B2" s="355" t="s">
        <v>1085</v>
      </c>
      <c r="C2" s="355"/>
      <c r="D2" s="332" t="str">
        <f>VLOOKUP(D$1,TabelContent[],COLUMN(TabelContent[Titel-NL]))</f>
        <v>Relatie productietijd-kostprijs</v>
      </c>
    </row>
    <row r="3" spans="2:5" x14ac:dyDescent="0.2">
      <c r="B3" s="355" t="s">
        <v>1086</v>
      </c>
      <c r="C3" s="355"/>
      <c r="D3" s="332" t="str">
        <f>VLOOKUP(D$1,TabelContent[],COLUMN(TabelContent[Cat-NL]))</f>
        <v>Grafiek</v>
      </c>
    </row>
    <row r="4" spans="2:5" x14ac:dyDescent="0.2">
      <c r="B4" s="355" t="s">
        <v>1087</v>
      </c>
      <c r="C4" s="355" t="s">
        <v>1077</v>
      </c>
      <c r="D4" s="332">
        <f>VLOOKUP(D$1,TabelContent[],COLUMN(TabelContent[Niveau]))</f>
        <v>2</v>
      </c>
    </row>
    <row r="5" spans="2:5" x14ac:dyDescent="0.2">
      <c r="B5" s="16"/>
      <c r="C5" s="16"/>
      <c r="D5" s="16"/>
      <c r="E5" s="16"/>
    </row>
    <row r="6" spans="2:5" x14ac:dyDescent="0.2">
      <c r="B6" s="356" t="s">
        <v>47</v>
      </c>
      <c r="C6" s="356"/>
      <c r="D6" s="356"/>
      <c r="E6" s="356"/>
    </row>
    <row r="7" spans="2:5" x14ac:dyDescent="0.2">
      <c r="B7" s="16"/>
      <c r="C7" s="16"/>
      <c r="D7" s="16"/>
      <c r="E7" s="16"/>
    </row>
    <row r="8" spans="2:5" ht="25.5" x14ac:dyDescent="0.2">
      <c r="B8" s="16"/>
      <c r="D8" s="55" t="s">
        <v>667</v>
      </c>
      <c r="E8" s="55" t="s">
        <v>668</v>
      </c>
    </row>
    <row r="9" spans="2:5" x14ac:dyDescent="0.2">
      <c r="B9" s="16"/>
      <c r="D9" s="39">
        <v>62</v>
      </c>
      <c r="E9" s="56">
        <v>7.1</v>
      </c>
    </row>
    <row r="10" spans="2:5" x14ac:dyDescent="0.2">
      <c r="B10" s="16"/>
      <c r="D10" s="39">
        <v>66</v>
      </c>
      <c r="E10" s="56">
        <v>8.3000000000000007</v>
      </c>
    </row>
    <row r="11" spans="2:5" x14ac:dyDescent="0.2">
      <c r="B11" s="16"/>
      <c r="D11" s="39">
        <v>67</v>
      </c>
      <c r="E11" s="56">
        <v>8.1</v>
      </c>
    </row>
    <row r="12" spans="2:5" x14ac:dyDescent="0.2">
      <c r="B12" s="16"/>
      <c r="D12" s="39">
        <v>68</v>
      </c>
      <c r="E12" s="56">
        <v>9.6</v>
      </c>
    </row>
    <row r="13" spans="2:5" x14ac:dyDescent="0.2">
      <c r="B13" s="16"/>
      <c r="D13" s="39">
        <v>71</v>
      </c>
      <c r="E13" s="56">
        <v>10.3</v>
      </c>
    </row>
    <row r="14" spans="2:5" x14ac:dyDescent="0.2">
      <c r="B14" s="16"/>
      <c r="D14" s="39">
        <v>74</v>
      </c>
      <c r="E14" s="56">
        <v>10.7</v>
      </c>
    </row>
    <row r="15" spans="2:5" x14ac:dyDescent="0.2">
      <c r="B15" s="16"/>
      <c r="D15" s="39">
        <v>75</v>
      </c>
      <c r="E15" s="56">
        <v>12.4</v>
      </c>
    </row>
    <row r="16" spans="2:5" x14ac:dyDescent="0.2">
      <c r="B16" s="16"/>
      <c r="D16" s="39">
        <v>76</v>
      </c>
      <c r="E16" s="56">
        <v>11.1</v>
      </c>
    </row>
    <row r="17" spans="2:5" x14ac:dyDescent="0.2">
      <c r="B17" s="16"/>
      <c r="D17" s="39">
        <v>79</v>
      </c>
      <c r="E17" s="56">
        <v>13.1</v>
      </c>
    </row>
    <row r="18" spans="2:5" x14ac:dyDescent="0.2">
      <c r="B18" s="16"/>
      <c r="D18" s="39">
        <v>82</v>
      </c>
      <c r="E18" s="56">
        <v>12.6</v>
      </c>
    </row>
  </sheetData>
  <mergeCells count="5">
    <mergeCell ref="B6:E6"/>
    <mergeCell ref="B2:C2"/>
    <mergeCell ref="B3:C3"/>
    <mergeCell ref="B4:C4"/>
    <mergeCell ref="B1:C1"/>
  </mergeCells>
  <hyperlinks>
    <hyperlink ref="B6:D6" location="sjabloon!A1" display="Ga naar Inhoudsopgave" xr:uid="{00000000-0004-0000-1500-000000000000}"/>
    <hyperlink ref="B6:E6" location="Inhoud!A1" display="Ga naar Inhoudsopgave" xr:uid="{00000000-0004-0000-1500-000001000000}"/>
  </hyperlinks>
  <pageMargins left="0.7" right="0.7" top="0.75" bottom="0.75" header="0.3" footer="0.3"/>
  <pageSetup paperSize="9" orientation="landscape"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7"/>
  <dimension ref="B1:E1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9" style="4" bestFit="1" customWidth="1"/>
    <col min="5" max="16384" width="9.140625" style="4"/>
  </cols>
  <sheetData>
    <row r="1" spans="2:5" x14ac:dyDescent="0.2">
      <c r="B1" s="355" t="s">
        <v>1253</v>
      </c>
      <c r="C1" s="355"/>
      <c r="D1" s="316" t="s">
        <v>1135</v>
      </c>
    </row>
    <row r="2" spans="2:5" x14ac:dyDescent="0.2">
      <c r="B2" s="355" t="s">
        <v>1085</v>
      </c>
      <c r="C2" s="355"/>
      <c r="D2" s="332" t="str">
        <f>VLOOKUP(D$1,TabelContent[],COLUMN(TabelContent[Titel-NL]))</f>
        <v>Telling vliegenzwammen</v>
      </c>
    </row>
    <row r="3" spans="2:5" x14ac:dyDescent="0.2">
      <c r="B3" s="355" t="s">
        <v>1086</v>
      </c>
      <c r="C3" s="355"/>
      <c r="D3" s="332" t="str">
        <f>VLOOKUP(D$1,TabelContent[],COLUMN(TabelContent[Cat-NL]))</f>
        <v>Grafiek</v>
      </c>
    </row>
    <row r="4" spans="2:5" x14ac:dyDescent="0.2">
      <c r="B4" s="355" t="s">
        <v>1087</v>
      </c>
      <c r="C4" s="355" t="s">
        <v>1077</v>
      </c>
      <c r="D4" s="332">
        <f>VLOOKUP(D$1,TabelContent[],COLUMN(TabelContent[Niveau]))</f>
        <v>1</v>
      </c>
    </row>
    <row r="5" spans="2:5" x14ac:dyDescent="0.2">
      <c r="B5" s="16"/>
      <c r="C5" s="16"/>
      <c r="D5" s="16"/>
      <c r="E5" s="16"/>
    </row>
    <row r="6" spans="2:5" x14ac:dyDescent="0.2">
      <c r="B6" s="356" t="s">
        <v>47</v>
      </c>
      <c r="C6" s="356"/>
      <c r="D6" s="356"/>
      <c r="E6" s="356"/>
    </row>
    <row r="7" spans="2:5" x14ac:dyDescent="0.2">
      <c r="B7" s="16"/>
      <c r="C7" s="16"/>
      <c r="D7" s="16"/>
      <c r="E7" s="16"/>
    </row>
    <row r="8" spans="2:5" ht="25.5" x14ac:dyDescent="0.2">
      <c r="B8" s="16"/>
      <c r="D8" s="55" t="s">
        <v>53</v>
      </c>
      <c r="E8" s="55" t="s">
        <v>1123</v>
      </c>
    </row>
    <row r="9" spans="2:5" x14ac:dyDescent="0.2">
      <c r="B9" s="16"/>
      <c r="D9" s="273" t="s">
        <v>1125</v>
      </c>
      <c r="E9" s="271">
        <v>10</v>
      </c>
    </row>
    <row r="10" spans="2:5" x14ac:dyDescent="0.2">
      <c r="B10" s="16"/>
      <c r="D10" s="273" t="s">
        <v>1126</v>
      </c>
      <c r="E10" s="271">
        <v>9</v>
      </c>
    </row>
    <row r="11" spans="2:5" x14ac:dyDescent="0.2">
      <c r="B11" s="16"/>
      <c r="D11" s="273" t="s">
        <v>1127</v>
      </c>
      <c r="E11" s="271">
        <v>15</v>
      </c>
    </row>
    <row r="12" spans="2:5" x14ac:dyDescent="0.2">
      <c r="B12" s="16"/>
      <c r="D12" s="273" t="s">
        <v>1128</v>
      </c>
      <c r="E12" s="271">
        <v>12</v>
      </c>
    </row>
    <row r="13" spans="2:5" x14ac:dyDescent="0.2">
      <c r="B13" s="16"/>
      <c r="D13" s="273" t="s">
        <v>1129</v>
      </c>
      <c r="E13" s="271">
        <v>18</v>
      </c>
    </row>
    <row r="14" spans="2:5" x14ac:dyDescent="0.2">
      <c r="B14" s="16"/>
      <c r="D14" s="273" t="s">
        <v>641</v>
      </c>
      <c r="E14" s="271">
        <v>10</v>
      </c>
    </row>
    <row r="15" spans="2:5" x14ac:dyDescent="0.2">
      <c r="B15" s="16"/>
      <c r="D15" s="273" t="s">
        <v>1130</v>
      </c>
      <c r="E15" s="271">
        <v>19</v>
      </c>
    </row>
    <row r="16" spans="2:5" x14ac:dyDescent="0.2">
      <c r="B16" s="16"/>
      <c r="D16" s="273" t="s">
        <v>1131</v>
      </c>
      <c r="E16" s="271">
        <v>33</v>
      </c>
    </row>
    <row r="17" spans="2:5" x14ac:dyDescent="0.2">
      <c r="B17" s="16"/>
      <c r="D17" s="273" t="s">
        <v>1132</v>
      </c>
      <c r="E17" s="271">
        <v>39</v>
      </c>
    </row>
    <row r="18" spans="2:5" x14ac:dyDescent="0.2">
      <c r="B18" s="16"/>
      <c r="D18" s="273" t="s">
        <v>1133</v>
      </c>
      <c r="E18" s="271">
        <v>15</v>
      </c>
    </row>
    <row r="19" spans="2:5" x14ac:dyDescent="0.2">
      <c r="D19" s="273" t="s">
        <v>1134</v>
      </c>
      <c r="E19" s="272">
        <v>10</v>
      </c>
    </row>
  </sheetData>
  <mergeCells count="5">
    <mergeCell ref="B2:C2"/>
    <mergeCell ref="B3:C3"/>
    <mergeCell ref="B4:C4"/>
    <mergeCell ref="B6:E6"/>
    <mergeCell ref="B1:C1"/>
  </mergeCells>
  <hyperlinks>
    <hyperlink ref="B6:D6" location="sjabloon!A1" display="Ga naar Inhoudsopgave" xr:uid="{00000000-0004-0000-1600-000000000000}"/>
    <hyperlink ref="B6:E6" location="Inhoud!A1" display="Ga naar Inhoudsopgave" xr:uid="{00000000-0004-0000-1600-000001000000}"/>
  </hyperlinks>
  <pageMargins left="0.7" right="0.7" top="0.75" bottom="0.75" header="0.3" footer="0.3"/>
  <pageSetup paperSize="9" orientation="landscape"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Blad12" filterMode="1"/>
  <dimension ref="B1:F16"/>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5" width="13.7109375" customWidth="1"/>
  </cols>
  <sheetData>
    <row r="1" spans="2:6" s="4" customFormat="1" x14ac:dyDescent="0.2">
      <c r="B1" s="355" t="s">
        <v>1253</v>
      </c>
      <c r="C1" s="355"/>
      <c r="D1" s="316" t="s">
        <v>75</v>
      </c>
    </row>
    <row r="2" spans="2:6" s="4" customFormat="1" x14ac:dyDescent="0.2">
      <c r="B2" s="355" t="s">
        <v>1085</v>
      </c>
      <c r="C2" s="355"/>
      <c r="D2" s="332" t="str">
        <f>VLOOKUP(D$1,TabelContent[],COLUMN(TabelContent[Titel-NL]))</f>
        <v>Selecteren</v>
      </c>
    </row>
    <row r="3" spans="2:6" s="4" customFormat="1" x14ac:dyDescent="0.2">
      <c r="B3" s="355" t="s">
        <v>1086</v>
      </c>
      <c r="C3" s="355"/>
      <c r="D3" s="332" t="str">
        <f>VLOOKUP(D$1,TabelContent[],COLUMN(TabelContent[Cat-NL]))</f>
        <v>Lijst</v>
      </c>
    </row>
    <row r="4" spans="2:6" s="4" customFormat="1" x14ac:dyDescent="0.2">
      <c r="B4" s="355" t="s">
        <v>1087</v>
      </c>
      <c r="C4" s="355" t="s">
        <v>1077</v>
      </c>
      <c r="D4" s="332">
        <f>VLOOKUP(D$1,TabelContent[],COLUMN(TabelContent[Niveau]))</f>
        <v>2</v>
      </c>
    </row>
    <row r="5" spans="2:6" x14ac:dyDescent="0.2">
      <c r="B5" s="16"/>
      <c r="C5" s="16"/>
      <c r="D5" s="16"/>
      <c r="E5" s="16"/>
    </row>
    <row r="6" spans="2:6" x14ac:dyDescent="0.2">
      <c r="B6" s="356" t="s">
        <v>47</v>
      </c>
      <c r="C6" s="356"/>
      <c r="D6" s="356"/>
      <c r="E6" s="16"/>
    </row>
    <row r="7" spans="2:6" x14ac:dyDescent="0.2">
      <c r="B7" s="16"/>
      <c r="C7" s="16"/>
      <c r="D7" s="16"/>
      <c r="E7" s="16"/>
    </row>
    <row r="8" spans="2:6" x14ac:dyDescent="0.2">
      <c r="B8" s="16"/>
      <c r="D8" s="57" t="s">
        <v>80</v>
      </c>
      <c r="E8" s="57" t="s">
        <v>81</v>
      </c>
      <c r="F8" s="57" t="s">
        <v>82</v>
      </c>
    </row>
    <row r="9" spans="2:6" x14ac:dyDescent="0.2">
      <c r="B9" s="16"/>
      <c r="D9" s="58" t="s">
        <v>83</v>
      </c>
      <c r="E9" s="58" t="s">
        <v>84</v>
      </c>
      <c r="F9" s="58">
        <v>1</v>
      </c>
    </row>
    <row r="10" spans="2:6" hidden="1" x14ac:dyDescent="0.2">
      <c r="B10" s="16"/>
      <c r="D10" s="58" t="s">
        <v>85</v>
      </c>
      <c r="E10" s="58" t="s">
        <v>86</v>
      </c>
      <c r="F10" s="58"/>
    </row>
    <row r="11" spans="2:6" x14ac:dyDescent="0.2">
      <c r="B11" s="16"/>
      <c r="D11" s="58" t="s">
        <v>87</v>
      </c>
      <c r="E11" s="58" t="s">
        <v>88</v>
      </c>
      <c r="F11" s="58">
        <v>2</v>
      </c>
    </row>
    <row r="12" spans="2:6" hidden="1" x14ac:dyDescent="0.2">
      <c r="B12" s="16"/>
      <c r="D12" s="58" t="s">
        <v>89</v>
      </c>
      <c r="E12" s="58" t="s">
        <v>90</v>
      </c>
      <c r="F12" s="58">
        <v>6</v>
      </c>
    </row>
    <row r="13" spans="2:6" hidden="1" x14ac:dyDescent="0.2">
      <c r="B13" s="16"/>
      <c r="D13" s="58" t="s">
        <v>91</v>
      </c>
      <c r="E13" s="58" t="s">
        <v>92</v>
      </c>
      <c r="F13" s="58">
        <v>7</v>
      </c>
    </row>
    <row r="14" spans="2:6" x14ac:dyDescent="0.2">
      <c r="B14" s="16"/>
      <c r="D14" s="58" t="s">
        <v>93</v>
      </c>
      <c r="E14" s="58" t="s">
        <v>94</v>
      </c>
      <c r="F14" s="58">
        <v>3</v>
      </c>
    </row>
    <row r="15" spans="2:6" hidden="1" x14ac:dyDescent="0.2">
      <c r="B15" s="16"/>
      <c r="D15" s="58" t="s">
        <v>95</v>
      </c>
      <c r="E15" s="58" t="s">
        <v>96</v>
      </c>
      <c r="F15" s="58"/>
    </row>
    <row r="16" spans="2:6" hidden="1" x14ac:dyDescent="0.2">
      <c r="B16" s="16"/>
      <c r="D16" s="58" t="s">
        <v>97</v>
      </c>
      <c r="E16" s="58" t="s">
        <v>98</v>
      </c>
      <c r="F16" s="58">
        <v>9</v>
      </c>
    </row>
  </sheetData>
  <autoFilter ref="D8:F16" xr:uid="{00000000-0009-0000-0000-000017000000}">
    <filterColumn colId="2">
      <customFilters>
        <customFilter operator="lessThanOrEqual" val="3"/>
      </customFilters>
    </filterColumn>
  </autoFilter>
  <mergeCells count="5">
    <mergeCell ref="B6:D6"/>
    <mergeCell ref="B2:C2"/>
    <mergeCell ref="B3:C3"/>
    <mergeCell ref="B4:C4"/>
    <mergeCell ref="B1:C1"/>
  </mergeCells>
  <hyperlinks>
    <hyperlink ref="B6:D6" location="Inhoud!A1" display="Ga naar Inhoudsopgave" xr:uid="{00000000-0004-0000-1700-000000000000}"/>
  </hyperlinks>
  <pageMargins left="0.7" right="0.7" top="0.75" bottom="0.75" header="0.3" footer="0.3"/>
  <pageSetup paperSize="9" orientation="landscape"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Blad13"/>
  <dimension ref="B1:J22"/>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5.7109375" customWidth="1"/>
    <col min="6" max="6" width="8.7109375" customWidth="1"/>
    <col min="7" max="7" width="5.7109375" customWidth="1"/>
    <col min="9" max="9" width="8.7109375" customWidth="1"/>
    <col min="10" max="10" width="5.7109375" customWidth="1"/>
  </cols>
  <sheetData>
    <row r="1" spans="2:10" s="4" customFormat="1" x14ac:dyDescent="0.2">
      <c r="B1" s="355" t="s">
        <v>1253</v>
      </c>
      <c r="C1" s="355"/>
      <c r="D1" s="316" t="s">
        <v>76</v>
      </c>
    </row>
    <row r="2" spans="2:10" s="4" customFormat="1" x14ac:dyDescent="0.2">
      <c r="B2" s="355" t="s">
        <v>1085</v>
      </c>
      <c r="C2" s="355"/>
      <c r="D2" s="332" t="str">
        <f>VLOOKUP(D$1,TabelContent[],COLUMN(TabelContent[Titel-NL]))</f>
        <v>Tentamencijfers samenvoegen</v>
      </c>
    </row>
    <row r="3" spans="2:10" s="4" customFormat="1" x14ac:dyDescent="0.2">
      <c r="B3" s="355" t="s">
        <v>1086</v>
      </c>
      <c r="C3" s="355"/>
      <c r="D3" s="332" t="str">
        <f>VLOOKUP(D$1,TabelContent[],COLUMN(TabelContent[Cat-NL]))</f>
        <v>Lijst</v>
      </c>
    </row>
    <row r="4" spans="2:10" s="4" customFormat="1" x14ac:dyDescent="0.2">
      <c r="B4" s="355" t="s">
        <v>1087</v>
      </c>
      <c r="C4" s="355" t="s">
        <v>1077</v>
      </c>
      <c r="D4" s="332">
        <f>VLOOKUP(D$1,TabelContent[],COLUMN(TabelContent[Niveau]))</f>
        <v>2</v>
      </c>
    </row>
    <row r="5" spans="2:10" x14ac:dyDescent="0.2">
      <c r="B5" s="16"/>
      <c r="C5" s="16"/>
      <c r="D5" s="16"/>
      <c r="E5" s="16"/>
      <c r="F5" s="16"/>
      <c r="G5" s="16"/>
      <c r="H5" s="16"/>
      <c r="I5" s="16"/>
      <c r="J5" s="16"/>
    </row>
    <row r="6" spans="2:10" x14ac:dyDescent="0.2">
      <c r="B6" s="357" t="s">
        <v>47</v>
      </c>
      <c r="C6" s="357"/>
      <c r="D6" s="357"/>
      <c r="E6" s="358"/>
      <c r="F6" s="16"/>
      <c r="G6" s="16"/>
      <c r="H6" s="16"/>
      <c r="I6" s="16"/>
      <c r="J6" s="16"/>
    </row>
    <row r="7" spans="2:10" x14ac:dyDescent="0.2">
      <c r="B7" s="16"/>
      <c r="C7" s="16"/>
      <c r="D7" s="16"/>
      <c r="E7" s="16"/>
      <c r="F7" s="16"/>
      <c r="G7" s="16"/>
      <c r="H7" s="16"/>
      <c r="I7" s="16"/>
      <c r="J7" s="16"/>
    </row>
    <row r="8" spans="2:10" x14ac:dyDescent="0.2">
      <c r="B8" s="16"/>
      <c r="C8" s="363" t="s">
        <v>99</v>
      </c>
      <c r="D8" s="363"/>
      <c r="E8" s="16"/>
      <c r="F8" s="363" t="s">
        <v>100</v>
      </c>
      <c r="G8" s="363"/>
      <c r="H8" s="16"/>
      <c r="I8" s="363" t="s">
        <v>101</v>
      </c>
      <c r="J8" s="363"/>
    </row>
    <row r="9" spans="2:10" x14ac:dyDescent="0.2">
      <c r="B9" s="16"/>
      <c r="C9" s="23" t="s">
        <v>102</v>
      </c>
      <c r="D9" s="23" t="s">
        <v>82</v>
      </c>
      <c r="E9" s="16"/>
      <c r="F9" s="23" t="s">
        <v>102</v>
      </c>
      <c r="G9" s="23" t="s">
        <v>82</v>
      </c>
      <c r="H9" s="16"/>
      <c r="I9" s="23" t="s">
        <v>102</v>
      </c>
      <c r="J9" s="23" t="s">
        <v>82</v>
      </c>
    </row>
    <row r="10" spans="2:10" x14ac:dyDescent="0.2">
      <c r="B10" s="16"/>
      <c r="C10" s="16" t="s">
        <v>83</v>
      </c>
      <c r="D10" s="16">
        <v>7</v>
      </c>
      <c r="E10" s="16"/>
      <c r="F10" s="16" t="s">
        <v>103</v>
      </c>
      <c r="G10" s="16">
        <v>6</v>
      </c>
      <c r="H10" s="16"/>
      <c r="I10" s="16" t="s">
        <v>83</v>
      </c>
      <c r="J10" s="16">
        <v>7</v>
      </c>
    </row>
    <row r="11" spans="2:10" x14ac:dyDescent="0.2">
      <c r="B11" s="16"/>
      <c r="C11" s="16" t="s">
        <v>85</v>
      </c>
      <c r="D11" s="16">
        <v>5</v>
      </c>
      <c r="E11" s="16"/>
      <c r="F11" s="16" t="s">
        <v>85</v>
      </c>
      <c r="G11" s="16">
        <v>8</v>
      </c>
      <c r="H11" s="16"/>
      <c r="I11" s="16" t="s">
        <v>103</v>
      </c>
      <c r="J11" s="16">
        <v>6</v>
      </c>
    </row>
    <row r="12" spans="2:10" x14ac:dyDescent="0.2">
      <c r="B12" s="16"/>
      <c r="C12" s="16" t="s">
        <v>104</v>
      </c>
      <c r="D12" s="16">
        <v>6</v>
      </c>
      <c r="E12" s="16"/>
      <c r="F12" s="16" t="s">
        <v>105</v>
      </c>
      <c r="G12" s="16">
        <v>9</v>
      </c>
      <c r="H12" s="16"/>
      <c r="I12" s="16" t="s">
        <v>85</v>
      </c>
      <c r="J12" s="16">
        <v>8</v>
      </c>
    </row>
    <row r="13" spans="2:10" x14ac:dyDescent="0.2">
      <c r="B13" s="16"/>
      <c r="C13" s="16" t="s">
        <v>105</v>
      </c>
      <c r="D13" s="16">
        <v>4</v>
      </c>
      <c r="E13" s="16"/>
      <c r="F13" s="16" t="s">
        <v>106</v>
      </c>
      <c r="G13" s="16">
        <v>7</v>
      </c>
      <c r="H13" s="16"/>
      <c r="I13" s="16" t="s">
        <v>104</v>
      </c>
      <c r="J13" s="16">
        <v>6</v>
      </c>
    </row>
    <row r="14" spans="2:10" x14ac:dyDescent="0.2">
      <c r="B14" s="16"/>
      <c r="C14" s="16" t="s">
        <v>107</v>
      </c>
      <c r="D14" s="16">
        <v>6</v>
      </c>
      <c r="E14" s="16"/>
      <c r="F14" s="16" t="s">
        <v>108</v>
      </c>
      <c r="G14" s="16">
        <v>6</v>
      </c>
      <c r="H14" s="16"/>
      <c r="I14" s="16" t="s">
        <v>105</v>
      </c>
      <c r="J14" s="16">
        <v>9</v>
      </c>
    </row>
    <row r="15" spans="2:10" x14ac:dyDescent="0.2">
      <c r="B15" s="16"/>
      <c r="C15" s="16" t="s">
        <v>108</v>
      </c>
      <c r="D15" s="16">
        <v>4</v>
      </c>
      <c r="E15" s="16"/>
      <c r="F15" s="16" t="s">
        <v>109</v>
      </c>
      <c r="G15" s="16">
        <v>6</v>
      </c>
      <c r="H15" s="16"/>
      <c r="I15" s="16" t="s">
        <v>107</v>
      </c>
      <c r="J15" s="16">
        <v>6</v>
      </c>
    </row>
    <row r="16" spans="2:10" x14ac:dyDescent="0.2">
      <c r="B16" s="16"/>
      <c r="C16" s="16" t="s">
        <v>109</v>
      </c>
      <c r="D16" s="16">
        <v>5</v>
      </c>
      <c r="E16" s="16"/>
      <c r="F16" s="16" t="s">
        <v>110</v>
      </c>
      <c r="G16" s="16">
        <v>5</v>
      </c>
      <c r="H16" s="16"/>
      <c r="I16" s="16" t="s">
        <v>106</v>
      </c>
      <c r="J16" s="16">
        <v>7</v>
      </c>
    </row>
    <row r="17" spans="2:10" x14ac:dyDescent="0.2">
      <c r="B17" s="16"/>
      <c r="C17" s="16" t="s">
        <v>111</v>
      </c>
      <c r="D17" s="16">
        <v>5</v>
      </c>
      <c r="E17" s="16"/>
      <c r="F17" s="16" t="s">
        <v>112</v>
      </c>
      <c r="G17" s="16">
        <v>6</v>
      </c>
      <c r="H17" s="16"/>
      <c r="I17" s="16" t="s">
        <v>108</v>
      </c>
      <c r="J17" s="16">
        <v>6</v>
      </c>
    </row>
    <row r="18" spans="2:10" x14ac:dyDescent="0.2">
      <c r="B18" s="16"/>
      <c r="C18" s="16" t="s">
        <v>113</v>
      </c>
      <c r="D18" s="16">
        <v>6</v>
      </c>
      <c r="E18" s="16"/>
      <c r="F18" s="16"/>
      <c r="G18" s="16"/>
      <c r="H18" s="16"/>
      <c r="I18" s="16" t="s">
        <v>109</v>
      </c>
      <c r="J18" s="16">
        <v>6</v>
      </c>
    </row>
    <row r="19" spans="2:10" x14ac:dyDescent="0.2">
      <c r="B19" s="16"/>
      <c r="C19" s="16" t="s">
        <v>112</v>
      </c>
      <c r="D19" s="16">
        <v>5</v>
      </c>
      <c r="E19" s="16"/>
      <c r="F19" s="16"/>
      <c r="G19" s="16"/>
      <c r="H19" s="16"/>
      <c r="I19" s="16" t="s">
        <v>111</v>
      </c>
      <c r="J19" s="16">
        <v>5</v>
      </c>
    </row>
    <row r="20" spans="2:10" x14ac:dyDescent="0.2">
      <c r="B20" s="16"/>
      <c r="C20" s="16"/>
      <c r="D20" s="16"/>
      <c r="E20" s="16"/>
      <c r="F20" s="16"/>
      <c r="G20" s="16"/>
      <c r="H20" s="16"/>
      <c r="I20" s="16" t="s">
        <v>113</v>
      </c>
      <c r="J20" s="16">
        <v>6</v>
      </c>
    </row>
    <row r="21" spans="2:10" x14ac:dyDescent="0.2">
      <c r="B21" s="16"/>
      <c r="C21" s="16"/>
      <c r="D21" s="16"/>
      <c r="E21" s="16"/>
      <c r="F21" s="16"/>
      <c r="G21" s="16"/>
      <c r="H21" s="16"/>
      <c r="I21" s="16" t="s">
        <v>110</v>
      </c>
      <c r="J21" s="16">
        <v>5</v>
      </c>
    </row>
    <row r="22" spans="2:10" x14ac:dyDescent="0.2">
      <c r="B22" s="16"/>
      <c r="C22" s="16"/>
      <c r="D22" s="16"/>
      <c r="E22" s="16"/>
      <c r="F22" s="16"/>
      <c r="G22" s="16"/>
      <c r="H22" s="16"/>
      <c r="I22" s="16" t="s">
        <v>112</v>
      </c>
      <c r="J22" s="16">
        <v>6</v>
      </c>
    </row>
  </sheetData>
  <dataConsolidate function="max">
    <dataRefs count="2">
      <dataRef ref="C9:D18" sheet="list002"/>
      <dataRef ref="F9:G16" sheet="list002"/>
    </dataRefs>
  </dataConsolidate>
  <mergeCells count="8">
    <mergeCell ref="B1:C1"/>
    <mergeCell ref="C8:D8"/>
    <mergeCell ref="F8:G8"/>
    <mergeCell ref="I8:J8"/>
    <mergeCell ref="B6:E6"/>
    <mergeCell ref="B2:C2"/>
    <mergeCell ref="B3:C3"/>
    <mergeCell ref="B4:C4"/>
  </mergeCells>
  <hyperlinks>
    <hyperlink ref="B6:D6" location="Inhoud!A1" display="Ga naar Inhoudsopgave" xr:uid="{00000000-0004-0000-1800-000000000000}"/>
  </hyperlinks>
  <pageMargins left="0.7" right="0.7" top="0.75" bottom="0.75" header="0.3" footer="0.3"/>
  <pageSetup paperSize="9" orientation="landscape"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Blad14"/>
  <dimension ref="B1:F25"/>
  <sheetViews>
    <sheetView workbookViewId="0">
      <pane xSplit="1" ySplit="6" topLeftCell="B7" activePane="bottomRight" state="frozen"/>
      <selection pane="topRight" activeCell="B1" sqref="B1"/>
      <selection pane="bottomLeft" activeCell="A5" sqref="A5"/>
      <selection pane="bottomRight" activeCell="A2" sqref="A2"/>
    </sheetView>
  </sheetViews>
  <sheetFormatPr defaultRowHeight="12.75" x14ac:dyDescent="0.2"/>
  <cols>
    <col min="1" max="2" width="3.7109375" customWidth="1"/>
    <col min="3" max="6" width="7.7109375" customWidth="1"/>
  </cols>
  <sheetData>
    <row r="1" spans="2:6" s="4" customFormat="1" x14ac:dyDescent="0.2">
      <c r="B1" s="355" t="s">
        <v>1253</v>
      </c>
      <c r="C1" s="355"/>
      <c r="D1" s="316" t="s">
        <v>78</v>
      </c>
    </row>
    <row r="2" spans="2:6" s="4" customFormat="1" x14ac:dyDescent="0.2">
      <c r="B2" s="355" t="s">
        <v>1085</v>
      </c>
      <c r="C2" s="355"/>
      <c r="D2" s="332" t="str">
        <f>VLOOKUP(D$1,TabelContent[],COLUMN(TabelContent[Titel-NL]))</f>
        <v>Verkoopgegevens samenvoegen</v>
      </c>
    </row>
    <row r="3" spans="2:6" s="4" customFormat="1" x14ac:dyDescent="0.2">
      <c r="B3" s="355" t="s">
        <v>1086</v>
      </c>
      <c r="C3" s="355"/>
      <c r="D3" s="332" t="str">
        <f>VLOOKUP(D$1,TabelContent[],COLUMN(TabelContent[Cat-NL]))</f>
        <v>Lijst</v>
      </c>
    </row>
    <row r="4" spans="2:6" s="4" customFormat="1" x14ac:dyDescent="0.2">
      <c r="B4" s="355" t="s">
        <v>1087</v>
      </c>
      <c r="C4" s="355" t="s">
        <v>1077</v>
      </c>
      <c r="D4" s="332">
        <f>VLOOKUP(D$1,TabelContent[],COLUMN(TabelContent[Niveau]))</f>
        <v>2</v>
      </c>
    </row>
    <row r="5" spans="2:6" x14ac:dyDescent="0.2">
      <c r="B5" s="16"/>
      <c r="C5" s="16"/>
      <c r="D5" s="16"/>
      <c r="E5" s="16"/>
      <c r="F5" s="16"/>
    </row>
    <row r="6" spans="2:6" x14ac:dyDescent="0.2">
      <c r="B6" s="357" t="s">
        <v>47</v>
      </c>
      <c r="C6" s="357"/>
      <c r="D6" s="357"/>
      <c r="E6" s="358"/>
      <c r="F6" s="16"/>
    </row>
    <row r="7" spans="2:6" x14ac:dyDescent="0.2">
      <c r="B7" s="16"/>
      <c r="C7" s="16"/>
      <c r="D7" s="16"/>
      <c r="E7" s="16"/>
      <c r="F7" s="16"/>
    </row>
    <row r="8" spans="2:6" x14ac:dyDescent="0.2">
      <c r="B8" s="16"/>
      <c r="C8" s="363" t="s">
        <v>114</v>
      </c>
      <c r="D8" s="363"/>
      <c r="E8" s="363"/>
      <c r="F8" s="363"/>
    </row>
    <row r="9" spans="2:6" x14ac:dyDescent="0.2">
      <c r="B9" s="16"/>
      <c r="C9" s="16"/>
      <c r="D9" s="35" t="s">
        <v>115</v>
      </c>
      <c r="E9" s="35" t="s">
        <v>116</v>
      </c>
      <c r="F9" s="35" t="s">
        <v>117</v>
      </c>
    </row>
    <row r="10" spans="2:6" x14ac:dyDescent="0.2">
      <c r="B10" s="16"/>
      <c r="C10" s="16" t="s">
        <v>118</v>
      </c>
      <c r="D10" s="35">
        <v>5</v>
      </c>
      <c r="E10" s="35">
        <v>10</v>
      </c>
      <c r="F10" s="35">
        <v>15</v>
      </c>
    </row>
    <row r="11" spans="2:6" x14ac:dyDescent="0.2">
      <c r="B11" s="16"/>
      <c r="C11" s="16" t="s">
        <v>119</v>
      </c>
      <c r="D11" s="35">
        <v>20</v>
      </c>
      <c r="E11" s="35">
        <v>20</v>
      </c>
      <c r="F11" s="35">
        <v>30</v>
      </c>
    </row>
    <row r="12" spans="2:6" x14ac:dyDescent="0.2">
      <c r="B12" s="16"/>
      <c r="C12" s="16" t="s">
        <v>120</v>
      </c>
      <c r="D12" s="35">
        <v>25</v>
      </c>
      <c r="E12" s="35">
        <v>35</v>
      </c>
      <c r="F12" s="35">
        <v>40</v>
      </c>
    </row>
    <row r="13" spans="2:6" x14ac:dyDescent="0.2">
      <c r="B13" s="16"/>
      <c r="C13" s="16"/>
      <c r="D13" s="16"/>
      <c r="E13" s="16"/>
      <c r="F13" s="16"/>
    </row>
    <row r="14" spans="2:6" x14ac:dyDescent="0.2">
      <c r="B14" s="16"/>
      <c r="C14" s="363" t="s">
        <v>121</v>
      </c>
      <c r="D14" s="363"/>
      <c r="E14" s="363"/>
      <c r="F14" s="363"/>
    </row>
    <row r="15" spans="2:6" x14ac:dyDescent="0.2">
      <c r="B15" s="16"/>
      <c r="C15" s="16"/>
      <c r="D15" s="35" t="s">
        <v>116</v>
      </c>
      <c r="E15" s="35" t="s">
        <v>117</v>
      </c>
      <c r="F15" s="35" t="s">
        <v>115</v>
      </c>
    </row>
    <row r="16" spans="2:6" x14ac:dyDescent="0.2">
      <c r="B16" s="16"/>
      <c r="C16" s="16" t="s">
        <v>118</v>
      </c>
      <c r="D16" s="35">
        <v>10</v>
      </c>
      <c r="E16" s="35">
        <v>40</v>
      </c>
      <c r="F16" s="35">
        <v>50</v>
      </c>
    </row>
    <row r="17" spans="2:6" x14ac:dyDescent="0.2">
      <c r="B17" s="16"/>
      <c r="C17" s="16" t="s">
        <v>122</v>
      </c>
      <c r="D17" s="35">
        <v>30</v>
      </c>
      <c r="E17" s="35">
        <v>50</v>
      </c>
      <c r="F17" s="35">
        <v>20</v>
      </c>
    </row>
    <row r="18" spans="2:6" x14ac:dyDescent="0.2">
      <c r="B18" s="16"/>
      <c r="C18" s="16" t="s">
        <v>119</v>
      </c>
      <c r="D18" s="35">
        <v>40</v>
      </c>
      <c r="E18" s="35">
        <v>20</v>
      </c>
      <c r="F18" s="35">
        <v>36</v>
      </c>
    </row>
    <row r="19" spans="2:6" x14ac:dyDescent="0.2">
      <c r="B19" s="16"/>
      <c r="C19" s="16"/>
      <c r="D19" s="16"/>
      <c r="E19" s="16"/>
      <c r="F19" s="16"/>
    </row>
    <row r="20" spans="2:6" x14ac:dyDescent="0.2">
      <c r="B20" s="16"/>
      <c r="C20" s="363" t="s">
        <v>123</v>
      </c>
      <c r="D20" s="363"/>
      <c r="E20" s="363"/>
      <c r="F20" s="363"/>
    </row>
    <row r="21" spans="2:6" x14ac:dyDescent="0.2">
      <c r="B21" s="16"/>
      <c r="C21" s="16"/>
      <c r="D21" s="35" t="s">
        <v>115</v>
      </c>
      <c r="E21" s="35" t="s">
        <v>116</v>
      </c>
      <c r="F21" s="35" t="s">
        <v>117</v>
      </c>
    </row>
    <row r="22" spans="2:6" x14ac:dyDescent="0.2">
      <c r="B22" s="16"/>
      <c r="C22" s="16" t="s">
        <v>118</v>
      </c>
      <c r="D22" s="16">
        <v>55</v>
      </c>
      <c r="E22" s="16">
        <v>20</v>
      </c>
      <c r="F22" s="16">
        <v>55</v>
      </c>
    </row>
    <row r="23" spans="2:6" x14ac:dyDescent="0.2">
      <c r="B23" s="16"/>
      <c r="C23" s="16" t="s">
        <v>122</v>
      </c>
      <c r="D23" s="16">
        <v>20</v>
      </c>
      <c r="E23" s="16">
        <v>30</v>
      </c>
      <c r="F23" s="16">
        <v>50</v>
      </c>
    </row>
    <row r="24" spans="2:6" x14ac:dyDescent="0.2">
      <c r="B24" s="16"/>
      <c r="C24" s="16" t="s">
        <v>119</v>
      </c>
      <c r="D24" s="16">
        <v>56</v>
      </c>
      <c r="E24" s="16">
        <v>60</v>
      </c>
      <c r="F24" s="16">
        <v>50</v>
      </c>
    </row>
    <row r="25" spans="2:6" x14ac:dyDescent="0.2">
      <c r="B25" s="16"/>
      <c r="C25" s="16" t="s">
        <v>120</v>
      </c>
      <c r="D25" s="16">
        <v>25</v>
      </c>
      <c r="E25" s="16">
        <v>35</v>
      </c>
      <c r="F25" s="16">
        <v>40</v>
      </c>
    </row>
  </sheetData>
  <dataConsolidate topLabels="1">
    <dataRefs count="2">
      <dataRef ref="C8:F11" sheet="list003"/>
      <dataRef ref="C14:F17" sheet="list003"/>
    </dataRefs>
  </dataConsolidate>
  <mergeCells count="8">
    <mergeCell ref="B1:C1"/>
    <mergeCell ref="C8:F8"/>
    <mergeCell ref="C14:F14"/>
    <mergeCell ref="C20:F20"/>
    <mergeCell ref="B6:E6"/>
    <mergeCell ref="B2:C2"/>
    <mergeCell ref="B3:C3"/>
    <mergeCell ref="B4:C4"/>
  </mergeCells>
  <hyperlinks>
    <hyperlink ref="B6:D6" location="Inhoud!A1" display="Ga naar Inhoudsopgave" xr:uid="{00000000-0004-0000-1900-000000000000}"/>
  </hyperlinks>
  <pageMargins left="0.7" right="0.7" top="0.75" bottom="0.75" header="0.3" footer="0.3"/>
  <pageSetup paperSize="9" orientation="landscape"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Blad15" filterMode="1"/>
  <dimension ref="B1:J16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12.7109375" bestFit="1" customWidth="1"/>
    <col min="5" max="5" width="11.5703125" customWidth="1"/>
    <col min="6" max="6" width="10" customWidth="1"/>
    <col min="7" max="7" width="10.7109375" bestFit="1" customWidth="1"/>
    <col min="8" max="8" width="10" customWidth="1"/>
    <col min="9" max="9" width="9" customWidth="1"/>
    <col min="10" max="10" width="9.28515625" bestFit="1" customWidth="1"/>
  </cols>
  <sheetData>
    <row r="1" spans="2:10" s="4" customFormat="1" x14ac:dyDescent="0.2">
      <c r="B1" s="355" t="s">
        <v>1253</v>
      </c>
      <c r="C1" s="355"/>
      <c r="D1" s="316" t="s">
        <v>79</v>
      </c>
    </row>
    <row r="2" spans="2:10" s="4" customFormat="1" x14ac:dyDescent="0.2">
      <c r="B2" s="355" t="s">
        <v>1085</v>
      </c>
      <c r="C2" s="355"/>
      <c r="D2" s="332" t="str">
        <f>VLOOKUP(D$1,TabelContent[],COLUMN(TabelContent[Titel-NL]))</f>
        <v>Overzicht auto's filteren</v>
      </c>
      <c r="E2" s="7"/>
      <c r="F2" s="7"/>
      <c r="G2" s="7"/>
      <c r="H2" s="8"/>
      <c r="I2" s="9"/>
    </row>
    <row r="3" spans="2:10" s="4" customFormat="1" x14ac:dyDescent="0.2">
      <c r="B3" s="355" t="s">
        <v>1086</v>
      </c>
      <c r="C3" s="355"/>
      <c r="D3" s="332" t="str">
        <f>VLOOKUP(D$1,TabelContent[],COLUMN(TabelContent[Cat-NL]))</f>
        <v>Lijst</v>
      </c>
      <c r="E3" s="7"/>
      <c r="F3" s="7"/>
      <c r="G3" s="7"/>
      <c r="H3" s="8"/>
      <c r="I3" s="9"/>
    </row>
    <row r="4" spans="2:10" s="4" customFormat="1" x14ac:dyDescent="0.2">
      <c r="B4" s="355" t="s">
        <v>1087</v>
      </c>
      <c r="C4" s="355" t="s">
        <v>1077</v>
      </c>
      <c r="D4" s="332">
        <f>VLOOKUP(D$1,TabelContent[],COLUMN(TabelContent[Niveau]))</f>
        <v>2</v>
      </c>
      <c r="E4" s="7"/>
      <c r="F4" s="7"/>
      <c r="G4" s="7"/>
      <c r="H4" s="8"/>
      <c r="I4" s="9"/>
    </row>
    <row r="6" spans="2:10" x14ac:dyDescent="0.2">
      <c r="B6" s="364" t="s">
        <v>47</v>
      </c>
      <c r="C6" s="364"/>
      <c r="D6" s="364"/>
    </row>
    <row r="8" spans="2:10" x14ac:dyDescent="0.2">
      <c r="D8" s="5" t="s">
        <v>125</v>
      </c>
      <c r="E8" s="5" t="s">
        <v>126</v>
      </c>
      <c r="F8" s="5" t="s">
        <v>127</v>
      </c>
      <c r="G8" s="5" t="s">
        <v>128</v>
      </c>
      <c r="H8" s="5" t="s">
        <v>129</v>
      </c>
      <c r="I8" s="5" t="s">
        <v>130</v>
      </c>
      <c r="J8" s="5" t="s">
        <v>131</v>
      </c>
    </row>
    <row r="9" spans="2:10" hidden="1" x14ac:dyDescent="0.2">
      <c r="D9" s="6" t="s">
        <v>132</v>
      </c>
      <c r="E9" s="123" t="s">
        <v>133</v>
      </c>
      <c r="F9" s="7">
        <v>4</v>
      </c>
      <c r="G9" s="7">
        <v>170</v>
      </c>
      <c r="H9" s="123" t="s">
        <v>1177</v>
      </c>
      <c r="I9" s="8">
        <v>12.2</v>
      </c>
      <c r="J9" s="9">
        <v>19990</v>
      </c>
    </row>
    <row r="10" spans="2:10" hidden="1" x14ac:dyDescent="0.2">
      <c r="D10" s="6" t="s">
        <v>132</v>
      </c>
      <c r="E10" s="123" t="s">
        <v>134</v>
      </c>
      <c r="F10" s="7">
        <v>4</v>
      </c>
      <c r="G10" s="7">
        <v>190</v>
      </c>
      <c r="H10" s="123" t="s">
        <v>1177</v>
      </c>
      <c r="I10" s="8">
        <v>10</v>
      </c>
      <c r="J10" s="9">
        <v>33645</v>
      </c>
    </row>
    <row r="11" spans="2:10" hidden="1" x14ac:dyDescent="0.2">
      <c r="D11" s="6" t="s">
        <v>132</v>
      </c>
      <c r="E11" s="123" t="s">
        <v>135</v>
      </c>
      <c r="F11" s="7">
        <v>4</v>
      </c>
      <c r="G11" s="7">
        <v>175</v>
      </c>
      <c r="H11" s="123" t="s">
        <v>1176</v>
      </c>
      <c r="I11" s="8">
        <v>12.9</v>
      </c>
      <c r="J11" s="9">
        <v>45040</v>
      </c>
    </row>
    <row r="12" spans="2:10" hidden="1" x14ac:dyDescent="0.2">
      <c r="D12" s="6" t="s">
        <v>132</v>
      </c>
      <c r="E12" s="123" t="s">
        <v>137</v>
      </c>
      <c r="F12" s="7">
        <v>4</v>
      </c>
      <c r="G12" s="7">
        <v>190</v>
      </c>
      <c r="H12" s="123" t="s">
        <v>1177</v>
      </c>
      <c r="I12" s="8">
        <v>10.1</v>
      </c>
      <c r="J12" s="9">
        <v>45725</v>
      </c>
    </row>
    <row r="13" spans="2:10" hidden="1" x14ac:dyDescent="0.2">
      <c r="D13" s="6" t="s">
        <v>138</v>
      </c>
      <c r="E13" s="123" t="s">
        <v>139</v>
      </c>
      <c r="F13" s="7">
        <v>4</v>
      </c>
      <c r="G13" s="7">
        <v>167</v>
      </c>
      <c r="H13" s="123" t="s">
        <v>1178</v>
      </c>
      <c r="I13" s="8">
        <v>12.4</v>
      </c>
      <c r="J13" s="9">
        <v>31595</v>
      </c>
    </row>
    <row r="14" spans="2:10" hidden="1" x14ac:dyDescent="0.2">
      <c r="D14" s="6" t="s">
        <v>138</v>
      </c>
      <c r="E14" s="123" t="s">
        <v>140</v>
      </c>
      <c r="F14" s="7">
        <v>4</v>
      </c>
      <c r="G14" s="7">
        <v>153</v>
      </c>
      <c r="H14" s="123" t="s">
        <v>1176</v>
      </c>
      <c r="I14" s="8">
        <v>16.2</v>
      </c>
      <c r="J14" s="9">
        <v>36745</v>
      </c>
    </row>
    <row r="15" spans="2:10" hidden="1" x14ac:dyDescent="0.2">
      <c r="D15" s="6" t="s">
        <v>138</v>
      </c>
      <c r="E15" s="123" t="s">
        <v>141</v>
      </c>
      <c r="F15" s="7">
        <v>4</v>
      </c>
      <c r="G15" s="7">
        <v>176</v>
      </c>
      <c r="H15" s="123" t="s">
        <v>1178</v>
      </c>
      <c r="I15" s="8">
        <v>13.1</v>
      </c>
      <c r="J15" s="9">
        <v>45750</v>
      </c>
    </row>
    <row r="16" spans="2:10" hidden="1" x14ac:dyDescent="0.2">
      <c r="D16" s="6" t="s">
        <v>138</v>
      </c>
      <c r="E16" s="123" t="s">
        <v>142</v>
      </c>
      <c r="F16" s="7">
        <v>5</v>
      </c>
      <c r="G16" s="7">
        <v>158</v>
      </c>
      <c r="H16" s="123" t="s">
        <v>1176</v>
      </c>
      <c r="I16" s="8">
        <v>14.9</v>
      </c>
      <c r="J16" s="9">
        <v>54450</v>
      </c>
    </row>
    <row r="17" spans="4:10" hidden="1" x14ac:dyDescent="0.2">
      <c r="D17" s="6" t="s">
        <v>138</v>
      </c>
      <c r="E17" s="123">
        <v>200</v>
      </c>
      <c r="F17" s="7">
        <v>5</v>
      </c>
      <c r="G17" s="7">
        <v>216</v>
      </c>
      <c r="H17" s="123" t="s">
        <v>1178</v>
      </c>
      <c r="I17" s="8">
        <v>10.199999999999999</v>
      </c>
      <c r="J17" s="9">
        <v>96900</v>
      </c>
    </row>
    <row r="18" spans="4:10" hidden="1" x14ac:dyDescent="0.2">
      <c r="D18" s="6" t="s">
        <v>143</v>
      </c>
      <c r="E18" s="123" t="s">
        <v>144</v>
      </c>
      <c r="F18" s="7">
        <v>4</v>
      </c>
      <c r="G18" s="7">
        <v>138</v>
      </c>
      <c r="H18" s="123" t="s">
        <v>1177</v>
      </c>
      <c r="I18" s="8">
        <v>14.4</v>
      </c>
      <c r="J18" s="9">
        <v>14995</v>
      </c>
    </row>
    <row r="19" spans="4:10" hidden="1" x14ac:dyDescent="0.2">
      <c r="D19" s="6" t="s">
        <v>143</v>
      </c>
      <c r="E19" s="123" t="s">
        <v>145</v>
      </c>
      <c r="F19" s="7">
        <v>4</v>
      </c>
      <c r="G19" s="7">
        <v>155</v>
      </c>
      <c r="H19" s="123" t="s">
        <v>1177</v>
      </c>
      <c r="I19" s="8">
        <v>13.2</v>
      </c>
      <c r="J19" s="9">
        <v>19995</v>
      </c>
    </row>
    <row r="20" spans="4:10" hidden="1" x14ac:dyDescent="0.2">
      <c r="D20" s="6" t="s">
        <v>143</v>
      </c>
      <c r="E20" s="123" t="s">
        <v>146</v>
      </c>
      <c r="F20" s="7">
        <v>4</v>
      </c>
      <c r="G20" s="7">
        <v>154</v>
      </c>
      <c r="H20" s="123" t="s">
        <v>1177</v>
      </c>
      <c r="I20" s="8">
        <v>13.2</v>
      </c>
      <c r="J20" s="9">
        <v>23990</v>
      </c>
    </row>
    <row r="21" spans="4:10" hidden="1" x14ac:dyDescent="0.2">
      <c r="D21" s="6" t="s">
        <v>147</v>
      </c>
      <c r="E21" s="123">
        <v>316</v>
      </c>
      <c r="F21" s="7">
        <v>4</v>
      </c>
      <c r="G21" s="7">
        <v>175</v>
      </c>
      <c r="H21" s="123" t="s">
        <v>1177</v>
      </c>
      <c r="I21" s="8">
        <v>11.6</v>
      </c>
      <c r="J21" s="9">
        <v>33720</v>
      </c>
    </row>
    <row r="22" spans="4:10" hidden="1" x14ac:dyDescent="0.2">
      <c r="D22" s="6" t="s">
        <v>147</v>
      </c>
      <c r="E22" s="123" t="s">
        <v>148</v>
      </c>
      <c r="F22" s="7">
        <v>4</v>
      </c>
      <c r="G22" s="7">
        <v>184</v>
      </c>
      <c r="H22" s="123" t="s">
        <v>1177</v>
      </c>
      <c r="I22" s="8">
        <v>11.2</v>
      </c>
      <c r="J22" s="9">
        <v>38160</v>
      </c>
    </row>
    <row r="23" spans="4:10" x14ac:dyDescent="0.2">
      <c r="D23" s="6" t="s">
        <v>147</v>
      </c>
      <c r="E23" s="123" t="s">
        <v>149</v>
      </c>
      <c r="F23" s="7">
        <v>6</v>
      </c>
      <c r="G23" s="7">
        <v>217</v>
      </c>
      <c r="H23" s="123" t="s">
        <v>1177</v>
      </c>
      <c r="I23" s="8">
        <v>9.9</v>
      </c>
      <c r="J23" s="9">
        <v>58290</v>
      </c>
    </row>
    <row r="24" spans="4:10" hidden="1" x14ac:dyDescent="0.2">
      <c r="D24" s="6" t="s">
        <v>147</v>
      </c>
      <c r="E24" s="123" t="s">
        <v>150</v>
      </c>
      <c r="F24" s="7">
        <v>4</v>
      </c>
      <c r="G24" s="7">
        <v>175</v>
      </c>
      <c r="H24" s="123" t="s">
        <v>1177</v>
      </c>
      <c r="I24" s="8">
        <v>10.4</v>
      </c>
      <c r="J24" s="9">
        <v>43170</v>
      </c>
    </row>
    <row r="25" spans="4:10" x14ac:dyDescent="0.2">
      <c r="D25" s="6" t="s">
        <v>147</v>
      </c>
      <c r="E25" s="123" t="s">
        <v>151</v>
      </c>
      <c r="F25" s="7">
        <v>6</v>
      </c>
      <c r="G25" s="7">
        <v>185</v>
      </c>
      <c r="H25" s="123" t="s">
        <v>1177</v>
      </c>
      <c r="I25" s="8">
        <v>10.3</v>
      </c>
      <c r="J25" s="9">
        <v>50220</v>
      </c>
    </row>
    <row r="26" spans="4:10" x14ac:dyDescent="0.2">
      <c r="D26" s="6" t="s">
        <v>147</v>
      </c>
      <c r="E26" s="123" t="s">
        <v>152</v>
      </c>
      <c r="F26" s="7">
        <v>6</v>
      </c>
      <c r="G26" s="7">
        <v>185</v>
      </c>
      <c r="H26" s="123" t="s">
        <v>1177</v>
      </c>
      <c r="I26" s="8">
        <v>9.4</v>
      </c>
      <c r="J26" s="9">
        <v>53730</v>
      </c>
    </row>
    <row r="27" spans="4:10" x14ac:dyDescent="0.2">
      <c r="D27" s="6" t="s">
        <v>147</v>
      </c>
      <c r="E27" s="123" t="s">
        <v>153</v>
      </c>
      <c r="F27" s="7">
        <v>6</v>
      </c>
      <c r="G27" s="7">
        <v>220</v>
      </c>
      <c r="H27" s="123" t="s">
        <v>1178</v>
      </c>
      <c r="I27" s="8">
        <v>8.8000000000000007</v>
      </c>
      <c r="J27" s="9">
        <v>94170</v>
      </c>
    </row>
    <row r="28" spans="4:10" hidden="1" x14ac:dyDescent="0.2">
      <c r="D28" s="6" t="s">
        <v>154</v>
      </c>
      <c r="E28" s="123" t="s">
        <v>155</v>
      </c>
      <c r="F28" s="7">
        <v>2</v>
      </c>
      <c r="G28" s="7">
        <v>115</v>
      </c>
      <c r="H28" s="123" t="s">
        <v>1177</v>
      </c>
      <c r="I28" s="8">
        <v>16.5</v>
      </c>
      <c r="J28" s="9">
        <v>11200</v>
      </c>
    </row>
    <row r="29" spans="4:10" hidden="1" x14ac:dyDescent="0.2">
      <c r="D29" s="6" t="s">
        <v>154</v>
      </c>
      <c r="E29" s="123" t="s">
        <v>156</v>
      </c>
      <c r="F29" s="7">
        <v>4</v>
      </c>
      <c r="G29" s="7">
        <v>124</v>
      </c>
      <c r="H29" s="123" t="s">
        <v>1177</v>
      </c>
      <c r="I29" s="8">
        <v>15.1</v>
      </c>
      <c r="J29" s="9">
        <v>14250</v>
      </c>
    </row>
    <row r="30" spans="4:10" hidden="1" x14ac:dyDescent="0.2">
      <c r="D30" s="6" t="s">
        <v>154</v>
      </c>
      <c r="E30" s="123" t="s">
        <v>157</v>
      </c>
      <c r="F30" s="7">
        <v>4</v>
      </c>
      <c r="G30" s="7">
        <v>150</v>
      </c>
      <c r="H30" s="123" t="s">
        <v>1177</v>
      </c>
      <c r="I30" s="8">
        <v>12.1</v>
      </c>
      <c r="J30" s="9">
        <v>12650</v>
      </c>
    </row>
    <row r="31" spans="4:10" hidden="1" x14ac:dyDescent="0.2">
      <c r="D31" s="6" t="s">
        <v>154</v>
      </c>
      <c r="E31" s="123" t="s">
        <v>158</v>
      </c>
      <c r="F31" s="7">
        <v>4</v>
      </c>
      <c r="G31" s="7">
        <v>155</v>
      </c>
      <c r="H31" s="123" t="s">
        <v>1177</v>
      </c>
      <c r="I31" s="8">
        <v>14.2</v>
      </c>
      <c r="J31" s="9">
        <v>21500</v>
      </c>
    </row>
    <row r="32" spans="4:10" hidden="1" x14ac:dyDescent="0.2">
      <c r="D32" s="6" t="s">
        <v>154</v>
      </c>
      <c r="E32" s="123" t="s">
        <v>159</v>
      </c>
      <c r="F32" s="7">
        <v>4</v>
      </c>
      <c r="G32" s="7">
        <v>176</v>
      </c>
      <c r="H32" s="123" t="s">
        <v>1177</v>
      </c>
      <c r="I32" s="8">
        <v>10.199999999999999</v>
      </c>
      <c r="J32" s="9">
        <v>37600</v>
      </c>
    </row>
    <row r="33" spans="4:10" hidden="1" x14ac:dyDescent="0.2">
      <c r="D33" s="6" t="s">
        <v>154</v>
      </c>
      <c r="E33" s="123" t="s">
        <v>160</v>
      </c>
      <c r="F33" s="7">
        <v>4</v>
      </c>
      <c r="G33" s="7">
        <v>186</v>
      </c>
      <c r="H33" s="123" t="s">
        <v>1177</v>
      </c>
      <c r="I33" s="8">
        <v>10.4</v>
      </c>
      <c r="J33" s="9">
        <v>44700</v>
      </c>
    </row>
    <row r="34" spans="4:10" hidden="1" x14ac:dyDescent="0.2">
      <c r="D34" s="6" t="s">
        <v>154</v>
      </c>
      <c r="E34" s="123" t="s">
        <v>161</v>
      </c>
      <c r="F34" s="7">
        <v>4</v>
      </c>
      <c r="G34" s="7">
        <v>149</v>
      </c>
      <c r="H34" s="123" t="s">
        <v>1176</v>
      </c>
      <c r="I34" s="8">
        <v>12.1</v>
      </c>
      <c r="J34" s="9">
        <v>45625</v>
      </c>
    </row>
    <row r="35" spans="4:10" hidden="1" x14ac:dyDescent="0.2">
      <c r="D35" s="6" t="s">
        <v>162</v>
      </c>
      <c r="E35" s="123" t="s">
        <v>163</v>
      </c>
      <c r="F35" s="7">
        <v>3</v>
      </c>
      <c r="G35" s="7">
        <v>135</v>
      </c>
      <c r="H35" s="123" t="s">
        <v>1178</v>
      </c>
      <c r="I35" s="8">
        <v>16.5</v>
      </c>
      <c r="J35" s="9">
        <v>12999</v>
      </c>
    </row>
    <row r="36" spans="4:10" hidden="1" x14ac:dyDescent="0.2">
      <c r="D36" s="6" t="s">
        <v>162</v>
      </c>
      <c r="E36" s="123" t="s">
        <v>164</v>
      </c>
      <c r="F36" s="7">
        <v>3</v>
      </c>
      <c r="G36" s="7">
        <v>140</v>
      </c>
      <c r="H36" s="123" t="s">
        <v>1178</v>
      </c>
      <c r="I36" s="8">
        <v>14.9</v>
      </c>
      <c r="J36" s="9">
        <v>14899</v>
      </c>
    </row>
    <row r="37" spans="4:10" hidden="1" x14ac:dyDescent="0.2">
      <c r="D37" s="6" t="s">
        <v>162</v>
      </c>
      <c r="E37" s="123" t="s">
        <v>165</v>
      </c>
      <c r="F37" s="7">
        <v>3</v>
      </c>
      <c r="G37" s="7">
        <v>125</v>
      </c>
      <c r="H37" s="123" t="s">
        <v>1176</v>
      </c>
      <c r="I37" s="8">
        <v>17.8</v>
      </c>
      <c r="J37" s="9">
        <v>18649</v>
      </c>
    </row>
    <row r="38" spans="4:10" hidden="1" x14ac:dyDescent="0.2">
      <c r="D38" s="6" t="s">
        <v>162</v>
      </c>
      <c r="E38" s="123" t="s">
        <v>166</v>
      </c>
      <c r="F38" s="7">
        <v>4</v>
      </c>
      <c r="G38" s="7">
        <v>150</v>
      </c>
      <c r="H38" s="123" t="s">
        <v>1178</v>
      </c>
      <c r="I38" s="8">
        <v>14</v>
      </c>
      <c r="J38" s="9">
        <v>19499</v>
      </c>
    </row>
    <row r="39" spans="4:10" hidden="1" x14ac:dyDescent="0.2">
      <c r="D39" s="6" t="s">
        <v>167</v>
      </c>
      <c r="E39" s="123" t="s">
        <v>168</v>
      </c>
      <c r="F39" s="7">
        <v>4</v>
      </c>
      <c r="G39" s="7">
        <v>125</v>
      </c>
      <c r="H39" s="123" t="s">
        <v>1177</v>
      </c>
      <c r="I39" s="8">
        <v>16.100000000000001</v>
      </c>
      <c r="J39" s="9">
        <v>12690</v>
      </c>
    </row>
    <row r="40" spans="4:10" hidden="1" x14ac:dyDescent="0.2">
      <c r="D40" s="6" t="s">
        <v>167</v>
      </c>
      <c r="E40" s="123" t="s">
        <v>169</v>
      </c>
      <c r="F40" s="7">
        <v>4</v>
      </c>
      <c r="G40" s="7">
        <v>145</v>
      </c>
      <c r="H40" s="123" t="s">
        <v>1177</v>
      </c>
      <c r="I40" s="8">
        <v>16.3</v>
      </c>
      <c r="J40" s="9">
        <v>15990</v>
      </c>
    </row>
    <row r="41" spans="4:10" hidden="1" x14ac:dyDescent="0.2">
      <c r="D41" s="6" t="s">
        <v>167</v>
      </c>
      <c r="E41" s="123" t="s">
        <v>170</v>
      </c>
      <c r="F41" s="7">
        <v>4</v>
      </c>
      <c r="G41" s="7">
        <v>155</v>
      </c>
      <c r="H41" s="123" t="s">
        <v>1176</v>
      </c>
      <c r="I41" s="8">
        <v>18.600000000000001</v>
      </c>
      <c r="J41" s="9">
        <v>21690</v>
      </c>
    </row>
    <row r="42" spans="4:10" hidden="1" x14ac:dyDescent="0.2">
      <c r="D42" s="6" t="s">
        <v>167</v>
      </c>
      <c r="E42" s="123" t="s">
        <v>171</v>
      </c>
      <c r="F42" s="7">
        <v>4</v>
      </c>
      <c r="G42" s="7">
        <v>150</v>
      </c>
      <c r="H42" s="123" t="s">
        <v>1177</v>
      </c>
      <c r="I42" s="8">
        <v>13.4</v>
      </c>
      <c r="J42" s="9">
        <v>17250</v>
      </c>
    </row>
    <row r="43" spans="4:10" hidden="1" x14ac:dyDescent="0.2">
      <c r="D43" s="6" t="s">
        <v>167</v>
      </c>
      <c r="E43" s="123" t="s">
        <v>172</v>
      </c>
      <c r="F43" s="7">
        <v>4</v>
      </c>
      <c r="G43" s="7">
        <v>150</v>
      </c>
      <c r="H43" s="123" t="s">
        <v>1176</v>
      </c>
      <c r="I43" s="8">
        <v>15.2</v>
      </c>
      <c r="J43" s="9">
        <v>22350</v>
      </c>
    </row>
    <row r="44" spans="4:10" hidden="1" x14ac:dyDescent="0.2">
      <c r="D44" s="6" t="s">
        <v>167</v>
      </c>
      <c r="E44" s="123" t="s">
        <v>173</v>
      </c>
      <c r="F44" s="7">
        <v>4</v>
      </c>
      <c r="G44" s="7">
        <v>155</v>
      </c>
      <c r="H44" s="123" t="s">
        <v>1177</v>
      </c>
      <c r="I44" s="8">
        <v>13.4</v>
      </c>
      <c r="J44" s="9">
        <v>22890</v>
      </c>
    </row>
    <row r="45" spans="4:10" hidden="1" x14ac:dyDescent="0.2">
      <c r="D45" s="6" t="s">
        <v>167</v>
      </c>
      <c r="E45" s="123" t="s">
        <v>174</v>
      </c>
      <c r="F45" s="7">
        <v>4</v>
      </c>
      <c r="G45" s="7">
        <v>150</v>
      </c>
      <c r="H45" s="123" t="s">
        <v>1176</v>
      </c>
      <c r="I45" s="8">
        <v>13.6</v>
      </c>
      <c r="J45" s="9">
        <v>27490</v>
      </c>
    </row>
    <row r="46" spans="4:10" hidden="1" x14ac:dyDescent="0.2">
      <c r="D46" s="6" t="s">
        <v>167</v>
      </c>
      <c r="E46" s="123" t="s">
        <v>175</v>
      </c>
      <c r="F46" s="7">
        <v>4</v>
      </c>
      <c r="G46" s="7">
        <v>180</v>
      </c>
      <c r="H46" s="123" t="s">
        <v>1177</v>
      </c>
      <c r="I46" s="8">
        <v>13.7</v>
      </c>
      <c r="J46" s="9">
        <v>35690</v>
      </c>
    </row>
    <row r="47" spans="4:10" hidden="1" x14ac:dyDescent="0.2">
      <c r="D47" s="6" t="s">
        <v>167</v>
      </c>
      <c r="E47" s="123" t="s">
        <v>176</v>
      </c>
      <c r="F47" s="7">
        <v>4</v>
      </c>
      <c r="G47" s="7">
        <v>185</v>
      </c>
      <c r="H47" s="123" t="s">
        <v>1176</v>
      </c>
      <c r="I47" s="8">
        <v>14.1</v>
      </c>
      <c r="J47" s="9">
        <v>39990</v>
      </c>
    </row>
    <row r="48" spans="4:10" hidden="1" x14ac:dyDescent="0.2">
      <c r="D48" s="6" t="s">
        <v>177</v>
      </c>
      <c r="E48" s="123" t="s">
        <v>178</v>
      </c>
      <c r="F48" s="7">
        <v>4</v>
      </c>
      <c r="G48" s="7">
        <v>136</v>
      </c>
      <c r="H48" s="123" t="s">
        <v>1177</v>
      </c>
      <c r="I48" s="8">
        <v>13.6</v>
      </c>
      <c r="J48" s="9">
        <v>16988</v>
      </c>
    </row>
    <row r="49" spans="4:10" hidden="1" x14ac:dyDescent="0.2">
      <c r="D49" s="6" t="s">
        <v>177</v>
      </c>
      <c r="E49" s="123" t="s">
        <v>179</v>
      </c>
      <c r="F49" s="7">
        <v>4</v>
      </c>
      <c r="G49" s="7">
        <v>148</v>
      </c>
      <c r="H49" s="123" t="s">
        <v>1176</v>
      </c>
      <c r="I49" s="8">
        <v>15.9</v>
      </c>
      <c r="J49" s="9">
        <v>22564</v>
      </c>
    </row>
    <row r="50" spans="4:10" hidden="1" x14ac:dyDescent="0.2">
      <c r="D50" s="6" t="s">
        <v>177</v>
      </c>
      <c r="E50" s="123" t="s">
        <v>180</v>
      </c>
      <c r="F50" s="7">
        <v>4</v>
      </c>
      <c r="G50" s="7">
        <v>144</v>
      </c>
      <c r="H50" s="123" t="s">
        <v>1177</v>
      </c>
      <c r="I50" s="8">
        <v>14.1</v>
      </c>
      <c r="J50" s="9">
        <v>20660</v>
      </c>
    </row>
    <row r="51" spans="4:10" hidden="1" x14ac:dyDescent="0.2">
      <c r="D51" s="6" t="s">
        <v>177</v>
      </c>
      <c r="E51" s="123" t="s">
        <v>181</v>
      </c>
      <c r="F51" s="7">
        <v>4</v>
      </c>
      <c r="G51" s="7">
        <v>150</v>
      </c>
      <c r="H51" s="123" t="s">
        <v>1176</v>
      </c>
      <c r="I51" s="8">
        <v>16.899999999999999</v>
      </c>
      <c r="J51" s="9">
        <v>25781</v>
      </c>
    </row>
    <row r="52" spans="4:10" hidden="1" x14ac:dyDescent="0.2">
      <c r="D52" s="6" t="s">
        <v>177</v>
      </c>
      <c r="E52" s="123" t="s">
        <v>182</v>
      </c>
      <c r="F52" s="7">
        <v>4</v>
      </c>
      <c r="G52" s="7">
        <v>167</v>
      </c>
      <c r="H52" s="123" t="s">
        <v>1177</v>
      </c>
      <c r="I52" s="8">
        <v>14.7</v>
      </c>
      <c r="J52" s="9">
        <v>24444</v>
      </c>
    </row>
    <row r="53" spans="4:10" hidden="1" x14ac:dyDescent="0.2">
      <c r="D53" s="6" t="s">
        <v>177</v>
      </c>
      <c r="E53" s="123" t="s">
        <v>183</v>
      </c>
      <c r="F53" s="7">
        <v>4</v>
      </c>
      <c r="G53" s="7">
        <v>165</v>
      </c>
      <c r="H53" s="123" t="s">
        <v>1176</v>
      </c>
      <c r="I53" s="8">
        <v>18.3</v>
      </c>
      <c r="J53" s="9">
        <v>27968</v>
      </c>
    </row>
    <row r="54" spans="4:10" hidden="1" x14ac:dyDescent="0.2">
      <c r="D54" s="6" t="s">
        <v>177</v>
      </c>
      <c r="E54" s="123" t="s">
        <v>184</v>
      </c>
      <c r="F54" s="7">
        <v>4</v>
      </c>
      <c r="G54" s="7">
        <v>165</v>
      </c>
      <c r="H54" s="123" t="s">
        <v>1177</v>
      </c>
      <c r="I54" s="8">
        <v>10.6</v>
      </c>
      <c r="J54" s="9">
        <v>25901</v>
      </c>
    </row>
    <row r="55" spans="4:10" hidden="1" x14ac:dyDescent="0.2">
      <c r="D55" s="6" t="s">
        <v>177</v>
      </c>
      <c r="E55" s="123" t="s">
        <v>185</v>
      </c>
      <c r="F55" s="7">
        <v>4</v>
      </c>
      <c r="G55" s="7">
        <v>155</v>
      </c>
      <c r="H55" s="123" t="s">
        <v>1176</v>
      </c>
      <c r="I55" s="8">
        <v>12.9</v>
      </c>
      <c r="J55" s="9">
        <v>31519</v>
      </c>
    </row>
    <row r="56" spans="4:10" hidden="1" x14ac:dyDescent="0.2">
      <c r="D56" s="6" t="s">
        <v>177</v>
      </c>
      <c r="E56" s="123" t="s">
        <v>186</v>
      </c>
      <c r="F56" s="7">
        <v>4</v>
      </c>
      <c r="G56" s="7">
        <v>179</v>
      </c>
      <c r="H56" s="123" t="s">
        <v>1177</v>
      </c>
      <c r="I56" s="8">
        <v>11.1</v>
      </c>
      <c r="J56" s="9">
        <v>37078</v>
      </c>
    </row>
    <row r="57" spans="4:10" hidden="1" x14ac:dyDescent="0.2">
      <c r="D57" s="6" t="s">
        <v>177</v>
      </c>
      <c r="E57" s="123" t="s">
        <v>187</v>
      </c>
      <c r="F57" s="7">
        <v>4</v>
      </c>
      <c r="G57" s="7">
        <v>158</v>
      </c>
      <c r="H57" s="123" t="s">
        <v>1176</v>
      </c>
      <c r="I57" s="8">
        <v>12.8</v>
      </c>
      <c r="J57" s="9">
        <v>43928</v>
      </c>
    </row>
    <row r="58" spans="4:10" hidden="1" x14ac:dyDescent="0.2">
      <c r="D58" s="6" t="s">
        <v>188</v>
      </c>
      <c r="E58" s="123" t="s">
        <v>189</v>
      </c>
      <c r="F58" s="7">
        <v>4</v>
      </c>
      <c r="G58" s="7">
        <v>155</v>
      </c>
      <c r="H58" s="123" t="s">
        <v>1177</v>
      </c>
      <c r="I58" s="8">
        <v>9.6999999999999993</v>
      </c>
      <c r="J58" s="9">
        <v>14195</v>
      </c>
    </row>
    <row r="59" spans="4:10" hidden="1" x14ac:dyDescent="0.2">
      <c r="D59" s="6" t="s">
        <v>190</v>
      </c>
      <c r="E59" s="123" t="s">
        <v>191</v>
      </c>
      <c r="F59" s="7">
        <v>4</v>
      </c>
      <c r="G59" s="7">
        <v>145</v>
      </c>
      <c r="H59" s="123" t="s">
        <v>1178</v>
      </c>
      <c r="I59" s="8">
        <v>14.4</v>
      </c>
      <c r="J59" s="9">
        <v>18490</v>
      </c>
    </row>
    <row r="60" spans="4:10" hidden="1" x14ac:dyDescent="0.2">
      <c r="D60" s="6" t="s">
        <v>190</v>
      </c>
      <c r="E60" s="123" t="s">
        <v>192</v>
      </c>
      <c r="F60" s="7">
        <v>4</v>
      </c>
      <c r="G60" s="7">
        <v>168</v>
      </c>
      <c r="H60" s="123" t="s">
        <v>1178</v>
      </c>
      <c r="I60" s="8">
        <v>13.4</v>
      </c>
      <c r="J60" s="9">
        <v>27290</v>
      </c>
    </row>
    <row r="61" spans="4:10" hidden="1" x14ac:dyDescent="0.2">
      <c r="D61" s="6" t="s">
        <v>190</v>
      </c>
      <c r="E61" s="123" t="s">
        <v>193</v>
      </c>
      <c r="F61" s="7">
        <v>4</v>
      </c>
      <c r="G61" s="7">
        <v>176</v>
      </c>
      <c r="H61" s="123" t="s">
        <v>1178</v>
      </c>
      <c r="I61" s="8">
        <v>13.7</v>
      </c>
      <c r="J61" s="9">
        <v>29590</v>
      </c>
    </row>
    <row r="62" spans="4:10" hidden="1" x14ac:dyDescent="0.2">
      <c r="D62" s="6" t="s">
        <v>190</v>
      </c>
      <c r="E62" s="123" t="s">
        <v>194</v>
      </c>
      <c r="F62" s="7">
        <v>4</v>
      </c>
      <c r="G62" s="7">
        <v>185</v>
      </c>
      <c r="H62" s="123" t="s">
        <v>1177</v>
      </c>
      <c r="I62" s="8">
        <v>12.1</v>
      </c>
      <c r="J62" s="9">
        <v>36790</v>
      </c>
    </row>
    <row r="63" spans="4:10" hidden="1" x14ac:dyDescent="0.2">
      <c r="D63" s="6" t="s">
        <v>195</v>
      </c>
      <c r="E63" s="123" t="s">
        <v>196</v>
      </c>
      <c r="F63" s="7">
        <v>4</v>
      </c>
      <c r="G63" s="7">
        <v>155</v>
      </c>
      <c r="H63" s="123" t="s">
        <v>1178</v>
      </c>
      <c r="I63" s="8">
        <v>12.1</v>
      </c>
      <c r="J63" s="9">
        <v>16495</v>
      </c>
    </row>
    <row r="64" spans="4:10" hidden="1" x14ac:dyDescent="0.2">
      <c r="D64" s="6" t="s">
        <v>195</v>
      </c>
      <c r="E64" s="123" t="s">
        <v>197</v>
      </c>
      <c r="F64" s="7">
        <v>4</v>
      </c>
      <c r="G64" s="7">
        <v>160</v>
      </c>
      <c r="H64" s="123" t="s">
        <v>1178</v>
      </c>
      <c r="I64" s="8">
        <v>10.6</v>
      </c>
      <c r="J64" s="9">
        <v>19995</v>
      </c>
    </row>
    <row r="65" spans="4:10" x14ac:dyDescent="0.2">
      <c r="D65" s="6" t="s">
        <v>198</v>
      </c>
      <c r="E65" s="123" t="s">
        <v>199</v>
      </c>
      <c r="F65" s="7">
        <v>6</v>
      </c>
      <c r="G65" s="7">
        <v>196</v>
      </c>
      <c r="H65" s="123" t="s">
        <v>1177</v>
      </c>
      <c r="I65" s="8">
        <v>8.4</v>
      </c>
      <c r="J65" s="9">
        <v>90440</v>
      </c>
    </row>
    <row r="66" spans="4:10" hidden="1" x14ac:dyDescent="0.2">
      <c r="D66" s="6" t="s">
        <v>200</v>
      </c>
      <c r="E66" s="123" t="s">
        <v>201</v>
      </c>
      <c r="F66" s="7">
        <v>4</v>
      </c>
      <c r="G66" s="7">
        <v>140</v>
      </c>
      <c r="H66" s="123" t="s">
        <v>1178</v>
      </c>
      <c r="I66" s="8">
        <v>10.9</v>
      </c>
      <c r="J66" s="9">
        <v>10395</v>
      </c>
    </row>
    <row r="67" spans="4:10" hidden="1" x14ac:dyDescent="0.2">
      <c r="D67" s="6" t="s">
        <v>200</v>
      </c>
      <c r="E67" s="123">
        <v>2107</v>
      </c>
      <c r="F67" s="7">
        <v>4</v>
      </c>
      <c r="G67" s="7">
        <v>155</v>
      </c>
      <c r="H67" s="123" t="s">
        <v>1177</v>
      </c>
      <c r="I67" s="8">
        <v>11</v>
      </c>
      <c r="J67" s="9">
        <v>13995</v>
      </c>
    </row>
    <row r="68" spans="4:10" hidden="1" x14ac:dyDescent="0.2">
      <c r="D68" s="6" t="s">
        <v>200</v>
      </c>
      <c r="E68" s="123" t="s">
        <v>202</v>
      </c>
      <c r="F68" s="7">
        <v>4</v>
      </c>
      <c r="G68" s="7">
        <v>148</v>
      </c>
      <c r="H68" s="123" t="s">
        <v>1178</v>
      </c>
      <c r="I68" s="8">
        <v>13.7</v>
      </c>
      <c r="J68" s="9">
        <v>15925</v>
      </c>
    </row>
    <row r="69" spans="4:10" hidden="1" x14ac:dyDescent="0.2">
      <c r="D69" s="6" t="s">
        <v>203</v>
      </c>
      <c r="E69" s="123" t="s">
        <v>204</v>
      </c>
      <c r="F69" s="7">
        <v>3</v>
      </c>
      <c r="G69" s="7">
        <v>145</v>
      </c>
      <c r="H69" s="123" t="s">
        <v>1177</v>
      </c>
      <c r="I69" s="8">
        <v>17.8</v>
      </c>
      <c r="J69" s="9">
        <v>16990</v>
      </c>
    </row>
    <row r="70" spans="4:10" hidden="1" x14ac:dyDescent="0.2">
      <c r="D70" s="6" t="s">
        <v>203</v>
      </c>
      <c r="E70" s="123" t="s">
        <v>205</v>
      </c>
      <c r="F70" s="7">
        <v>4</v>
      </c>
      <c r="G70" s="7">
        <v>160</v>
      </c>
      <c r="H70" s="123" t="s">
        <v>1177</v>
      </c>
      <c r="I70" s="8">
        <v>13</v>
      </c>
      <c r="J70" s="9">
        <v>26850</v>
      </c>
    </row>
    <row r="71" spans="4:10" hidden="1" x14ac:dyDescent="0.2">
      <c r="D71" s="6" t="s">
        <v>203</v>
      </c>
      <c r="E71" s="123" t="s">
        <v>206</v>
      </c>
      <c r="F71" s="7">
        <v>4</v>
      </c>
      <c r="G71" s="7">
        <v>170</v>
      </c>
      <c r="H71" s="123" t="s">
        <v>1176</v>
      </c>
      <c r="I71" s="8">
        <v>16.399999999999999</v>
      </c>
      <c r="J71" s="9">
        <v>38870</v>
      </c>
    </row>
    <row r="72" spans="4:10" hidden="1" x14ac:dyDescent="0.2">
      <c r="D72" s="6" t="s">
        <v>203</v>
      </c>
      <c r="E72" s="123" t="s">
        <v>207</v>
      </c>
      <c r="F72" s="7">
        <v>4</v>
      </c>
      <c r="G72" s="7">
        <v>195</v>
      </c>
      <c r="H72" s="123" t="s">
        <v>1177</v>
      </c>
      <c r="I72" s="8">
        <v>10.7</v>
      </c>
      <c r="J72" s="9">
        <v>47070</v>
      </c>
    </row>
    <row r="73" spans="4:10" hidden="1" x14ac:dyDescent="0.2">
      <c r="D73" s="6" t="s">
        <v>203</v>
      </c>
      <c r="E73" s="123" t="s">
        <v>208</v>
      </c>
      <c r="F73" s="7">
        <v>4</v>
      </c>
      <c r="G73" s="7">
        <v>185</v>
      </c>
      <c r="H73" s="123" t="s">
        <v>1176</v>
      </c>
      <c r="I73" s="8">
        <v>14</v>
      </c>
      <c r="J73" s="9">
        <v>54960</v>
      </c>
    </row>
    <row r="74" spans="4:10" hidden="1" x14ac:dyDescent="0.2">
      <c r="D74" s="6" t="s">
        <v>209</v>
      </c>
      <c r="E74" s="123" t="s">
        <v>210</v>
      </c>
      <c r="F74" s="7">
        <v>4</v>
      </c>
      <c r="G74" s="7">
        <v>140</v>
      </c>
      <c r="H74" s="123" t="s">
        <v>1178</v>
      </c>
      <c r="I74" s="8">
        <v>14</v>
      </c>
      <c r="J74" s="9">
        <v>17795</v>
      </c>
    </row>
    <row r="75" spans="4:10" hidden="1" x14ac:dyDescent="0.2">
      <c r="D75" s="6" t="s">
        <v>209</v>
      </c>
      <c r="E75" s="123" t="s">
        <v>211</v>
      </c>
      <c r="F75" s="7">
        <v>4</v>
      </c>
      <c r="G75" s="7">
        <v>142</v>
      </c>
      <c r="H75" s="123" t="s">
        <v>1176</v>
      </c>
      <c r="I75" s="8">
        <v>15.1</v>
      </c>
      <c r="J75" s="9">
        <v>24440</v>
      </c>
    </row>
    <row r="76" spans="4:10" hidden="1" x14ac:dyDescent="0.2">
      <c r="D76" s="6" t="s">
        <v>209</v>
      </c>
      <c r="E76" s="123" t="s">
        <v>212</v>
      </c>
      <c r="F76" s="7">
        <v>4</v>
      </c>
      <c r="G76" s="7">
        <v>165</v>
      </c>
      <c r="H76" s="123" t="s">
        <v>1178</v>
      </c>
      <c r="I76" s="8">
        <v>12.7</v>
      </c>
      <c r="J76" s="9">
        <v>23395</v>
      </c>
    </row>
    <row r="77" spans="4:10" hidden="1" x14ac:dyDescent="0.2">
      <c r="D77" s="6" t="s">
        <v>209</v>
      </c>
      <c r="E77" s="123" t="s">
        <v>213</v>
      </c>
      <c r="F77" s="7">
        <v>4</v>
      </c>
      <c r="G77" s="7">
        <v>170</v>
      </c>
      <c r="H77" s="123" t="s">
        <v>1178</v>
      </c>
      <c r="I77" s="8">
        <v>11.3</v>
      </c>
      <c r="J77" s="9">
        <v>32485</v>
      </c>
    </row>
    <row r="78" spans="4:10" hidden="1" x14ac:dyDescent="0.2">
      <c r="D78" s="6" t="s">
        <v>214</v>
      </c>
      <c r="E78" s="123">
        <v>190</v>
      </c>
      <c r="F78" s="7">
        <v>4</v>
      </c>
      <c r="G78" s="7">
        <v>175</v>
      </c>
      <c r="H78" s="123" t="s">
        <v>1177</v>
      </c>
      <c r="I78" s="8">
        <v>11.4</v>
      </c>
      <c r="J78" s="9">
        <v>50720</v>
      </c>
    </row>
    <row r="79" spans="4:10" hidden="1" x14ac:dyDescent="0.2">
      <c r="D79" s="6" t="s">
        <v>214</v>
      </c>
      <c r="E79" s="123" t="s">
        <v>215</v>
      </c>
      <c r="F79" s="7">
        <v>4</v>
      </c>
      <c r="G79" s="7">
        <v>160</v>
      </c>
      <c r="H79" s="123" t="s">
        <v>1176</v>
      </c>
      <c r="I79" s="8">
        <v>14.3</v>
      </c>
      <c r="J79" s="9">
        <v>52490</v>
      </c>
    </row>
    <row r="80" spans="4:10" hidden="1" x14ac:dyDescent="0.2">
      <c r="D80" s="6" t="s">
        <v>214</v>
      </c>
      <c r="E80" s="123">
        <v>200</v>
      </c>
      <c r="F80" s="7">
        <v>4</v>
      </c>
      <c r="G80" s="7">
        <v>187</v>
      </c>
      <c r="H80" s="123" t="s">
        <v>1177</v>
      </c>
      <c r="I80" s="8">
        <v>11.5</v>
      </c>
      <c r="J80" s="9">
        <v>57200</v>
      </c>
    </row>
    <row r="81" spans="4:10" hidden="1" x14ac:dyDescent="0.2">
      <c r="D81" s="6" t="s">
        <v>214</v>
      </c>
      <c r="E81" s="123" t="s">
        <v>216</v>
      </c>
      <c r="F81" s="7">
        <v>4</v>
      </c>
      <c r="G81" s="7">
        <v>160</v>
      </c>
      <c r="H81" s="123" t="s">
        <v>1176</v>
      </c>
      <c r="I81" s="8">
        <v>14.2</v>
      </c>
      <c r="J81" s="9">
        <v>59010</v>
      </c>
    </row>
    <row r="82" spans="4:10" hidden="1" x14ac:dyDescent="0.2">
      <c r="D82" s="6" t="s">
        <v>214</v>
      </c>
      <c r="E82" s="123" t="s">
        <v>217</v>
      </c>
      <c r="F82" s="7">
        <v>5</v>
      </c>
      <c r="G82" s="7">
        <v>175</v>
      </c>
      <c r="H82" s="123" t="s">
        <v>1176</v>
      </c>
      <c r="I82" s="8">
        <v>14.7</v>
      </c>
      <c r="J82" s="9">
        <v>65990</v>
      </c>
    </row>
    <row r="83" spans="4:10" hidden="1" x14ac:dyDescent="0.2">
      <c r="D83" s="6" t="s">
        <v>214</v>
      </c>
      <c r="E83" s="123" t="s">
        <v>218</v>
      </c>
      <c r="F83" s="7">
        <v>6</v>
      </c>
      <c r="G83" s="7">
        <v>190</v>
      </c>
      <c r="H83" s="123" t="s">
        <v>1176</v>
      </c>
      <c r="I83" s="8">
        <v>12.6</v>
      </c>
      <c r="J83" s="9">
        <v>76110</v>
      </c>
    </row>
    <row r="84" spans="4:10" x14ac:dyDescent="0.2">
      <c r="D84" s="6" t="s">
        <v>214</v>
      </c>
      <c r="E84" s="123" t="s">
        <v>219</v>
      </c>
      <c r="F84" s="7">
        <v>6</v>
      </c>
      <c r="G84" s="7">
        <v>230</v>
      </c>
      <c r="H84" s="123" t="s">
        <v>1177</v>
      </c>
      <c r="I84" s="8">
        <v>11.3</v>
      </c>
      <c r="J84" s="9">
        <v>85435</v>
      </c>
    </row>
    <row r="85" spans="4:10" hidden="1" x14ac:dyDescent="0.2">
      <c r="D85" s="6" t="s">
        <v>220</v>
      </c>
      <c r="E85" s="123" t="s">
        <v>221</v>
      </c>
      <c r="F85" s="7">
        <v>4</v>
      </c>
      <c r="G85" s="7">
        <v>150</v>
      </c>
      <c r="H85" s="123" t="s">
        <v>1178</v>
      </c>
      <c r="I85" s="8">
        <v>13.9</v>
      </c>
      <c r="J85" s="9">
        <v>17345</v>
      </c>
    </row>
    <row r="86" spans="4:10" hidden="1" x14ac:dyDescent="0.2">
      <c r="D86" s="6" t="s">
        <v>220</v>
      </c>
      <c r="E86" s="123" t="s">
        <v>222</v>
      </c>
      <c r="F86" s="7">
        <v>4</v>
      </c>
      <c r="G86" s="7">
        <v>145</v>
      </c>
      <c r="H86" s="123" t="s">
        <v>1176</v>
      </c>
      <c r="I86" s="8">
        <v>15.3</v>
      </c>
      <c r="J86" s="9">
        <v>22595</v>
      </c>
    </row>
    <row r="87" spans="4:10" hidden="1" x14ac:dyDescent="0.2">
      <c r="D87" s="6" t="s">
        <v>220</v>
      </c>
      <c r="E87" s="123" t="s">
        <v>223</v>
      </c>
      <c r="F87" s="7">
        <v>4</v>
      </c>
      <c r="G87" s="7">
        <v>150</v>
      </c>
      <c r="H87" s="123" t="s">
        <v>1178</v>
      </c>
      <c r="I87" s="8">
        <v>10.1</v>
      </c>
      <c r="J87" s="9">
        <v>19545</v>
      </c>
    </row>
    <row r="88" spans="4:10" hidden="1" x14ac:dyDescent="0.2">
      <c r="D88" s="6" t="s">
        <v>220</v>
      </c>
      <c r="E88" s="123" t="s">
        <v>224</v>
      </c>
      <c r="F88" s="7">
        <v>4</v>
      </c>
      <c r="G88" s="7">
        <v>145</v>
      </c>
      <c r="H88" s="123" t="s">
        <v>1176</v>
      </c>
      <c r="I88" s="8">
        <v>15</v>
      </c>
      <c r="J88" s="9">
        <v>24795</v>
      </c>
    </row>
    <row r="89" spans="4:10" hidden="1" x14ac:dyDescent="0.2">
      <c r="D89" s="6" t="s">
        <v>220</v>
      </c>
      <c r="E89" s="123" t="s">
        <v>225</v>
      </c>
      <c r="F89" s="7">
        <v>4</v>
      </c>
      <c r="G89" s="7">
        <v>160</v>
      </c>
      <c r="H89" s="123" t="s">
        <v>1178</v>
      </c>
      <c r="I89" s="8">
        <v>12.4</v>
      </c>
      <c r="J89" s="9">
        <v>23995</v>
      </c>
    </row>
    <row r="90" spans="4:10" hidden="1" x14ac:dyDescent="0.2">
      <c r="D90" s="6" t="s">
        <v>220</v>
      </c>
      <c r="E90" s="123" t="s">
        <v>226</v>
      </c>
      <c r="F90" s="7">
        <v>4</v>
      </c>
      <c r="G90" s="7">
        <v>166</v>
      </c>
      <c r="H90" s="123" t="s">
        <v>1176</v>
      </c>
      <c r="I90" s="8">
        <v>14</v>
      </c>
      <c r="J90" s="9">
        <v>33095</v>
      </c>
    </row>
    <row r="91" spans="4:10" hidden="1" x14ac:dyDescent="0.2">
      <c r="D91" s="6" t="s">
        <v>227</v>
      </c>
      <c r="E91" s="123" t="s">
        <v>228</v>
      </c>
      <c r="F91" s="7">
        <v>4</v>
      </c>
      <c r="G91" s="7">
        <v>155</v>
      </c>
      <c r="H91" s="123" t="s">
        <v>1178</v>
      </c>
      <c r="I91" s="8">
        <v>13.1</v>
      </c>
      <c r="J91" s="9">
        <v>18670</v>
      </c>
    </row>
    <row r="92" spans="4:10" hidden="1" x14ac:dyDescent="0.2">
      <c r="D92" s="6" t="s">
        <v>227</v>
      </c>
      <c r="E92" s="123" t="s">
        <v>229</v>
      </c>
      <c r="F92" s="7">
        <v>4</v>
      </c>
      <c r="G92" s="7">
        <v>145</v>
      </c>
      <c r="H92" s="123" t="s">
        <v>1176</v>
      </c>
      <c r="I92" s="8">
        <v>15.9</v>
      </c>
      <c r="J92" s="9">
        <v>23915</v>
      </c>
    </row>
    <row r="93" spans="4:10" hidden="1" x14ac:dyDescent="0.2">
      <c r="D93" s="6" t="s">
        <v>227</v>
      </c>
      <c r="E93" s="123" t="s">
        <v>230</v>
      </c>
      <c r="F93" s="7">
        <v>4</v>
      </c>
      <c r="G93" s="7">
        <v>160</v>
      </c>
      <c r="H93" s="123" t="s">
        <v>1178</v>
      </c>
      <c r="I93" s="8">
        <v>12</v>
      </c>
      <c r="J93" s="9">
        <v>25170</v>
      </c>
    </row>
    <row r="94" spans="4:10" hidden="1" x14ac:dyDescent="0.2">
      <c r="D94" s="6" t="s">
        <v>227</v>
      </c>
      <c r="E94" s="123" t="s">
        <v>231</v>
      </c>
      <c r="F94" s="7">
        <v>4</v>
      </c>
      <c r="G94" s="7">
        <v>145</v>
      </c>
      <c r="H94" s="123" t="s">
        <v>1176</v>
      </c>
      <c r="I94" s="8">
        <v>13.7</v>
      </c>
      <c r="J94" s="9">
        <v>31855</v>
      </c>
    </row>
    <row r="95" spans="4:10" x14ac:dyDescent="0.2">
      <c r="D95" s="6" t="s">
        <v>227</v>
      </c>
      <c r="E95" s="123" t="s">
        <v>232</v>
      </c>
      <c r="F95" s="7">
        <v>6</v>
      </c>
      <c r="G95" s="7">
        <v>195</v>
      </c>
      <c r="H95" s="123" t="s">
        <v>1177</v>
      </c>
      <c r="I95" s="8">
        <v>9.9</v>
      </c>
      <c r="J95" s="9">
        <v>37605</v>
      </c>
    </row>
    <row r="96" spans="4:10" hidden="1" x14ac:dyDescent="0.2">
      <c r="D96" s="6" t="s">
        <v>227</v>
      </c>
      <c r="E96" s="123" t="s">
        <v>233</v>
      </c>
      <c r="F96" s="7">
        <v>6</v>
      </c>
      <c r="G96" s="7">
        <v>165</v>
      </c>
      <c r="H96" s="123" t="s">
        <v>1176</v>
      </c>
      <c r="I96" s="8">
        <v>12.1</v>
      </c>
      <c r="J96" s="9">
        <v>39765</v>
      </c>
    </row>
    <row r="97" spans="4:10" hidden="1" x14ac:dyDescent="0.2">
      <c r="D97" s="6" t="s">
        <v>227</v>
      </c>
      <c r="E97" s="123" t="s">
        <v>234</v>
      </c>
      <c r="F97" s="7">
        <v>4</v>
      </c>
      <c r="G97" s="7">
        <v>205</v>
      </c>
      <c r="H97" s="123" t="s">
        <v>1177</v>
      </c>
      <c r="I97" s="8">
        <v>10.6</v>
      </c>
      <c r="J97" s="9">
        <v>47525</v>
      </c>
    </row>
    <row r="98" spans="4:10" hidden="1" x14ac:dyDescent="0.2">
      <c r="D98" s="6" t="s">
        <v>235</v>
      </c>
      <c r="E98" s="123" t="s">
        <v>236</v>
      </c>
      <c r="F98" s="7">
        <v>4</v>
      </c>
      <c r="G98" s="7">
        <v>140</v>
      </c>
      <c r="H98" s="123" t="s">
        <v>1178</v>
      </c>
      <c r="I98" s="8">
        <v>13.9</v>
      </c>
      <c r="J98" s="9">
        <v>17237</v>
      </c>
    </row>
    <row r="99" spans="4:10" hidden="1" x14ac:dyDescent="0.2">
      <c r="D99" s="6" t="s">
        <v>235</v>
      </c>
      <c r="E99" s="123" t="s">
        <v>237</v>
      </c>
      <c r="F99" s="7">
        <v>4</v>
      </c>
      <c r="G99" s="7">
        <v>155</v>
      </c>
      <c r="H99" s="123" t="s">
        <v>1177</v>
      </c>
      <c r="I99" s="8">
        <v>13.6</v>
      </c>
      <c r="J99" s="9">
        <v>20632</v>
      </c>
    </row>
    <row r="100" spans="4:10" hidden="1" x14ac:dyDescent="0.2">
      <c r="D100" s="6" t="s">
        <v>235</v>
      </c>
      <c r="E100" s="123" t="s">
        <v>238</v>
      </c>
      <c r="F100" s="7">
        <v>4</v>
      </c>
      <c r="G100" s="7">
        <v>152</v>
      </c>
      <c r="H100" s="123" t="s">
        <v>1176</v>
      </c>
      <c r="I100" s="8">
        <v>15.2</v>
      </c>
      <c r="J100" s="9">
        <v>25573</v>
      </c>
    </row>
    <row r="101" spans="4:10" hidden="1" x14ac:dyDescent="0.2">
      <c r="D101" s="6" t="s">
        <v>235</v>
      </c>
      <c r="E101" s="123" t="s">
        <v>239</v>
      </c>
      <c r="F101" s="7">
        <v>4</v>
      </c>
      <c r="G101" s="7">
        <v>160</v>
      </c>
      <c r="H101" s="123" t="s">
        <v>1177</v>
      </c>
      <c r="I101" s="8">
        <v>12.3</v>
      </c>
      <c r="J101" s="9">
        <v>24899</v>
      </c>
    </row>
    <row r="102" spans="4:10" hidden="1" x14ac:dyDescent="0.2">
      <c r="D102" s="6" t="s">
        <v>235</v>
      </c>
      <c r="E102" s="123" t="s">
        <v>240</v>
      </c>
      <c r="F102" s="7">
        <v>4</v>
      </c>
      <c r="G102" s="7">
        <v>141</v>
      </c>
      <c r="H102" s="123" t="s">
        <v>1176</v>
      </c>
      <c r="I102" s="8">
        <v>15.2</v>
      </c>
      <c r="J102" s="9">
        <v>30710</v>
      </c>
    </row>
    <row r="103" spans="4:10" hidden="1" x14ac:dyDescent="0.2">
      <c r="D103" s="6" t="s">
        <v>235</v>
      </c>
      <c r="E103" s="123" t="s">
        <v>241</v>
      </c>
      <c r="F103" s="7">
        <v>4</v>
      </c>
      <c r="G103" s="7">
        <v>183</v>
      </c>
      <c r="H103" s="123" t="s">
        <v>1177</v>
      </c>
      <c r="I103" s="8">
        <v>12.8</v>
      </c>
      <c r="J103" s="9">
        <v>33540</v>
      </c>
    </row>
    <row r="104" spans="4:10" hidden="1" x14ac:dyDescent="0.2">
      <c r="D104" s="6" t="s">
        <v>235</v>
      </c>
      <c r="E104" s="123" t="s">
        <v>242</v>
      </c>
      <c r="F104" s="7">
        <v>4</v>
      </c>
      <c r="G104" s="7">
        <v>163</v>
      </c>
      <c r="H104" s="123" t="s">
        <v>1176</v>
      </c>
      <c r="I104" s="8">
        <v>14.1</v>
      </c>
      <c r="J104" s="9">
        <v>39670</v>
      </c>
    </row>
    <row r="105" spans="4:10" hidden="1" x14ac:dyDescent="0.2">
      <c r="D105" s="6" t="s">
        <v>235</v>
      </c>
      <c r="E105" s="123" t="s">
        <v>243</v>
      </c>
      <c r="F105" s="7">
        <v>4</v>
      </c>
      <c r="G105" s="7">
        <v>205</v>
      </c>
      <c r="H105" s="123" t="s">
        <v>1177</v>
      </c>
      <c r="I105" s="8">
        <v>8.9</v>
      </c>
      <c r="J105" s="9">
        <v>46208</v>
      </c>
    </row>
    <row r="106" spans="4:10" hidden="1" x14ac:dyDescent="0.2">
      <c r="D106" s="6" t="s">
        <v>244</v>
      </c>
      <c r="E106" s="123" t="s">
        <v>245</v>
      </c>
      <c r="F106" s="7">
        <v>4</v>
      </c>
      <c r="G106" s="7">
        <v>134</v>
      </c>
      <c r="H106" s="123" t="s">
        <v>1177</v>
      </c>
      <c r="I106" s="8">
        <v>14.6</v>
      </c>
      <c r="J106" s="9">
        <v>16360</v>
      </c>
    </row>
    <row r="107" spans="4:10" hidden="1" x14ac:dyDescent="0.2">
      <c r="D107" s="6" t="s">
        <v>244</v>
      </c>
      <c r="E107" s="123" t="s">
        <v>246</v>
      </c>
      <c r="F107" s="7">
        <v>4</v>
      </c>
      <c r="G107" s="7">
        <v>155</v>
      </c>
      <c r="H107" s="123" t="s">
        <v>1176</v>
      </c>
      <c r="I107" s="8">
        <v>18.2</v>
      </c>
      <c r="J107" s="9">
        <v>23435</v>
      </c>
    </row>
    <row r="108" spans="4:10" hidden="1" x14ac:dyDescent="0.2">
      <c r="D108" s="6" t="s">
        <v>244</v>
      </c>
      <c r="E108" s="123" t="s">
        <v>247</v>
      </c>
      <c r="F108" s="7">
        <v>4</v>
      </c>
      <c r="G108" s="7">
        <v>152</v>
      </c>
      <c r="H108" s="123" t="s">
        <v>1177</v>
      </c>
      <c r="I108" s="8">
        <v>13.1</v>
      </c>
      <c r="J108" s="9">
        <v>23630</v>
      </c>
    </row>
    <row r="109" spans="4:10" hidden="1" x14ac:dyDescent="0.2">
      <c r="D109" s="6" t="s">
        <v>244</v>
      </c>
      <c r="E109" s="123" t="s">
        <v>248</v>
      </c>
      <c r="F109" s="7">
        <v>4</v>
      </c>
      <c r="G109" s="7">
        <v>152</v>
      </c>
      <c r="H109" s="123" t="s">
        <v>1176</v>
      </c>
      <c r="I109" s="8">
        <v>16.7</v>
      </c>
      <c r="J109" s="9">
        <v>29980</v>
      </c>
    </row>
    <row r="110" spans="4:10" hidden="1" x14ac:dyDescent="0.2">
      <c r="D110" s="6" t="s">
        <v>244</v>
      </c>
      <c r="E110" s="123" t="s">
        <v>249</v>
      </c>
      <c r="F110" s="7">
        <v>4</v>
      </c>
      <c r="G110" s="7">
        <v>150</v>
      </c>
      <c r="H110" s="123" t="s">
        <v>1177</v>
      </c>
      <c r="I110" s="8">
        <v>15</v>
      </c>
      <c r="J110" s="9">
        <v>20455</v>
      </c>
    </row>
    <row r="111" spans="4:10" hidden="1" x14ac:dyDescent="0.2">
      <c r="D111" s="6" t="s">
        <v>244</v>
      </c>
      <c r="E111" s="123" t="s">
        <v>250</v>
      </c>
      <c r="F111" s="7">
        <v>4</v>
      </c>
      <c r="G111" s="7">
        <v>160</v>
      </c>
      <c r="H111" s="123" t="s">
        <v>1176</v>
      </c>
      <c r="I111" s="8">
        <v>16.899999999999999</v>
      </c>
      <c r="J111" s="9">
        <v>26745</v>
      </c>
    </row>
    <row r="112" spans="4:10" hidden="1" x14ac:dyDescent="0.2">
      <c r="D112" s="6" t="s">
        <v>244</v>
      </c>
      <c r="E112" s="123" t="s">
        <v>251</v>
      </c>
      <c r="F112" s="7">
        <v>4</v>
      </c>
      <c r="G112" s="7">
        <v>165</v>
      </c>
      <c r="H112" s="123" t="s">
        <v>1177</v>
      </c>
      <c r="I112" s="8">
        <v>10.199999999999999</v>
      </c>
      <c r="J112" s="9">
        <v>30595</v>
      </c>
    </row>
    <row r="113" spans="4:10" hidden="1" x14ac:dyDescent="0.2">
      <c r="D113" s="6" t="s">
        <v>244</v>
      </c>
      <c r="E113" s="123" t="s">
        <v>252</v>
      </c>
      <c r="F113" s="7">
        <v>4</v>
      </c>
      <c r="G113" s="7">
        <v>160</v>
      </c>
      <c r="H113" s="123" t="s">
        <v>1176</v>
      </c>
      <c r="I113" s="8">
        <v>12.5</v>
      </c>
      <c r="J113" s="9">
        <v>37980</v>
      </c>
    </row>
    <row r="114" spans="4:10" hidden="1" x14ac:dyDescent="0.2">
      <c r="D114" s="6" t="s">
        <v>253</v>
      </c>
      <c r="E114" s="123" t="s">
        <v>254</v>
      </c>
      <c r="F114" s="7">
        <v>4</v>
      </c>
      <c r="G114" s="7">
        <v>215</v>
      </c>
      <c r="H114" s="123" t="s">
        <v>1178</v>
      </c>
      <c r="I114" s="8">
        <v>8.9</v>
      </c>
      <c r="J114" s="9">
        <v>77300</v>
      </c>
    </row>
    <row r="115" spans="4:10" hidden="1" x14ac:dyDescent="0.2">
      <c r="D115" s="6" t="s">
        <v>255</v>
      </c>
      <c r="E115" s="123" t="s">
        <v>256</v>
      </c>
      <c r="F115" s="7">
        <v>4</v>
      </c>
      <c r="G115" s="7">
        <v>143</v>
      </c>
      <c r="H115" s="123" t="s">
        <v>1177</v>
      </c>
      <c r="I115" s="8">
        <v>17.2</v>
      </c>
      <c r="J115" s="9">
        <v>16575</v>
      </c>
    </row>
    <row r="116" spans="4:10" hidden="1" x14ac:dyDescent="0.2">
      <c r="D116" s="6" t="s">
        <v>255</v>
      </c>
      <c r="E116" s="123" t="s">
        <v>257</v>
      </c>
      <c r="F116" s="7">
        <v>4</v>
      </c>
      <c r="G116" s="7">
        <v>146</v>
      </c>
      <c r="H116" s="123" t="s">
        <v>1177</v>
      </c>
      <c r="I116" s="8">
        <v>14.3</v>
      </c>
      <c r="J116" s="9">
        <v>19720</v>
      </c>
    </row>
    <row r="117" spans="4:10" hidden="1" x14ac:dyDescent="0.2">
      <c r="D117" s="6" t="s">
        <v>255</v>
      </c>
      <c r="E117" s="123" t="s">
        <v>258</v>
      </c>
      <c r="F117" s="7">
        <v>4</v>
      </c>
      <c r="G117" s="7">
        <v>146</v>
      </c>
      <c r="H117" s="123" t="s">
        <v>1176</v>
      </c>
      <c r="I117" s="8">
        <v>15.9</v>
      </c>
      <c r="J117" s="9">
        <v>24450</v>
      </c>
    </row>
    <row r="118" spans="4:10" hidden="1" x14ac:dyDescent="0.2">
      <c r="D118" s="6" t="s">
        <v>255</v>
      </c>
      <c r="E118" s="123" t="s">
        <v>259</v>
      </c>
      <c r="F118" s="7">
        <v>4</v>
      </c>
      <c r="G118" s="7">
        <v>146</v>
      </c>
      <c r="H118" s="123" t="s">
        <v>1177</v>
      </c>
      <c r="I118" s="8">
        <v>14.3</v>
      </c>
      <c r="J118" s="9">
        <v>20360</v>
      </c>
    </row>
    <row r="119" spans="4:10" hidden="1" x14ac:dyDescent="0.2">
      <c r="D119" s="6" t="s">
        <v>255</v>
      </c>
      <c r="E119" s="123" t="s">
        <v>260</v>
      </c>
      <c r="F119" s="7">
        <v>4</v>
      </c>
      <c r="G119" s="7">
        <v>148</v>
      </c>
      <c r="H119" s="123" t="s">
        <v>1176</v>
      </c>
      <c r="I119" s="8">
        <v>16.899999999999999</v>
      </c>
      <c r="J119" s="9">
        <v>25175</v>
      </c>
    </row>
    <row r="120" spans="4:10" hidden="1" x14ac:dyDescent="0.2">
      <c r="D120" s="6" t="s">
        <v>255</v>
      </c>
      <c r="E120" s="123" t="s">
        <v>261</v>
      </c>
      <c r="F120" s="7">
        <v>4</v>
      </c>
      <c r="G120" s="7">
        <v>173</v>
      </c>
      <c r="H120" s="123" t="s">
        <v>1177</v>
      </c>
      <c r="I120" s="8">
        <v>14.9</v>
      </c>
      <c r="J120" s="9">
        <v>27495</v>
      </c>
    </row>
    <row r="121" spans="4:10" hidden="1" x14ac:dyDescent="0.2">
      <c r="D121" s="6" t="s">
        <v>255</v>
      </c>
      <c r="E121" s="123" t="s">
        <v>262</v>
      </c>
      <c r="F121" s="7">
        <v>4</v>
      </c>
      <c r="G121" s="7">
        <v>164</v>
      </c>
      <c r="H121" s="123" t="s">
        <v>1176</v>
      </c>
      <c r="I121" s="8">
        <v>16</v>
      </c>
      <c r="J121" s="9">
        <v>33595</v>
      </c>
    </row>
    <row r="122" spans="4:10" hidden="1" x14ac:dyDescent="0.2">
      <c r="D122" s="6" t="s">
        <v>255</v>
      </c>
      <c r="E122" s="123" t="s">
        <v>263</v>
      </c>
      <c r="F122" s="7">
        <v>4</v>
      </c>
      <c r="G122" s="7">
        <v>182</v>
      </c>
      <c r="H122" s="123" t="s">
        <v>1177</v>
      </c>
      <c r="I122" s="8">
        <v>12.7</v>
      </c>
      <c r="J122" s="9">
        <v>37465</v>
      </c>
    </row>
    <row r="123" spans="4:10" hidden="1" x14ac:dyDescent="0.2">
      <c r="D123" s="6" t="s">
        <v>255</v>
      </c>
      <c r="E123" s="123" t="s">
        <v>264</v>
      </c>
      <c r="F123" s="7">
        <v>4</v>
      </c>
      <c r="G123" s="7">
        <v>155</v>
      </c>
      <c r="H123" s="123" t="s">
        <v>1176</v>
      </c>
      <c r="I123" s="8">
        <v>14</v>
      </c>
      <c r="J123" s="9">
        <v>40745</v>
      </c>
    </row>
    <row r="124" spans="4:10" hidden="1" x14ac:dyDescent="0.2">
      <c r="D124" s="6" t="s">
        <v>265</v>
      </c>
      <c r="E124" s="123" t="s">
        <v>266</v>
      </c>
      <c r="F124" s="7">
        <v>4</v>
      </c>
      <c r="G124" s="7">
        <v>155</v>
      </c>
      <c r="H124" s="123" t="s">
        <v>1178</v>
      </c>
      <c r="I124" s="8">
        <v>13.3</v>
      </c>
      <c r="J124" s="9">
        <v>24995</v>
      </c>
    </row>
    <row r="125" spans="4:10" hidden="1" x14ac:dyDescent="0.2">
      <c r="D125" s="6" t="s">
        <v>265</v>
      </c>
      <c r="E125" s="123" t="s">
        <v>267</v>
      </c>
      <c r="F125" s="7">
        <v>4</v>
      </c>
      <c r="G125" s="7">
        <v>203</v>
      </c>
      <c r="H125" s="123" t="s">
        <v>1177</v>
      </c>
      <c r="I125" s="8">
        <v>11.4</v>
      </c>
      <c r="J125" s="9">
        <v>44900</v>
      </c>
    </row>
    <row r="126" spans="4:10" hidden="1" x14ac:dyDescent="0.2">
      <c r="D126" s="6" t="s">
        <v>268</v>
      </c>
      <c r="E126" s="123">
        <v>90</v>
      </c>
      <c r="F126" s="7">
        <v>4</v>
      </c>
      <c r="G126" s="7">
        <v>165</v>
      </c>
      <c r="H126" s="123" t="s">
        <v>1178</v>
      </c>
      <c r="I126" s="8">
        <v>10.6</v>
      </c>
      <c r="J126" s="9">
        <v>37050</v>
      </c>
    </row>
    <row r="127" spans="4:10" hidden="1" x14ac:dyDescent="0.2">
      <c r="D127" s="6" t="s">
        <v>268</v>
      </c>
      <c r="E127" s="123">
        <v>900</v>
      </c>
      <c r="F127" s="7">
        <v>4</v>
      </c>
      <c r="G127" s="7">
        <v>165</v>
      </c>
      <c r="H127" s="123" t="s">
        <v>1178</v>
      </c>
      <c r="I127" s="8">
        <v>10.199999999999999</v>
      </c>
      <c r="J127" s="9">
        <v>39050</v>
      </c>
    </row>
    <row r="128" spans="4:10" hidden="1" x14ac:dyDescent="0.2">
      <c r="D128" s="6" t="s">
        <v>268</v>
      </c>
      <c r="E128" s="123" t="s">
        <v>269</v>
      </c>
      <c r="F128" s="7">
        <v>4</v>
      </c>
      <c r="G128" s="7">
        <v>190</v>
      </c>
      <c r="H128" s="123" t="s">
        <v>1178</v>
      </c>
      <c r="I128" s="8">
        <v>9.6999999999999993</v>
      </c>
      <c r="J128" s="9">
        <v>60950</v>
      </c>
    </row>
    <row r="129" spans="4:10" hidden="1" x14ac:dyDescent="0.2">
      <c r="D129" s="6" t="s">
        <v>270</v>
      </c>
      <c r="E129" s="123" t="s">
        <v>271</v>
      </c>
      <c r="F129" s="7">
        <v>4</v>
      </c>
      <c r="G129" s="7">
        <v>133</v>
      </c>
      <c r="H129" s="123" t="s">
        <v>1178</v>
      </c>
      <c r="I129" s="8">
        <v>15.8</v>
      </c>
      <c r="J129" s="9">
        <v>11995</v>
      </c>
    </row>
    <row r="130" spans="4:10" hidden="1" x14ac:dyDescent="0.2">
      <c r="D130" s="6" t="s">
        <v>270</v>
      </c>
      <c r="E130" s="123" t="s">
        <v>272</v>
      </c>
      <c r="F130" s="7">
        <v>4</v>
      </c>
      <c r="G130" s="7">
        <v>148</v>
      </c>
      <c r="H130" s="123" t="s">
        <v>1178</v>
      </c>
      <c r="I130" s="8">
        <v>12.9</v>
      </c>
      <c r="J130" s="9">
        <v>16195</v>
      </c>
    </row>
    <row r="131" spans="4:10" hidden="1" x14ac:dyDescent="0.2">
      <c r="D131" s="6" t="s">
        <v>270</v>
      </c>
      <c r="E131" s="123" t="s">
        <v>273</v>
      </c>
      <c r="F131" s="7">
        <v>4</v>
      </c>
      <c r="G131" s="7">
        <v>140</v>
      </c>
      <c r="H131" s="123" t="s">
        <v>1176</v>
      </c>
      <c r="I131" s="8">
        <v>15.2</v>
      </c>
      <c r="J131" s="9">
        <v>22995</v>
      </c>
    </row>
    <row r="132" spans="4:10" hidden="1" x14ac:dyDescent="0.2">
      <c r="D132" s="6" t="s">
        <v>270</v>
      </c>
      <c r="E132" s="123" t="s">
        <v>274</v>
      </c>
      <c r="F132" s="7">
        <v>4</v>
      </c>
      <c r="G132" s="7">
        <v>129</v>
      </c>
      <c r="H132" s="123" t="s">
        <v>1178</v>
      </c>
      <c r="I132" s="8">
        <v>12.8</v>
      </c>
      <c r="J132" s="9">
        <v>14995</v>
      </c>
    </row>
    <row r="133" spans="4:10" hidden="1" x14ac:dyDescent="0.2">
      <c r="D133" s="6" t="s">
        <v>270</v>
      </c>
      <c r="E133" s="123" t="s">
        <v>275</v>
      </c>
      <c r="F133" s="7">
        <v>4</v>
      </c>
      <c r="G133" s="7">
        <v>150</v>
      </c>
      <c r="H133" s="123" t="s">
        <v>1176</v>
      </c>
      <c r="I133" s="8">
        <v>14</v>
      </c>
      <c r="J133" s="9">
        <v>20895</v>
      </c>
    </row>
    <row r="134" spans="4:10" hidden="1" x14ac:dyDescent="0.2">
      <c r="D134" s="6" t="s">
        <v>270</v>
      </c>
      <c r="E134" s="123" t="s">
        <v>276</v>
      </c>
      <c r="F134" s="7">
        <v>4</v>
      </c>
      <c r="G134" s="7">
        <v>150</v>
      </c>
      <c r="H134" s="123" t="s">
        <v>1178</v>
      </c>
      <c r="I134" s="8">
        <v>13.1</v>
      </c>
      <c r="J134" s="9">
        <v>18595</v>
      </c>
    </row>
    <row r="135" spans="4:10" hidden="1" x14ac:dyDescent="0.2">
      <c r="D135" s="6" t="s">
        <v>270</v>
      </c>
      <c r="E135" s="123" t="s">
        <v>277</v>
      </c>
      <c r="F135" s="7">
        <v>4</v>
      </c>
      <c r="G135" s="7">
        <v>145</v>
      </c>
      <c r="H135" s="123" t="s">
        <v>1176</v>
      </c>
      <c r="I135" s="8">
        <v>14</v>
      </c>
      <c r="J135" s="9">
        <v>24495</v>
      </c>
    </row>
    <row r="136" spans="4:10" hidden="1" x14ac:dyDescent="0.2">
      <c r="D136" s="6" t="s">
        <v>278</v>
      </c>
      <c r="E136" s="123">
        <v>105</v>
      </c>
      <c r="F136" s="7">
        <v>4</v>
      </c>
      <c r="G136" s="7">
        <v>130</v>
      </c>
      <c r="H136" s="123" t="s">
        <v>1178</v>
      </c>
      <c r="I136" s="8">
        <v>12.1</v>
      </c>
      <c r="J136" s="9">
        <v>10295</v>
      </c>
    </row>
    <row r="137" spans="4:10" hidden="1" x14ac:dyDescent="0.2">
      <c r="D137" s="6" t="s">
        <v>279</v>
      </c>
      <c r="E137" s="123" t="s">
        <v>280</v>
      </c>
      <c r="F137" s="7">
        <v>2</v>
      </c>
      <c r="G137" s="7">
        <v>125</v>
      </c>
      <c r="H137" s="123" t="s">
        <v>1178</v>
      </c>
      <c r="I137" s="8">
        <v>17.100000000000001</v>
      </c>
      <c r="J137" s="9">
        <v>11495</v>
      </c>
    </row>
    <row r="138" spans="4:10" hidden="1" x14ac:dyDescent="0.2">
      <c r="D138" s="6" t="s">
        <v>279</v>
      </c>
      <c r="E138" s="123" t="s">
        <v>281</v>
      </c>
      <c r="F138" s="7">
        <v>3</v>
      </c>
      <c r="G138" s="7">
        <v>150</v>
      </c>
      <c r="H138" s="123" t="s">
        <v>1178</v>
      </c>
      <c r="I138" s="8">
        <v>13.7</v>
      </c>
      <c r="J138" s="9">
        <v>14495</v>
      </c>
    </row>
    <row r="139" spans="4:10" hidden="1" x14ac:dyDescent="0.2">
      <c r="D139" s="6" t="s">
        <v>279</v>
      </c>
      <c r="E139" s="123" t="s">
        <v>282</v>
      </c>
      <c r="F139" s="7">
        <v>4</v>
      </c>
      <c r="G139" s="7">
        <v>160</v>
      </c>
      <c r="H139" s="123" t="s">
        <v>1178</v>
      </c>
      <c r="I139" s="8">
        <v>13.1</v>
      </c>
      <c r="J139" s="9">
        <v>22495</v>
      </c>
    </row>
    <row r="140" spans="4:10" hidden="1" x14ac:dyDescent="0.2">
      <c r="D140" s="6" t="s">
        <v>279</v>
      </c>
      <c r="E140" s="123" t="s">
        <v>283</v>
      </c>
      <c r="F140" s="7">
        <v>4</v>
      </c>
      <c r="G140" s="7">
        <v>200</v>
      </c>
      <c r="H140" s="123" t="s">
        <v>1177</v>
      </c>
      <c r="I140" s="8">
        <v>9.4</v>
      </c>
      <c r="J140" s="9">
        <v>53995</v>
      </c>
    </row>
    <row r="141" spans="4:10" hidden="1" x14ac:dyDescent="0.2">
      <c r="D141" s="6" t="s">
        <v>284</v>
      </c>
      <c r="E141" s="123" t="s">
        <v>285</v>
      </c>
      <c r="F141" s="7">
        <v>3</v>
      </c>
      <c r="G141" s="7">
        <v>125</v>
      </c>
      <c r="H141" s="123" t="s">
        <v>1178</v>
      </c>
      <c r="I141" s="8">
        <v>15.2</v>
      </c>
      <c r="J141" s="9">
        <v>11695</v>
      </c>
    </row>
    <row r="142" spans="4:10" hidden="1" x14ac:dyDescent="0.2">
      <c r="D142" s="6" t="s">
        <v>284</v>
      </c>
      <c r="E142" s="123" t="s">
        <v>286</v>
      </c>
      <c r="F142" s="7">
        <v>3</v>
      </c>
      <c r="G142" s="7">
        <v>145</v>
      </c>
      <c r="H142" s="123" t="s">
        <v>1178</v>
      </c>
      <c r="I142" s="8">
        <v>14.9</v>
      </c>
      <c r="J142" s="9">
        <v>14995</v>
      </c>
    </row>
    <row r="143" spans="4:10" hidden="1" x14ac:dyDescent="0.2">
      <c r="D143" s="6" t="s">
        <v>287</v>
      </c>
      <c r="E143" s="123" t="s">
        <v>288</v>
      </c>
      <c r="F143" s="7">
        <v>4</v>
      </c>
      <c r="G143" s="7">
        <v>141</v>
      </c>
      <c r="H143" s="123" t="s">
        <v>1177</v>
      </c>
      <c r="I143" s="8">
        <v>12.1</v>
      </c>
      <c r="J143" s="9">
        <v>14995</v>
      </c>
    </row>
    <row r="144" spans="4:10" hidden="1" x14ac:dyDescent="0.2">
      <c r="D144" s="6" t="s">
        <v>287</v>
      </c>
      <c r="E144" s="123" t="s">
        <v>289</v>
      </c>
      <c r="F144" s="7">
        <v>4</v>
      </c>
      <c r="G144" s="7">
        <v>160</v>
      </c>
      <c r="H144" s="123" t="s">
        <v>1178</v>
      </c>
      <c r="I144" s="8">
        <v>13</v>
      </c>
      <c r="J144" s="9">
        <v>18595</v>
      </c>
    </row>
    <row r="145" spans="4:10" hidden="1" x14ac:dyDescent="0.2">
      <c r="D145" s="6" t="s">
        <v>287</v>
      </c>
      <c r="E145" s="123" t="s">
        <v>290</v>
      </c>
      <c r="F145" s="7">
        <v>4</v>
      </c>
      <c r="G145" s="7">
        <v>155</v>
      </c>
      <c r="H145" s="123" t="s">
        <v>1176</v>
      </c>
      <c r="I145" s="8">
        <v>15.1</v>
      </c>
      <c r="J145" s="9">
        <v>23545</v>
      </c>
    </row>
    <row r="146" spans="4:10" hidden="1" x14ac:dyDescent="0.2">
      <c r="D146" s="6" t="s">
        <v>287</v>
      </c>
      <c r="E146" s="123" t="s">
        <v>291</v>
      </c>
      <c r="F146" s="7">
        <v>4</v>
      </c>
      <c r="G146" s="7">
        <v>175</v>
      </c>
      <c r="H146" s="123" t="s">
        <v>1177</v>
      </c>
      <c r="I146" s="8">
        <v>12.1</v>
      </c>
      <c r="J146" s="9">
        <v>24995</v>
      </c>
    </row>
    <row r="147" spans="4:10" hidden="1" x14ac:dyDescent="0.2">
      <c r="D147" s="6" t="s">
        <v>287</v>
      </c>
      <c r="E147" s="123" t="s">
        <v>292</v>
      </c>
      <c r="F147" s="7">
        <v>4</v>
      </c>
      <c r="G147" s="7">
        <v>170</v>
      </c>
      <c r="H147" s="123" t="s">
        <v>1177</v>
      </c>
      <c r="I147" s="8">
        <v>11</v>
      </c>
      <c r="J147" s="9">
        <v>33395</v>
      </c>
    </row>
    <row r="148" spans="4:10" hidden="1" x14ac:dyDescent="0.2">
      <c r="D148" s="6" t="s">
        <v>287</v>
      </c>
      <c r="E148" s="123" t="s">
        <v>293</v>
      </c>
      <c r="F148" s="7">
        <v>4</v>
      </c>
      <c r="G148" s="7">
        <v>170</v>
      </c>
      <c r="H148" s="123" t="s">
        <v>1177</v>
      </c>
      <c r="I148" s="8">
        <v>12.4</v>
      </c>
      <c r="J148" s="9">
        <v>31595</v>
      </c>
    </row>
    <row r="149" spans="4:10" hidden="1" x14ac:dyDescent="0.2">
      <c r="D149" s="6" t="s">
        <v>287</v>
      </c>
      <c r="E149" s="123" t="s">
        <v>294</v>
      </c>
      <c r="F149" s="7">
        <v>4</v>
      </c>
      <c r="G149" s="7">
        <v>170</v>
      </c>
      <c r="H149" s="123" t="s">
        <v>1176</v>
      </c>
      <c r="I149" s="8">
        <v>15</v>
      </c>
      <c r="J149" s="9">
        <v>38495</v>
      </c>
    </row>
    <row r="150" spans="4:10" hidden="1" x14ac:dyDescent="0.2">
      <c r="D150" s="6" t="s">
        <v>287</v>
      </c>
      <c r="E150" s="123" t="s">
        <v>295</v>
      </c>
      <c r="F150" s="7">
        <v>4</v>
      </c>
      <c r="G150" s="7">
        <v>200</v>
      </c>
      <c r="H150" s="123" t="s">
        <v>1178</v>
      </c>
      <c r="I150" s="8">
        <v>12.9</v>
      </c>
      <c r="J150" s="9">
        <v>47345</v>
      </c>
    </row>
    <row r="151" spans="4:10" x14ac:dyDescent="0.2">
      <c r="D151" s="6" t="s">
        <v>287</v>
      </c>
      <c r="E151" s="123" t="s">
        <v>296</v>
      </c>
      <c r="F151" s="7">
        <v>6</v>
      </c>
      <c r="G151" s="7">
        <v>190</v>
      </c>
      <c r="H151" s="123" t="s">
        <v>1177</v>
      </c>
      <c r="I151" s="8">
        <v>10.3</v>
      </c>
      <c r="J151" s="9">
        <v>48545</v>
      </c>
    </row>
    <row r="152" spans="4:10" hidden="1" x14ac:dyDescent="0.2">
      <c r="D152" s="6" t="s">
        <v>297</v>
      </c>
      <c r="E152" s="123" t="s">
        <v>298</v>
      </c>
      <c r="F152" s="7">
        <v>4</v>
      </c>
      <c r="G152" s="7">
        <v>142</v>
      </c>
      <c r="H152" s="123" t="s">
        <v>1178</v>
      </c>
      <c r="I152" s="8">
        <v>11.7</v>
      </c>
      <c r="J152" s="9">
        <v>16390</v>
      </c>
    </row>
    <row r="153" spans="4:10" hidden="1" x14ac:dyDescent="0.2">
      <c r="D153" s="6" t="s">
        <v>297</v>
      </c>
      <c r="E153" s="123" t="s">
        <v>299</v>
      </c>
      <c r="F153" s="7">
        <v>4</v>
      </c>
      <c r="G153" s="7">
        <v>140</v>
      </c>
      <c r="H153" s="123" t="s">
        <v>1176</v>
      </c>
      <c r="I153" s="8">
        <v>15.9</v>
      </c>
      <c r="J153" s="9">
        <v>22590</v>
      </c>
    </row>
    <row r="154" spans="4:10" hidden="1" x14ac:dyDescent="0.2">
      <c r="D154" s="6" t="s">
        <v>297</v>
      </c>
      <c r="E154" s="123" t="s">
        <v>300</v>
      </c>
      <c r="F154" s="7">
        <v>4</v>
      </c>
      <c r="G154" s="7">
        <v>151</v>
      </c>
      <c r="H154" s="123" t="s">
        <v>1178</v>
      </c>
      <c r="I154" s="8">
        <v>13.2</v>
      </c>
      <c r="J154" s="9">
        <v>21995</v>
      </c>
    </row>
    <row r="155" spans="4:10" hidden="1" x14ac:dyDescent="0.2">
      <c r="D155" s="6" t="s">
        <v>297</v>
      </c>
      <c r="E155" s="123" t="s">
        <v>301</v>
      </c>
      <c r="F155" s="7">
        <v>4</v>
      </c>
      <c r="G155" s="7">
        <v>148</v>
      </c>
      <c r="H155" s="123" t="s">
        <v>1176</v>
      </c>
      <c r="I155" s="8">
        <v>16.100000000000001</v>
      </c>
      <c r="J155" s="9">
        <v>27230</v>
      </c>
    </row>
    <row r="156" spans="4:10" hidden="1" x14ac:dyDescent="0.2">
      <c r="D156" s="6" t="s">
        <v>297</v>
      </c>
      <c r="E156" s="123" t="s">
        <v>302</v>
      </c>
      <c r="F156" s="7">
        <v>4</v>
      </c>
      <c r="G156" s="7">
        <v>148</v>
      </c>
      <c r="H156" s="123" t="s">
        <v>1178</v>
      </c>
      <c r="I156" s="8">
        <v>13.6</v>
      </c>
      <c r="J156" s="9">
        <v>22800</v>
      </c>
    </row>
    <row r="157" spans="4:10" hidden="1" x14ac:dyDescent="0.2">
      <c r="D157" s="6" t="s">
        <v>297</v>
      </c>
      <c r="E157" s="123" t="s">
        <v>303</v>
      </c>
      <c r="F157" s="7">
        <v>4</v>
      </c>
      <c r="G157" s="7">
        <v>146</v>
      </c>
      <c r="H157" s="123" t="s">
        <v>1176</v>
      </c>
      <c r="I157" s="8">
        <v>16.3</v>
      </c>
      <c r="J157" s="9">
        <v>28035</v>
      </c>
    </row>
    <row r="158" spans="4:10" hidden="1" x14ac:dyDescent="0.2">
      <c r="D158" s="6" t="s">
        <v>297</v>
      </c>
      <c r="E158" s="123" t="s">
        <v>304</v>
      </c>
      <c r="F158" s="7">
        <v>4</v>
      </c>
      <c r="G158" s="7">
        <v>181</v>
      </c>
      <c r="H158" s="123" t="s">
        <v>1178</v>
      </c>
      <c r="I158" s="8">
        <v>13.6</v>
      </c>
      <c r="J158" s="9">
        <v>38665</v>
      </c>
    </row>
    <row r="159" spans="4:10" hidden="1" x14ac:dyDescent="0.2">
      <c r="D159" s="6" t="s">
        <v>297</v>
      </c>
      <c r="E159" s="123" t="s">
        <v>305</v>
      </c>
      <c r="F159" s="7">
        <v>4</v>
      </c>
      <c r="G159" s="7">
        <v>162</v>
      </c>
      <c r="H159" s="123" t="s">
        <v>1178</v>
      </c>
      <c r="I159" s="8">
        <v>11.7</v>
      </c>
      <c r="J159" s="9">
        <v>28195</v>
      </c>
    </row>
    <row r="160" spans="4:10" hidden="1" x14ac:dyDescent="0.2">
      <c r="D160" s="6" t="s">
        <v>297</v>
      </c>
      <c r="E160" s="123" t="s">
        <v>306</v>
      </c>
      <c r="F160" s="7">
        <v>4</v>
      </c>
      <c r="G160" s="7">
        <v>143</v>
      </c>
      <c r="H160" s="123" t="s">
        <v>1176</v>
      </c>
      <c r="I160" s="8">
        <v>15.3</v>
      </c>
      <c r="J160" s="9">
        <v>32970</v>
      </c>
    </row>
    <row r="161" spans="4:10" hidden="1" x14ac:dyDescent="0.2">
      <c r="D161" s="6" t="s">
        <v>307</v>
      </c>
      <c r="E161" s="123" t="s">
        <v>308</v>
      </c>
      <c r="F161" s="7">
        <v>4</v>
      </c>
      <c r="G161" s="7">
        <v>155</v>
      </c>
      <c r="H161" s="123" t="s">
        <v>1177</v>
      </c>
      <c r="I161" s="8">
        <v>12.5</v>
      </c>
      <c r="J161" s="9">
        <v>20485</v>
      </c>
    </row>
    <row r="162" spans="4:10" hidden="1" x14ac:dyDescent="0.2">
      <c r="D162" s="6" t="s">
        <v>307</v>
      </c>
      <c r="E162" s="123" t="s">
        <v>309</v>
      </c>
      <c r="F162" s="7">
        <v>4</v>
      </c>
      <c r="G162" s="7">
        <v>140</v>
      </c>
      <c r="H162" s="123" t="s">
        <v>1176</v>
      </c>
      <c r="I162" s="8">
        <v>14.7</v>
      </c>
      <c r="J162" s="9">
        <v>26245</v>
      </c>
    </row>
    <row r="163" spans="4:10" hidden="1" x14ac:dyDescent="0.2">
      <c r="D163" s="6" t="s">
        <v>307</v>
      </c>
      <c r="E163" s="123" t="s">
        <v>310</v>
      </c>
      <c r="F163" s="7">
        <v>4</v>
      </c>
      <c r="G163" s="7">
        <v>180</v>
      </c>
      <c r="H163" s="123" t="s">
        <v>1178</v>
      </c>
      <c r="I163" s="8">
        <v>11</v>
      </c>
      <c r="J163" s="9">
        <v>27545</v>
      </c>
    </row>
    <row r="164" spans="4:10" hidden="1" x14ac:dyDescent="0.2">
      <c r="D164" s="6" t="s">
        <v>307</v>
      </c>
      <c r="E164" s="123">
        <v>240</v>
      </c>
      <c r="F164" s="7">
        <v>4</v>
      </c>
      <c r="G164" s="7">
        <v>165</v>
      </c>
      <c r="H164" s="123" t="s">
        <v>1177</v>
      </c>
      <c r="I164" s="8">
        <v>10.199999999999999</v>
      </c>
      <c r="J164" s="9">
        <v>37695</v>
      </c>
    </row>
    <row r="165" spans="4:10" hidden="1" x14ac:dyDescent="0.2">
      <c r="D165" s="6" t="s">
        <v>307</v>
      </c>
      <c r="E165" s="123" t="s">
        <v>311</v>
      </c>
      <c r="F165" s="7">
        <v>6</v>
      </c>
      <c r="G165" s="7">
        <v>145</v>
      </c>
      <c r="H165" s="123" t="s">
        <v>1176</v>
      </c>
      <c r="I165" s="8">
        <v>10.4</v>
      </c>
      <c r="J165" s="9">
        <v>48895</v>
      </c>
    </row>
    <row r="166" spans="4:10" hidden="1" x14ac:dyDescent="0.2">
      <c r="D166" s="6" t="s">
        <v>307</v>
      </c>
      <c r="E166" s="123" t="s">
        <v>312</v>
      </c>
      <c r="F166" s="7">
        <v>4</v>
      </c>
      <c r="G166" s="7">
        <v>190</v>
      </c>
      <c r="H166" s="123" t="s">
        <v>1177</v>
      </c>
      <c r="I166" s="8">
        <v>12.3</v>
      </c>
      <c r="J166" s="9">
        <v>45655</v>
      </c>
    </row>
    <row r="167" spans="4:10" hidden="1" x14ac:dyDescent="0.2">
      <c r="D167" s="6" t="s">
        <v>307</v>
      </c>
      <c r="E167" s="123" t="s">
        <v>313</v>
      </c>
      <c r="F167" s="7">
        <v>4</v>
      </c>
      <c r="G167" s="7">
        <v>175</v>
      </c>
      <c r="H167" s="123" t="s">
        <v>1177</v>
      </c>
      <c r="I167" s="8">
        <v>9</v>
      </c>
      <c r="J167" s="9">
        <v>47995</v>
      </c>
    </row>
    <row r="168" spans="4:10" hidden="1" x14ac:dyDescent="0.2">
      <c r="D168" s="6" t="s">
        <v>307</v>
      </c>
      <c r="E168" s="123" t="s">
        <v>314</v>
      </c>
      <c r="F168" s="7">
        <v>6</v>
      </c>
      <c r="G168" s="7">
        <v>155</v>
      </c>
      <c r="H168" s="123" t="s">
        <v>1176</v>
      </c>
      <c r="I168" s="8">
        <v>11.8</v>
      </c>
      <c r="J168" s="9">
        <v>55395</v>
      </c>
    </row>
  </sheetData>
  <autoFilter ref="D8:J168" xr:uid="{00000000-0009-0000-0000-00001A000000}">
    <filterColumn colId="2">
      <filters>
        <filter val="6"/>
      </filters>
    </filterColumn>
    <filterColumn colId="3">
      <customFilters>
        <customFilter operator="greaterThanOrEqual" val="180"/>
      </customFilters>
    </filterColumn>
    <filterColumn colId="4">
      <filters>
        <filter val="Normaal"/>
        <filter val="Super"/>
      </filters>
    </filterColumn>
  </autoFilter>
  <mergeCells count="5">
    <mergeCell ref="B6:D6"/>
    <mergeCell ref="B2:C2"/>
    <mergeCell ref="B3:C3"/>
    <mergeCell ref="B4:C4"/>
    <mergeCell ref="B1:C1"/>
  </mergeCells>
  <hyperlinks>
    <hyperlink ref="B6:D6" location="Inhoud!A1" display="Ga naar Inhoudsopgave" xr:uid="{00000000-0004-0000-1A00-000000000000}"/>
  </hyperlinks>
  <pageMargins left="0.7" right="0.7" top="0.75" bottom="0.75" header="0.3" footer="0.3"/>
  <pageSetup paperSize="9" orientation="landscape"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Blad8"/>
  <dimension ref="B1:H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3.85546875" style="4" customWidth="1"/>
    <col min="5" max="5" width="10.28515625" style="4" bestFit="1" customWidth="1"/>
    <col min="6" max="6" width="10.7109375" style="4" bestFit="1" customWidth="1"/>
    <col min="7" max="7" width="12" style="4" bestFit="1" customWidth="1"/>
    <col min="8" max="8" width="8.28515625" style="4" bestFit="1" customWidth="1"/>
    <col min="9" max="9" width="10" style="4" bestFit="1" customWidth="1"/>
    <col min="10" max="16384" width="9.140625" style="4"/>
  </cols>
  <sheetData>
    <row r="1" spans="2:8" x14ac:dyDescent="0.2">
      <c r="B1" s="355" t="s">
        <v>1253</v>
      </c>
      <c r="C1" s="355"/>
      <c r="D1" s="316" t="s">
        <v>1094</v>
      </c>
    </row>
    <row r="2" spans="2:8" x14ac:dyDescent="0.2">
      <c r="B2" s="355" t="s">
        <v>1085</v>
      </c>
      <c r="C2" s="355"/>
      <c r="D2" s="332" t="str">
        <f>VLOOKUP(D$1,TabelContent[],COLUMN(TabelContent[Titel-NL]))</f>
        <v>Achtergrondkleur</v>
      </c>
    </row>
    <row r="3" spans="2:8" x14ac:dyDescent="0.2">
      <c r="B3" s="355" t="s">
        <v>1086</v>
      </c>
      <c r="C3" s="355"/>
      <c r="D3" s="332" t="str">
        <f>VLOOKUP(D$1,TabelContent[],COLUMN(TabelContent[Cat-NL]))</f>
        <v>Macro</v>
      </c>
    </row>
    <row r="4" spans="2:8" x14ac:dyDescent="0.2">
      <c r="B4" s="355" t="s">
        <v>1087</v>
      </c>
      <c r="C4" s="355" t="s">
        <v>1077</v>
      </c>
      <c r="D4" s="332">
        <f>VLOOKUP(D$1,TabelContent[],COLUMN(TabelContent[Niveau]))</f>
        <v>2</v>
      </c>
    </row>
    <row r="5" spans="2:8" x14ac:dyDescent="0.2">
      <c r="B5" s="16"/>
      <c r="C5" s="16"/>
      <c r="D5" s="24"/>
      <c r="E5" s="16"/>
      <c r="F5" s="16"/>
      <c r="G5" s="16"/>
      <c r="H5" s="16"/>
    </row>
    <row r="6" spans="2:8" x14ac:dyDescent="0.2">
      <c r="B6" s="356" t="s">
        <v>47</v>
      </c>
      <c r="C6" s="356"/>
      <c r="D6" s="356"/>
      <c r="E6" s="16"/>
      <c r="F6" s="16"/>
      <c r="G6" s="16"/>
      <c r="H6" s="16"/>
    </row>
    <row r="7" spans="2:8" x14ac:dyDescent="0.2">
      <c r="B7" s="16"/>
      <c r="C7" s="16"/>
      <c r="D7" s="16"/>
      <c r="E7" s="16"/>
      <c r="F7" s="16"/>
      <c r="G7" s="16"/>
      <c r="H7" s="16"/>
    </row>
  </sheetData>
  <mergeCells count="5">
    <mergeCell ref="B2:C2"/>
    <mergeCell ref="B3:C3"/>
    <mergeCell ref="B4:C4"/>
    <mergeCell ref="B6:D6"/>
    <mergeCell ref="B1:C1"/>
  </mergeCells>
  <hyperlinks>
    <hyperlink ref="B6:D6" location="Inhoud!A1" display="Ga naar Inhoudsopgave" xr:uid="{00000000-0004-0000-1B00-000000000000}"/>
  </hyperlinks>
  <pageMargins left="0.7" right="0.7" top="0.75" bottom="0.75" header="0.3" footer="0.3"/>
  <pageSetup paperSize="9" orientation="landscape"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Blad59"/>
  <dimension ref="B1:H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3.85546875" style="4" customWidth="1"/>
    <col min="5" max="5" width="10.28515625" style="4" bestFit="1" customWidth="1"/>
    <col min="6" max="6" width="10.7109375" style="4" bestFit="1" customWidth="1"/>
    <col min="7" max="7" width="12" style="4" bestFit="1" customWidth="1"/>
    <col min="8" max="8" width="8.28515625" style="4" bestFit="1" customWidth="1"/>
    <col min="9" max="9" width="10" style="4" bestFit="1" customWidth="1"/>
    <col min="10" max="16384" width="9.140625" style="4"/>
  </cols>
  <sheetData>
    <row r="1" spans="2:8" x14ac:dyDescent="0.2">
      <c r="B1" s="355" t="s">
        <v>1253</v>
      </c>
      <c r="C1" s="355"/>
      <c r="D1" s="316" t="s">
        <v>1095</v>
      </c>
    </row>
    <row r="2" spans="2:8" x14ac:dyDescent="0.2">
      <c r="B2" s="355" t="s">
        <v>1085</v>
      </c>
      <c r="C2" s="355"/>
      <c r="D2" s="332" t="str">
        <f>VLOOKUP(D$1,TabelContent[],COLUMN(TabelContent[Titel-NL]))</f>
        <v>Procentuele opmaak</v>
      </c>
    </row>
    <row r="3" spans="2:8" x14ac:dyDescent="0.2">
      <c r="B3" s="355" t="s">
        <v>1086</v>
      </c>
      <c r="C3" s="355"/>
      <c r="D3" s="332" t="str">
        <f>VLOOKUP(D$1,TabelContent[],COLUMN(TabelContent[Cat-NL]))</f>
        <v>Macro</v>
      </c>
    </row>
    <row r="4" spans="2:8" x14ac:dyDescent="0.2">
      <c r="B4" s="355" t="s">
        <v>1087</v>
      </c>
      <c r="C4" s="355" t="s">
        <v>1077</v>
      </c>
      <c r="D4" s="332">
        <f>VLOOKUP(D$1,TabelContent[],COLUMN(TabelContent[Niveau]))</f>
        <v>2</v>
      </c>
    </row>
    <row r="5" spans="2:8" x14ac:dyDescent="0.2">
      <c r="B5" s="16"/>
      <c r="C5" s="16"/>
      <c r="D5" s="24"/>
      <c r="E5" s="16"/>
      <c r="F5" s="16"/>
      <c r="G5" s="16"/>
      <c r="H5" s="16"/>
    </row>
    <row r="6" spans="2:8" x14ac:dyDescent="0.2">
      <c r="B6" s="356" t="s">
        <v>47</v>
      </c>
      <c r="C6" s="356"/>
      <c r="D6" s="356"/>
      <c r="E6" s="16"/>
      <c r="F6" s="16"/>
      <c r="G6" s="16"/>
      <c r="H6" s="16"/>
    </row>
    <row r="7" spans="2:8" x14ac:dyDescent="0.2">
      <c r="B7" s="16"/>
      <c r="C7" s="16"/>
      <c r="D7" s="16"/>
      <c r="E7" s="16"/>
      <c r="F7" s="16"/>
      <c r="G7" s="16"/>
      <c r="H7" s="16"/>
    </row>
  </sheetData>
  <mergeCells count="5">
    <mergeCell ref="B2:C2"/>
    <mergeCell ref="B3:C3"/>
    <mergeCell ref="B4:C4"/>
    <mergeCell ref="B6:D6"/>
    <mergeCell ref="B1:C1"/>
  </mergeCells>
  <hyperlinks>
    <hyperlink ref="B6:D6" location="Inhoud!A1" display="Ga naar Inhoudsopgave" xr:uid="{00000000-0004-0000-1C00-000000000000}"/>
  </hyperlinks>
  <pageMargins left="0.7" right="0.7" top="0.75" bottom="0.75" header="0.3" footer="0.3"/>
  <pageSetup paperSize="9" orientation="landscape"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Blad60"/>
  <dimension ref="B1:H7"/>
  <sheetViews>
    <sheetView workbookViewId="0">
      <pane xSplit="1" ySplit="6" topLeftCell="B7" activePane="bottomRight" state="frozen"/>
      <selection pane="topRight" activeCell="B1" sqref="B1"/>
      <selection pane="bottomLeft" activeCell="A5" sqref="A5"/>
      <selection pane="bottomRight" activeCell="D2" sqref="D2:D4"/>
    </sheetView>
  </sheetViews>
  <sheetFormatPr defaultRowHeight="12.75" x14ac:dyDescent="0.2"/>
  <cols>
    <col min="1" max="2" width="3.7109375" style="4" customWidth="1"/>
    <col min="3" max="3" width="7.7109375" style="4" customWidth="1"/>
    <col min="4" max="4" width="13.85546875" style="4" customWidth="1"/>
    <col min="5" max="5" width="10.28515625" style="4" bestFit="1" customWidth="1"/>
    <col min="6" max="6" width="10.7109375" style="4" bestFit="1" customWidth="1"/>
    <col min="7" max="7" width="12" style="4" bestFit="1" customWidth="1"/>
    <col min="8" max="8" width="8.28515625" style="4" bestFit="1" customWidth="1"/>
    <col min="9" max="9" width="10" style="4" bestFit="1" customWidth="1"/>
    <col min="10" max="16384" width="9.140625" style="4"/>
  </cols>
  <sheetData>
    <row r="1" spans="2:8" x14ac:dyDescent="0.2">
      <c r="B1" s="355" t="s">
        <v>1253</v>
      </c>
      <c r="C1" s="355"/>
      <c r="D1" s="316" t="s">
        <v>1096</v>
      </c>
    </row>
    <row r="2" spans="2:8" x14ac:dyDescent="0.2">
      <c r="B2" s="355" t="s">
        <v>1085</v>
      </c>
      <c r="C2" s="355"/>
      <c r="D2" s="332" t="str">
        <f>VLOOKUP(D$1,TabelContent[],COLUMN(TabelContent[Titel-NL]))</f>
        <v>Opmaak cel A1</v>
      </c>
    </row>
    <row r="3" spans="2:8" x14ac:dyDescent="0.2">
      <c r="B3" s="355" t="s">
        <v>1086</v>
      </c>
      <c r="C3" s="355"/>
      <c r="D3" s="332" t="str">
        <f>VLOOKUP(D$1,TabelContent[],COLUMN(TabelContent[Cat-NL]))</f>
        <v>Macro</v>
      </c>
    </row>
    <row r="4" spans="2:8" x14ac:dyDescent="0.2">
      <c r="B4" s="355" t="s">
        <v>1087</v>
      </c>
      <c r="C4" s="355" t="s">
        <v>1077</v>
      </c>
      <c r="D4" s="332">
        <f>VLOOKUP(D$1,TabelContent[],COLUMN(TabelContent[Niveau]))</f>
        <v>2</v>
      </c>
    </row>
    <row r="5" spans="2:8" x14ac:dyDescent="0.2">
      <c r="B5" s="16"/>
      <c r="C5" s="16"/>
      <c r="D5" s="24"/>
      <c r="E5" s="16"/>
      <c r="F5" s="16"/>
      <c r="G5" s="16"/>
      <c r="H5" s="16"/>
    </row>
    <row r="6" spans="2:8" x14ac:dyDescent="0.2">
      <c r="B6" s="356" t="s">
        <v>47</v>
      </c>
      <c r="C6" s="356"/>
      <c r="D6" s="356"/>
      <c r="E6" s="16"/>
      <c r="F6" s="16"/>
      <c r="G6" s="16"/>
      <c r="H6" s="16"/>
    </row>
    <row r="7" spans="2:8" x14ac:dyDescent="0.2">
      <c r="B7" s="16"/>
      <c r="C7" s="16"/>
      <c r="D7" s="16"/>
      <c r="E7" s="16"/>
      <c r="F7" s="16"/>
      <c r="G7" s="16"/>
      <c r="H7" s="16"/>
    </row>
  </sheetData>
  <mergeCells count="5">
    <mergeCell ref="B2:C2"/>
    <mergeCell ref="B3:C3"/>
    <mergeCell ref="B4:C4"/>
    <mergeCell ref="B6:D6"/>
    <mergeCell ref="B1:C1"/>
  </mergeCells>
  <hyperlinks>
    <hyperlink ref="B6:D6" location="Inhoud!A1" display="Ga naar Inhoudsopgave" xr:uid="{00000000-0004-0000-1D00-000000000000}"/>
  </hyperlinks>
  <pageMargins left="0.7" right="0.7" top="0.75" bottom="0.75" header="0.3" footer="0.3"/>
  <pageSetup paperSize="9" orientation="landscape"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Blad61"/>
  <dimension ref="B1:H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3.85546875" style="4" customWidth="1"/>
    <col min="5" max="5" width="10.28515625" style="4" bestFit="1" customWidth="1"/>
    <col min="6" max="6" width="10.7109375" style="4" bestFit="1" customWidth="1"/>
    <col min="7" max="7" width="12" style="4" bestFit="1" customWidth="1"/>
    <col min="8" max="8" width="8.28515625" style="4" bestFit="1" customWidth="1"/>
    <col min="9" max="9" width="10" style="4" bestFit="1" customWidth="1"/>
    <col min="10" max="16384" width="9.140625" style="4"/>
  </cols>
  <sheetData>
    <row r="1" spans="2:8" x14ac:dyDescent="0.2">
      <c r="B1" s="355" t="s">
        <v>1253</v>
      </c>
      <c r="C1" s="355"/>
      <c r="D1" s="316" t="s">
        <v>1097</v>
      </c>
    </row>
    <row r="2" spans="2:8" x14ac:dyDescent="0.2">
      <c r="B2" s="355" t="s">
        <v>1085</v>
      </c>
      <c r="C2" s="355"/>
      <c r="D2" s="332" t="str">
        <f>VLOOKUP(D$1,TabelContent[],COLUMN(TabelContent[Titel-NL]))</f>
        <v>Rasterlijnen afdrukken</v>
      </c>
    </row>
    <row r="3" spans="2:8" x14ac:dyDescent="0.2">
      <c r="B3" s="355" t="s">
        <v>1086</v>
      </c>
      <c r="C3" s="355"/>
      <c r="D3" s="332" t="str">
        <f>VLOOKUP(D$1,TabelContent[],COLUMN(TabelContent[Cat-NL]))</f>
        <v>Macro</v>
      </c>
    </row>
    <row r="4" spans="2:8" x14ac:dyDescent="0.2">
      <c r="B4" s="355" t="s">
        <v>1087</v>
      </c>
      <c r="C4" s="355" t="s">
        <v>1077</v>
      </c>
      <c r="D4" s="332">
        <f>VLOOKUP(D$1,TabelContent[],COLUMN(TabelContent[Niveau]))</f>
        <v>2</v>
      </c>
    </row>
    <row r="5" spans="2:8" x14ac:dyDescent="0.2">
      <c r="B5" s="16"/>
      <c r="C5" s="16"/>
      <c r="D5" s="24"/>
      <c r="E5" s="16"/>
      <c r="F5" s="16"/>
      <c r="G5" s="16"/>
      <c r="H5" s="16"/>
    </row>
    <row r="6" spans="2:8" x14ac:dyDescent="0.2">
      <c r="B6" s="356" t="s">
        <v>47</v>
      </c>
      <c r="C6" s="356"/>
      <c r="D6" s="356"/>
      <c r="E6" s="16"/>
      <c r="F6" s="16"/>
      <c r="G6" s="16"/>
      <c r="H6" s="16"/>
    </row>
    <row r="7" spans="2:8" x14ac:dyDescent="0.2">
      <c r="B7" s="16"/>
      <c r="C7" s="16"/>
      <c r="D7" s="16"/>
      <c r="E7" s="16"/>
      <c r="F7" s="16"/>
      <c r="G7" s="16"/>
      <c r="H7" s="16"/>
    </row>
  </sheetData>
  <mergeCells count="5">
    <mergeCell ref="B2:C2"/>
    <mergeCell ref="B3:C3"/>
    <mergeCell ref="B4:C4"/>
    <mergeCell ref="B6:D6"/>
    <mergeCell ref="B1:C1"/>
  </mergeCells>
  <hyperlinks>
    <hyperlink ref="B6:D6" location="Inhoud!A1" display="Ga naar Inhoudsopgave" xr:uid="{00000000-0004-0000-1E00-000000000000}"/>
  </hyperlinks>
  <pageMargins left="0.7" right="0.7" top="0.75" bottom="0.75" header="0.3" footer="0.3"/>
  <pageSetup paperSize="9" orientation="landscape"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Blad18"/>
  <dimension ref="B1:H54"/>
  <sheetViews>
    <sheetView workbookViewId="0">
      <pane xSplit="1" ySplit="6" topLeftCell="B7" activePane="bottomRight" state="frozen"/>
      <selection pane="topRight" activeCell="B1" sqref="B1"/>
      <selection pane="bottomLeft" activeCell="A6" sqref="A6"/>
      <selection pane="bottomRight"/>
    </sheetView>
  </sheetViews>
  <sheetFormatPr defaultRowHeight="12.75" x14ac:dyDescent="0.2"/>
  <cols>
    <col min="1" max="2" width="3.7109375" style="10" customWidth="1"/>
    <col min="3" max="3" width="7.7109375" style="10" customWidth="1"/>
    <col min="4" max="4" width="8.140625" style="10" bestFit="1" customWidth="1"/>
    <col min="5" max="5" width="12.85546875" style="10" bestFit="1" customWidth="1"/>
    <col min="6" max="6" width="12.5703125" style="10" bestFit="1" customWidth="1"/>
    <col min="7" max="7" width="5" style="10" customWidth="1"/>
    <col min="8" max="8" width="12.5703125" style="10" customWidth="1"/>
    <col min="9" max="10" width="9.140625" style="10"/>
    <col min="11" max="11" width="12.5703125" style="10" bestFit="1" customWidth="1"/>
    <col min="12" max="258" width="9.140625" style="10"/>
    <col min="259" max="259" width="4.5703125" style="10" bestFit="1" customWidth="1"/>
    <col min="260" max="260" width="8.140625" style="10" bestFit="1" customWidth="1"/>
    <col min="261" max="261" width="12.85546875" style="10" bestFit="1" customWidth="1"/>
    <col min="262" max="262" width="12.5703125" style="10" bestFit="1" customWidth="1"/>
    <col min="263" max="263" width="5" style="10" customWidth="1"/>
    <col min="264" max="264" width="12.5703125" style="10" customWidth="1"/>
    <col min="265" max="266" width="9.140625" style="10"/>
    <col min="267" max="267" width="12.5703125" style="10" bestFit="1" customWidth="1"/>
    <col min="268" max="514" width="9.140625" style="10"/>
    <col min="515" max="515" width="4.5703125" style="10" bestFit="1" customWidth="1"/>
    <col min="516" max="516" width="8.140625" style="10" bestFit="1" customWidth="1"/>
    <col min="517" max="517" width="12.85546875" style="10" bestFit="1" customWidth="1"/>
    <col min="518" max="518" width="12.5703125" style="10" bestFit="1" customWidth="1"/>
    <col min="519" max="519" width="5" style="10" customWidth="1"/>
    <col min="520" max="520" width="12.5703125" style="10" customWidth="1"/>
    <col min="521" max="522" width="9.140625" style="10"/>
    <col min="523" max="523" width="12.5703125" style="10" bestFit="1" customWidth="1"/>
    <col min="524" max="770" width="9.140625" style="10"/>
    <col min="771" max="771" width="4.5703125" style="10" bestFit="1" customWidth="1"/>
    <col min="772" max="772" width="8.140625" style="10" bestFit="1" customWidth="1"/>
    <col min="773" max="773" width="12.85546875" style="10" bestFit="1" customWidth="1"/>
    <col min="774" max="774" width="12.5703125" style="10" bestFit="1" customWidth="1"/>
    <col min="775" max="775" width="5" style="10" customWidth="1"/>
    <col min="776" max="776" width="12.5703125" style="10" customWidth="1"/>
    <col min="777" max="778" width="9.140625" style="10"/>
    <col min="779" max="779" width="12.5703125" style="10" bestFit="1" customWidth="1"/>
    <col min="780" max="1026" width="9.140625" style="10"/>
    <col min="1027" max="1027" width="4.5703125" style="10" bestFit="1" customWidth="1"/>
    <col min="1028" max="1028" width="8.140625" style="10" bestFit="1" customWidth="1"/>
    <col min="1029" max="1029" width="12.85546875" style="10" bestFit="1" customWidth="1"/>
    <col min="1030" max="1030" width="12.5703125" style="10" bestFit="1" customWidth="1"/>
    <col min="1031" max="1031" width="5" style="10" customWidth="1"/>
    <col min="1032" max="1032" width="12.5703125" style="10" customWidth="1"/>
    <col min="1033" max="1034" width="9.140625" style="10"/>
    <col min="1035" max="1035" width="12.5703125" style="10" bestFit="1" customWidth="1"/>
    <col min="1036" max="1282" width="9.140625" style="10"/>
    <col min="1283" max="1283" width="4.5703125" style="10" bestFit="1" customWidth="1"/>
    <col min="1284" max="1284" width="8.140625" style="10" bestFit="1" customWidth="1"/>
    <col min="1285" max="1285" width="12.85546875" style="10" bestFit="1" customWidth="1"/>
    <col min="1286" max="1286" width="12.5703125" style="10" bestFit="1" customWidth="1"/>
    <col min="1287" max="1287" width="5" style="10" customWidth="1"/>
    <col min="1288" max="1288" width="12.5703125" style="10" customWidth="1"/>
    <col min="1289" max="1290" width="9.140625" style="10"/>
    <col min="1291" max="1291" width="12.5703125" style="10" bestFit="1" customWidth="1"/>
    <col min="1292" max="1538" width="9.140625" style="10"/>
    <col min="1539" max="1539" width="4.5703125" style="10" bestFit="1" customWidth="1"/>
    <col min="1540" max="1540" width="8.140625" style="10" bestFit="1" customWidth="1"/>
    <col min="1541" max="1541" width="12.85546875" style="10" bestFit="1" customWidth="1"/>
    <col min="1542" max="1542" width="12.5703125" style="10" bestFit="1" customWidth="1"/>
    <col min="1543" max="1543" width="5" style="10" customWidth="1"/>
    <col min="1544" max="1544" width="12.5703125" style="10" customWidth="1"/>
    <col min="1545" max="1546" width="9.140625" style="10"/>
    <col min="1547" max="1547" width="12.5703125" style="10" bestFit="1" customWidth="1"/>
    <col min="1548" max="1794" width="9.140625" style="10"/>
    <col min="1795" max="1795" width="4.5703125" style="10" bestFit="1" customWidth="1"/>
    <col min="1796" max="1796" width="8.140625" style="10" bestFit="1" customWidth="1"/>
    <col min="1797" max="1797" width="12.85546875" style="10" bestFit="1" customWidth="1"/>
    <col min="1798" max="1798" width="12.5703125" style="10" bestFit="1" customWidth="1"/>
    <col min="1799" max="1799" width="5" style="10" customWidth="1"/>
    <col min="1800" max="1800" width="12.5703125" style="10" customWidth="1"/>
    <col min="1801" max="1802" width="9.140625" style="10"/>
    <col min="1803" max="1803" width="12.5703125" style="10" bestFit="1" customWidth="1"/>
    <col min="1804" max="2050" width="9.140625" style="10"/>
    <col min="2051" max="2051" width="4.5703125" style="10" bestFit="1" customWidth="1"/>
    <col min="2052" max="2052" width="8.140625" style="10" bestFit="1" customWidth="1"/>
    <col min="2053" max="2053" width="12.85546875" style="10" bestFit="1" customWidth="1"/>
    <col min="2054" max="2054" width="12.5703125" style="10" bestFit="1" customWidth="1"/>
    <col min="2055" max="2055" width="5" style="10" customWidth="1"/>
    <col min="2056" max="2056" width="12.5703125" style="10" customWidth="1"/>
    <col min="2057" max="2058" width="9.140625" style="10"/>
    <col min="2059" max="2059" width="12.5703125" style="10" bestFit="1" customWidth="1"/>
    <col min="2060" max="2306" width="9.140625" style="10"/>
    <col min="2307" max="2307" width="4.5703125" style="10" bestFit="1" customWidth="1"/>
    <col min="2308" max="2308" width="8.140625" style="10" bestFit="1" customWidth="1"/>
    <col min="2309" max="2309" width="12.85546875" style="10" bestFit="1" customWidth="1"/>
    <col min="2310" max="2310" width="12.5703125" style="10" bestFit="1" customWidth="1"/>
    <col min="2311" max="2311" width="5" style="10" customWidth="1"/>
    <col min="2312" max="2312" width="12.5703125" style="10" customWidth="1"/>
    <col min="2313" max="2314" width="9.140625" style="10"/>
    <col min="2315" max="2315" width="12.5703125" style="10" bestFit="1" customWidth="1"/>
    <col min="2316" max="2562" width="9.140625" style="10"/>
    <col min="2563" max="2563" width="4.5703125" style="10" bestFit="1" customWidth="1"/>
    <col min="2564" max="2564" width="8.140625" style="10" bestFit="1" customWidth="1"/>
    <col min="2565" max="2565" width="12.85546875" style="10" bestFit="1" customWidth="1"/>
    <col min="2566" max="2566" width="12.5703125" style="10" bestFit="1" customWidth="1"/>
    <col min="2567" max="2567" width="5" style="10" customWidth="1"/>
    <col min="2568" max="2568" width="12.5703125" style="10" customWidth="1"/>
    <col min="2569" max="2570" width="9.140625" style="10"/>
    <col min="2571" max="2571" width="12.5703125" style="10" bestFit="1" customWidth="1"/>
    <col min="2572" max="2818" width="9.140625" style="10"/>
    <col min="2819" max="2819" width="4.5703125" style="10" bestFit="1" customWidth="1"/>
    <col min="2820" max="2820" width="8.140625" style="10" bestFit="1" customWidth="1"/>
    <col min="2821" max="2821" width="12.85546875" style="10" bestFit="1" customWidth="1"/>
    <col min="2822" max="2822" width="12.5703125" style="10" bestFit="1" customWidth="1"/>
    <col min="2823" max="2823" width="5" style="10" customWidth="1"/>
    <col min="2824" max="2824" width="12.5703125" style="10" customWidth="1"/>
    <col min="2825" max="2826" width="9.140625" style="10"/>
    <col min="2827" max="2827" width="12.5703125" style="10" bestFit="1" customWidth="1"/>
    <col min="2828" max="3074" width="9.140625" style="10"/>
    <col min="3075" max="3075" width="4.5703125" style="10" bestFit="1" customWidth="1"/>
    <col min="3076" max="3076" width="8.140625" style="10" bestFit="1" customWidth="1"/>
    <col min="3077" max="3077" width="12.85546875" style="10" bestFit="1" customWidth="1"/>
    <col min="3078" max="3078" width="12.5703125" style="10" bestFit="1" customWidth="1"/>
    <col min="3079" max="3079" width="5" style="10" customWidth="1"/>
    <col min="3080" max="3080" width="12.5703125" style="10" customWidth="1"/>
    <col min="3081" max="3082" width="9.140625" style="10"/>
    <col min="3083" max="3083" width="12.5703125" style="10" bestFit="1" customWidth="1"/>
    <col min="3084" max="3330" width="9.140625" style="10"/>
    <col min="3331" max="3331" width="4.5703125" style="10" bestFit="1" customWidth="1"/>
    <col min="3332" max="3332" width="8.140625" style="10" bestFit="1" customWidth="1"/>
    <col min="3333" max="3333" width="12.85546875" style="10" bestFit="1" customWidth="1"/>
    <col min="3334" max="3334" width="12.5703125" style="10" bestFit="1" customWidth="1"/>
    <col min="3335" max="3335" width="5" style="10" customWidth="1"/>
    <col min="3336" max="3336" width="12.5703125" style="10" customWidth="1"/>
    <col min="3337" max="3338" width="9.140625" style="10"/>
    <col min="3339" max="3339" width="12.5703125" style="10" bestFit="1" customWidth="1"/>
    <col min="3340" max="3586" width="9.140625" style="10"/>
    <col min="3587" max="3587" width="4.5703125" style="10" bestFit="1" customWidth="1"/>
    <col min="3588" max="3588" width="8.140625" style="10" bestFit="1" customWidth="1"/>
    <col min="3589" max="3589" width="12.85546875" style="10" bestFit="1" customWidth="1"/>
    <col min="3590" max="3590" width="12.5703125" style="10" bestFit="1" customWidth="1"/>
    <col min="3591" max="3591" width="5" style="10" customWidth="1"/>
    <col min="3592" max="3592" width="12.5703125" style="10" customWidth="1"/>
    <col min="3593" max="3594" width="9.140625" style="10"/>
    <col min="3595" max="3595" width="12.5703125" style="10" bestFit="1" customWidth="1"/>
    <col min="3596" max="3842" width="9.140625" style="10"/>
    <col min="3843" max="3843" width="4.5703125" style="10" bestFit="1" customWidth="1"/>
    <col min="3844" max="3844" width="8.140625" style="10" bestFit="1" customWidth="1"/>
    <col min="3845" max="3845" width="12.85546875" style="10" bestFit="1" customWidth="1"/>
    <col min="3846" max="3846" width="12.5703125" style="10" bestFit="1" customWidth="1"/>
    <col min="3847" max="3847" width="5" style="10" customWidth="1"/>
    <col min="3848" max="3848" width="12.5703125" style="10" customWidth="1"/>
    <col min="3849" max="3850" width="9.140625" style="10"/>
    <col min="3851" max="3851" width="12.5703125" style="10" bestFit="1" customWidth="1"/>
    <col min="3852" max="4098" width="9.140625" style="10"/>
    <col min="4099" max="4099" width="4.5703125" style="10" bestFit="1" customWidth="1"/>
    <col min="4100" max="4100" width="8.140625" style="10" bestFit="1" customWidth="1"/>
    <col min="4101" max="4101" width="12.85546875" style="10" bestFit="1" customWidth="1"/>
    <col min="4102" max="4102" width="12.5703125" style="10" bestFit="1" customWidth="1"/>
    <col min="4103" max="4103" width="5" style="10" customWidth="1"/>
    <col min="4104" max="4104" width="12.5703125" style="10" customWidth="1"/>
    <col min="4105" max="4106" width="9.140625" style="10"/>
    <col min="4107" max="4107" width="12.5703125" style="10" bestFit="1" customWidth="1"/>
    <col min="4108" max="4354" width="9.140625" style="10"/>
    <col min="4355" max="4355" width="4.5703125" style="10" bestFit="1" customWidth="1"/>
    <col min="4356" max="4356" width="8.140625" style="10" bestFit="1" customWidth="1"/>
    <col min="4357" max="4357" width="12.85546875" style="10" bestFit="1" customWidth="1"/>
    <col min="4358" max="4358" width="12.5703125" style="10" bestFit="1" customWidth="1"/>
    <col min="4359" max="4359" width="5" style="10" customWidth="1"/>
    <col min="4360" max="4360" width="12.5703125" style="10" customWidth="1"/>
    <col min="4361" max="4362" width="9.140625" style="10"/>
    <col min="4363" max="4363" width="12.5703125" style="10" bestFit="1" customWidth="1"/>
    <col min="4364" max="4610" width="9.140625" style="10"/>
    <col min="4611" max="4611" width="4.5703125" style="10" bestFit="1" customWidth="1"/>
    <col min="4612" max="4612" width="8.140625" style="10" bestFit="1" customWidth="1"/>
    <col min="4613" max="4613" width="12.85546875" style="10" bestFit="1" customWidth="1"/>
    <col min="4614" max="4614" width="12.5703125" style="10" bestFit="1" customWidth="1"/>
    <col min="4615" max="4615" width="5" style="10" customWidth="1"/>
    <col min="4616" max="4616" width="12.5703125" style="10" customWidth="1"/>
    <col min="4617" max="4618" width="9.140625" style="10"/>
    <col min="4619" max="4619" width="12.5703125" style="10" bestFit="1" customWidth="1"/>
    <col min="4620" max="4866" width="9.140625" style="10"/>
    <col min="4867" max="4867" width="4.5703125" style="10" bestFit="1" customWidth="1"/>
    <col min="4868" max="4868" width="8.140625" style="10" bestFit="1" customWidth="1"/>
    <col min="4869" max="4869" width="12.85546875" style="10" bestFit="1" customWidth="1"/>
    <col min="4870" max="4870" width="12.5703125" style="10" bestFit="1" customWidth="1"/>
    <col min="4871" max="4871" width="5" style="10" customWidth="1"/>
    <col min="4872" max="4872" width="12.5703125" style="10" customWidth="1"/>
    <col min="4873" max="4874" width="9.140625" style="10"/>
    <col min="4875" max="4875" width="12.5703125" style="10" bestFit="1" customWidth="1"/>
    <col min="4876" max="5122" width="9.140625" style="10"/>
    <col min="5123" max="5123" width="4.5703125" style="10" bestFit="1" customWidth="1"/>
    <col min="5124" max="5124" width="8.140625" style="10" bestFit="1" customWidth="1"/>
    <col min="5125" max="5125" width="12.85546875" style="10" bestFit="1" customWidth="1"/>
    <col min="5126" max="5126" width="12.5703125" style="10" bestFit="1" customWidth="1"/>
    <col min="5127" max="5127" width="5" style="10" customWidth="1"/>
    <col min="5128" max="5128" width="12.5703125" style="10" customWidth="1"/>
    <col min="5129" max="5130" width="9.140625" style="10"/>
    <col min="5131" max="5131" width="12.5703125" style="10" bestFit="1" customWidth="1"/>
    <col min="5132" max="5378" width="9.140625" style="10"/>
    <col min="5379" max="5379" width="4.5703125" style="10" bestFit="1" customWidth="1"/>
    <col min="5380" max="5380" width="8.140625" style="10" bestFit="1" customWidth="1"/>
    <col min="5381" max="5381" width="12.85546875" style="10" bestFit="1" customWidth="1"/>
    <col min="5382" max="5382" width="12.5703125" style="10" bestFit="1" customWidth="1"/>
    <col min="5383" max="5383" width="5" style="10" customWidth="1"/>
    <col min="5384" max="5384" width="12.5703125" style="10" customWidth="1"/>
    <col min="5385" max="5386" width="9.140625" style="10"/>
    <col min="5387" max="5387" width="12.5703125" style="10" bestFit="1" customWidth="1"/>
    <col min="5388" max="5634" width="9.140625" style="10"/>
    <col min="5635" max="5635" width="4.5703125" style="10" bestFit="1" customWidth="1"/>
    <col min="5636" max="5636" width="8.140625" style="10" bestFit="1" customWidth="1"/>
    <col min="5637" max="5637" width="12.85546875" style="10" bestFit="1" customWidth="1"/>
    <col min="5638" max="5638" width="12.5703125" style="10" bestFit="1" customWidth="1"/>
    <col min="5639" max="5639" width="5" style="10" customWidth="1"/>
    <col min="5640" max="5640" width="12.5703125" style="10" customWidth="1"/>
    <col min="5641" max="5642" width="9.140625" style="10"/>
    <col min="5643" max="5643" width="12.5703125" style="10" bestFit="1" customWidth="1"/>
    <col min="5644" max="5890" width="9.140625" style="10"/>
    <col min="5891" max="5891" width="4.5703125" style="10" bestFit="1" customWidth="1"/>
    <col min="5892" max="5892" width="8.140625" style="10" bestFit="1" customWidth="1"/>
    <col min="5893" max="5893" width="12.85546875" style="10" bestFit="1" customWidth="1"/>
    <col min="5894" max="5894" width="12.5703125" style="10" bestFit="1" customWidth="1"/>
    <col min="5895" max="5895" width="5" style="10" customWidth="1"/>
    <col min="5896" max="5896" width="12.5703125" style="10" customWidth="1"/>
    <col min="5897" max="5898" width="9.140625" style="10"/>
    <col min="5899" max="5899" width="12.5703125" style="10" bestFit="1" customWidth="1"/>
    <col min="5900" max="6146" width="9.140625" style="10"/>
    <col min="6147" max="6147" width="4.5703125" style="10" bestFit="1" customWidth="1"/>
    <col min="6148" max="6148" width="8.140625" style="10" bestFit="1" customWidth="1"/>
    <col min="6149" max="6149" width="12.85546875" style="10" bestFit="1" customWidth="1"/>
    <col min="6150" max="6150" width="12.5703125" style="10" bestFit="1" customWidth="1"/>
    <col min="6151" max="6151" width="5" style="10" customWidth="1"/>
    <col min="6152" max="6152" width="12.5703125" style="10" customWidth="1"/>
    <col min="6153" max="6154" width="9.140625" style="10"/>
    <col min="6155" max="6155" width="12.5703125" style="10" bestFit="1" customWidth="1"/>
    <col min="6156" max="6402" width="9.140625" style="10"/>
    <col min="6403" max="6403" width="4.5703125" style="10" bestFit="1" customWidth="1"/>
    <col min="6404" max="6404" width="8.140625" style="10" bestFit="1" customWidth="1"/>
    <col min="6405" max="6405" width="12.85546875" style="10" bestFit="1" customWidth="1"/>
    <col min="6406" max="6406" width="12.5703125" style="10" bestFit="1" customWidth="1"/>
    <col min="6407" max="6407" width="5" style="10" customWidth="1"/>
    <col min="6408" max="6408" width="12.5703125" style="10" customWidth="1"/>
    <col min="6409" max="6410" width="9.140625" style="10"/>
    <col min="6411" max="6411" width="12.5703125" style="10" bestFit="1" customWidth="1"/>
    <col min="6412" max="6658" width="9.140625" style="10"/>
    <col min="6659" max="6659" width="4.5703125" style="10" bestFit="1" customWidth="1"/>
    <col min="6660" max="6660" width="8.140625" style="10" bestFit="1" customWidth="1"/>
    <col min="6661" max="6661" width="12.85546875" style="10" bestFit="1" customWidth="1"/>
    <col min="6662" max="6662" width="12.5703125" style="10" bestFit="1" customWidth="1"/>
    <col min="6663" max="6663" width="5" style="10" customWidth="1"/>
    <col min="6664" max="6664" width="12.5703125" style="10" customWidth="1"/>
    <col min="6665" max="6666" width="9.140625" style="10"/>
    <col min="6667" max="6667" width="12.5703125" style="10" bestFit="1" customWidth="1"/>
    <col min="6668" max="6914" width="9.140625" style="10"/>
    <col min="6915" max="6915" width="4.5703125" style="10" bestFit="1" customWidth="1"/>
    <col min="6916" max="6916" width="8.140625" style="10" bestFit="1" customWidth="1"/>
    <col min="6917" max="6917" width="12.85546875" style="10" bestFit="1" customWidth="1"/>
    <col min="6918" max="6918" width="12.5703125" style="10" bestFit="1" customWidth="1"/>
    <col min="6919" max="6919" width="5" style="10" customWidth="1"/>
    <col min="6920" max="6920" width="12.5703125" style="10" customWidth="1"/>
    <col min="6921" max="6922" width="9.140625" style="10"/>
    <col min="6923" max="6923" width="12.5703125" style="10" bestFit="1" customWidth="1"/>
    <col min="6924" max="7170" width="9.140625" style="10"/>
    <col min="7171" max="7171" width="4.5703125" style="10" bestFit="1" customWidth="1"/>
    <col min="7172" max="7172" width="8.140625" style="10" bestFit="1" customWidth="1"/>
    <col min="7173" max="7173" width="12.85546875" style="10" bestFit="1" customWidth="1"/>
    <col min="7174" max="7174" width="12.5703125" style="10" bestFit="1" customWidth="1"/>
    <col min="7175" max="7175" width="5" style="10" customWidth="1"/>
    <col min="7176" max="7176" width="12.5703125" style="10" customWidth="1"/>
    <col min="7177" max="7178" width="9.140625" style="10"/>
    <col min="7179" max="7179" width="12.5703125" style="10" bestFit="1" customWidth="1"/>
    <col min="7180" max="7426" width="9.140625" style="10"/>
    <col min="7427" max="7427" width="4.5703125" style="10" bestFit="1" customWidth="1"/>
    <col min="7428" max="7428" width="8.140625" style="10" bestFit="1" customWidth="1"/>
    <col min="7429" max="7429" width="12.85546875" style="10" bestFit="1" customWidth="1"/>
    <col min="7430" max="7430" width="12.5703125" style="10" bestFit="1" customWidth="1"/>
    <col min="7431" max="7431" width="5" style="10" customWidth="1"/>
    <col min="7432" max="7432" width="12.5703125" style="10" customWidth="1"/>
    <col min="7433" max="7434" width="9.140625" style="10"/>
    <col min="7435" max="7435" width="12.5703125" style="10" bestFit="1" customWidth="1"/>
    <col min="7436" max="7682" width="9.140625" style="10"/>
    <col min="7683" max="7683" width="4.5703125" style="10" bestFit="1" customWidth="1"/>
    <col min="7684" max="7684" width="8.140625" style="10" bestFit="1" customWidth="1"/>
    <col min="7685" max="7685" width="12.85546875" style="10" bestFit="1" customWidth="1"/>
    <col min="7686" max="7686" width="12.5703125" style="10" bestFit="1" customWidth="1"/>
    <col min="7687" max="7687" width="5" style="10" customWidth="1"/>
    <col min="7688" max="7688" width="12.5703125" style="10" customWidth="1"/>
    <col min="7689" max="7690" width="9.140625" style="10"/>
    <col min="7691" max="7691" width="12.5703125" style="10" bestFit="1" customWidth="1"/>
    <col min="7692" max="7938" width="9.140625" style="10"/>
    <col min="7939" max="7939" width="4.5703125" style="10" bestFit="1" customWidth="1"/>
    <col min="7940" max="7940" width="8.140625" style="10" bestFit="1" customWidth="1"/>
    <col min="7941" max="7941" width="12.85546875" style="10" bestFit="1" customWidth="1"/>
    <col min="7942" max="7942" width="12.5703125" style="10" bestFit="1" customWidth="1"/>
    <col min="7943" max="7943" width="5" style="10" customWidth="1"/>
    <col min="7944" max="7944" width="12.5703125" style="10" customWidth="1"/>
    <col min="7945" max="7946" width="9.140625" style="10"/>
    <col min="7947" max="7947" width="12.5703125" style="10" bestFit="1" customWidth="1"/>
    <col min="7948" max="8194" width="9.140625" style="10"/>
    <col min="8195" max="8195" width="4.5703125" style="10" bestFit="1" customWidth="1"/>
    <col min="8196" max="8196" width="8.140625" style="10" bestFit="1" customWidth="1"/>
    <col min="8197" max="8197" width="12.85546875" style="10" bestFit="1" customWidth="1"/>
    <col min="8198" max="8198" width="12.5703125" style="10" bestFit="1" customWidth="1"/>
    <col min="8199" max="8199" width="5" style="10" customWidth="1"/>
    <col min="8200" max="8200" width="12.5703125" style="10" customWidth="1"/>
    <col min="8201" max="8202" width="9.140625" style="10"/>
    <col min="8203" max="8203" width="12.5703125" style="10" bestFit="1" customWidth="1"/>
    <col min="8204" max="8450" width="9.140625" style="10"/>
    <col min="8451" max="8451" width="4.5703125" style="10" bestFit="1" customWidth="1"/>
    <col min="8452" max="8452" width="8.140625" style="10" bestFit="1" customWidth="1"/>
    <col min="8453" max="8453" width="12.85546875" style="10" bestFit="1" customWidth="1"/>
    <col min="8454" max="8454" width="12.5703125" style="10" bestFit="1" customWidth="1"/>
    <col min="8455" max="8455" width="5" style="10" customWidth="1"/>
    <col min="8456" max="8456" width="12.5703125" style="10" customWidth="1"/>
    <col min="8457" max="8458" width="9.140625" style="10"/>
    <col min="8459" max="8459" width="12.5703125" style="10" bestFit="1" customWidth="1"/>
    <col min="8460" max="8706" width="9.140625" style="10"/>
    <col min="8707" max="8707" width="4.5703125" style="10" bestFit="1" customWidth="1"/>
    <col min="8708" max="8708" width="8.140625" style="10" bestFit="1" customWidth="1"/>
    <col min="8709" max="8709" width="12.85546875" style="10" bestFit="1" customWidth="1"/>
    <col min="8710" max="8710" width="12.5703125" style="10" bestFit="1" customWidth="1"/>
    <col min="8711" max="8711" width="5" style="10" customWidth="1"/>
    <col min="8712" max="8712" width="12.5703125" style="10" customWidth="1"/>
    <col min="8713" max="8714" width="9.140625" style="10"/>
    <col min="8715" max="8715" width="12.5703125" style="10" bestFit="1" customWidth="1"/>
    <col min="8716" max="8962" width="9.140625" style="10"/>
    <col min="8963" max="8963" width="4.5703125" style="10" bestFit="1" customWidth="1"/>
    <col min="8964" max="8964" width="8.140625" style="10" bestFit="1" customWidth="1"/>
    <col min="8965" max="8965" width="12.85546875" style="10" bestFit="1" customWidth="1"/>
    <col min="8966" max="8966" width="12.5703125" style="10" bestFit="1" customWidth="1"/>
    <col min="8967" max="8967" width="5" style="10" customWidth="1"/>
    <col min="8968" max="8968" width="12.5703125" style="10" customWidth="1"/>
    <col min="8969" max="8970" width="9.140625" style="10"/>
    <col min="8971" max="8971" width="12.5703125" style="10" bestFit="1" customWidth="1"/>
    <col min="8972" max="9218" width="9.140625" style="10"/>
    <col min="9219" max="9219" width="4.5703125" style="10" bestFit="1" customWidth="1"/>
    <col min="9220" max="9220" width="8.140625" style="10" bestFit="1" customWidth="1"/>
    <col min="9221" max="9221" width="12.85546875" style="10" bestFit="1" customWidth="1"/>
    <col min="9222" max="9222" width="12.5703125" style="10" bestFit="1" customWidth="1"/>
    <col min="9223" max="9223" width="5" style="10" customWidth="1"/>
    <col min="9224" max="9224" width="12.5703125" style="10" customWidth="1"/>
    <col min="9225" max="9226" width="9.140625" style="10"/>
    <col min="9227" max="9227" width="12.5703125" style="10" bestFit="1" customWidth="1"/>
    <col min="9228" max="9474" width="9.140625" style="10"/>
    <col min="9475" max="9475" width="4.5703125" style="10" bestFit="1" customWidth="1"/>
    <col min="9476" max="9476" width="8.140625" style="10" bestFit="1" customWidth="1"/>
    <col min="9477" max="9477" width="12.85546875" style="10" bestFit="1" customWidth="1"/>
    <col min="9478" max="9478" width="12.5703125" style="10" bestFit="1" customWidth="1"/>
    <col min="9479" max="9479" width="5" style="10" customWidth="1"/>
    <col min="9480" max="9480" width="12.5703125" style="10" customWidth="1"/>
    <col min="9481" max="9482" width="9.140625" style="10"/>
    <col min="9483" max="9483" width="12.5703125" style="10" bestFit="1" customWidth="1"/>
    <col min="9484" max="9730" width="9.140625" style="10"/>
    <col min="9731" max="9731" width="4.5703125" style="10" bestFit="1" customWidth="1"/>
    <col min="9732" max="9732" width="8.140625" style="10" bestFit="1" customWidth="1"/>
    <col min="9733" max="9733" width="12.85546875" style="10" bestFit="1" customWidth="1"/>
    <col min="9734" max="9734" width="12.5703125" style="10" bestFit="1" customWidth="1"/>
    <col min="9735" max="9735" width="5" style="10" customWidth="1"/>
    <col min="9736" max="9736" width="12.5703125" style="10" customWidth="1"/>
    <col min="9737" max="9738" width="9.140625" style="10"/>
    <col min="9739" max="9739" width="12.5703125" style="10" bestFit="1" customWidth="1"/>
    <col min="9740" max="9986" width="9.140625" style="10"/>
    <col min="9987" max="9987" width="4.5703125" style="10" bestFit="1" customWidth="1"/>
    <col min="9988" max="9988" width="8.140625" style="10" bestFit="1" customWidth="1"/>
    <col min="9989" max="9989" width="12.85546875" style="10" bestFit="1" customWidth="1"/>
    <col min="9990" max="9990" width="12.5703125" style="10" bestFit="1" customWidth="1"/>
    <col min="9991" max="9991" width="5" style="10" customWidth="1"/>
    <col min="9992" max="9992" width="12.5703125" style="10" customWidth="1"/>
    <col min="9993" max="9994" width="9.140625" style="10"/>
    <col min="9995" max="9995" width="12.5703125" style="10" bestFit="1" customWidth="1"/>
    <col min="9996" max="10242" width="9.140625" style="10"/>
    <col min="10243" max="10243" width="4.5703125" style="10" bestFit="1" customWidth="1"/>
    <col min="10244" max="10244" width="8.140625" style="10" bestFit="1" customWidth="1"/>
    <col min="10245" max="10245" width="12.85546875" style="10" bestFit="1" customWidth="1"/>
    <col min="10246" max="10246" width="12.5703125" style="10" bestFit="1" customWidth="1"/>
    <col min="10247" max="10247" width="5" style="10" customWidth="1"/>
    <col min="10248" max="10248" width="12.5703125" style="10" customWidth="1"/>
    <col min="10249" max="10250" width="9.140625" style="10"/>
    <col min="10251" max="10251" width="12.5703125" style="10" bestFit="1" customWidth="1"/>
    <col min="10252" max="10498" width="9.140625" style="10"/>
    <col min="10499" max="10499" width="4.5703125" style="10" bestFit="1" customWidth="1"/>
    <col min="10500" max="10500" width="8.140625" style="10" bestFit="1" customWidth="1"/>
    <col min="10501" max="10501" width="12.85546875" style="10" bestFit="1" customWidth="1"/>
    <col min="10502" max="10502" width="12.5703125" style="10" bestFit="1" customWidth="1"/>
    <col min="10503" max="10503" width="5" style="10" customWidth="1"/>
    <col min="10504" max="10504" width="12.5703125" style="10" customWidth="1"/>
    <col min="10505" max="10506" width="9.140625" style="10"/>
    <col min="10507" max="10507" width="12.5703125" style="10" bestFit="1" customWidth="1"/>
    <col min="10508" max="10754" width="9.140625" style="10"/>
    <col min="10755" max="10755" width="4.5703125" style="10" bestFit="1" customWidth="1"/>
    <col min="10756" max="10756" width="8.140625" style="10" bestFit="1" customWidth="1"/>
    <col min="10757" max="10757" width="12.85546875" style="10" bestFit="1" customWidth="1"/>
    <col min="10758" max="10758" width="12.5703125" style="10" bestFit="1" customWidth="1"/>
    <col min="10759" max="10759" width="5" style="10" customWidth="1"/>
    <col min="10760" max="10760" width="12.5703125" style="10" customWidth="1"/>
    <col min="10761" max="10762" width="9.140625" style="10"/>
    <col min="10763" max="10763" width="12.5703125" style="10" bestFit="1" customWidth="1"/>
    <col min="10764" max="11010" width="9.140625" style="10"/>
    <col min="11011" max="11011" width="4.5703125" style="10" bestFit="1" customWidth="1"/>
    <col min="11012" max="11012" width="8.140625" style="10" bestFit="1" customWidth="1"/>
    <col min="11013" max="11013" width="12.85546875" style="10" bestFit="1" customWidth="1"/>
    <col min="11014" max="11014" width="12.5703125" style="10" bestFit="1" customWidth="1"/>
    <col min="11015" max="11015" width="5" style="10" customWidth="1"/>
    <col min="11016" max="11016" width="12.5703125" style="10" customWidth="1"/>
    <col min="11017" max="11018" width="9.140625" style="10"/>
    <col min="11019" max="11019" width="12.5703125" style="10" bestFit="1" customWidth="1"/>
    <col min="11020" max="11266" width="9.140625" style="10"/>
    <col min="11267" max="11267" width="4.5703125" style="10" bestFit="1" customWidth="1"/>
    <col min="11268" max="11268" width="8.140625" style="10" bestFit="1" customWidth="1"/>
    <col min="11269" max="11269" width="12.85546875" style="10" bestFit="1" customWidth="1"/>
    <col min="11270" max="11270" width="12.5703125" style="10" bestFit="1" customWidth="1"/>
    <col min="11271" max="11271" width="5" style="10" customWidth="1"/>
    <col min="11272" max="11272" width="12.5703125" style="10" customWidth="1"/>
    <col min="11273" max="11274" width="9.140625" style="10"/>
    <col min="11275" max="11275" width="12.5703125" style="10" bestFit="1" customWidth="1"/>
    <col min="11276" max="11522" width="9.140625" style="10"/>
    <col min="11523" max="11523" width="4.5703125" style="10" bestFit="1" customWidth="1"/>
    <col min="11524" max="11524" width="8.140625" style="10" bestFit="1" customWidth="1"/>
    <col min="11525" max="11525" width="12.85546875" style="10" bestFit="1" customWidth="1"/>
    <col min="11526" max="11526" width="12.5703125" style="10" bestFit="1" customWidth="1"/>
    <col min="11527" max="11527" width="5" style="10" customWidth="1"/>
    <col min="11528" max="11528" width="12.5703125" style="10" customWidth="1"/>
    <col min="11529" max="11530" width="9.140625" style="10"/>
    <col min="11531" max="11531" width="12.5703125" style="10" bestFit="1" customWidth="1"/>
    <col min="11532" max="11778" width="9.140625" style="10"/>
    <col min="11779" max="11779" width="4.5703125" style="10" bestFit="1" customWidth="1"/>
    <col min="11780" max="11780" width="8.140625" style="10" bestFit="1" customWidth="1"/>
    <col min="11781" max="11781" width="12.85546875" style="10" bestFit="1" customWidth="1"/>
    <col min="11782" max="11782" width="12.5703125" style="10" bestFit="1" customWidth="1"/>
    <col min="11783" max="11783" width="5" style="10" customWidth="1"/>
    <col min="11784" max="11784" width="12.5703125" style="10" customWidth="1"/>
    <col min="11785" max="11786" width="9.140625" style="10"/>
    <col min="11787" max="11787" width="12.5703125" style="10" bestFit="1" customWidth="1"/>
    <col min="11788" max="12034" width="9.140625" style="10"/>
    <col min="12035" max="12035" width="4.5703125" style="10" bestFit="1" customWidth="1"/>
    <col min="12036" max="12036" width="8.140625" style="10" bestFit="1" customWidth="1"/>
    <col min="12037" max="12037" width="12.85546875" style="10" bestFit="1" customWidth="1"/>
    <col min="12038" max="12038" width="12.5703125" style="10" bestFit="1" customWidth="1"/>
    <col min="12039" max="12039" width="5" style="10" customWidth="1"/>
    <col min="12040" max="12040" width="12.5703125" style="10" customWidth="1"/>
    <col min="12041" max="12042" width="9.140625" style="10"/>
    <col min="12043" max="12043" width="12.5703125" style="10" bestFit="1" customWidth="1"/>
    <col min="12044" max="12290" width="9.140625" style="10"/>
    <col min="12291" max="12291" width="4.5703125" style="10" bestFit="1" customWidth="1"/>
    <col min="12292" max="12292" width="8.140625" style="10" bestFit="1" customWidth="1"/>
    <col min="12293" max="12293" width="12.85546875" style="10" bestFit="1" customWidth="1"/>
    <col min="12294" max="12294" width="12.5703125" style="10" bestFit="1" customWidth="1"/>
    <col min="12295" max="12295" width="5" style="10" customWidth="1"/>
    <col min="12296" max="12296" width="12.5703125" style="10" customWidth="1"/>
    <col min="12297" max="12298" width="9.140625" style="10"/>
    <col min="12299" max="12299" width="12.5703125" style="10" bestFit="1" customWidth="1"/>
    <col min="12300" max="12546" width="9.140625" style="10"/>
    <col min="12547" max="12547" width="4.5703125" style="10" bestFit="1" customWidth="1"/>
    <col min="12548" max="12548" width="8.140625" style="10" bestFit="1" customWidth="1"/>
    <col min="12549" max="12549" width="12.85546875" style="10" bestFit="1" customWidth="1"/>
    <col min="12550" max="12550" width="12.5703125" style="10" bestFit="1" customWidth="1"/>
    <col min="12551" max="12551" width="5" style="10" customWidth="1"/>
    <col min="12552" max="12552" width="12.5703125" style="10" customWidth="1"/>
    <col min="12553" max="12554" width="9.140625" style="10"/>
    <col min="12555" max="12555" width="12.5703125" style="10" bestFit="1" customWidth="1"/>
    <col min="12556" max="12802" width="9.140625" style="10"/>
    <col min="12803" max="12803" width="4.5703125" style="10" bestFit="1" customWidth="1"/>
    <col min="12804" max="12804" width="8.140625" style="10" bestFit="1" customWidth="1"/>
    <col min="12805" max="12805" width="12.85546875" style="10" bestFit="1" customWidth="1"/>
    <col min="12806" max="12806" width="12.5703125" style="10" bestFit="1" customWidth="1"/>
    <col min="12807" max="12807" width="5" style="10" customWidth="1"/>
    <col min="12808" max="12808" width="12.5703125" style="10" customWidth="1"/>
    <col min="12809" max="12810" width="9.140625" style="10"/>
    <col min="12811" max="12811" width="12.5703125" style="10" bestFit="1" customWidth="1"/>
    <col min="12812" max="13058" width="9.140625" style="10"/>
    <col min="13059" max="13059" width="4.5703125" style="10" bestFit="1" customWidth="1"/>
    <col min="13060" max="13060" width="8.140625" style="10" bestFit="1" customWidth="1"/>
    <col min="13061" max="13061" width="12.85546875" style="10" bestFit="1" customWidth="1"/>
    <col min="13062" max="13062" width="12.5703125" style="10" bestFit="1" customWidth="1"/>
    <col min="13063" max="13063" width="5" style="10" customWidth="1"/>
    <col min="13064" max="13064" width="12.5703125" style="10" customWidth="1"/>
    <col min="13065" max="13066" width="9.140625" style="10"/>
    <col min="13067" max="13067" width="12.5703125" style="10" bestFit="1" customWidth="1"/>
    <col min="13068" max="13314" width="9.140625" style="10"/>
    <col min="13315" max="13315" width="4.5703125" style="10" bestFit="1" customWidth="1"/>
    <col min="13316" max="13316" width="8.140625" style="10" bestFit="1" customWidth="1"/>
    <col min="13317" max="13317" width="12.85546875" style="10" bestFit="1" customWidth="1"/>
    <col min="13318" max="13318" width="12.5703125" style="10" bestFit="1" customWidth="1"/>
    <col min="13319" max="13319" width="5" style="10" customWidth="1"/>
    <col min="13320" max="13320" width="12.5703125" style="10" customWidth="1"/>
    <col min="13321" max="13322" width="9.140625" style="10"/>
    <col min="13323" max="13323" width="12.5703125" style="10" bestFit="1" customWidth="1"/>
    <col min="13324" max="13570" width="9.140625" style="10"/>
    <col min="13571" max="13571" width="4.5703125" style="10" bestFit="1" customWidth="1"/>
    <col min="13572" max="13572" width="8.140625" style="10" bestFit="1" customWidth="1"/>
    <col min="13573" max="13573" width="12.85546875" style="10" bestFit="1" customWidth="1"/>
    <col min="13574" max="13574" width="12.5703125" style="10" bestFit="1" customWidth="1"/>
    <col min="13575" max="13575" width="5" style="10" customWidth="1"/>
    <col min="13576" max="13576" width="12.5703125" style="10" customWidth="1"/>
    <col min="13577" max="13578" width="9.140625" style="10"/>
    <col min="13579" max="13579" width="12.5703125" style="10" bestFit="1" customWidth="1"/>
    <col min="13580" max="13826" width="9.140625" style="10"/>
    <col min="13827" max="13827" width="4.5703125" style="10" bestFit="1" customWidth="1"/>
    <col min="13828" max="13828" width="8.140625" style="10" bestFit="1" customWidth="1"/>
    <col min="13829" max="13829" width="12.85546875" style="10" bestFit="1" customWidth="1"/>
    <col min="13830" max="13830" width="12.5703125" style="10" bestFit="1" customWidth="1"/>
    <col min="13831" max="13831" width="5" style="10" customWidth="1"/>
    <col min="13832" max="13832" width="12.5703125" style="10" customWidth="1"/>
    <col min="13833" max="13834" width="9.140625" style="10"/>
    <col min="13835" max="13835" width="12.5703125" style="10" bestFit="1" customWidth="1"/>
    <col min="13836" max="14082" width="9.140625" style="10"/>
    <col min="14083" max="14083" width="4.5703125" style="10" bestFit="1" customWidth="1"/>
    <col min="14084" max="14084" width="8.140625" style="10" bestFit="1" customWidth="1"/>
    <col min="14085" max="14085" width="12.85546875" style="10" bestFit="1" customWidth="1"/>
    <col min="14086" max="14086" width="12.5703125" style="10" bestFit="1" customWidth="1"/>
    <col min="14087" max="14087" width="5" style="10" customWidth="1"/>
    <col min="14088" max="14088" width="12.5703125" style="10" customWidth="1"/>
    <col min="14089" max="14090" width="9.140625" style="10"/>
    <col min="14091" max="14091" width="12.5703125" style="10" bestFit="1" customWidth="1"/>
    <col min="14092" max="14338" width="9.140625" style="10"/>
    <col min="14339" max="14339" width="4.5703125" style="10" bestFit="1" customWidth="1"/>
    <col min="14340" max="14340" width="8.140625" style="10" bestFit="1" customWidth="1"/>
    <col min="14341" max="14341" width="12.85546875" style="10" bestFit="1" customWidth="1"/>
    <col min="14342" max="14342" width="12.5703125" style="10" bestFit="1" customWidth="1"/>
    <col min="14343" max="14343" width="5" style="10" customWidth="1"/>
    <col min="14344" max="14344" width="12.5703125" style="10" customWidth="1"/>
    <col min="14345" max="14346" width="9.140625" style="10"/>
    <col min="14347" max="14347" width="12.5703125" style="10" bestFit="1" customWidth="1"/>
    <col min="14348" max="14594" width="9.140625" style="10"/>
    <col min="14595" max="14595" width="4.5703125" style="10" bestFit="1" customWidth="1"/>
    <col min="14596" max="14596" width="8.140625" style="10" bestFit="1" customWidth="1"/>
    <col min="14597" max="14597" width="12.85546875" style="10" bestFit="1" customWidth="1"/>
    <col min="14598" max="14598" width="12.5703125" style="10" bestFit="1" customWidth="1"/>
    <col min="14599" max="14599" width="5" style="10" customWidth="1"/>
    <col min="14600" max="14600" width="12.5703125" style="10" customWidth="1"/>
    <col min="14601" max="14602" width="9.140625" style="10"/>
    <col min="14603" max="14603" width="12.5703125" style="10" bestFit="1" customWidth="1"/>
    <col min="14604" max="14850" width="9.140625" style="10"/>
    <col min="14851" max="14851" width="4.5703125" style="10" bestFit="1" customWidth="1"/>
    <col min="14852" max="14852" width="8.140625" style="10" bestFit="1" customWidth="1"/>
    <col min="14853" max="14853" width="12.85546875" style="10" bestFit="1" customWidth="1"/>
    <col min="14854" max="14854" width="12.5703125" style="10" bestFit="1" customWidth="1"/>
    <col min="14855" max="14855" width="5" style="10" customWidth="1"/>
    <col min="14856" max="14856" width="12.5703125" style="10" customWidth="1"/>
    <col min="14857" max="14858" width="9.140625" style="10"/>
    <col min="14859" max="14859" width="12.5703125" style="10" bestFit="1" customWidth="1"/>
    <col min="14860" max="15106" width="9.140625" style="10"/>
    <col min="15107" max="15107" width="4.5703125" style="10" bestFit="1" customWidth="1"/>
    <col min="15108" max="15108" width="8.140625" style="10" bestFit="1" customWidth="1"/>
    <col min="15109" max="15109" width="12.85546875" style="10" bestFit="1" customWidth="1"/>
    <col min="15110" max="15110" width="12.5703125" style="10" bestFit="1" customWidth="1"/>
    <col min="15111" max="15111" width="5" style="10" customWidth="1"/>
    <col min="15112" max="15112" width="12.5703125" style="10" customWidth="1"/>
    <col min="15113" max="15114" width="9.140625" style="10"/>
    <col min="15115" max="15115" width="12.5703125" style="10" bestFit="1" customWidth="1"/>
    <col min="15116" max="15362" width="9.140625" style="10"/>
    <col min="15363" max="15363" width="4.5703125" style="10" bestFit="1" customWidth="1"/>
    <col min="15364" max="15364" width="8.140625" style="10" bestFit="1" customWidth="1"/>
    <col min="15365" max="15365" width="12.85546875" style="10" bestFit="1" customWidth="1"/>
    <col min="15366" max="15366" width="12.5703125" style="10" bestFit="1" customWidth="1"/>
    <col min="15367" max="15367" width="5" style="10" customWidth="1"/>
    <col min="15368" max="15368" width="12.5703125" style="10" customWidth="1"/>
    <col min="15369" max="15370" width="9.140625" style="10"/>
    <col min="15371" max="15371" width="12.5703125" style="10" bestFit="1" customWidth="1"/>
    <col min="15372" max="15618" width="9.140625" style="10"/>
    <col min="15619" max="15619" width="4.5703125" style="10" bestFit="1" customWidth="1"/>
    <col min="15620" max="15620" width="8.140625" style="10" bestFit="1" customWidth="1"/>
    <col min="15621" max="15621" width="12.85546875" style="10" bestFit="1" customWidth="1"/>
    <col min="15622" max="15622" width="12.5703125" style="10" bestFit="1" customWidth="1"/>
    <col min="15623" max="15623" width="5" style="10" customWidth="1"/>
    <col min="15624" max="15624" width="12.5703125" style="10" customWidth="1"/>
    <col min="15625" max="15626" width="9.140625" style="10"/>
    <col min="15627" max="15627" width="12.5703125" style="10" bestFit="1" customWidth="1"/>
    <col min="15628" max="15874" width="9.140625" style="10"/>
    <col min="15875" max="15875" width="4.5703125" style="10" bestFit="1" customWidth="1"/>
    <col min="15876" max="15876" width="8.140625" style="10" bestFit="1" customWidth="1"/>
    <col min="15877" max="15877" width="12.85546875" style="10" bestFit="1" customWidth="1"/>
    <col min="15878" max="15878" width="12.5703125" style="10" bestFit="1" customWidth="1"/>
    <col min="15879" max="15879" width="5" style="10" customWidth="1"/>
    <col min="15880" max="15880" width="12.5703125" style="10" customWidth="1"/>
    <col min="15881" max="15882" width="9.140625" style="10"/>
    <col min="15883" max="15883" width="12.5703125" style="10" bestFit="1" customWidth="1"/>
    <col min="15884" max="16130" width="9.140625" style="10"/>
    <col min="16131" max="16131" width="4.5703125" style="10" bestFit="1" customWidth="1"/>
    <col min="16132" max="16132" width="8.140625" style="10" bestFit="1" customWidth="1"/>
    <col min="16133" max="16133" width="12.85546875" style="10" bestFit="1" customWidth="1"/>
    <col min="16134" max="16134" width="12.5703125" style="10" bestFit="1" customWidth="1"/>
    <col min="16135" max="16135" width="5" style="10" customWidth="1"/>
    <col min="16136" max="16136" width="12.5703125" style="10" customWidth="1"/>
    <col min="16137" max="16138" width="9.140625" style="10"/>
    <col min="16139" max="16139" width="12.5703125" style="10" bestFit="1" customWidth="1"/>
    <col min="16140" max="16384" width="9.140625" style="10"/>
  </cols>
  <sheetData>
    <row r="1" spans="2:8" x14ac:dyDescent="0.2">
      <c r="B1" s="355" t="s">
        <v>1253</v>
      </c>
      <c r="C1" s="355"/>
      <c r="D1" s="316" t="s">
        <v>319</v>
      </c>
    </row>
    <row r="2" spans="2:8" x14ac:dyDescent="0.2">
      <c r="B2" s="355" t="s">
        <v>1085</v>
      </c>
      <c r="C2" s="355"/>
      <c r="D2" s="332" t="str">
        <f>VLOOKUP(D$1,TabelContent[],COLUMN(TabelContent[Titel-NL]))</f>
        <v>Benadering functie</v>
      </c>
      <c r="E2" s="65"/>
      <c r="F2" s="66"/>
      <c r="G2" s="59"/>
      <c r="H2" s="59"/>
    </row>
    <row r="3" spans="2:8" x14ac:dyDescent="0.2">
      <c r="B3" s="355" t="s">
        <v>1086</v>
      </c>
      <c r="C3" s="355"/>
      <c r="D3" s="332" t="str">
        <f>VLOOKUP(D$1,TabelContent[],COLUMN(TabelContent[Cat-NL]))</f>
        <v>Wiskunde</v>
      </c>
      <c r="E3" s="65"/>
      <c r="F3" s="66"/>
      <c r="G3" s="59"/>
      <c r="H3" s="59"/>
    </row>
    <row r="4" spans="2:8" x14ac:dyDescent="0.2">
      <c r="B4" s="355" t="s">
        <v>1087</v>
      </c>
      <c r="C4" s="355" t="s">
        <v>1077</v>
      </c>
      <c r="D4" s="332">
        <f>VLOOKUP(D$1,TabelContent[],COLUMN(TabelContent[Niveau]))</f>
        <v>3</v>
      </c>
      <c r="E4" s="65"/>
      <c r="F4" s="66"/>
      <c r="G4" s="59"/>
      <c r="H4" s="59"/>
    </row>
    <row r="5" spans="2:8" x14ac:dyDescent="0.2">
      <c r="B5" s="16"/>
      <c r="C5" s="16"/>
      <c r="D5" s="16"/>
      <c r="E5" s="59"/>
      <c r="F5" s="59"/>
      <c r="G5" s="59"/>
      <c r="H5" s="59"/>
    </row>
    <row r="6" spans="2:8" x14ac:dyDescent="0.2">
      <c r="B6" s="357" t="s">
        <v>47</v>
      </c>
      <c r="C6" s="357"/>
      <c r="D6" s="357"/>
      <c r="E6" s="358"/>
      <c r="F6" s="59"/>
      <c r="G6" s="59"/>
      <c r="H6" s="59"/>
    </row>
    <row r="7" spans="2:8" x14ac:dyDescent="0.2">
      <c r="B7" s="59"/>
      <c r="C7" s="59"/>
      <c r="D7" s="59"/>
      <c r="E7" s="59"/>
      <c r="F7" s="59"/>
      <c r="G7" s="59"/>
      <c r="H7" s="59"/>
    </row>
    <row r="8" spans="2:8" ht="27" x14ac:dyDescent="0.2">
      <c r="B8" s="59"/>
      <c r="C8" s="60" t="s">
        <v>51</v>
      </c>
      <c r="D8" s="61" t="s">
        <v>327</v>
      </c>
      <c r="E8" s="60" t="s">
        <v>328</v>
      </c>
      <c r="F8" s="62" t="s">
        <v>329</v>
      </c>
      <c r="G8" s="59"/>
      <c r="H8" s="63" t="s">
        <v>330</v>
      </c>
    </row>
    <row r="9" spans="2:8" x14ac:dyDescent="0.2">
      <c r="B9" s="59"/>
      <c r="C9" s="64">
        <v>0.1</v>
      </c>
      <c r="D9" s="65">
        <f>(SIN(C9)-C9)/C9^3</f>
        <v>-0.16658335317185077</v>
      </c>
      <c r="E9" s="65">
        <f t="shared" ref="E9:E54" si="0">$H$11*C9^3+$H$12*C9^2+$H$13*C9+$H$14</f>
        <v>-0.16662339999999998</v>
      </c>
      <c r="F9" s="66">
        <f>(E9-D9)^2</f>
        <v>1.6037484448118704E-9</v>
      </c>
      <c r="G9" s="59"/>
      <c r="H9" s="67">
        <f>SUM(F9:F54)</f>
        <v>1.2447641973419778E-7</v>
      </c>
    </row>
    <row r="10" spans="2:8" x14ac:dyDescent="0.2">
      <c r="B10" s="59"/>
      <c r="C10" s="64">
        <f>C9+0.02</f>
        <v>0.12000000000000001</v>
      </c>
      <c r="D10" s="65">
        <f t="shared" ref="D10:D54" si="1">(SIN(C10)-C10)/C10^3</f>
        <v>-0.16654670780129269</v>
      </c>
      <c r="E10" s="65">
        <f t="shared" si="0"/>
        <v>-0.16658765119999999</v>
      </c>
      <c r="F10" s="66">
        <f t="shared" ref="F10:F54" si="2">(E10-D10)^2</f>
        <v>1.6763618977053366E-9</v>
      </c>
      <c r="G10" s="59"/>
      <c r="H10" s="59"/>
    </row>
    <row r="11" spans="2:8" x14ac:dyDescent="0.2">
      <c r="B11" s="59"/>
      <c r="C11" s="64">
        <f t="shared" ref="C11:C54" si="3">C10+0.02</f>
        <v>0.14000000000000001</v>
      </c>
      <c r="D11" s="65">
        <f t="shared" si="1"/>
        <v>-0.16650340953481044</v>
      </c>
      <c r="E11" s="65">
        <f t="shared" si="0"/>
        <v>-0.16654513759999998</v>
      </c>
      <c r="F11" s="66">
        <f t="shared" si="2"/>
        <v>1.7412314244624238E-9</v>
      </c>
      <c r="G11" s="68" t="s">
        <v>331</v>
      </c>
      <c r="H11" s="59">
        <v>-4.0000000000000002E-4</v>
      </c>
    </row>
    <row r="12" spans="2:8" x14ac:dyDescent="0.2">
      <c r="B12" s="59"/>
      <c r="C12" s="64">
        <f t="shared" si="3"/>
        <v>0.16</v>
      </c>
      <c r="D12" s="65">
        <f t="shared" si="1"/>
        <v>-0.16645346331885397</v>
      </c>
      <c r="E12" s="65">
        <f t="shared" si="0"/>
        <v>-0.16649587839999999</v>
      </c>
      <c r="F12" s="66">
        <f t="shared" si="2"/>
        <v>1.7990391086238376E-9</v>
      </c>
      <c r="G12" s="68" t="s">
        <v>332</v>
      </c>
      <c r="H12" s="59">
        <v>8.6E-3</v>
      </c>
    </row>
    <row r="13" spans="2:8" x14ac:dyDescent="0.2">
      <c r="B13" s="59"/>
      <c r="C13" s="64">
        <f t="shared" si="3"/>
        <v>0.18</v>
      </c>
      <c r="D13" s="65">
        <f t="shared" si="1"/>
        <v>-0.16639687485867877</v>
      </c>
      <c r="E13" s="65">
        <f t="shared" si="0"/>
        <v>-0.16643989279999999</v>
      </c>
      <c r="F13" s="66">
        <f t="shared" si="2"/>
        <v>1.850543275516075E-9</v>
      </c>
      <c r="G13" s="68" t="s">
        <v>333</v>
      </c>
      <c r="H13" s="69">
        <v>-9.0000000000000006E-5</v>
      </c>
    </row>
    <row r="14" spans="2:8" x14ac:dyDescent="0.2">
      <c r="B14" s="59"/>
      <c r="C14" s="64">
        <f t="shared" si="3"/>
        <v>0.19999999999999998</v>
      </c>
      <c r="D14" s="65">
        <f t="shared" si="1"/>
        <v>-0.16633365061734937</v>
      </c>
      <c r="E14" s="65">
        <f t="shared" si="0"/>
        <v>-0.16637719999999998</v>
      </c>
      <c r="F14" s="66">
        <f t="shared" si="2"/>
        <v>1.8965487292492062E-9</v>
      </c>
      <c r="G14" s="68" t="s">
        <v>334</v>
      </c>
      <c r="H14" s="59">
        <v>-0.16669999999999999</v>
      </c>
    </row>
    <row r="15" spans="2:8" x14ac:dyDescent="0.2">
      <c r="B15" s="59"/>
      <c r="C15" s="64">
        <f t="shared" si="3"/>
        <v>0.21999999999999997</v>
      </c>
      <c r="D15" s="65">
        <f t="shared" si="1"/>
        <v>-0.16626379781467684</v>
      </c>
      <c r="E15" s="65">
        <f t="shared" si="0"/>
        <v>-0.16630781919999998</v>
      </c>
      <c r="F15" s="66">
        <f t="shared" si="2"/>
        <v>1.93788236576834E-9</v>
      </c>
      <c r="G15" s="59"/>
      <c r="H15" s="59"/>
    </row>
    <row r="16" spans="2:8" x14ac:dyDescent="0.2">
      <c r="B16" s="59"/>
      <c r="C16" s="64">
        <f t="shared" si="3"/>
        <v>0.23999999999999996</v>
      </c>
      <c r="D16" s="65">
        <f t="shared" si="1"/>
        <v>-0.16618732442602821</v>
      </c>
      <c r="E16" s="65">
        <f t="shared" si="0"/>
        <v>-0.1662317696</v>
      </c>
      <c r="F16" s="66">
        <f t="shared" si="2"/>
        <v>1.9753734893822785E-9</v>
      </c>
      <c r="G16" s="59"/>
      <c r="H16" s="59"/>
    </row>
    <row r="17" spans="2:8" x14ac:dyDescent="0.2">
      <c r="B17" s="59"/>
      <c r="C17" s="64">
        <f t="shared" si="3"/>
        <v>0.25999999999999995</v>
      </c>
      <c r="D17" s="65">
        <f t="shared" si="1"/>
        <v>-0.1661042391809793</v>
      </c>
      <c r="E17" s="65">
        <f t="shared" si="0"/>
        <v>-0.16614907039999999</v>
      </c>
      <c r="F17" s="66">
        <f t="shared" si="2"/>
        <v>2.0098381988806869E-9</v>
      </c>
      <c r="G17" s="59"/>
      <c r="H17" s="59"/>
    </row>
    <row r="18" spans="2:8" x14ac:dyDescent="0.2">
      <c r="B18" s="59"/>
      <c r="C18" s="64">
        <f t="shared" si="3"/>
        <v>0.27999999999999997</v>
      </c>
      <c r="D18" s="65">
        <f t="shared" si="1"/>
        <v>-0.16601455156187422</v>
      </c>
      <c r="E18" s="65">
        <f t="shared" si="0"/>
        <v>-0.16605974079999999</v>
      </c>
      <c r="F18" s="66">
        <f t="shared" si="2"/>
        <v>2.0420672423875574E-9</v>
      </c>
      <c r="G18" s="59"/>
      <c r="H18" s="59"/>
    </row>
    <row r="19" spans="2:8" x14ac:dyDescent="0.2">
      <c r="B19" s="59"/>
      <c r="C19" s="64">
        <f t="shared" si="3"/>
        <v>0.3</v>
      </c>
      <c r="D19" s="65">
        <f t="shared" si="1"/>
        <v>-0.16591827180223861</v>
      </c>
      <c r="E19" s="65">
        <f t="shared" si="0"/>
        <v>-0.16596379999999999</v>
      </c>
      <c r="F19" s="66">
        <f t="shared" si="2"/>
        <v>2.0728167913993024E-9</v>
      </c>
      <c r="G19" s="59"/>
      <c r="H19" s="59"/>
    </row>
    <row r="20" spans="2:8" x14ac:dyDescent="0.2">
      <c r="B20" s="59"/>
      <c r="C20" s="64">
        <f t="shared" si="3"/>
        <v>0.32</v>
      </c>
      <c r="D20" s="65">
        <f t="shared" si="1"/>
        <v>-0.1658154108850782</v>
      </c>
      <c r="E20" s="65">
        <f t="shared" si="0"/>
        <v>-0.1658612672</v>
      </c>
      <c r="F20" s="66">
        <f t="shared" si="2"/>
        <v>2.1028016182067353E-9</v>
      </c>
      <c r="G20" s="59"/>
      <c r="H20" s="59"/>
    </row>
    <row r="21" spans="2:8" x14ac:dyDescent="0.2">
      <c r="B21" s="59"/>
      <c r="C21" s="64">
        <f t="shared" si="3"/>
        <v>0.34</v>
      </c>
      <c r="D21" s="65">
        <f t="shared" si="1"/>
        <v>-0.1657059805410549</v>
      </c>
      <c r="E21" s="65">
        <f t="shared" si="0"/>
        <v>-0.16575216159999998</v>
      </c>
      <c r="F21" s="66">
        <f t="shared" si="2"/>
        <v>2.1326902052887034E-9</v>
      </c>
      <c r="G21" s="59"/>
      <c r="H21" s="59"/>
    </row>
    <row r="22" spans="2:8" x14ac:dyDescent="0.2">
      <c r="B22" s="59"/>
      <c r="C22" s="64">
        <f t="shared" si="3"/>
        <v>0.36000000000000004</v>
      </c>
      <c r="D22" s="65">
        <f t="shared" si="1"/>
        <v>-0.16558999324652868</v>
      </c>
      <c r="E22" s="65">
        <f t="shared" si="0"/>
        <v>-0.1656365024</v>
      </c>
      <c r="F22" s="66">
        <f t="shared" si="2"/>
        <v>2.1631013566187152E-9</v>
      </c>
      <c r="G22" s="59"/>
      <c r="H22" s="59"/>
    </row>
    <row r="23" spans="2:8" x14ac:dyDescent="0.2">
      <c r="B23" s="59"/>
      <c r="C23" s="64">
        <f t="shared" si="3"/>
        <v>0.38000000000000006</v>
      </c>
      <c r="D23" s="65">
        <f t="shared" si="1"/>
        <v>-0.16546746222148492</v>
      </c>
      <c r="E23" s="65">
        <f t="shared" si="0"/>
        <v>-0.16551430879999998</v>
      </c>
      <c r="F23" s="66">
        <f t="shared" si="2"/>
        <v>2.1946019185675375E-9</v>
      </c>
      <c r="G23" s="59"/>
      <c r="H23" s="59"/>
    </row>
    <row r="24" spans="2:8" x14ac:dyDescent="0.2">
      <c r="B24" s="59"/>
      <c r="C24" s="64">
        <f t="shared" si="3"/>
        <v>0.40000000000000008</v>
      </c>
      <c r="D24" s="65">
        <f t="shared" si="1"/>
        <v>-0.16533840142733586</v>
      </c>
      <c r="E24" s="65">
        <f t="shared" si="0"/>
        <v>-0.16538559999999999</v>
      </c>
      <c r="F24" s="66">
        <f t="shared" si="2"/>
        <v>2.2277052615317854E-9</v>
      </c>
      <c r="G24" s="59"/>
      <c r="H24" s="59"/>
    </row>
    <row r="25" spans="2:8" x14ac:dyDescent="0.2">
      <c r="B25" s="59"/>
      <c r="C25" s="64">
        <f t="shared" si="3"/>
        <v>0.4200000000000001</v>
      </c>
      <c r="D25" s="65">
        <f t="shared" si="1"/>
        <v>-0.16520282556459651</v>
      </c>
      <c r="E25" s="65">
        <f t="shared" si="0"/>
        <v>-0.16525039519999998</v>
      </c>
      <c r="F25" s="66">
        <f t="shared" si="2"/>
        <v>2.2628702124197456E-9</v>
      </c>
      <c r="G25" s="59"/>
      <c r="H25" s="59"/>
    </row>
    <row r="26" spans="2:8" x14ac:dyDescent="0.2">
      <c r="B26" s="59"/>
      <c r="C26" s="64">
        <f>C25+0.02</f>
        <v>0.44000000000000011</v>
      </c>
      <c r="D26" s="65">
        <f t="shared" si="1"/>
        <v>-0.16506075007044022</v>
      </c>
      <c r="E26" s="65">
        <f t="shared" si="0"/>
        <v>-0.16510871359999998</v>
      </c>
      <c r="F26" s="66">
        <f t="shared" si="2"/>
        <v>2.3005001678308464E-9</v>
      </c>
      <c r="G26" s="59"/>
      <c r="H26" s="59"/>
    </row>
    <row r="27" spans="2:8" x14ac:dyDescent="0.2">
      <c r="B27" s="59"/>
      <c r="C27" s="64">
        <f t="shared" si="3"/>
        <v>0.46000000000000013</v>
      </c>
      <c r="D27" s="65">
        <f t="shared" si="1"/>
        <v>-0.16491219111613609</v>
      </c>
      <c r="E27" s="65">
        <f t="shared" si="0"/>
        <v>-0.16496057439999998</v>
      </c>
      <c r="F27" s="66">
        <f t="shared" si="2"/>
        <v>2.3409421574537384E-9</v>
      </c>
      <c r="G27" s="59"/>
      <c r="H27" s="59"/>
    </row>
    <row r="28" spans="2:8" x14ac:dyDescent="0.2">
      <c r="B28" s="59"/>
      <c r="C28" s="64">
        <f t="shared" si="3"/>
        <v>0.48000000000000015</v>
      </c>
      <c r="D28" s="65">
        <f t="shared" si="1"/>
        <v>-0.16475716560435766</v>
      </c>
      <c r="E28" s="65">
        <f t="shared" si="0"/>
        <v>-0.16480599679999999</v>
      </c>
      <c r="F28" s="66">
        <f t="shared" si="2"/>
        <v>2.3844856678599814E-9</v>
      </c>
      <c r="G28" s="59"/>
      <c r="H28" s="59"/>
    </row>
    <row r="29" spans="2:8" x14ac:dyDescent="0.2">
      <c r="B29" s="59"/>
      <c r="C29" s="64">
        <f t="shared" si="3"/>
        <v>0.50000000000000011</v>
      </c>
      <c r="D29" s="65">
        <f t="shared" si="1"/>
        <v>-0.16459569116637585</v>
      </c>
      <c r="E29" s="65">
        <f t="shared" si="0"/>
        <v>-0.16464499999999999</v>
      </c>
      <c r="F29" s="66">
        <f t="shared" si="2"/>
        <v>2.4313610733731046E-9</v>
      </c>
      <c r="G29" s="59"/>
      <c r="H29" s="59"/>
    </row>
    <row r="30" spans="2:8" x14ac:dyDescent="0.2">
      <c r="B30" s="59"/>
      <c r="C30" s="64">
        <f t="shared" si="3"/>
        <v>0.52000000000000013</v>
      </c>
      <c r="D30" s="65">
        <f t="shared" si="1"/>
        <v>-0.16442778615913256</v>
      </c>
      <c r="E30" s="65">
        <f t="shared" si="0"/>
        <v>-0.16447760319999999</v>
      </c>
      <c r="F30" s="66">
        <f t="shared" si="2"/>
        <v>2.4817375607870024E-9</v>
      </c>
      <c r="G30" s="59"/>
      <c r="H30" s="59"/>
    </row>
    <row r="31" spans="2:8" x14ac:dyDescent="0.2">
      <c r="B31" s="59"/>
      <c r="C31" s="64">
        <f t="shared" si="3"/>
        <v>0.54000000000000015</v>
      </c>
      <c r="D31" s="65">
        <f t="shared" si="1"/>
        <v>-0.16425346966218907</v>
      </c>
      <c r="E31" s="65">
        <f t="shared" si="0"/>
        <v>-0.16430382559999998</v>
      </c>
      <c r="F31" s="66">
        <f t="shared" si="2"/>
        <v>2.5357204728166569E-9</v>
      </c>
      <c r="G31" s="59"/>
      <c r="H31" s="59"/>
    </row>
    <row r="32" spans="2:8" x14ac:dyDescent="0.2">
      <c r="B32" s="59"/>
      <c r="C32" s="64">
        <f t="shared" si="3"/>
        <v>0.56000000000000016</v>
      </c>
      <c r="D32" s="65">
        <f t="shared" si="1"/>
        <v>-0.16407276147456173</v>
      </c>
      <c r="E32" s="65">
        <f t="shared" si="0"/>
        <v>-0.1641236864</v>
      </c>
      <c r="F32" s="66">
        <f t="shared" si="2"/>
        <v>2.5933480308924982E-9</v>
      </c>
      <c r="G32" s="59"/>
      <c r="H32" s="59"/>
    </row>
    <row r="33" spans="2:8" x14ac:dyDescent="0.2">
      <c r="B33" s="59"/>
      <c r="C33" s="64">
        <f t="shared" si="3"/>
        <v>0.58000000000000018</v>
      </c>
      <c r="D33" s="65">
        <f t="shared" si="1"/>
        <v>-0.16388568211143592</v>
      </c>
      <c r="E33" s="65">
        <f t="shared" si="0"/>
        <v>-0.16393720479999999</v>
      </c>
      <c r="F33" s="66">
        <f t="shared" si="2"/>
        <v>2.6545874368696514E-9</v>
      </c>
      <c r="G33" s="59"/>
      <c r="H33" s="59"/>
    </row>
    <row r="34" spans="2:8" x14ac:dyDescent="0.2">
      <c r="B34" s="59"/>
      <c r="C34" s="64">
        <f t="shared" si="3"/>
        <v>0.6000000000000002</v>
      </c>
      <c r="D34" s="65">
        <f t="shared" si="1"/>
        <v>-0.16369225280076241</v>
      </c>
      <c r="E34" s="65">
        <f t="shared" si="0"/>
        <v>-0.16374439999999998</v>
      </c>
      <c r="F34" s="66">
        <f t="shared" si="2"/>
        <v>2.7193303883231625E-9</v>
      </c>
      <c r="G34" s="59"/>
      <c r="H34" s="59"/>
    </row>
    <row r="35" spans="2:8" x14ac:dyDescent="0.2">
      <c r="B35" s="59"/>
      <c r="C35" s="64">
        <f>C34+0.02</f>
        <v>0.62000000000000022</v>
      </c>
      <c r="D35" s="65">
        <f t="shared" si="1"/>
        <v>-0.16349249547973746</v>
      </c>
      <c r="E35" s="65">
        <f t="shared" si="0"/>
        <v>-0.1635452912</v>
      </c>
      <c r="F35" s="66">
        <f t="shared" si="2"/>
        <v>2.7873880780402106E-9</v>
      </c>
      <c r="G35" s="59"/>
      <c r="H35" s="59"/>
    </row>
    <row r="36" spans="2:8" x14ac:dyDescent="0.2">
      <c r="B36" s="59"/>
      <c r="C36" s="64">
        <f t="shared" si="3"/>
        <v>0.64000000000000024</v>
      </c>
      <c r="D36" s="65">
        <f t="shared" si="1"/>
        <v>-0.16328643279116811</v>
      </c>
      <c r="E36" s="65">
        <f t="shared" si="0"/>
        <v>-0.16333989759999998</v>
      </c>
      <c r="F36" s="66">
        <f t="shared" si="2"/>
        <v>2.8584857834279406E-9</v>
      </c>
      <c r="G36" s="59"/>
      <c r="H36" s="59"/>
    </row>
    <row r="37" spans="2:8" x14ac:dyDescent="0.2">
      <c r="B37" s="59"/>
      <c r="C37" s="64">
        <f t="shared" si="3"/>
        <v>0.66000000000000025</v>
      </c>
      <c r="D37" s="65">
        <f t="shared" si="1"/>
        <v>-0.16307408807971654</v>
      </c>
      <c r="E37" s="65">
        <f t="shared" si="0"/>
        <v>-0.16312823839999999</v>
      </c>
      <c r="F37" s="66">
        <f t="shared" si="2"/>
        <v>2.9322571867992925E-9</v>
      </c>
      <c r="G37" s="59"/>
      <c r="H37" s="59"/>
    </row>
    <row r="38" spans="2:8" x14ac:dyDescent="0.2">
      <c r="B38" s="59"/>
      <c r="C38" s="64">
        <f t="shared" si="3"/>
        <v>0.68000000000000027</v>
      </c>
      <c r="D38" s="65">
        <f t="shared" si="1"/>
        <v>-0.16285548538803782</v>
      </c>
      <c r="E38" s="65">
        <f t="shared" si="0"/>
        <v>-0.16291033279999997</v>
      </c>
      <c r="F38" s="66">
        <f t="shared" si="2"/>
        <v>3.008238598946408E-9</v>
      </c>
      <c r="G38" s="59"/>
      <c r="H38" s="59"/>
    </row>
    <row r="39" spans="2:8" x14ac:dyDescent="0.2">
      <c r="B39" s="59"/>
      <c r="C39" s="64">
        <f t="shared" si="3"/>
        <v>0.70000000000000029</v>
      </c>
      <c r="D39" s="65">
        <f t="shared" si="1"/>
        <v>-0.16263064945279587</v>
      </c>
      <c r="E39" s="65">
        <f t="shared" si="0"/>
        <v>-0.16268619999999998</v>
      </c>
      <c r="F39" s="66">
        <f t="shared" si="2"/>
        <v>3.0858632946752653E-9</v>
      </c>
      <c r="G39" s="59"/>
      <c r="H39" s="59"/>
    </row>
    <row r="40" spans="2:8" x14ac:dyDescent="0.2">
      <c r="B40" s="59"/>
      <c r="C40" s="64">
        <f t="shared" si="3"/>
        <v>0.72000000000000031</v>
      </c>
      <c r="D40" s="65">
        <f t="shared" si="1"/>
        <v>-0.16239960570057119</v>
      </c>
      <c r="E40" s="65">
        <f t="shared" si="0"/>
        <v>-0.1624558592</v>
      </c>
      <c r="F40" s="66">
        <f t="shared" si="2"/>
        <v>3.1644561979871239E-9</v>
      </c>
      <c r="G40" s="59"/>
      <c r="H40" s="59"/>
    </row>
    <row r="41" spans="2:8" x14ac:dyDescent="0.2">
      <c r="B41" s="59"/>
      <c r="C41" s="64">
        <f t="shared" si="3"/>
        <v>0.74000000000000032</v>
      </c>
      <c r="D41" s="65">
        <f t="shared" si="1"/>
        <v>-0.16216238024365526</v>
      </c>
      <c r="E41" s="65">
        <f t="shared" si="0"/>
        <v>-0.16221932959999999</v>
      </c>
      <c r="F41" s="66">
        <f t="shared" si="2"/>
        <v>3.2432291880792764E-9</v>
      </c>
      <c r="G41" s="59"/>
      <c r="H41" s="59"/>
    </row>
    <row r="42" spans="2:8" x14ac:dyDescent="0.2">
      <c r="B42" s="59"/>
      <c r="C42" s="64">
        <f t="shared" si="3"/>
        <v>0.76000000000000034</v>
      </c>
      <c r="D42" s="65">
        <f t="shared" si="1"/>
        <v>-0.16191899987573058</v>
      </c>
      <c r="E42" s="65">
        <f t="shared" si="0"/>
        <v>-0.16197663039999999</v>
      </c>
      <c r="F42" s="66">
        <f t="shared" si="2"/>
        <v>3.3212773275668964E-9</v>
      </c>
      <c r="G42" s="59"/>
      <c r="H42" s="59"/>
    </row>
    <row r="43" spans="2:8" x14ac:dyDescent="0.2">
      <c r="B43" s="59"/>
      <c r="C43" s="64">
        <f t="shared" si="3"/>
        <v>0.78000000000000036</v>
      </c>
      <c r="D43" s="65">
        <f t="shared" si="1"/>
        <v>-0.16166949206744416</v>
      </c>
      <c r="E43" s="65">
        <f t="shared" si="0"/>
        <v>-0.16172778079999997</v>
      </c>
      <c r="F43" s="66">
        <f t="shared" si="2"/>
        <v>3.397576342962889E-9</v>
      </c>
      <c r="G43" s="59"/>
      <c r="H43" s="59"/>
    </row>
    <row r="44" spans="2:8" x14ac:dyDescent="0.2">
      <c r="B44" s="59"/>
      <c r="C44" s="64">
        <f t="shared" si="3"/>
        <v>0.80000000000000038</v>
      </c>
      <c r="D44" s="65">
        <f t="shared" si="1"/>
        <v>-0.16141388496186965</v>
      </c>
      <c r="E44" s="65">
        <f t="shared" si="0"/>
        <v>-0.16147279999999997</v>
      </c>
      <c r="F44" s="66">
        <f t="shared" si="2"/>
        <v>3.4709817178976425E-9</v>
      </c>
      <c r="G44" s="59"/>
      <c r="H44" s="59"/>
    </row>
    <row r="45" spans="2:8" x14ac:dyDescent="0.2">
      <c r="B45" s="59"/>
      <c r="C45" s="64">
        <f t="shared" si="3"/>
        <v>0.8200000000000004</v>
      </c>
      <c r="D45" s="65">
        <f t="shared" si="1"/>
        <v>-0.1611522073698585</v>
      </c>
      <c r="E45" s="65">
        <f t="shared" si="0"/>
        <v>-0.16121170719999997</v>
      </c>
      <c r="F45" s="66">
        <f t="shared" si="2"/>
        <v>3.5402297868642551E-9</v>
      </c>
      <c r="G45" s="59"/>
      <c r="H45" s="59"/>
    </row>
    <row r="46" spans="2:8" x14ac:dyDescent="0.2">
      <c r="B46" s="59"/>
      <c r="C46" s="64">
        <f>C45+0.02</f>
        <v>0.84000000000000041</v>
      </c>
      <c r="D46" s="65">
        <f t="shared" si="1"/>
        <v>-0.16088448876528694</v>
      </c>
      <c r="E46" s="65">
        <f t="shared" si="0"/>
        <v>-0.16094452159999997</v>
      </c>
      <c r="F46" s="66">
        <f t="shared" si="2"/>
        <v>3.60394124368274E-9</v>
      </c>
      <c r="G46" s="59"/>
      <c r="H46" s="59"/>
    </row>
    <row r="47" spans="2:8" x14ac:dyDescent="0.2">
      <c r="B47" s="59"/>
      <c r="C47" s="64">
        <f t="shared" si="3"/>
        <v>0.86000000000000043</v>
      </c>
      <c r="D47" s="65">
        <f t="shared" si="1"/>
        <v>-0.16061075928019386</v>
      </c>
      <c r="E47" s="65">
        <f t="shared" si="0"/>
        <v>-0.16067126239999999</v>
      </c>
      <c r="F47" s="66">
        <f t="shared" si="2"/>
        <v>3.6606275062745294E-9</v>
      </c>
      <c r="G47" s="59"/>
      <c r="H47" s="59"/>
    </row>
    <row r="48" spans="2:8" x14ac:dyDescent="0.2">
      <c r="B48" s="59"/>
      <c r="C48" s="64">
        <f t="shared" si="3"/>
        <v>0.88000000000000045</v>
      </c>
      <c r="D48" s="65">
        <f t="shared" si="1"/>
        <v>-0.16033104969981271</v>
      </c>
      <c r="E48" s="65">
        <f t="shared" si="0"/>
        <v>-0.16039194879999999</v>
      </c>
      <c r="F48" s="66">
        <f t="shared" si="2"/>
        <v>3.7087004036201584E-9</v>
      </c>
      <c r="G48" s="59"/>
      <c r="H48" s="59"/>
    </row>
    <row r="49" spans="2:8" x14ac:dyDescent="0.2">
      <c r="B49" s="59"/>
      <c r="C49" s="64">
        <f t="shared" si="3"/>
        <v>0.90000000000000047</v>
      </c>
      <c r="D49" s="65">
        <f t="shared" si="1"/>
        <v>-0.16004539145749885</v>
      </c>
      <c r="E49" s="65">
        <f t="shared" si="0"/>
        <v>-0.16010659999999999</v>
      </c>
      <c r="F49" s="66">
        <f t="shared" si="2"/>
        <v>3.7464856751131747E-9</v>
      </c>
      <c r="G49" s="59"/>
      <c r="H49" s="59"/>
    </row>
    <row r="50" spans="2:8" x14ac:dyDescent="0.2">
      <c r="B50" s="59"/>
      <c r="C50" s="64">
        <f t="shared" si="3"/>
        <v>0.92000000000000048</v>
      </c>
      <c r="D50" s="65">
        <f t="shared" si="1"/>
        <v>-0.15975381662955371</v>
      </c>
      <c r="E50" s="65">
        <f t="shared" si="0"/>
        <v>-0.15981523519999999</v>
      </c>
      <c r="F50" s="66">
        <f t="shared" si="2"/>
        <v>3.7722407956647907E-9</v>
      </c>
      <c r="G50" s="59"/>
      <c r="H50" s="59"/>
    </row>
    <row r="51" spans="2:8" x14ac:dyDescent="0.2">
      <c r="B51" s="59"/>
      <c r="C51" s="64">
        <f t="shared" si="3"/>
        <v>0.9400000000000005</v>
      </c>
      <c r="D51" s="65">
        <f t="shared" si="1"/>
        <v>-0.15945635792994536</v>
      </c>
      <c r="E51" s="65">
        <f t="shared" si="0"/>
        <v>-0.15951787359999997</v>
      </c>
      <c r="F51" s="66">
        <f t="shared" si="2"/>
        <v>3.7841776622672867E-9</v>
      </c>
      <c r="G51" s="59"/>
      <c r="H51" s="59"/>
    </row>
    <row r="52" spans="2:8" x14ac:dyDescent="0.2">
      <c r="B52" s="59"/>
      <c r="C52" s="64">
        <f t="shared" si="3"/>
        <v>0.96000000000000052</v>
      </c>
      <c r="D52" s="65">
        <f t="shared" si="1"/>
        <v>-0.15915304870492633</v>
      </c>
      <c r="E52" s="65">
        <f t="shared" si="0"/>
        <v>-0.15921453439999997</v>
      </c>
      <c r="F52" s="66">
        <f t="shared" si="2"/>
        <v>3.7804906986883362E-9</v>
      </c>
      <c r="G52" s="59"/>
      <c r="H52" s="59"/>
    </row>
    <row r="53" spans="2:8" x14ac:dyDescent="0.2">
      <c r="B53" s="59"/>
      <c r="C53" s="64">
        <f>C52+0.02</f>
        <v>0.98000000000000054</v>
      </c>
      <c r="D53" s="65">
        <f t="shared" si="1"/>
        <v>-0.15884392292755303</v>
      </c>
      <c r="E53" s="65">
        <f t="shared" si="0"/>
        <v>-0.15890523679999999</v>
      </c>
      <c r="F53" s="66">
        <f t="shared" si="2"/>
        <v>3.7593909544415038E-9</v>
      </c>
      <c r="G53" s="59"/>
      <c r="H53" s="59"/>
    </row>
    <row r="54" spans="2:8" x14ac:dyDescent="0.2">
      <c r="B54" s="59"/>
      <c r="C54" s="64">
        <f t="shared" si="3"/>
        <v>1.0000000000000004</v>
      </c>
      <c r="D54" s="65">
        <f t="shared" si="1"/>
        <v>-0.1585290151921035</v>
      </c>
      <c r="E54" s="65">
        <f t="shared" si="0"/>
        <v>-0.15858999999999998</v>
      </c>
      <c r="F54" s="66">
        <f t="shared" si="2"/>
        <v>3.7191467941712839E-9</v>
      </c>
      <c r="G54" s="59"/>
      <c r="H54" s="59"/>
    </row>
  </sheetData>
  <mergeCells count="5">
    <mergeCell ref="B6:E6"/>
    <mergeCell ref="B2:C2"/>
    <mergeCell ref="B3:C3"/>
    <mergeCell ref="B4:C4"/>
    <mergeCell ref="B1:C1"/>
  </mergeCells>
  <hyperlinks>
    <hyperlink ref="B6:D6" location="Inhoud!A1" display="Ga naar Inhoudsopgave" xr:uid="{00000000-0004-0000-1F00-000000000000}"/>
  </hyperlinks>
  <pageMargins left="0.75" right="0.75" top="1" bottom="1" header="0.5" footer="0.5"/>
  <pageSetup paperSize="9" orientation="landscape" horizontalDpi="300" r:id="rId1"/>
  <headerFooter alignWithMargins="0"/>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Blad19"/>
  <dimension ref="B1:F43"/>
  <sheetViews>
    <sheetView workbookViewId="0">
      <pane xSplit="1" ySplit="6" topLeftCell="B7" activePane="bottomRight" state="frozen"/>
      <selection pane="topRight" activeCell="B1" sqref="B1"/>
      <selection pane="bottomLeft" activeCell="A6" sqref="A6"/>
      <selection pane="bottomRight"/>
    </sheetView>
  </sheetViews>
  <sheetFormatPr defaultRowHeight="12.75" x14ac:dyDescent="0.2"/>
  <cols>
    <col min="1" max="2" width="3.7109375" style="10" customWidth="1"/>
    <col min="3" max="3" width="7.7109375" style="10" customWidth="1"/>
    <col min="4" max="4" width="8" style="10" customWidth="1"/>
    <col min="5" max="5" width="6.85546875" style="10" customWidth="1"/>
    <col min="6" max="6" width="4.85546875" style="10" customWidth="1"/>
    <col min="7" max="258" width="9.140625" style="10"/>
    <col min="259" max="259" width="6.85546875" style="10" customWidth="1"/>
    <col min="260" max="260" width="8" style="10" customWidth="1"/>
    <col min="261" max="261" width="6.85546875" style="10" customWidth="1"/>
    <col min="262" max="262" width="4.85546875" style="10" customWidth="1"/>
    <col min="263" max="514" width="9.140625" style="10"/>
    <col min="515" max="515" width="6.85546875" style="10" customWidth="1"/>
    <col min="516" max="516" width="8" style="10" customWidth="1"/>
    <col min="517" max="517" width="6.85546875" style="10" customWidth="1"/>
    <col min="518" max="518" width="4.85546875" style="10" customWidth="1"/>
    <col min="519" max="770" width="9.140625" style="10"/>
    <col min="771" max="771" width="6.85546875" style="10" customWidth="1"/>
    <col min="772" max="772" width="8" style="10" customWidth="1"/>
    <col min="773" max="773" width="6.85546875" style="10" customWidth="1"/>
    <col min="774" max="774" width="4.85546875" style="10" customWidth="1"/>
    <col min="775" max="1026" width="9.140625" style="10"/>
    <col min="1027" max="1027" width="6.85546875" style="10" customWidth="1"/>
    <col min="1028" max="1028" width="8" style="10" customWidth="1"/>
    <col min="1029" max="1029" width="6.85546875" style="10" customWidth="1"/>
    <col min="1030" max="1030" width="4.85546875" style="10" customWidth="1"/>
    <col min="1031" max="1282" width="9.140625" style="10"/>
    <col min="1283" max="1283" width="6.85546875" style="10" customWidth="1"/>
    <col min="1284" max="1284" width="8" style="10" customWidth="1"/>
    <col min="1285" max="1285" width="6.85546875" style="10" customWidth="1"/>
    <col min="1286" max="1286" width="4.85546875" style="10" customWidth="1"/>
    <col min="1287" max="1538" width="9.140625" style="10"/>
    <col min="1539" max="1539" width="6.85546875" style="10" customWidth="1"/>
    <col min="1540" max="1540" width="8" style="10" customWidth="1"/>
    <col min="1541" max="1541" width="6.85546875" style="10" customWidth="1"/>
    <col min="1542" max="1542" width="4.85546875" style="10" customWidth="1"/>
    <col min="1543" max="1794" width="9.140625" style="10"/>
    <col min="1795" max="1795" width="6.85546875" style="10" customWidth="1"/>
    <col min="1796" max="1796" width="8" style="10" customWidth="1"/>
    <col min="1797" max="1797" width="6.85546875" style="10" customWidth="1"/>
    <col min="1798" max="1798" width="4.85546875" style="10" customWidth="1"/>
    <col min="1799" max="2050" width="9.140625" style="10"/>
    <col min="2051" max="2051" width="6.85546875" style="10" customWidth="1"/>
    <col min="2052" max="2052" width="8" style="10" customWidth="1"/>
    <col min="2053" max="2053" width="6.85546875" style="10" customWidth="1"/>
    <col min="2054" max="2054" width="4.85546875" style="10" customWidth="1"/>
    <col min="2055" max="2306" width="9.140625" style="10"/>
    <col min="2307" max="2307" width="6.85546875" style="10" customWidth="1"/>
    <col min="2308" max="2308" width="8" style="10" customWidth="1"/>
    <col min="2309" max="2309" width="6.85546875" style="10" customWidth="1"/>
    <col min="2310" max="2310" width="4.85546875" style="10" customWidth="1"/>
    <col min="2311" max="2562" width="9.140625" style="10"/>
    <col min="2563" max="2563" width="6.85546875" style="10" customWidth="1"/>
    <col min="2564" max="2564" width="8" style="10" customWidth="1"/>
    <col min="2565" max="2565" width="6.85546875" style="10" customWidth="1"/>
    <col min="2566" max="2566" width="4.85546875" style="10" customWidth="1"/>
    <col min="2567" max="2818" width="9.140625" style="10"/>
    <col min="2819" max="2819" width="6.85546875" style="10" customWidth="1"/>
    <col min="2820" max="2820" width="8" style="10" customWidth="1"/>
    <col min="2821" max="2821" width="6.85546875" style="10" customWidth="1"/>
    <col min="2822" max="2822" width="4.85546875" style="10" customWidth="1"/>
    <col min="2823" max="3074" width="9.140625" style="10"/>
    <col min="3075" max="3075" width="6.85546875" style="10" customWidth="1"/>
    <col min="3076" max="3076" width="8" style="10" customWidth="1"/>
    <col min="3077" max="3077" width="6.85546875" style="10" customWidth="1"/>
    <col min="3078" max="3078" width="4.85546875" style="10" customWidth="1"/>
    <col min="3079" max="3330" width="9.140625" style="10"/>
    <col min="3331" max="3331" width="6.85546875" style="10" customWidth="1"/>
    <col min="3332" max="3332" width="8" style="10" customWidth="1"/>
    <col min="3333" max="3333" width="6.85546875" style="10" customWidth="1"/>
    <col min="3334" max="3334" width="4.85546875" style="10" customWidth="1"/>
    <col min="3335" max="3586" width="9.140625" style="10"/>
    <col min="3587" max="3587" width="6.85546875" style="10" customWidth="1"/>
    <col min="3588" max="3588" width="8" style="10" customWidth="1"/>
    <col min="3589" max="3589" width="6.85546875" style="10" customWidth="1"/>
    <col min="3590" max="3590" width="4.85546875" style="10" customWidth="1"/>
    <col min="3591" max="3842" width="9.140625" style="10"/>
    <col min="3843" max="3843" width="6.85546875" style="10" customWidth="1"/>
    <col min="3844" max="3844" width="8" style="10" customWidth="1"/>
    <col min="3845" max="3845" width="6.85546875" style="10" customWidth="1"/>
    <col min="3846" max="3846" width="4.85546875" style="10" customWidth="1"/>
    <col min="3847" max="4098" width="9.140625" style="10"/>
    <col min="4099" max="4099" width="6.85546875" style="10" customWidth="1"/>
    <col min="4100" max="4100" width="8" style="10" customWidth="1"/>
    <col min="4101" max="4101" width="6.85546875" style="10" customWidth="1"/>
    <col min="4102" max="4102" width="4.85546875" style="10" customWidth="1"/>
    <col min="4103" max="4354" width="9.140625" style="10"/>
    <col min="4355" max="4355" width="6.85546875" style="10" customWidth="1"/>
    <col min="4356" max="4356" width="8" style="10" customWidth="1"/>
    <col min="4357" max="4357" width="6.85546875" style="10" customWidth="1"/>
    <col min="4358" max="4358" width="4.85546875" style="10" customWidth="1"/>
    <col min="4359" max="4610" width="9.140625" style="10"/>
    <col min="4611" max="4611" width="6.85546875" style="10" customWidth="1"/>
    <col min="4612" max="4612" width="8" style="10" customWidth="1"/>
    <col min="4613" max="4613" width="6.85546875" style="10" customWidth="1"/>
    <col min="4614" max="4614" width="4.85546875" style="10" customWidth="1"/>
    <col min="4615" max="4866" width="9.140625" style="10"/>
    <col min="4867" max="4867" width="6.85546875" style="10" customWidth="1"/>
    <col min="4868" max="4868" width="8" style="10" customWidth="1"/>
    <col min="4869" max="4869" width="6.85546875" style="10" customWidth="1"/>
    <col min="4870" max="4870" width="4.85546875" style="10" customWidth="1"/>
    <col min="4871" max="5122" width="9.140625" style="10"/>
    <col min="5123" max="5123" width="6.85546875" style="10" customWidth="1"/>
    <col min="5124" max="5124" width="8" style="10" customWidth="1"/>
    <col min="5125" max="5125" width="6.85546875" style="10" customWidth="1"/>
    <col min="5126" max="5126" width="4.85546875" style="10" customWidth="1"/>
    <col min="5127" max="5378" width="9.140625" style="10"/>
    <col min="5379" max="5379" width="6.85546875" style="10" customWidth="1"/>
    <col min="5380" max="5380" width="8" style="10" customWidth="1"/>
    <col min="5381" max="5381" width="6.85546875" style="10" customWidth="1"/>
    <col min="5382" max="5382" width="4.85546875" style="10" customWidth="1"/>
    <col min="5383" max="5634" width="9.140625" style="10"/>
    <col min="5635" max="5635" width="6.85546875" style="10" customWidth="1"/>
    <col min="5636" max="5636" width="8" style="10" customWidth="1"/>
    <col min="5637" max="5637" width="6.85546875" style="10" customWidth="1"/>
    <col min="5638" max="5638" width="4.85546875" style="10" customWidth="1"/>
    <col min="5639" max="5890" width="9.140625" style="10"/>
    <col min="5891" max="5891" width="6.85546875" style="10" customWidth="1"/>
    <col min="5892" max="5892" width="8" style="10" customWidth="1"/>
    <col min="5893" max="5893" width="6.85546875" style="10" customWidth="1"/>
    <col min="5894" max="5894" width="4.85546875" style="10" customWidth="1"/>
    <col min="5895" max="6146" width="9.140625" style="10"/>
    <col min="6147" max="6147" width="6.85546875" style="10" customWidth="1"/>
    <col min="6148" max="6148" width="8" style="10" customWidth="1"/>
    <col min="6149" max="6149" width="6.85546875" style="10" customWidth="1"/>
    <col min="6150" max="6150" width="4.85546875" style="10" customWidth="1"/>
    <col min="6151" max="6402" width="9.140625" style="10"/>
    <col min="6403" max="6403" width="6.85546875" style="10" customWidth="1"/>
    <col min="6404" max="6404" width="8" style="10" customWidth="1"/>
    <col min="6405" max="6405" width="6.85546875" style="10" customWidth="1"/>
    <col min="6406" max="6406" width="4.85546875" style="10" customWidth="1"/>
    <col min="6407" max="6658" width="9.140625" style="10"/>
    <col min="6659" max="6659" width="6.85546875" style="10" customWidth="1"/>
    <col min="6660" max="6660" width="8" style="10" customWidth="1"/>
    <col min="6661" max="6661" width="6.85546875" style="10" customWidth="1"/>
    <col min="6662" max="6662" width="4.85546875" style="10" customWidth="1"/>
    <col min="6663" max="6914" width="9.140625" style="10"/>
    <col min="6915" max="6915" width="6.85546875" style="10" customWidth="1"/>
    <col min="6916" max="6916" width="8" style="10" customWidth="1"/>
    <col min="6917" max="6917" width="6.85546875" style="10" customWidth="1"/>
    <col min="6918" max="6918" width="4.85546875" style="10" customWidth="1"/>
    <col min="6919" max="7170" width="9.140625" style="10"/>
    <col min="7171" max="7171" width="6.85546875" style="10" customWidth="1"/>
    <col min="7172" max="7172" width="8" style="10" customWidth="1"/>
    <col min="7173" max="7173" width="6.85546875" style="10" customWidth="1"/>
    <col min="7174" max="7174" width="4.85546875" style="10" customWidth="1"/>
    <col min="7175" max="7426" width="9.140625" style="10"/>
    <col min="7427" max="7427" width="6.85546875" style="10" customWidth="1"/>
    <col min="7428" max="7428" width="8" style="10" customWidth="1"/>
    <col min="7429" max="7429" width="6.85546875" style="10" customWidth="1"/>
    <col min="7430" max="7430" width="4.85546875" style="10" customWidth="1"/>
    <col min="7431" max="7682" width="9.140625" style="10"/>
    <col min="7683" max="7683" width="6.85546875" style="10" customWidth="1"/>
    <col min="7684" max="7684" width="8" style="10" customWidth="1"/>
    <col min="7685" max="7685" width="6.85546875" style="10" customWidth="1"/>
    <col min="7686" max="7686" width="4.85546875" style="10" customWidth="1"/>
    <col min="7687" max="7938" width="9.140625" style="10"/>
    <col min="7939" max="7939" width="6.85546875" style="10" customWidth="1"/>
    <col min="7940" max="7940" width="8" style="10" customWidth="1"/>
    <col min="7941" max="7941" width="6.85546875" style="10" customWidth="1"/>
    <col min="7942" max="7942" width="4.85546875" style="10" customWidth="1"/>
    <col min="7943" max="8194" width="9.140625" style="10"/>
    <col min="8195" max="8195" width="6.85546875" style="10" customWidth="1"/>
    <col min="8196" max="8196" width="8" style="10" customWidth="1"/>
    <col min="8197" max="8197" width="6.85546875" style="10" customWidth="1"/>
    <col min="8198" max="8198" width="4.85546875" style="10" customWidth="1"/>
    <col min="8199" max="8450" width="9.140625" style="10"/>
    <col min="8451" max="8451" width="6.85546875" style="10" customWidth="1"/>
    <col min="8452" max="8452" width="8" style="10" customWidth="1"/>
    <col min="8453" max="8453" width="6.85546875" style="10" customWidth="1"/>
    <col min="8454" max="8454" width="4.85546875" style="10" customWidth="1"/>
    <col min="8455" max="8706" width="9.140625" style="10"/>
    <col min="8707" max="8707" width="6.85546875" style="10" customWidth="1"/>
    <col min="8708" max="8708" width="8" style="10" customWidth="1"/>
    <col min="8709" max="8709" width="6.85546875" style="10" customWidth="1"/>
    <col min="8710" max="8710" width="4.85546875" style="10" customWidth="1"/>
    <col min="8711" max="8962" width="9.140625" style="10"/>
    <col min="8963" max="8963" width="6.85546875" style="10" customWidth="1"/>
    <col min="8964" max="8964" width="8" style="10" customWidth="1"/>
    <col min="8965" max="8965" width="6.85546875" style="10" customWidth="1"/>
    <col min="8966" max="8966" width="4.85546875" style="10" customWidth="1"/>
    <col min="8967" max="9218" width="9.140625" style="10"/>
    <col min="9219" max="9219" width="6.85546875" style="10" customWidth="1"/>
    <col min="9220" max="9220" width="8" style="10" customWidth="1"/>
    <col min="9221" max="9221" width="6.85546875" style="10" customWidth="1"/>
    <col min="9222" max="9222" width="4.85546875" style="10" customWidth="1"/>
    <col min="9223" max="9474" width="9.140625" style="10"/>
    <col min="9475" max="9475" width="6.85546875" style="10" customWidth="1"/>
    <col min="9476" max="9476" width="8" style="10" customWidth="1"/>
    <col min="9477" max="9477" width="6.85546875" style="10" customWidth="1"/>
    <col min="9478" max="9478" width="4.85546875" style="10" customWidth="1"/>
    <col min="9479" max="9730" width="9.140625" style="10"/>
    <col min="9731" max="9731" width="6.85546875" style="10" customWidth="1"/>
    <col min="9732" max="9732" width="8" style="10" customWidth="1"/>
    <col min="9733" max="9733" width="6.85546875" style="10" customWidth="1"/>
    <col min="9734" max="9734" width="4.85546875" style="10" customWidth="1"/>
    <col min="9735" max="9986" width="9.140625" style="10"/>
    <col min="9987" max="9987" width="6.85546875" style="10" customWidth="1"/>
    <col min="9988" max="9988" width="8" style="10" customWidth="1"/>
    <col min="9989" max="9989" width="6.85546875" style="10" customWidth="1"/>
    <col min="9990" max="9990" width="4.85546875" style="10" customWidth="1"/>
    <col min="9991" max="10242" width="9.140625" style="10"/>
    <col min="10243" max="10243" width="6.85546875" style="10" customWidth="1"/>
    <col min="10244" max="10244" width="8" style="10" customWidth="1"/>
    <col min="10245" max="10245" width="6.85546875" style="10" customWidth="1"/>
    <col min="10246" max="10246" width="4.85546875" style="10" customWidth="1"/>
    <col min="10247" max="10498" width="9.140625" style="10"/>
    <col min="10499" max="10499" width="6.85546875" style="10" customWidth="1"/>
    <col min="10500" max="10500" width="8" style="10" customWidth="1"/>
    <col min="10501" max="10501" width="6.85546875" style="10" customWidth="1"/>
    <col min="10502" max="10502" width="4.85546875" style="10" customWidth="1"/>
    <col min="10503" max="10754" width="9.140625" style="10"/>
    <col min="10755" max="10755" width="6.85546875" style="10" customWidth="1"/>
    <col min="10756" max="10756" width="8" style="10" customWidth="1"/>
    <col min="10757" max="10757" width="6.85546875" style="10" customWidth="1"/>
    <col min="10758" max="10758" width="4.85546875" style="10" customWidth="1"/>
    <col min="10759" max="11010" width="9.140625" style="10"/>
    <col min="11011" max="11011" width="6.85546875" style="10" customWidth="1"/>
    <col min="11012" max="11012" width="8" style="10" customWidth="1"/>
    <col min="11013" max="11013" width="6.85546875" style="10" customWidth="1"/>
    <col min="11014" max="11014" width="4.85546875" style="10" customWidth="1"/>
    <col min="11015" max="11266" width="9.140625" style="10"/>
    <col min="11267" max="11267" width="6.85546875" style="10" customWidth="1"/>
    <col min="11268" max="11268" width="8" style="10" customWidth="1"/>
    <col min="11269" max="11269" width="6.85546875" style="10" customWidth="1"/>
    <col min="11270" max="11270" width="4.85546875" style="10" customWidth="1"/>
    <col min="11271" max="11522" width="9.140625" style="10"/>
    <col min="11523" max="11523" width="6.85546875" style="10" customWidth="1"/>
    <col min="11524" max="11524" width="8" style="10" customWidth="1"/>
    <col min="11525" max="11525" width="6.85546875" style="10" customWidth="1"/>
    <col min="11526" max="11526" width="4.85546875" style="10" customWidth="1"/>
    <col min="11527" max="11778" width="9.140625" style="10"/>
    <col min="11779" max="11779" width="6.85546875" style="10" customWidth="1"/>
    <col min="11780" max="11780" width="8" style="10" customWidth="1"/>
    <col min="11781" max="11781" width="6.85546875" style="10" customWidth="1"/>
    <col min="11782" max="11782" width="4.85546875" style="10" customWidth="1"/>
    <col min="11783" max="12034" width="9.140625" style="10"/>
    <col min="12035" max="12035" width="6.85546875" style="10" customWidth="1"/>
    <col min="12036" max="12036" width="8" style="10" customWidth="1"/>
    <col min="12037" max="12037" width="6.85546875" style="10" customWidth="1"/>
    <col min="12038" max="12038" width="4.85546875" style="10" customWidth="1"/>
    <col min="12039" max="12290" width="9.140625" style="10"/>
    <col min="12291" max="12291" width="6.85546875" style="10" customWidth="1"/>
    <col min="12292" max="12292" width="8" style="10" customWidth="1"/>
    <col min="12293" max="12293" width="6.85546875" style="10" customWidth="1"/>
    <col min="12294" max="12294" width="4.85546875" style="10" customWidth="1"/>
    <col min="12295" max="12546" width="9.140625" style="10"/>
    <col min="12547" max="12547" width="6.85546875" style="10" customWidth="1"/>
    <col min="12548" max="12548" width="8" style="10" customWidth="1"/>
    <col min="12549" max="12549" width="6.85546875" style="10" customWidth="1"/>
    <col min="12550" max="12550" width="4.85546875" style="10" customWidth="1"/>
    <col min="12551" max="12802" width="9.140625" style="10"/>
    <col min="12803" max="12803" width="6.85546875" style="10" customWidth="1"/>
    <col min="12804" max="12804" width="8" style="10" customWidth="1"/>
    <col min="12805" max="12805" width="6.85546875" style="10" customWidth="1"/>
    <col min="12806" max="12806" width="4.85546875" style="10" customWidth="1"/>
    <col min="12807" max="13058" width="9.140625" style="10"/>
    <col min="13059" max="13059" width="6.85546875" style="10" customWidth="1"/>
    <col min="13060" max="13060" width="8" style="10" customWidth="1"/>
    <col min="13061" max="13061" width="6.85546875" style="10" customWidth="1"/>
    <col min="13062" max="13062" width="4.85546875" style="10" customWidth="1"/>
    <col min="13063" max="13314" width="9.140625" style="10"/>
    <col min="13315" max="13315" width="6.85546875" style="10" customWidth="1"/>
    <col min="13316" max="13316" width="8" style="10" customWidth="1"/>
    <col min="13317" max="13317" width="6.85546875" style="10" customWidth="1"/>
    <col min="13318" max="13318" width="4.85546875" style="10" customWidth="1"/>
    <col min="13319" max="13570" width="9.140625" style="10"/>
    <col min="13571" max="13571" width="6.85546875" style="10" customWidth="1"/>
    <col min="13572" max="13572" width="8" style="10" customWidth="1"/>
    <col min="13573" max="13573" width="6.85546875" style="10" customWidth="1"/>
    <col min="13574" max="13574" width="4.85546875" style="10" customWidth="1"/>
    <col min="13575" max="13826" width="9.140625" style="10"/>
    <col min="13827" max="13827" width="6.85546875" style="10" customWidth="1"/>
    <col min="13828" max="13828" width="8" style="10" customWidth="1"/>
    <col min="13829" max="13829" width="6.85546875" style="10" customWidth="1"/>
    <col min="13830" max="13830" width="4.85546875" style="10" customWidth="1"/>
    <col min="13831" max="14082" width="9.140625" style="10"/>
    <col min="14083" max="14083" width="6.85546875" style="10" customWidth="1"/>
    <col min="14084" max="14084" width="8" style="10" customWidth="1"/>
    <col min="14085" max="14085" width="6.85546875" style="10" customWidth="1"/>
    <col min="14086" max="14086" width="4.85546875" style="10" customWidth="1"/>
    <col min="14087" max="14338" width="9.140625" style="10"/>
    <col min="14339" max="14339" width="6.85546875" style="10" customWidth="1"/>
    <col min="14340" max="14340" width="8" style="10" customWidth="1"/>
    <col min="14341" max="14341" width="6.85546875" style="10" customWidth="1"/>
    <col min="14342" max="14342" width="4.85546875" style="10" customWidth="1"/>
    <col min="14343" max="14594" width="9.140625" style="10"/>
    <col min="14595" max="14595" width="6.85546875" style="10" customWidth="1"/>
    <col min="14596" max="14596" width="8" style="10" customWidth="1"/>
    <col min="14597" max="14597" width="6.85546875" style="10" customWidth="1"/>
    <col min="14598" max="14598" width="4.85546875" style="10" customWidth="1"/>
    <col min="14599" max="14850" width="9.140625" style="10"/>
    <col min="14851" max="14851" width="6.85546875" style="10" customWidth="1"/>
    <col min="14852" max="14852" width="8" style="10" customWidth="1"/>
    <col min="14853" max="14853" width="6.85546875" style="10" customWidth="1"/>
    <col min="14854" max="14854" width="4.85546875" style="10" customWidth="1"/>
    <col min="14855" max="15106" width="9.140625" style="10"/>
    <col min="15107" max="15107" width="6.85546875" style="10" customWidth="1"/>
    <col min="15108" max="15108" width="8" style="10" customWidth="1"/>
    <col min="15109" max="15109" width="6.85546875" style="10" customWidth="1"/>
    <col min="15110" max="15110" width="4.85546875" style="10" customWidth="1"/>
    <col min="15111" max="15362" width="9.140625" style="10"/>
    <col min="15363" max="15363" width="6.85546875" style="10" customWidth="1"/>
    <col min="15364" max="15364" width="8" style="10" customWidth="1"/>
    <col min="15365" max="15365" width="6.85546875" style="10" customWidth="1"/>
    <col min="15366" max="15366" width="4.85546875" style="10" customWidth="1"/>
    <col min="15367" max="15618" width="9.140625" style="10"/>
    <col min="15619" max="15619" width="6.85546875" style="10" customWidth="1"/>
    <col min="15620" max="15620" width="8" style="10" customWidth="1"/>
    <col min="15621" max="15621" width="6.85546875" style="10" customWidth="1"/>
    <col min="15622" max="15622" width="4.85546875" style="10" customWidth="1"/>
    <col min="15623" max="15874" width="9.140625" style="10"/>
    <col min="15875" max="15875" width="6.85546875" style="10" customWidth="1"/>
    <col min="15876" max="15876" width="8" style="10" customWidth="1"/>
    <col min="15877" max="15877" width="6.85546875" style="10" customWidth="1"/>
    <col min="15878" max="15878" width="4.85546875" style="10" customWidth="1"/>
    <col min="15879" max="16130" width="9.140625" style="10"/>
    <col min="16131" max="16131" width="6.85546875" style="10" customWidth="1"/>
    <col min="16132" max="16132" width="8" style="10" customWidth="1"/>
    <col min="16133" max="16133" width="6.85546875" style="10" customWidth="1"/>
    <col min="16134" max="16134" width="4.85546875" style="10" customWidth="1"/>
    <col min="16135" max="16384" width="9.140625" style="10"/>
  </cols>
  <sheetData>
    <row r="1" spans="2:6" x14ac:dyDescent="0.2">
      <c r="B1" s="355" t="s">
        <v>1253</v>
      </c>
      <c r="C1" s="355"/>
      <c r="D1" s="316" t="s">
        <v>320</v>
      </c>
    </row>
    <row r="2" spans="2:6" x14ac:dyDescent="0.2">
      <c r="B2" s="355" t="s">
        <v>1085</v>
      </c>
      <c r="C2" s="355"/>
      <c r="D2" s="332" t="str">
        <f>VLOOKUP(D$1,TabelContent[],COLUMN(TabelContent[Titel-NL]))</f>
        <v>Kortste afstand bepalen</v>
      </c>
      <c r="E2" s="59"/>
      <c r="F2" s="72"/>
    </row>
    <row r="3" spans="2:6" x14ac:dyDescent="0.2">
      <c r="B3" s="355" t="s">
        <v>1086</v>
      </c>
      <c r="C3" s="355"/>
      <c r="D3" s="332" t="str">
        <f>VLOOKUP(D$1,TabelContent[],COLUMN(TabelContent[Cat-NL]))</f>
        <v>Wiskunde</v>
      </c>
      <c r="E3" s="59"/>
      <c r="F3" s="72"/>
    </row>
    <row r="4" spans="2:6" x14ac:dyDescent="0.2">
      <c r="B4" s="355" t="s">
        <v>1087</v>
      </c>
      <c r="C4" s="355" t="s">
        <v>1077</v>
      </c>
      <c r="D4" s="332">
        <f>VLOOKUP(D$1,TabelContent[],COLUMN(TabelContent[Niveau]))</f>
        <v>3</v>
      </c>
      <c r="E4" s="59"/>
      <c r="F4" s="72"/>
    </row>
    <row r="5" spans="2:6" x14ac:dyDescent="0.2">
      <c r="B5" s="59"/>
      <c r="C5" s="59"/>
      <c r="D5" s="59"/>
      <c r="E5" s="59"/>
      <c r="F5" s="59"/>
    </row>
    <row r="6" spans="2:6" x14ac:dyDescent="0.2">
      <c r="B6" s="357" t="s">
        <v>47</v>
      </c>
      <c r="C6" s="357"/>
      <c r="D6" s="357"/>
      <c r="E6" s="358"/>
      <c r="F6" s="59"/>
    </row>
    <row r="7" spans="2:6" x14ac:dyDescent="0.2">
      <c r="B7" s="59"/>
      <c r="C7" s="59"/>
      <c r="D7" s="59"/>
      <c r="E7" s="59"/>
      <c r="F7" s="59"/>
    </row>
    <row r="8" spans="2:6" ht="14.25" x14ac:dyDescent="0.2">
      <c r="B8" s="59"/>
      <c r="C8" s="68" t="s">
        <v>51</v>
      </c>
      <c r="D8" s="68" t="s">
        <v>335</v>
      </c>
      <c r="E8" s="68" t="s">
        <v>336</v>
      </c>
      <c r="F8" s="68"/>
    </row>
    <row r="9" spans="2:6" x14ac:dyDescent="0.2">
      <c r="B9" s="59"/>
      <c r="C9" s="70">
        <v>0</v>
      </c>
      <c r="D9" s="64">
        <f>C9^2+4</f>
        <v>4</v>
      </c>
      <c r="E9" s="70">
        <f t="shared" ref="E9:E39" si="0">C9</f>
        <v>0</v>
      </c>
      <c r="F9" s="71"/>
    </row>
    <row r="10" spans="2:6" x14ac:dyDescent="0.2">
      <c r="B10" s="59"/>
      <c r="C10" s="70">
        <v>0.1</v>
      </c>
      <c r="D10" s="64">
        <f t="shared" ref="D10:D39" si="1">C10^2+4</f>
        <v>4.01</v>
      </c>
      <c r="E10" s="70">
        <f t="shared" si="0"/>
        <v>0.1</v>
      </c>
      <c r="F10" s="71"/>
    </row>
    <row r="11" spans="2:6" x14ac:dyDescent="0.2">
      <c r="B11" s="59"/>
      <c r="C11" s="70">
        <v>0.2</v>
      </c>
      <c r="D11" s="64">
        <f t="shared" si="1"/>
        <v>4.04</v>
      </c>
      <c r="E11" s="70">
        <f t="shared" si="0"/>
        <v>0.2</v>
      </c>
      <c r="F11" s="71"/>
    </row>
    <row r="12" spans="2:6" x14ac:dyDescent="0.2">
      <c r="B12" s="59"/>
      <c r="C12" s="70">
        <v>0.3</v>
      </c>
      <c r="D12" s="64">
        <f t="shared" si="1"/>
        <v>4.09</v>
      </c>
      <c r="E12" s="70">
        <f t="shared" si="0"/>
        <v>0.3</v>
      </c>
      <c r="F12" s="71"/>
    </row>
    <row r="13" spans="2:6" x14ac:dyDescent="0.2">
      <c r="B13" s="59"/>
      <c r="C13" s="70">
        <v>0.4</v>
      </c>
      <c r="D13" s="64">
        <f t="shared" si="1"/>
        <v>4.16</v>
      </c>
      <c r="E13" s="70">
        <f t="shared" si="0"/>
        <v>0.4</v>
      </c>
      <c r="F13" s="71"/>
    </row>
    <row r="14" spans="2:6" x14ac:dyDescent="0.2">
      <c r="B14" s="59"/>
      <c r="C14" s="70">
        <v>0.5</v>
      </c>
      <c r="D14" s="64">
        <f t="shared" si="1"/>
        <v>4.25</v>
      </c>
      <c r="E14" s="70">
        <f t="shared" si="0"/>
        <v>0.5</v>
      </c>
      <c r="F14" s="71"/>
    </row>
    <row r="15" spans="2:6" x14ac:dyDescent="0.2">
      <c r="B15" s="59"/>
      <c r="C15" s="70">
        <v>0.6</v>
      </c>
      <c r="D15" s="64">
        <f t="shared" si="1"/>
        <v>4.3600000000000003</v>
      </c>
      <c r="E15" s="70">
        <f t="shared" si="0"/>
        <v>0.6</v>
      </c>
      <c r="F15" s="71"/>
    </row>
    <row r="16" spans="2:6" x14ac:dyDescent="0.2">
      <c r="B16" s="59"/>
      <c r="C16" s="70">
        <v>0.7</v>
      </c>
      <c r="D16" s="64">
        <f t="shared" si="1"/>
        <v>4.49</v>
      </c>
      <c r="E16" s="70">
        <f t="shared" si="0"/>
        <v>0.7</v>
      </c>
      <c r="F16" s="71"/>
    </row>
    <row r="17" spans="2:6" x14ac:dyDescent="0.2">
      <c r="B17" s="59"/>
      <c r="C17" s="70">
        <v>0.8</v>
      </c>
      <c r="D17" s="64">
        <f t="shared" si="1"/>
        <v>4.6400000000000006</v>
      </c>
      <c r="E17" s="70">
        <f t="shared" si="0"/>
        <v>0.8</v>
      </c>
      <c r="F17" s="71"/>
    </row>
    <row r="18" spans="2:6" x14ac:dyDescent="0.2">
      <c r="B18" s="59"/>
      <c r="C18" s="70">
        <v>0.9</v>
      </c>
      <c r="D18" s="64">
        <f t="shared" si="1"/>
        <v>4.8100000000000005</v>
      </c>
      <c r="E18" s="70">
        <f t="shared" si="0"/>
        <v>0.9</v>
      </c>
      <c r="F18" s="71"/>
    </row>
    <row r="19" spans="2:6" x14ac:dyDescent="0.2">
      <c r="B19" s="59"/>
      <c r="C19" s="70">
        <v>1</v>
      </c>
      <c r="D19" s="64">
        <f t="shared" si="1"/>
        <v>5</v>
      </c>
      <c r="E19" s="70">
        <f t="shared" si="0"/>
        <v>1</v>
      </c>
      <c r="F19" s="71"/>
    </row>
    <row r="20" spans="2:6" x14ac:dyDescent="0.2">
      <c r="B20" s="59"/>
      <c r="C20" s="70">
        <v>1.1000000000000001</v>
      </c>
      <c r="D20" s="64">
        <f t="shared" si="1"/>
        <v>5.21</v>
      </c>
      <c r="E20" s="70">
        <f t="shared" si="0"/>
        <v>1.1000000000000001</v>
      </c>
      <c r="F20" s="71"/>
    </row>
    <row r="21" spans="2:6" x14ac:dyDescent="0.2">
      <c r="B21" s="59"/>
      <c r="C21" s="70">
        <v>1.2</v>
      </c>
      <c r="D21" s="64">
        <f t="shared" si="1"/>
        <v>5.4399999999999995</v>
      </c>
      <c r="E21" s="70">
        <f t="shared" si="0"/>
        <v>1.2</v>
      </c>
      <c r="F21" s="71"/>
    </row>
    <row r="22" spans="2:6" x14ac:dyDescent="0.2">
      <c r="B22" s="59"/>
      <c r="C22" s="70">
        <v>1.3</v>
      </c>
      <c r="D22" s="64">
        <f t="shared" si="1"/>
        <v>5.69</v>
      </c>
      <c r="E22" s="70">
        <f t="shared" si="0"/>
        <v>1.3</v>
      </c>
      <c r="F22" s="71"/>
    </row>
    <row r="23" spans="2:6" x14ac:dyDescent="0.2">
      <c r="B23" s="59"/>
      <c r="C23" s="70">
        <v>1.4</v>
      </c>
      <c r="D23" s="64">
        <f t="shared" si="1"/>
        <v>5.96</v>
      </c>
      <c r="E23" s="70">
        <f t="shared" si="0"/>
        <v>1.4</v>
      </c>
      <c r="F23" s="71"/>
    </row>
    <row r="24" spans="2:6" x14ac:dyDescent="0.2">
      <c r="B24" s="59"/>
      <c r="C24" s="70">
        <v>1.5</v>
      </c>
      <c r="D24" s="64">
        <f t="shared" si="1"/>
        <v>6.25</v>
      </c>
      <c r="E24" s="70">
        <f t="shared" si="0"/>
        <v>1.5</v>
      </c>
      <c r="F24" s="71"/>
    </row>
    <row r="25" spans="2:6" x14ac:dyDescent="0.2">
      <c r="B25" s="59"/>
      <c r="C25" s="70">
        <v>1.6</v>
      </c>
      <c r="D25" s="64">
        <f t="shared" si="1"/>
        <v>6.5600000000000005</v>
      </c>
      <c r="E25" s="70">
        <f t="shared" si="0"/>
        <v>1.6</v>
      </c>
      <c r="F25" s="71"/>
    </row>
    <row r="26" spans="2:6" x14ac:dyDescent="0.2">
      <c r="B26" s="59"/>
      <c r="C26" s="70">
        <v>1.7</v>
      </c>
      <c r="D26" s="64">
        <f t="shared" si="1"/>
        <v>6.89</v>
      </c>
      <c r="E26" s="70">
        <f t="shared" si="0"/>
        <v>1.7</v>
      </c>
      <c r="F26" s="71"/>
    </row>
    <row r="27" spans="2:6" x14ac:dyDescent="0.2">
      <c r="B27" s="59"/>
      <c r="C27" s="70">
        <v>1.8</v>
      </c>
      <c r="D27" s="64">
        <f t="shared" si="1"/>
        <v>7.24</v>
      </c>
      <c r="E27" s="70">
        <f t="shared" si="0"/>
        <v>1.8</v>
      </c>
      <c r="F27" s="71"/>
    </row>
    <row r="28" spans="2:6" x14ac:dyDescent="0.2">
      <c r="B28" s="59"/>
      <c r="C28" s="70">
        <v>1.9</v>
      </c>
      <c r="D28" s="64">
        <f t="shared" si="1"/>
        <v>7.6099999999999994</v>
      </c>
      <c r="E28" s="70">
        <f t="shared" si="0"/>
        <v>1.9</v>
      </c>
      <c r="F28" s="71"/>
    </row>
    <row r="29" spans="2:6" x14ac:dyDescent="0.2">
      <c r="B29" s="59"/>
      <c r="C29" s="70">
        <v>2</v>
      </c>
      <c r="D29" s="64">
        <f t="shared" si="1"/>
        <v>8</v>
      </c>
      <c r="E29" s="70">
        <f t="shared" si="0"/>
        <v>2</v>
      </c>
      <c r="F29" s="71"/>
    </row>
    <row r="30" spans="2:6" x14ac:dyDescent="0.2">
      <c r="B30" s="59"/>
      <c r="C30" s="70">
        <v>2.1</v>
      </c>
      <c r="D30" s="64">
        <f t="shared" si="1"/>
        <v>8.41</v>
      </c>
      <c r="E30" s="70">
        <f t="shared" si="0"/>
        <v>2.1</v>
      </c>
      <c r="F30" s="71"/>
    </row>
    <row r="31" spans="2:6" x14ac:dyDescent="0.2">
      <c r="B31" s="59"/>
      <c r="C31" s="70">
        <v>2.2000000000000002</v>
      </c>
      <c r="D31" s="64">
        <f t="shared" si="1"/>
        <v>8.84</v>
      </c>
      <c r="E31" s="70">
        <f t="shared" si="0"/>
        <v>2.2000000000000002</v>
      </c>
      <c r="F31" s="71"/>
    </row>
    <row r="32" spans="2:6" x14ac:dyDescent="0.2">
      <c r="B32" s="59"/>
      <c r="C32" s="70">
        <v>2.2999999999999998</v>
      </c>
      <c r="D32" s="64">
        <f t="shared" si="1"/>
        <v>9.2899999999999991</v>
      </c>
      <c r="E32" s="70">
        <f t="shared" si="0"/>
        <v>2.2999999999999998</v>
      </c>
      <c r="F32" s="71"/>
    </row>
    <row r="33" spans="2:6" x14ac:dyDescent="0.2">
      <c r="B33" s="59"/>
      <c r="C33" s="70">
        <v>2.4</v>
      </c>
      <c r="D33" s="64">
        <f t="shared" si="1"/>
        <v>9.76</v>
      </c>
      <c r="E33" s="70">
        <f t="shared" si="0"/>
        <v>2.4</v>
      </c>
      <c r="F33" s="71"/>
    </row>
    <row r="34" spans="2:6" x14ac:dyDescent="0.2">
      <c r="B34" s="59"/>
      <c r="C34" s="70">
        <v>2.5</v>
      </c>
      <c r="D34" s="64">
        <f t="shared" si="1"/>
        <v>10.25</v>
      </c>
      <c r="E34" s="70">
        <f t="shared" si="0"/>
        <v>2.5</v>
      </c>
      <c r="F34" s="59"/>
    </row>
    <row r="35" spans="2:6" x14ac:dyDescent="0.2">
      <c r="B35" s="59"/>
      <c r="C35" s="70">
        <v>2.6</v>
      </c>
      <c r="D35" s="64">
        <f t="shared" si="1"/>
        <v>10.760000000000002</v>
      </c>
      <c r="E35" s="70">
        <f t="shared" si="0"/>
        <v>2.6</v>
      </c>
      <c r="F35" s="59"/>
    </row>
    <row r="36" spans="2:6" x14ac:dyDescent="0.2">
      <c r="B36" s="59"/>
      <c r="C36" s="70">
        <v>2.7</v>
      </c>
      <c r="D36" s="64">
        <f t="shared" si="1"/>
        <v>11.290000000000001</v>
      </c>
      <c r="E36" s="70">
        <f t="shared" si="0"/>
        <v>2.7</v>
      </c>
      <c r="F36" s="59"/>
    </row>
    <row r="37" spans="2:6" x14ac:dyDescent="0.2">
      <c r="B37" s="59"/>
      <c r="C37" s="70">
        <v>2.8</v>
      </c>
      <c r="D37" s="64">
        <f t="shared" si="1"/>
        <v>11.84</v>
      </c>
      <c r="E37" s="70">
        <f t="shared" si="0"/>
        <v>2.8</v>
      </c>
      <c r="F37" s="59"/>
    </row>
    <row r="38" spans="2:6" x14ac:dyDescent="0.2">
      <c r="B38" s="59"/>
      <c r="C38" s="70">
        <v>2.9</v>
      </c>
      <c r="D38" s="64">
        <f t="shared" si="1"/>
        <v>12.41</v>
      </c>
      <c r="E38" s="70">
        <f t="shared" si="0"/>
        <v>2.9</v>
      </c>
      <c r="F38" s="59"/>
    </row>
    <row r="39" spans="2:6" x14ac:dyDescent="0.2">
      <c r="B39" s="59"/>
      <c r="C39" s="70">
        <v>3</v>
      </c>
      <c r="D39" s="64">
        <f t="shared" si="1"/>
        <v>13</v>
      </c>
      <c r="E39" s="70">
        <f t="shared" si="0"/>
        <v>3</v>
      </c>
      <c r="F39" s="59"/>
    </row>
    <row r="40" spans="2:6" x14ac:dyDescent="0.2">
      <c r="B40" s="59"/>
      <c r="C40" s="59"/>
      <c r="D40" s="59"/>
      <c r="E40" s="59"/>
      <c r="F40" s="59"/>
    </row>
    <row r="41" spans="2:6" ht="14.25" x14ac:dyDescent="0.2">
      <c r="B41" s="59"/>
      <c r="C41" s="71">
        <v>0.49999183617315285</v>
      </c>
      <c r="D41" s="71">
        <f>C41^2+4</f>
        <v>4.2499918362398006</v>
      </c>
      <c r="E41" s="59"/>
      <c r="F41" s="72" t="s">
        <v>337</v>
      </c>
    </row>
    <row r="42" spans="2:6" x14ac:dyDescent="0.2">
      <c r="B42" s="59"/>
      <c r="C42" s="71">
        <v>2.3750451965083097</v>
      </c>
      <c r="D42" s="71">
        <f>C42</f>
        <v>2.3750451965083097</v>
      </c>
      <c r="E42" s="59"/>
      <c r="F42" s="59" t="s">
        <v>338</v>
      </c>
    </row>
    <row r="43" spans="2:6" x14ac:dyDescent="0.2">
      <c r="B43" s="59"/>
      <c r="C43" s="59" t="s">
        <v>339</v>
      </c>
      <c r="D43" s="59">
        <f>SQRT((C41-C42)^2+(D41-D42)^2)</f>
        <v>2.6516504305704727</v>
      </c>
      <c r="E43" s="59"/>
      <c r="F43" s="59"/>
    </row>
  </sheetData>
  <mergeCells count="5">
    <mergeCell ref="B6:E6"/>
    <mergeCell ref="B2:C2"/>
    <mergeCell ref="B3:C3"/>
    <mergeCell ref="B4:C4"/>
    <mergeCell ref="B1:C1"/>
  </mergeCells>
  <hyperlinks>
    <hyperlink ref="B6:D6" location="Inhoud!A1" display="Ga naar Inhoudsopgave" xr:uid="{00000000-0004-0000-2000-000000000000}"/>
  </hyperlinks>
  <printOptions gridLines="1" gridLinesSet="0"/>
  <pageMargins left="0.75" right="0.75" top="1" bottom="1" header="0.5" footer="0.5"/>
  <pageSetup paperSize="9" orientation="landscape" horizontalDpi="4294967292" r:id="rId1"/>
  <headerFooter alignWithMargins="0">
    <oddHeader>&amp;A</oddHeader>
    <oddFooter>Pagina &amp;P</oddFooter>
  </headerFooter>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Blad20"/>
  <dimension ref="B1:F32"/>
  <sheetViews>
    <sheetView workbookViewId="0">
      <pane xSplit="1" ySplit="6" topLeftCell="B7" activePane="bottomRight" state="frozen"/>
      <selection pane="topRight" activeCell="B1" sqref="B1"/>
      <selection pane="bottomLeft" activeCell="A5" sqref="A5"/>
      <selection pane="bottomRight" activeCell="D2" sqref="D2:D4"/>
    </sheetView>
  </sheetViews>
  <sheetFormatPr defaultRowHeight="12.75" x14ac:dyDescent="0.2"/>
  <cols>
    <col min="1" max="2" width="3.7109375" style="4" customWidth="1"/>
    <col min="3" max="6" width="7.7109375" style="4" customWidth="1"/>
    <col min="7" max="16384" width="9.140625" style="4"/>
  </cols>
  <sheetData>
    <row r="1" spans="2:6" x14ac:dyDescent="0.2">
      <c r="B1" s="355" t="s">
        <v>1253</v>
      </c>
      <c r="C1" s="355"/>
      <c r="D1" s="316" t="s">
        <v>321</v>
      </c>
    </row>
    <row r="2" spans="2:6" x14ac:dyDescent="0.2">
      <c r="B2" s="355" t="s">
        <v>1085</v>
      </c>
      <c r="C2" s="355"/>
      <c r="D2" s="332" t="str">
        <f>VLOOKUP(D$1,TabelContent[],COLUMN(TabelContent[Titel-NL]))</f>
        <v>Maximum functie bepalen</v>
      </c>
    </row>
    <row r="3" spans="2:6" x14ac:dyDescent="0.2">
      <c r="B3" s="355" t="s">
        <v>1086</v>
      </c>
      <c r="C3" s="355"/>
      <c r="D3" s="332" t="str">
        <f>VLOOKUP(D$1,TabelContent[],COLUMN(TabelContent[Cat-NL]))</f>
        <v>Wiskunde</v>
      </c>
    </row>
    <row r="4" spans="2:6" x14ac:dyDescent="0.2">
      <c r="B4" s="355" t="s">
        <v>1087</v>
      </c>
      <c r="C4" s="355" t="s">
        <v>1077</v>
      </c>
      <c r="D4" s="332">
        <f>VLOOKUP(D$1,TabelContent[],COLUMN(TabelContent[Niveau]))</f>
        <v>3</v>
      </c>
    </row>
    <row r="5" spans="2:6" x14ac:dyDescent="0.2">
      <c r="B5" s="16"/>
      <c r="C5" s="16"/>
      <c r="D5" s="16"/>
      <c r="E5" s="16"/>
      <c r="F5" s="16"/>
    </row>
    <row r="6" spans="2:6" x14ac:dyDescent="0.2">
      <c r="B6" s="357" t="s">
        <v>47</v>
      </c>
      <c r="C6" s="358"/>
      <c r="D6" s="358"/>
      <c r="E6" s="358"/>
      <c r="F6" s="16"/>
    </row>
    <row r="7" spans="2:6" x14ac:dyDescent="0.2">
      <c r="B7" s="16"/>
      <c r="C7" s="16"/>
      <c r="D7" s="16"/>
      <c r="E7" s="16"/>
      <c r="F7" s="16"/>
    </row>
    <row r="8" spans="2:6" ht="14.25" x14ac:dyDescent="0.25">
      <c r="B8" s="16"/>
      <c r="C8" s="73" t="s">
        <v>340</v>
      </c>
      <c r="D8" s="74" t="s">
        <v>341</v>
      </c>
      <c r="E8" s="74" t="s">
        <v>342</v>
      </c>
      <c r="F8" s="74" t="s">
        <v>343</v>
      </c>
    </row>
    <row r="9" spans="2:6" x14ac:dyDescent="0.2">
      <c r="B9" s="16"/>
      <c r="C9" s="16">
        <v>1</v>
      </c>
      <c r="D9" s="75">
        <f>2*LOG(C9)</f>
        <v>0</v>
      </c>
      <c r="E9" s="75">
        <f>0.01*C9^2-1</f>
        <v>-0.99</v>
      </c>
      <c r="F9" s="75">
        <f>D9-E9</f>
        <v>0.99</v>
      </c>
    </row>
    <row r="10" spans="2:6" x14ac:dyDescent="0.2">
      <c r="B10" s="16"/>
      <c r="C10" s="16">
        <v>2</v>
      </c>
      <c r="D10" s="75">
        <f t="shared" ref="D10:D25" si="0">2*LOG(C10)</f>
        <v>0.6020599913279624</v>
      </c>
      <c r="E10" s="75">
        <f t="shared" ref="E10:E25" si="1">0.01*C10^2-1</f>
        <v>-0.96</v>
      </c>
      <c r="F10" s="75">
        <f t="shared" ref="F10:F25" si="2">D10-E10</f>
        <v>1.5620599913279625</v>
      </c>
    </row>
    <row r="11" spans="2:6" x14ac:dyDescent="0.2">
      <c r="B11" s="16"/>
      <c r="C11" s="16">
        <v>3</v>
      </c>
      <c r="D11" s="75">
        <f t="shared" si="0"/>
        <v>0.95424250943932487</v>
      </c>
      <c r="E11" s="75">
        <f t="shared" si="1"/>
        <v>-0.91</v>
      </c>
      <c r="F11" s="75">
        <f t="shared" si="2"/>
        <v>1.8642425094393249</v>
      </c>
    </row>
    <row r="12" spans="2:6" x14ac:dyDescent="0.2">
      <c r="B12" s="16"/>
      <c r="C12" s="16">
        <v>4</v>
      </c>
      <c r="D12" s="75">
        <f t="shared" si="0"/>
        <v>1.2041199826559248</v>
      </c>
      <c r="E12" s="75">
        <f t="shared" si="1"/>
        <v>-0.84</v>
      </c>
      <c r="F12" s="75">
        <f t="shared" si="2"/>
        <v>2.0441199826559249</v>
      </c>
    </row>
    <row r="13" spans="2:6" x14ac:dyDescent="0.2">
      <c r="B13" s="16"/>
      <c r="C13" s="16">
        <v>5</v>
      </c>
      <c r="D13" s="75">
        <f t="shared" si="0"/>
        <v>1.3979400086720377</v>
      </c>
      <c r="E13" s="75">
        <f t="shared" si="1"/>
        <v>-0.75</v>
      </c>
      <c r="F13" s="75">
        <f t="shared" si="2"/>
        <v>2.1479400086720375</v>
      </c>
    </row>
    <row r="14" spans="2:6" x14ac:dyDescent="0.2">
      <c r="B14" s="16"/>
      <c r="C14" s="16">
        <v>6</v>
      </c>
      <c r="D14" s="75">
        <f t="shared" si="0"/>
        <v>1.5563025007672873</v>
      </c>
      <c r="E14" s="75">
        <f t="shared" si="1"/>
        <v>-0.64</v>
      </c>
      <c r="F14" s="75">
        <f t="shared" si="2"/>
        <v>2.1963025007672874</v>
      </c>
    </row>
    <row r="15" spans="2:6" x14ac:dyDescent="0.2">
      <c r="B15" s="16"/>
      <c r="C15" s="16">
        <v>7</v>
      </c>
      <c r="D15" s="75">
        <f t="shared" si="0"/>
        <v>1.6901960800285136</v>
      </c>
      <c r="E15" s="75">
        <f t="shared" si="1"/>
        <v>-0.51</v>
      </c>
      <c r="F15" s="75">
        <f t="shared" si="2"/>
        <v>2.2001960800285136</v>
      </c>
    </row>
    <row r="16" spans="2:6" x14ac:dyDescent="0.2">
      <c r="B16" s="16"/>
      <c r="C16" s="16">
        <v>8</v>
      </c>
      <c r="D16" s="75">
        <f t="shared" si="0"/>
        <v>1.8061799739838871</v>
      </c>
      <c r="E16" s="75">
        <f t="shared" si="1"/>
        <v>-0.36</v>
      </c>
      <c r="F16" s="75">
        <f t="shared" si="2"/>
        <v>2.166179973983887</v>
      </c>
    </row>
    <row r="17" spans="2:6" x14ac:dyDescent="0.2">
      <c r="B17" s="16"/>
      <c r="C17" s="16">
        <v>9</v>
      </c>
      <c r="D17" s="75">
        <f t="shared" si="0"/>
        <v>1.9084850188786497</v>
      </c>
      <c r="E17" s="75">
        <f t="shared" si="1"/>
        <v>-0.18999999999999995</v>
      </c>
      <c r="F17" s="75">
        <f t="shared" si="2"/>
        <v>2.0984850188786499</v>
      </c>
    </row>
    <row r="18" spans="2:6" x14ac:dyDescent="0.2">
      <c r="B18" s="16"/>
      <c r="C18" s="16">
        <v>10</v>
      </c>
      <c r="D18" s="75">
        <f t="shared" si="0"/>
        <v>2</v>
      </c>
      <c r="E18" s="75">
        <f t="shared" si="1"/>
        <v>0</v>
      </c>
      <c r="F18" s="75">
        <f t="shared" si="2"/>
        <v>2</v>
      </c>
    </row>
    <row r="19" spans="2:6" x14ac:dyDescent="0.2">
      <c r="B19" s="16"/>
      <c r="C19" s="16">
        <v>11</v>
      </c>
      <c r="D19" s="75">
        <f t="shared" si="0"/>
        <v>2.0827853703164503</v>
      </c>
      <c r="E19" s="75">
        <f t="shared" si="1"/>
        <v>0.20999999999999996</v>
      </c>
      <c r="F19" s="75">
        <f t="shared" si="2"/>
        <v>1.8727853703164503</v>
      </c>
    </row>
    <row r="20" spans="2:6" x14ac:dyDescent="0.2">
      <c r="B20" s="16"/>
      <c r="C20" s="16">
        <v>12</v>
      </c>
      <c r="D20" s="75">
        <f t="shared" si="0"/>
        <v>2.1583624920952498</v>
      </c>
      <c r="E20" s="75">
        <f t="shared" si="1"/>
        <v>0.43999999999999995</v>
      </c>
      <c r="F20" s="75">
        <f t="shared" si="2"/>
        <v>1.7183624920952498</v>
      </c>
    </row>
    <row r="21" spans="2:6" x14ac:dyDescent="0.2">
      <c r="B21" s="16"/>
      <c r="C21" s="16">
        <v>13</v>
      </c>
      <c r="D21" s="75">
        <f t="shared" si="0"/>
        <v>2.2278867046136734</v>
      </c>
      <c r="E21" s="75">
        <f t="shared" si="1"/>
        <v>0.69</v>
      </c>
      <c r="F21" s="75">
        <f t="shared" si="2"/>
        <v>1.5378867046136735</v>
      </c>
    </row>
    <row r="22" spans="2:6" x14ac:dyDescent="0.2">
      <c r="B22" s="16"/>
      <c r="C22" s="16">
        <v>14</v>
      </c>
      <c r="D22" s="75">
        <f t="shared" si="0"/>
        <v>2.2922560713564759</v>
      </c>
      <c r="E22" s="75">
        <f t="shared" si="1"/>
        <v>0.96</v>
      </c>
      <c r="F22" s="75">
        <f t="shared" si="2"/>
        <v>1.3322560713564759</v>
      </c>
    </row>
    <row r="23" spans="2:6" x14ac:dyDescent="0.2">
      <c r="B23" s="16"/>
      <c r="C23" s="16">
        <v>15</v>
      </c>
      <c r="D23" s="75">
        <f t="shared" si="0"/>
        <v>2.3521825181113627</v>
      </c>
      <c r="E23" s="75">
        <f t="shared" si="1"/>
        <v>1.25</v>
      </c>
      <c r="F23" s="75">
        <f t="shared" si="2"/>
        <v>1.1021825181113627</v>
      </c>
    </row>
    <row r="24" spans="2:6" x14ac:dyDescent="0.2">
      <c r="B24" s="16"/>
      <c r="C24" s="16">
        <v>16</v>
      </c>
      <c r="D24" s="75">
        <f t="shared" si="0"/>
        <v>2.4082399653118496</v>
      </c>
      <c r="E24" s="75">
        <f t="shared" si="1"/>
        <v>1.56</v>
      </c>
      <c r="F24" s="75">
        <f t="shared" si="2"/>
        <v>0.84823996531184953</v>
      </c>
    </row>
    <row r="25" spans="2:6" x14ac:dyDescent="0.2">
      <c r="B25" s="16"/>
      <c r="C25" s="16">
        <v>17</v>
      </c>
      <c r="D25" s="75">
        <f t="shared" si="0"/>
        <v>2.4608978427565478</v>
      </c>
      <c r="E25" s="75">
        <f t="shared" si="1"/>
        <v>1.8900000000000001</v>
      </c>
      <c r="F25" s="75">
        <f t="shared" si="2"/>
        <v>0.57089784275654765</v>
      </c>
    </row>
    <row r="26" spans="2:6" x14ac:dyDescent="0.2">
      <c r="B26" s="16"/>
      <c r="C26" s="16">
        <v>18</v>
      </c>
      <c r="D26" s="75">
        <f>2*LOG(C26)</f>
        <v>2.510545010206612</v>
      </c>
      <c r="E26" s="75">
        <f>0.01*C26^2-1</f>
        <v>2.2400000000000002</v>
      </c>
      <c r="F26" s="75">
        <f>D26-E26</f>
        <v>0.27054501020661181</v>
      </c>
    </row>
    <row r="27" spans="2:6" x14ac:dyDescent="0.2">
      <c r="B27" s="16"/>
      <c r="C27" s="16">
        <v>19</v>
      </c>
      <c r="D27" s="75">
        <f>2*LOG(C27)</f>
        <v>2.5575072019056577</v>
      </c>
      <c r="E27" s="75">
        <f>0.01*C27^2-1</f>
        <v>2.61</v>
      </c>
      <c r="F27" s="75">
        <f>D27-E27</f>
        <v>-5.2492798094342152E-2</v>
      </c>
    </row>
    <row r="28" spans="2:6" x14ac:dyDescent="0.2">
      <c r="B28" s="16"/>
      <c r="C28" s="16">
        <v>20</v>
      </c>
      <c r="D28" s="75">
        <f>2*LOG(C28)</f>
        <v>2.6020599913279625</v>
      </c>
      <c r="E28" s="75">
        <f>0.01*C28^2-1</f>
        <v>3</v>
      </c>
      <c r="F28" s="75">
        <f>D28-E28</f>
        <v>-0.39794000867203749</v>
      </c>
    </row>
    <row r="29" spans="2:6" x14ac:dyDescent="0.2">
      <c r="B29" s="16"/>
      <c r="C29" s="16"/>
      <c r="D29" s="16"/>
      <c r="E29" s="16"/>
      <c r="F29" s="16"/>
    </row>
    <row r="30" spans="2:6" x14ac:dyDescent="0.2">
      <c r="B30" s="16"/>
      <c r="C30" s="16" t="s">
        <v>347</v>
      </c>
      <c r="D30" s="16"/>
      <c r="E30" s="16"/>
      <c r="F30" s="16"/>
    </row>
    <row r="31" spans="2:6" x14ac:dyDescent="0.2">
      <c r="B31" s="16"/>
      <c r="C31" s="76" t="s">
        <v>340</v>
      </c>
      <c r="D31" s="77" t="s">
        <v>344</v>
      </c>
      <c r="E31" s="77" t="s">
        <v>345</v>
      </c>
      <c r="F31" s="77" t="s">
        <v>346</v>
      </c>
    </row>
    <row r="32" spans="2:6" x14ac:dyDescent="0.2">
      <c r="B32" s="16"/>
      <c r="C32" s="16">
        <v>5</v>
      </c>
      <c r="D32" s="78">
        <f>2*LOG(C32)</f>
        <v>1.3979400086720377</v>
      </c>
      <c r="E32" s="78">
        <f>0.01*C32^2-1</f>
        <v>-0.75</v>
      </c>
      <c r="F32" s="78">
        <f>D32-E32</f>
        <v>2.1479400086720375</v>
      </c>
    </row>
  </sheetData>
  <mergeCells count="5">
    <mergeCell ref="B6:E6"/>
    <mergeCell ref="B2:C2"/>
    <mergeCell ref="B3:C3"/>
    <mergeCell ref="B4:C4"/>
    <mergeCell ref="B1:C1"/>
  </mergeCells>
  <hyperlinks>
    <hyperlink ref="B6:D6" location="Inhoud!A1" display="Ga naar Inhoudsopgave" xr:uid="{00000000-0004-0000-2100-000000000000}"/>
  </hyperlinks>
  <pageMargins left="0.7" right="0.7" top="0.75" bottom="0.75" header="0.3" footer="0.3"/>
  <pageSetup paperSize="9" orientation="landscape" r:id="rId1"/>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Blad21"/>
  <dimension ref="B1:E22"/>
  <sheetViews>
    <sheetView workbookViewId="0">
      <pane xSplit="1" ySplit="6" topLeftCell="B7" activePane="bottomRight" state="frozen"/>
      <selection pane="topRight" activeCell="B1" sqref="B1"/>
      <selection pane="bottomLeft" activeCell="A6" sqref="A6"/>
      <selection pane="bottomRight"/>
    </sheetView>
  </sheetViews>
  <sheetFormatPr defaultRowHeight="12.75" x14ac:dyDescent="0.2"/>
  <cols>
    <col min="1" max="2" width="3.7109375" style="10" customWidth="1"/>
    <col min="3" max="3" width="7.7109375" style="10" customWidth="1"/>
    <col min="4" max="4" width="13" style="10" bestFit="1" customWidth="1"/>
    <col min="5" max="5" width="11.85546875" style="10" bestFit="1" customWidth="1"/>
    <col min="6" max="257" width="9.140625" style="10"/>
    <col min="258" max="258" width="13.42578125" style="10" customWidth="1"/>
    <col min="259" max="259" width="10.42578125" style="10" customWidth="1"/>
    <col min="260" max="260" width="13" style="10" bestFit="1" customWidth="1"/>
    <col min="261" max="513" width="9.140625" style="10"/>
    <col min="514" max="514" width="13.42578125" style="10" customWidth="1"/>
    <col min="515" max="515" width="10.42578125" style="10" customWidth="1"/>
    <col min="516" max="516" width="13" style="10" bestFit="1" customWidth="1"/>
    <col min="517" max="769" width="9.140625" style="10"/>
    <col min="770" max="770" width="13.42578125" style="10" customWidth="1"/>
    <col min="771" max="771" width="10.42578125" style="10" customWidth="1"/>
    <col min="772" max="772" width="13" style="10" bestFit="1" customWidth="1"/>
    <col min="773" max="1025" width="9.140625" style="10"/>
    <col min="1026" max="1026" width="13.42578125" style="10" customWidth="1"/>
    <col min="1027" max="1027" width="10.42578125" style="10" customWidth="1"/>
    <col min="1028" max="1028" width="13" style="10" bestFit="1" customWidth="1"/>
    <col min="1029" max="1281" width="9.140625" style="10"/>
    <col min="1282" max="1282" width="13.42578125" style="10" customWidth="1"/>
    <col min="1283" max="1283" width="10.42578125" style="10" customWidth="1"/>
    <col min="1284" max="1284" width="13" style="10" bestFit="1" customWidth="1"/>
    <col min="1285" max="1537" width="9.140625" style="10"/>
    <col min="1538" max="1538" width="13.42578125" style="10" customWidth="1"/>
    <col min="1539" max="1539" width="10.42578125" style="10" customWidth="1"/>
    <col min="1540" max="1540" width="13" style="10" bestFit="1" customWidth="1"/>
    <col min="1541" max="1793" width="9.140625" style="10"/>
    <col min="1794" max="1794" width="13.42578125" style="10" customWidth="1"/>
    <col min="1795" max="1795" width="10.42578125" style="10" customWidth="1"/>
    <col min="1796" max="1796" width="13" style="10" bestFit="1" customWidth="1"/>
    <col min="1797" max="2049" width="9.140625" style="10"/>
    <col min="2050" max="2050" width="13.42578125" style="10" customWidth="1"/>
    <col min="2051" max="2051" width="10.42578125" style="10" customWidth="1"/>
    <col min="2052" max="2052" width="13" style="10" bestFit="1" customWidth="1"/>
    <col min="2053" max="2305" width="9.140625" style="10"/>
    <col min="2306" max="2306" width="13.42578125" style="10" customWidth="1"/>
    <col min="2307" max="2307" width="10.42578125" style="10" customWidth="1"/>
    <col min="2308" max="2308" width="13" style="10" bestFit="1" customWidth="1"/>
    <col min="2309" max="2561" width="9.140625" style="10"/>
    <col min="2562" max="2562" width="13.42578125" style="10" customWidth="1"/>
    <col min="2563" max="2563" width="10.42578125" style="10" customWidth="1"/>
    <col min="2564" max="2564" width="13" style="10" bestFit="1" customWidth="1"/>
    <col min="2565" max="2817" width="9.140625" style="10"/>
    <col min="2818" max="2818" width="13.42578125" style="10" customWidth="1"/>
    <col min="2819" max="2819" width="10.42578125" style="10" customWidth="1"/>
    <col min="2820" max="2820" width="13" style="10" bestFit="1" customWidth="1"/>
    <col min="2821" max="3073" width="9.140625" style="10"/>
    <col min="3074" max="3074" width="13.42578125" style="10" customWidth="1"/>
    <col min="3075" max="3075" width="10.42578125" style="10" customWidth="1"/>
    <col min="3076" max="3076" width="13" style="10" bestFit="1" customWidth="1"/>
    <col min="3077" max="3329" width="9.140625" style="10"/>
    <col min="3330" max="3330" width="13.42578125" style="10" customWidth="1"/>
    <col min="3331" max="3331" width="10.42578125" style="10" customWidth="1"/>
    <col min="3332" max="3332" width="13" style="10" bestFit="1" customWidth="1"/>
    <col min="3333" max="3585" width="9.140625" style="10"/>
    <col min="3586" max="3586" width="13.42578125" style="10" customWidth="1"/>
    <col min="3587" max="3587" width="10.42578125" style="10" customWidth="1"/>
    <col min="3588" max="3588" width="13" style="10" bestFit="1" customWidth="1"/>
    <col min="3589" max="3841" width="9.140625" style="10"/>
    <col min="3842" max="3842" width="13.42578125" style="10" customWidth="1"/>
    <col min="3843" max="3843" width="10.42578125" style="10" customWidth="1"/>
    <col min="3844" max="3844" width="13" style="10" bestFit="1" customWidth="1"/>
    <col min="3845" max="4097" width="9.140625" style="10"/>
    <col min="4098" max="4098" width="13.42578125" style="10" customWidth="1"/>
    <col min="4099" max="4099" width="10.42578125" style="10" customWidth="1"/>
    <col min="4100" max="4100" width="13" style="10" bestFit="1" customWidth="1"/>
    <col min="4101" max="4353" width="9.140625" style="10"/>
    <col min="4354" max="4354" width="13.42578125" style="10" customWidth="1"/>
    <col min="4355" max="4355" width="10.42578125" style="10" customWidth="1"/>
    <col min="4356" max="4356" width="13" style="10" bestFit="1" customWidth="1"/>
    <col min="4357" max="4609" width="9.140625" style="10"/>
    <col min="4610" max="4610" width="13.42578125" style="10" customWidth="1"/>
    <col min="4611" max="4611" width="10.42578125" style="10" customWidth="1"/>
    <col min="4612" max="4612" width="13" style="10" bestFit="1" customWidth="1"/>
    <col min="4613" max="4865" width="9.140625" style="10"/>
    <col min="4866" max="4866" width="13.42578125" style="10" customWidth="1"/>
    <col min="4867" max="4867" width="10.42578125" style="10" customWidth="1"/>
    <col min="4868" max="4868" width="13" style="10" bestFit="1" customWidth="1"/>
    <col min="4869" max="5121" width="9.140625" style="10"/>
    <col min="5122" max="5122" width="13.42578125" style="10" customWidth="1"/>
    <col min="5123" max="5123" width="10.42578125" style="10" customWidth="1"/>
    <col min="5124" max="5124" width="13" style="10" bestFit="1" customWidth="1"/>
    <col min="5125" max="5377" width="9.140625" style="10"/>
    <col min="5378" max="5378" width="13.42578125" style="10" customWidth="1"/>
    <col min="5379" max="5379" width="10.42578125" style="10" customWidth="1"/>
    <col min="5380" max="5380" width="13" style="10" bestFit="1" customWidth="1"/>
    <col min="5381" max="5633" width="9.140625" style="10"/>
    <col min="5634" max="5634" width="13.42578125" style="10" customWidth="1"/>
    <col min="5635" max="5635" width="10.42578125" style="10" customWidth="1"/>
    <col min="5636" max="5636" width="13" style="10" bestFit="1" customWidth="1"/>
    <col min="5637" max="5889" width="9.140625" style="10"/>
    <col min="5890" max="5890" width="13.42578125" style="10" customWidth="1"/>
    <col min="5891" max="5891" width="10.42578125" style="10" customWidth="1"/>
    <col min="5892" max="5892" width="13" style="10" bestFit="1" customWidth="1"/>
    <col min="5893" max="6145" width="9.140625" style="10"/>
    <col min="6146" max="6146" width="13.42578125" style="10" customWidth="1"/>
    <col min="6147" max="6147" width="10.42578125" style="10" customWidth="1"/>
    <col min="6148" max="6148" width="13" style="10" bestFit="1" customWidth="1"/>
    <col min="6149" max="6401" width="9.140625" style="10"/>
    <col min="6402" max="6402" width="13.42578125" style="10" customWidth="1"/>
    <col min="6403" max="6403" width="10.42578125" style="10" customWidth="1"/>
    <col min="6404" max="6404" width="13" style="10" bestFit="1" customWidth="1"/>
    <col min="6405" max="6657" width="9.140625" style="10"/>
    <col min="6658" max="6658" width="13.42578125" style="10" customWidth="1"/>
    <col min="6659" max="6659" width="10.42578125" style="10" customWidth="1"/>
    <col min="6660" max="6660" width="13" style="10" bestFit="1" customWidth="1"/>
    <col min="6661" max="6913" width="9.140625" style="10"/>
    <col min="6914" max="6914" width="13.42578125" style="10" customWidth="1"/>
    <col min="6915" max="6915" width="10.42578125" style="10" customWidth="1"/>
    <col min="6916" max="6916" width="13" style="10" bestFit="1" customWidth="1"/>
    <col min="6917" max="7169" width="9.140625" style="10"/>
    <col min="7170" max="7170" width="13.42578125" style="10" customWidth="1"/>
    <col min="7171" max="7171" width="10.42578125" style="10" customWidth="1"/>
    <col min="7172" max="7172" width="13" style="10" bestFit="1" customWidth="1"/>
    <col min="7173" max="7425" width="9.140625" style="10"/>
    <col min="7426" max="7426" width="13.42578125" style="10" customWidth="1"/>
    <col min="7427" max="7427" width="10.42578125" style="10" customWidth="1"/>
    <col min="7428" max="7428" width="13" style="10" bestFit="1" customWidth="1"/>
    <col min="7429" max="7681" width="9.140625" style="10"/>
    <col min="7682" max="7682" width="13.42578125" style="10" customWidth="1"/>
    <col min="7683" max="7683" width="10.42578125" style="10" customWidth="1"/>
    <col min="7684" max="7684" width="13" style="10" bestFit="1" customWidth="1"/>
    <col min="7685" max="7937" width="9.140625" style="10"/>
    <col min="7938" max="7938" width="13.42578125" style="10" customWidth="1"/>
    <col min="7939" max="7939" width="10.42578125" style="10" customWidth="1"/>
    <col min="7940" max="7940" width="13" style="10" bestFit="1" customWidth="1"/>
    <col min="7941" max="8193" width="9.140625" style="10"/>
    <col min="8194" max="8194" width="13.42578125" style="10" customWidth="1"/>
    <col min="8195" max="8195" width="10.42578125" style="10" customWidth="1"/>
    <col min="8196" max="8196" width="13" style="10" bestFit="1" customWidth="1"/>
    <col min="8197" max="8449" width="9.140625" style="10"/>
    <col min="8450" max="8450" width="13.42578125" style="10" customWidth="1"/>
    <col min="8451" max="8451" width="10.42578125" style="10" customWidth="1"/>
    <col min="8452" max="8452" width="13" style="10" bestFit="1" customWidth="1"/>
    <col min="8453" max="8705" width="9.140625" style="10"/>
    <col min="8706" max="8706" width="13.42578125" style="10" customWidth="1"/>
    <col min="8707" max="8707" width="10.42578125" style="10" customWidth="1"/>
    <col min="8708" max="8708" width="13" style="10" bestFit="1" customWidth="1"/>
    <col min="8709" max="8961" width="9.140625" style="10"/>
    <col min="8962" max="8962" width="13.42578125" style="10" customWidth="1"/>
    <col min="8963" max="8963" width="10.42578125" style="10" customWidth="1"/>
    <col min="8964" max="8964" width="13" style="10" bestFit="1" customWidth="1"/>
    <col min="8965" max="9217" width="9.140625" style="10"/>
    <col min="9218" max="9218" width="13.42578125" style="10" customWidth="1"/>
    <col min="9219" max="9219" width="10.42578125" style="10" customWidth="1"/>
    <col min="9220" max="9220" width="13" style="10" bestFit="1" customWidth="1"/>
    <col min="9221" max="9473" width="9.140625" style="10"/>
    <col min="9474" max="9474" width="13.42578125" style="10" customWidth="1"/>
    <col min="9475" max="9475" width="10.42578125" style="10" customWidth="1"/>
    <col min="9476" max="9476" width="13" style="10" bestFit="1" customWidth="1"/>
    <col min="9477" max="9729" width="9.140625" style="10"/>
    <col min="9730" max="9730" width="13.42578125" style="10" customWidth="1"/>
    <col min="9731" max="9731" width="10.42578125" style="10" customWidth="1"/>
    <col min="9732" max="9732" width="13" style="10" bestFit="1" customWidth="1"/>
    <col min="9733" max="9985" width="9.140625" style="10"/>
    <col min="9986" max="9986" width="13.42578125" style="10" customWidth="1"/>
    <col min="9987" max="9987" width="10.42578125" style="10" customWidth="1"/>
    <col min="9988" max="9988" width="13" style="10" bestFit="1" customWidth="1"/>
    <col min="9989" max="10241" width="9.140625" style="10"/>
    <col min="10242" max="10242" width="13.42578125" style="10" customWidth="1"/>
    <col min="10243" max="10243" width="10.42578125" style="10" customWidth="1"/>
    <col min="10244" max="10244" width="13" style="10" bestFit="1" customWidth="1"/>
    <col min="10245" max="10497" width="9.140625" style="10"/>
    <col min="10498" max="10498" width="13.42578125" style="10" customWidth="1"/>
    <col min="10499" max="10499" width="10.42578125" style="10" customWidth="1"/>
    <col min="10500" max="10500" width="13" style="10" bestFit="1" customWidth="1"/>
    <col min="10501" max="10753" width="9.140625" style="10"/>
    <col min="10754" max="10754" width="13.42578125" style="10" customWidth="1"/>
    <col min="10755" max="10755" width="10.42578125" style="10" customWidth="1"/>
    <col min="10756" max="10756" width="13" style="10" bestFit="1" customWidth="1"/>
    <col min="10757" max="11009" width="9.140625" style="10"/>
    <col min="11010" max="11010" width="13.42578125" style="10" customWidth="1"/>
    <col min="11011" max="11011" width="10.42578125" style="10" customWidth="1"/>
    <col min="11012" max="11012" width="13" style="10" bestFit="1" customWidth="1"/>
    <col min="11013" max="11265" width="9.140625" style="10"/>
    <col min="11266" max="11266" width="13.42578125" style="10" customWidth="1"/>
    <col min="11267" max="11267" width="10.42578125" style="10" customWidth="1"/>
    <col min="11268" max="11268" width="13" style="10" bestFit="1" customWidth="1"/>
    <col min="11269" max="11521" width="9.140625" style="10"/>
    <col min="11522" max="11522" width="13.42578125" style="10" customWidth="1"/>
    <col min="11523" max="11523" width="10.42578125" style="10" customWidth="1"/>
    <col min="11524" max="11524" width="13" style="10" bestFit="1" customWidth="1"/>
    <col min="11525" max="11777" width="9.140625" style="10"/>
    <col min="11778" max="11778" width="13.42578125" style="10" customWidth="1"/>
    <col min="11779" max="11779" width="10.42578125" style="10" customWidth="1"/>
    <col min="11780" max="11780" width="13" style="10" bestFit="1" customWidth="1"/>
    <col min="11781" max="12033" width="9.140625" style="10"/>
    <col min="12034" max="12034" width="13.42578125" style="10" customWidth="1"/>
    <col min="12035" max="12035" width="10.42578125" style="10" customWidth="1"/>
    <col min="12036" max="12036" width="13" style="10" bestFit="1" customWidth="1"/>
    <col min="12037" max="12289" width="9.140625" style="10"/>
    <col min="12290" max="12290" width="13.42578125" style="10" customWidth="1"/>
    <col min="12291" max="12291" width="10.42578125" style="10" customWidth="1"/>
    <col min="12292" max="12292" width="13" style="10" bestFit="1" customWidth="1"/>
    <col min="12293" max="12545" width="9.140625" style="10"/>
    <col min="12546" max="12546" width="13.42578125" style="10" customWidth="1"/>
    <col min="12547" max="12547" width="10.42578125" style="10" customWidth="1"/>
    <col min="12548" max="12548" width="13" style="10" bestFit="1" customWidth="1"/>
    <col min="12549" max="12801" width="9.140625" style="10"/>
    <col min="12802" max="12802" width="13.42578125" style="10" customWidth="1"/>
    <col min="12803" max="12803" width="10.42578125" style="10" customWidth="1"/>
    <col min="12804" max="12804" width="13" style="10" bestFit="1" customWidth="1"/>
    <col min="12805" max="13057" width="9.140625" style="10"/>
    <col min="13058" max="13058" width="13.42578125" style="10" customWidth="1"/>
    <col min="13059" max="13059" width="10.42578125" style="10" customWidth="1"/>
    <col min="13060" max="13060" width="13" style="10" bestFit="1" customWidth="1"/>
    <col min="13061" max="13313" width="9.140625" style="10"/>
    <col min="13314" max="13314" width="13.42578125" style="10" customWidth="1"/>
    <col min="13315" max="13315" width="10.42578125" style="10" customWidth="1"/>
    <col min="13316" max="13316" width="13" style="10" bestFit="1" customWidth="1"/>
    <col min="13317" max="13569" width="9.140625" style="10"/>
    <col min="13570" max="13570" width="13.42578125" style="10" customWidth="1"/>
    <col min="13571" max="13571" width="10.42578125" style="10" customWidth="1"/>
    <col min="13572" max="13572" width="13" style="10" bestFit="1" customWidth="1"/>
    <col min="13573" max="13825" width="9.140625" style="10"/>
    <col min="13826" max="13826" width="13.42578125" style="10" customWidth="1"/>
    <col min="13827" max="13827" width="10.42578125" style="10" customWidth="1"/>
    <col min="13828" max="13828" width="13" style="10" bestFit="1" customWidth="1"/>
    <col min="13829" max="14081" width="9.140625" style="10"/>
    <col min="14082" max="14082" width="13.42578125" style="10" customWidth="1"/>
    <col min="14083" max="14083" width="10.42578125" style="10" customWidth="1"/>
    <col min="14084" max="14084" width="13" style="10" bestFit="1" customWidth="1"/>
    <col min="14085" max="14337" width="9.140625" style="10"/>
    <col min="14338" max="14338" width="13.42578125" style="10" customWidth="1"/>
    <col min="14339" max="14339" width="10.42578125" style="10" customWidth="1"/>
    <col min="14340" max="14340" width="13" style="10" bestFit="1" customWidth="1"/>
    <col min="14341" max="14593" width="9.140625" style="10"/>
    <col min="14594" max="14594" width="13.42578125" style="10" customWidth="1"/>
    <col min="14595" max="14595" width="10.42578125" style="10" customWidth="1"/>
    <col min="14596" max="14596" width="13" style="10" bestFit="1" customWidth="1"/>
    <col min="14597" max="14849" width="9.140625" style="10"/>
    <col min="14850" max="14850" width="13.42578125" style="10" customWidth="1"/>
    <col min="14851" max="14851" width="10.42578125" style="10" customWidth="1"/>
    <col min="14852" max="14852" width="13" style="10" bestFit="1" customWidth="1"/>
    <col min="14853" max="15105" width="9.140625" style="10"/>
    <col min="15106" max="15106" width="13.42578125" style="10" customWidth="1"/>
    <col min="15107" max="15107" width="10.42578125" style="10" customWidth="1"/>
    <col min="15108" max="15108" width="13" style="10" bestFit="1" customWidth="1"/>
    <col min="15109" max="15361" width="9.140625" style="10"/>
    <col min="15362" max="15362" width="13.42578125" style="10" customWidth="1"/>
    <col min="15363" max="15363" width="10.42578125" style="10" customWidth="1"/>
    <col min="15364" max="15364" width="13" style="10" bestFit="1" customWidth="1"/>
    <col min="15365" max="15617" width="9.140625" style="10"/>
    <col min="15618" max="15618" width="13.42578125" style="10" customWidth="1"/>
    <col min="15619" max="15619" width="10.42578125" style="10" customWidth="1"/>
    <col min="15620" max="15620" width="13" style="10" bestFit="1" customWidth="1"/>
    <col min="15621" max="15873" width="9.140625" style="10"/>
    <col min="15874" max="15874" width="13.42578125" style="10" customWidth="1"/>
    <col min="15875" max="15875" width="10.42578125" style="10" customWidth="1"/>
    <col min="15876" max="15876" width="13" style="10" bestFit="1" customWidth="1"/>
    <col min="15877" max="16129" width="9.140625" style="10"/>
    <col min="16130" max="16130" width="13.42578125" style="10" customWidth="1"/>
    <col min="16131" max="16131" width="10.42578125" style="10" customWidth="1"/>
    <col min="16132" max="16132" width="13" style="10" bestFit="1" customWidth="1"/>
    <col min="16133" max="16384" width="9.140625" style="10"/>
  </cols>
  <sheetData>
    <row r="1" spans="2:5" x14ac:dyDescent="0.2">
      <c r="B1" s="355" t="s">
        <v>1253</v>
      </c>
      <c r="C1" s="355"/>
      <c r="D1" s="316" t="s">
        <v>322</v>
      </c>
    </row>
    <row r="2" spans="2:5" x14ac:dyDescent="0.2">
      <c r="B2" s="355" t="s">
        <v>1085</v>
      </c>
      <c r="C2" s="355"/>
      <c r="D2" s="332" t="str">
        <f>VLOOKUP(D$1,TabelContent[],COLUMN(TabelContent[Titel-NL]))</f>
        <v>Verkoopprognoses</v>
      </c>
    </row>
    <row r="3" spans="2:5" x14ac:dyDescent="0.2">
      <c r="B3" s="355" t="s">
        <v>1086</v>
      </c>
      <c r="C3" s="355"/>
      <c r="D3" s="332" t="str">
        <f>VLOOKUP(D$1,TabelContent[],COLUMN(TabelContent[Cat-NL]))</f>
        <v>Wiskunde</v>
      </c>
    </row>
    <row r="4" spans="2:5" x14ac:dyDescent="0.2">
      <c r="B4" s="355" t="s">
        <v>1087</v>
      </c>
      <c r="C4" s="355" t="s">
        <v>1077</v>
      </c>
      <c r="D4" s="332">
        <f>VLOOKUP(D$1,TabelContent[],COLUMN(TabelContent[Niveau]))</f>
        <v>2</v>
      </c>
    </row>
    <row r="5" spans="2:5" x14ac:dyDescent="0.2">
      <c r="B5" s="59"/>
      <c r="C5" s="59"/>
      <c r="D5" s="59"/>
    </row>
    <row r="6" spans="2:5" x14ac:dyDescent="0.2">
      <c r="B6" s="357" t="s">
        <v>47</v>
      </c>
      <c r="C6" s="357"/>
      <c r="D6" s="358"/>
    </row>
    <row r="7" spans="2:5" x14ac:dyDescent="0.2">
      <c r="B7" s="59"/>
      <c r="C7" s="59"/>
      <c r="D7" s="59"/>
    </row>
    <row r="8" spans="2:5" x14ac:dyDescent="0.2">
      <c r="B8" s="59"/>
      <c r="D8" s="68" t="s">
        <v>363</v>
      </c>
      <c r="E8" s="71">
        <v>1.3949507939623265</v>
      </c>
    </row>
    <row r="9" spans="2:5" x14ac:dyDescent="0.2">
      <c r="B9" s="59"/>
      <c r="D9" s="68" t="s">
        <v>364</v>
      </c>
      <c r="E9" s="79">
        <v>250000</v>
      </c>
    </row>
    <row r="10" spans="2:5" x14ac:dyDescent="0.2">
      <c r="B10" s="59"/>
      <c r="D10" s="59"/>
      <c r="E10" s="59"/>
    </row>
    <row r="11" spans="2:5" x14ac:dyDescent="0.2">
      <c r="B11" s="59"/>
      <c r="D11" s="80" t="s">
        <v>365</v>
      </c>
      <c r="E11" s="80" t="s">
        <v>366</v>
      </c>
    </row>
    <row r="12" spans="2:5" x14ac:dyDescent="0.2">
      <c r="B12" s="59"/>
      <c r="D12" s="59">
        <v>0</v>
      </c>
      <c r="E12" s="79">
        <f t="shared" ref="E12:E21" si="0">$E$9*$E$8^D12</f>
        <v>250000</v>
      </c>
    </row>
    <row r="13" spans="2:5" x14ac:dyDescent="0.2">
      <c r="B13" s="59"/>
      <c r="D13" s="59">
        <v>1</v>
      </c>
      <c r="E13" s="79">
        <f t="shared" si="0"/>
        <v>348737.69849058159</v>
      </c>
    </row>
    <row r="14" spans="2:5" x14ac:dyDescent="0.2">
      <c r="B14" s="59"/>
      <c r="D14" s="59">
        <v>2</v>
      </c>
      <c r="E14" s="79">
        <f t="shared" si="0"/>
        <v>486471.92939403123</v>
      </c>
    </row>
    <row r="15" spans="2:5" x14ac:dyDescent="0.2">
      <c r="B15" s="59"/>
      <c r="D15" s="59">
        <v>3</v>
      </c>
      <c r="E15" s="79">
        <f t="shared" si="0"/>
        <v>678604.40414858866</v>
      </c>
    </row>
    <row r="16" spans="2:5" x14ac:dyDescent="0.2">
      <c r="B16" s="59"/>
      <c r="D16" s="59">
        <v>4</v>
      </c>
      <c r="E16" s="79">
        <f t="shared" si="0"/>
        <v>946619.75235340523</v>
      </c>
    </row>
    <row r="17" spans="2:5" x14ac:dyDescent="0.2">
      <c r="B17" s="59"/>
      <c r="D17" s="59">
        <v>5</v>
      </c>
      <c r="E17" s="79">
        <f t="shared" si="0"/>
        <v>1320487.9751258034</v>
      </c>
    </row>
    <row r="18" spans="2:5" x14ac:dyDescent="0.2">
      <c r="B18" s="59"/>
      <c r="D18" s="59">
        <v>6</v>
      </c>
      <c r="E18" s="79">
        <f t="shared" si="0"/>
        <v>1842015.7493194442</v>
      </c>
    </row>
    <row r="19" spans="2:5" x14ac:dyDescent="0.2">
      <c r="B19" s="59"/>
      <c r="D19" s="59">
        <v>7</v>
      </c>
      <c r="E19" s="79">
        <f t="shared" si="0"/>
        <v>2569521.3320042687</v>
      </c>
    </row>
    <row r="20" spans="2:5" x14ac:dyDescent="0.2">
      <c r="B20" s="59"/>
      <c r="D20" s="59">
        <v>8</v>
      </c>
      <c r="E20" s="79">
        <f t="shared" si="0"/>
        <v>3584355.8221824891</v>
      </c>
    </row>
    <row r="21" spans="2:5" x14ac:dyDescent="0.2">
      <c r="B21" s="59"/>
      <c r="D21" s="59">
        <v>9</v>
      </c>
      <c r="E21" s="79">
        <f t="shared" si="0"/>
        <v>4999999.9999969508</v>
      </c>
    </row>
    <row r="22" spans="2:5" x14ac:dyDescent="0.2">
      <c r="B22" s="59"/>
      <c r="C22" s="59"/>
      <c r="D22" s="79"/>
    </row>
  </sheetData>
  <mergeCells count="5">
    <mergeCell ref="B6:D6"/>
    <mergeCell ref="B2:C2"/>
    <mergeCell ref="B3:C3"/>
    <mergeCell ref="B4:C4"/>
    <mergeCell ref="B1:C1"/>
  </mergeCells>
  <hyperlinks>
    <hyperlink ref="B6:C6" location="Inhoud!A1" display="Ga naar Inhoudsopgave" xr:uid="{00000000-0004-0000-2200-000000000000}"/>
  </hyperlinks>
  <pageMargins left="0.75" right="0.75" top="1" bottom="1" header="0.5" footer="0.5"/>
  <pageSetup paperSize="9" orientation="landscape" r:id="rId1"/>
  <headerFooter alignWithMargins="0">
    <oddHeader>&amp;A</oddHeader>
    <oddFooter>Pagina &amp;P</oddFooter>
  </headerFooter>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8"/>
  <dimension ref="B1:O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14" width="4.7109375" style="4" customWidth="1"/>
    <col min="15" max="16384" width="9.140625" style="4"/>
  </cols>
  <sheetData>
    <row r="1" spans="2:15" x14ac:dyDescent="0.2">
      <c r="B1" s="355" t="s">
        <v>1253</v>
      </c>
      <c r="C1" s="355"/>
      <c r="D1" s="316" t="s">
        <v>1103</v>
      </c>
    </row>
    <row r="2" spans="2:15" x14ac:dyDescent="0.2">
      <c r="B2" s="355" t="s">
        <v>1085</v>
      </c>
      <c r="C2" s="355"/>
      <c r="D2" s="332" t="str">
        <f>VLOOKUP(D$1,TabelContent[],COLUMN(TabelContent[Titel-NL]))</f>
        <v>Matrixoptelling</v>
      </c>
    </row>
    <row r="3" spans="2:15" x14ac:dyDescent="0.2">
      <c r="B3" s="355" t="s">
        <v>1086</v>
      </c>
      <c r="C3" s="355"/>
      <c r="D3" s="332" t="str">
        <f>VLOOKUP(D$1,TabelContent[],COLUMN(TabelContent[Cat-NL]))</f>
        <v>Matrix formule</v>
      </c>
    </row>
    <row r="4" spans="2:15" x14ac:dyDescent="0.2">
      <c r="B4" s="355" t="s">
        <v>1087</v>
      </c>
      <c r="C4" s="355"/>
      <c r="D4" s="332">
        <f>VLOOKUP(D$1,TabelContent[],COLUMN(TabelContent[Niveau]))</f>
        <v>2</v>
      </c>
    </row>
    <row r="5" spans="2:15" x14ac:dyDescent="0.2">
      <c r="B5" s="16"/>
      <c r="C5" s="16"/>
      <c r="D5" s="16"/>
      <c r="E5" s="16"/>
      <c r="F5" s="16"/>
      <c r="G5" s="16"/>
      <c r="H5" s="16"/>
      <c r="I5" s="16"/>
      <c r="J5" s="16"/>
      <c r="K5" s="16"/>
      <c r="L5" s="16"/>
      <c r="M5" s="16"/>
      <c r="N5" s="16"/>
    </row>
    <row r="6" spans="2:15" x14ac:dyDescent="0.2">
      <c r="B6" s="356" t="s">
        <v>47</v>
      </c>
      <c r="C6" s="356"/>
      <c r="D6" s="356"/>
      <c r="E6" s="356"/>
      <c r="F6" s="356"/>
      <c r="G6" s="16"/>
      <c r="H6" s="16"/>
      <c r="I6" s="16"/>
      <c r="J6" s="16"/>
      <c r="K6" s="16"/>
      <c r="L6" s="16"/>
      <c r="M6" s="16"/>
      <c r="N6" s="16"/>
    </row>
    <row r="7" spans="2:15" x14ac:dyDescent="0.2">
      <c r="B7" s="16"/>
      <c r="C7" s="16"/>
      <c r="D7" s="16"/>
      <c r="E7" s="16"/>
      <c r="F7" s="16"/>
      <c r="G7" s="16"/>
      <c r="H7" s="16"/>
      <c r="I7" s="16"/>
      <c r="J7" s="16"/>
      <c r="K7" s="16"/>
      <c r="L7" s="16"/>
      <c r="M7" s="16"/>
      <c r="N7" s="16"/>
    </row>
    <row r="8" spans="2:15" x14ac:dyDescent="0.2">
      <c r="B8" s="16"/>
      <c r="D8" s="17">
        <v>1</v>
      </c>
      <c r="E8" s="17">
        <v>2</v>
      </c>
      <c r="F8" s="17"/>
      <c r="G8" s="17" t="s">
        <v>11</v>
      </c>
      <c r="H8" s="17"/>
      <c r="I8" s="17">
        <v>5</v>
      </c>
      <c r="J8" s="17">
        <v>6</v>
      </c>
      <c r="K8" s="17"/>
      <c r="L8" s="18" t="s">
        <v>12</v>
      </c>
      <c r="M8" s="16"/>
      <c r="N8" s="17">
        <f t="array" ref="N8:O9">D8:E9+I8:J9</f>
        <v>6</v>
      </c>
      <c r="O8" s="17">
        <v>8</v>
      </c>
    </row>
    <row r="9" spans="2:15" x14ac:dyDescent="0.2">
      <c r="B9" s="16"/>
      <c r="D9" s="17">
        <v>3</v>
      </c>
      <c r="E9" s="17">
        <v>4</v>
      </c>
      <c r="F9" s="17"/>
      <c r="G9" s="17"/>
      <c r="H9" s="17"/>
      <c r="I9" s="17">
        <v>7</v>
      </c>
      <c r="J9" s="17">
        <v>8</v>
      </c>
      <c r="K9" s="17"/>
      <c r="L9" s="17"/>
      <c r="M9" s="16"/>
      <c r="N9" s="17">
        <v>10</v>
      </c>
      <c r="O9" s="17">
        <v>12</v>
      </c>
    </row>
  </sheetData>
  <mergeCells count="5">
    <mergeCell ref="B2:C2"/>
    <mergeCell ref="B3:C3"/>
    <mergeCell ref="B4:C4"/>
    <mergeCell ref="B6:F6"/>
    <mergeCell ref="B1:C1"/>
  </mergeCells>
  <hyperlinks>
    <hyperlink ref="B6:F6" location="Inhoud!A1" display="Ga naar Inhoudsopgave" xr:uid="{00000000-0004-0000-2300-000000000000}"/>
  </hyperlinks>
  <pageMargins left="0.7" right="0.7" top="0.75" bottom="0.75" header="0.3" footer="0.3"/>
  <pageSetup paperSize="9" orientation="landscape"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Blad17"/>
  <dimension ref="B1:H26"/>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0" style="4" customWidth="1"/>
    <col min="5" max="7" width="7.7109375" style="4" customWidth="1"/>
    <col min="8" max="16384" width="9.140625" style="4"/>
  </cols>
  <sheetData>
    <row r="1" spans="2:8" x14ac:dyDescent="0.2">
      <c r="B1" s="355" t="s">
        <v>1253</v>
      </c>
      <c r="C1" s="355"/>
      <c r="D1" s="316" t="s">
        <v>1104</v>
      </c>
    </row>
    <row r="2" spans="2:8" x14ac:dyDescent="0.2">
      <c r="B2" s="355" t="s">
        <v>1085</v>
      </c>
      <c r="C2" s="355"/>
      <c r="D2" s="332" t="str">
        <f>VLOOKUP(D$1,TabelContent[],COLUMN(TabelContent[Titel-NL]))</f>
        <v>Aantal storingen per district</v>
      </c>
    </row>
    <row r="3" spans="2:8" x14ac:dyDescent="0.2">
      <c r="B3" s="355" t="s">
        <v>1086</v>
      </c>
      <c r="C3" s="355"/>
      <c r="D3" s="332" t="str">
        <f>VLOOKUP(D$1,TabelContent[],COLUMN(TabelContent[Cat-NL]))</f>
        <v>Matrix formule</v>
      </c>
    </row>
    <row r="4" spans="2:8" x14ac:dyDescent="0.2">
      <c r="B4" s="355" t="s">
        <v>1087</v>
      </c>
      <c r="C4" s="355" t="s">
        <v>1077</v>
      </c>
      <c r="D4" s="332">
        <f>VLOOKUP(D$1,TabelContent[],COLUMN(TabelContent[Niveau]))</f>
        <v>3</v>
      </c>
    </row>
    <row r="5" spans="2:8" x14ac:dyDescent="0.2">
      <c r="B5" s="16"/>
      <c r="C5" s="16"/>
      <c r="D5" s="16"/>
      <c r="E5" s="16"/>
    </row>
    <row r="6" spans="2:8" x14ac:dyDescent="0.2">
      <c r="B6" s="356" t="s">
        <v>47</v>
      </c>
      <c r="C6" s="356"/>
      <c r="D6" s="356"/>
      <c r="E6" s="356"/>
    </row>
    <row r="7" spans="2:8" x14ac:dyDescent="0.2">
      <c r="B7" s="16"/>
      <c r="C7" s="16"/>
      <c r="D7" s="16"/>
      <c r="E7" s="16"/>
    </row>
    <row r="8" spans="2:8" x14ac:dyDescent="0.2">
      <c r="D8" s="1" t="s">
        <v>701</v>
      </c>
      <c r="E8" s="1" t="s">
        <v>702</v>
      </c>
      <c r="F8" s="97" t="s">
        <v>703</v>
      </c>
      <c r="G8" s="97" t="s">
        <v>704</v>
      </c>
      <c r="H8" s="97" t="s">
        <v>705</v>
      </c>
    </row>
    <row r="9" spans="2:8" x14ac:dyDescent="0.2">
      <c r="D9" s="2">
        <v>40545</v>
      </c>
      <c r="E9" s="4" t="s">
        <v>585</v>
      </c>
      <c r="F9" s="3">
        <v>1</v>
      </c>
      <c r="G9" s="3">
        <v>1</v>
      </c>
      <c r="H9" s="3">
        <v>1</v>
      </c>
    </row>
    <row r="10" spans="2:8" x14ac:dyDescent="0.2">
      <c r="D10" s="2">
        <v>40578</v>
      </c>
      <c r="E10" s="4" t="s">
        <v>600</v>
      </c>
      <c r="F10" s="3">
        <v>2</v>
      </c>
      <c r="G10" s="3">
        <v>4</v>
      </c>
      <c r="H10" s="3">
        <v>3</v>
      </c>
    </row>
    <row r="11" spans="2:8" x14ac:dyDescent="0.2">
      <c r="D11" s="2">
        <v>40579</v>
      </c>
      <c r="E11" s="4" t="s">
        <v>706</v>
      </c>
      <c r="F11" s="3">
        <v>3</v>
      </c>
      <c r="G11" s="3">
        <v>1</v>
      </c>
      <c r="H11" s="3">
        <v>7</v>
      </c>
    </row>
    <row r="12" spans="2:8" x14ac:dyDescent="0.2">
      <c r="D12" s="2">
        <v>40582</v>
      </c>
      <c r="E12" s="4" t="s">
        <v>707</v>
      </c>
      <c r="F12" s="3">
        <v>2</v>
      </c>
      <c r="G12" s="3">
        <v>4</v>
      </c>
      <c r="H12" s="3">
        <v>7</v>
      </c>
    </row>
    <row r="13" spans="2:8" x14ac:dyDescent="0.2">
      <c r="D13" s="2">
        <v>40586</v>
      </c>
      <c r="E13" s="4" t="s">
        <v>707</v>
      </c>
      <c r="F13" s="3">
        <v>4</v>
      </c>
      <c r="G13" s="3">
        <v>7</v>
      </c>
      <c r="H13" s="3">
        <v>3</v>
      </c>
    </row>
    <row r="14" spans="2:8" x14ac:dyDescent="0.2">
      <c r="D14" s="2">
        <v>40586</v>
      </c>
      <c r="E14" s="4" t="s">
        <v>600</v>
      </c>
      <c r="F14" s="3">
        <v>2</v>
      </c>
      <c r="G14" s="3">
        <v>1</v>
      </c>
      <c r="H14" s="3">
        <v>3</v>
      </c>
    </row>
    <row r="15" spans="2:8" x14ac:dyDescent="0.2">
      <c r="D15" s="2">
        <v>40588</v>
      </c>
      <c r="E15" s="4" t="s">
        <v>585</v>
      </c>
      <c r="F15" s="3">
        <v>4</v>
      </c>
      <c r="G15" s="3">
        <v>2</v>
      </c>
      <c r="H15" s="3">
        <v>1</v>
      </c>
    </row>
    <row r="16" spans="2:8" x14ac:dyDescent="0.2">
      <c r="D16" s="2">
        <v>40591</v>
      </c>
      <c r="E16" s="4" t="s">
        <v>706</v>
      </c>
      <c r="F16" s="3">
        <v>3</v>
      </c>
      <c r="G16" s="3">
        <v>2</v>
      </c>
      <c r="H16" s="3">
        <v>5</v>
      </c>
    </row>
    <row r="17" spans="4:8" x14ac:dyDescent="0.2">
      <c r="D17" s="2">
        <v>40592</v>
      </c>
      <c r="E17" s="4" t="s">
        <v>585</v>
      </c>
      <c r="F17" s="3">
        <v>1</v>
      </c>
      <c r="G17" s="3">
        <v>4</v>
      </c>
      <c r="H17" s="3">
        <v>6</v>
      </c>
    </row>
    <row r="18" spans="4:8" x14ac:dyDescent="0.2">
      <c r="D18" s="2">
        <v>40595</v>
      </c>
      <c r="E18" s="4" t="s">
        <v>706</v>
      </c>
      <c r="F18" s="3">
        <v>1</v>
      </c>
      <c r="G18" s="3">
        <v>1</v>
      </c>
      <c r="H18" s="3">
        <v>1</v>
      </c>
    </row>
    <row r="21" spans="4:8" x14ac:dyDescent="0.2">
      <c r="D21" s="1" t="s">
        <v>708</v>
      </c>
    </row>
    <row r="22" spans="4:8" x14ac:dyDescent="0.2">
      <c r="E22" s="1" t="s">
        <v>702</v>
      </c>
      <c r="F22" s="1" t="s">
        <v>123</v>
      </c>
    </row>
    <row r="23" spans="4:8" x14ac:dyDescent="0.2">
      <c r="E23" s="4" t="s">
        <v>585</v>
      </c>
      <c r="F23" s="4">
        <f t="array" ref="F23">SUM(($E$9:$E$18=E23)*($F$9:$H$18))</f>
        <v>21</v>
      </c>
    </row>
    <row r="24" spans="4:8" x14ac:dyDescent="0.2">
      <c r="E24" s="4" t="s">
        <v>707</v>
      </c>
      <c r="F24" s="4">
        <f t="array" ref="F24">SUM(($E$9:$E$18=E24)*($F$9:$H$18))</f>
        <v>27</v>
      </c>
    </row>
    <row r="25" spans="4:8" x14ac:dyDescent="0.2">
      <c r="E25" s="4" t="s">
        <v>706</v>
      </c>
      <c r="F25" s="4">
        <f t="array" ref="F25">SUM(($E$9:$E$18=E25)*($F$9:$H$18))</f>
        <v>24</v>
      </c>
    </row>
    <row r="26" spans="4:8" x14ac:dyDescent="0.2">
      <c r="E26" s="4" t="s">
        <v>600</v>
      </c>
      <c r="F26" s="4">
        <f t="array" ref="F26">SUM(($E$9:$E$18=E26)*($F$9:$H$18))</f>
        <v>15</v>
      </c>
    </row>
  </sheetData>
  <mergeCells count="5">
    <mergeCell ref="B6:E6"/>
    <mergeCell ref="B2:C2"/>
    <mergeCell ref="B3:C3"/>
    <mergeCell ref="B4:C4"/>
    <mergeCell ref="B1:C1"/>
  </mergeCells>
  <hyperlinks>
    <hyperlink ref="B6:D6" location="sjabloon!A1" display="Ga naar Inhoudsopgave" xr:uid="{00000000-0004-0000-2400-000000000000}"/>
    <hyperlink ref="B6:E6" location="Inhoud!A1" display="Ga naar Inhoudsopgave" xr:uid="{00000000-0004-0000-2400-000001000000}"/>
  </hyperlinks>
  <pageMargins left="0.7" right="0.7" top="0.75" bottom="0.75" header="0.3" footer="0.3"/>
  <pageSetup paperSize="9" orientation="landscape"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9"/>
  <dimension ref="B1:L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 style="4" bestFit="1" customWidth="1"/>
    <col min="5" max="9" width="5.7109375" style="4" customWidth="1"/>
    <col min="10" max="10" width="9.140625" style="4"/>
    <col min="11" max="11" width="7.7109375" style="4" bestFit="1" customWidth="1"/>
    <col min="12" max="12" width="6.7109375" style="4" bestFit="1" customWidth="1"/>
    <col min="13" max="16384" width="9.140625" style="4"/>
  </cols>
  <sheetData>
    <row r="1" spans="2:12" x14ac:dyDescent="0.2">
      <c r="B1" s="355" t="s">
        <v>1253</v>
      </c>
      <c r="C1" s="355"/>
      <c r="D1" s="316" t="s">
        <v>1118</v>
      </c>
    </row>
    <row r="2" spans="2:12" x14ac:dyDescent="0.2">
      <c r="B2" s="355" t="s">
        <v>1085</v>
      </c>
      <c r="C2" s="355"/>
      <c r="D2" s="332" t="str">
        <f>VLOOKUP(D$1,TabelContent[],COLUMN(TabelContent[Titel-NL]))</f>
        <v>Lengte en gewicht</v>
      </c>
    </row>
    <row r="3" spans="2:12" x14ac:dyDescent="0.2">
      <c r="B3" s="355" t="s">
        <v>1086</v>
      </c>
      <c r="C3" s="355"/>
      <c r="D3" s="332" t="str">
        <f>VLOOKUP(D$1,TabelContent[],COLUMN(TabelContent[Cat-NL]))</f>
        <v>Data analyse</v>
      </c>
    </row>
    <row r="4" spans="2:12" x14ac:dyDescent="0.2">
      <c r="B4" s="355" t="s">
        <v>1087</v>
      </c>
      <c r="C4" s="355" t="s">
        <v>1077</v>
      </c>
      <c r="D4" s="332">
        <f>VLOOKUP(D$1,TabelContent[],COLUMN(TabelContent[Niveau]))</f>
        <v>2</v>
      </c>
    </row>
    <row r="5" spans="2:12" x14ac:dyDescent="0.2">
      <c r="B5" s="16"/>
      <c r="C5" s="16"/>
      <c r="D5" s="16"/>
      <c r="E5" s="16"/>
    </row>
    <row r="6" spans="2:12" x14ac:dyDescent="0.2">
      <c r="B6" s="356" t="s">
        <v>47</v>
      </c>
      <c r="C6" s="356"/>
      <c r="D6" s="356"/>
      <c r="E6" s="356"/>
    </row>
    <row r="7" spans="2:12" x14ac:dyDescent="0.2">
      <c r="B7" s="16"/>
      <c r="C7" s="16"/>
      <c r="D7" s="16"/>
      <c r="E7" s="16"/>
    </row>
    <row r="8" spans="2:12" x14ac:dyDescent="0.2">
      <c r="B8" s="16"/>
      <c r="D8" s="266" t="s">
        <v>1106</v>
      </c>
      <c r="E8" s="266">
        <v>118</v>
      </c>
      <c r="F8" s="267">
        <v>120</v>
      </c>
      <c r="G8" s="267">
        <v>122</v>
      </c>
      <c r="H8" s="267">
        <v>124</v>
      </c>
      <c r="I8" s="267">
        <v>126</v>
      </c>
      <c r="K8" s="4" t="s">
        <v>1107</v>
      </c>
      <c r="L8" s="4">
        <f>SLOPE(E9:I9,E8:I8)</f>
        <v>1.65</v>
      </c>
    </row>
    <row r="9" spans="2:12" x14ac:dyDescent="0.2">
      <c r="B9" s="16"/>
      <c r="D9" s="266" t="s">
        <v>1105</v>
      </c>
      <c r="E9" s="266">
        <v>41</v>
      </c>
      <c r="F9" s="267">
        <v>46</v>
      </c>
      <c r="G9" s="267">
        <v>45</v>
      </c>
      <c r="H9" s="267">
        <v>55</v>
      </c>
      <c r="I9" s="267">
        <v>53</v>
      </c>
      <c r="K9" s="268" t="s">
        <v>1108</v>
      </c>
      <c r="L9" s="4">
        <f>INTERCEPT(E9:I9,E8:I8)</f>
        <v>-153.29999999999998</v>
      </c>
    </row>
  </sheetData>
  <mergeCells count="5">
    <mergeCell ref="B2:C2"/>
    <mergeCell ref="B3:C3"/>
    <mergeCell ref="B4:C4"/>
    <mergeCell ref="B6:E6"/>
    <mergeCell ref="B1:C1"/>
  </mergeCells>
  <hyperlinks>
    <hyperlink ref="B6:D6" location="sjabloon!A1" display="Ga naar Inhoudsopgave" xr:uid="{00000000-0004-0000-2500-000000000000}"/>
    <hyperlink ref="B6:E6" location="Inhoud!A1" display="Ga naar Inhoudsopgave" xr:uid="{00000000-0004-0000-2500-000001000000}"/>
  </hyperlinks>
  <pageMargins left="0.7" right="0.7" top="0.75" bottom="0.75" header="0.3" footer="0.3"/>
  <pageSetup paperSize="9"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10"/>
  <dimension ref="B1:M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 style="4" bestFit="1" customWidth="1"/>
    <col min="5" max="10" width="5.7109375" style="4" customWidth="1"/>
    <col min="11" max="11" width="9.140625" style="4"/>
    <col min="12" max="12" width="7.7109375" style="4" bestFit="1" customWidth="1"/>
    <col min="13" max="13" width="6.7109375" style="4" bestFit="1" customWidth="1"/>
    <col min="14" max="16384" width="9.140625" style="4"/>
  </cols>
  <sheetData>
    <row r="1" spans="2:13" x14ac:dyDescent="0.2">
      <c r="B1" s="355" t="s">
        <v>1253</v>
      </c>
      <c r="C1" s="355"/>
      <c r="D1" s="316" t="s">
        <v>1119</v>
      </c>
    </row>
    <row r="2" spans="2:13" x14ac:dyDescent="0.2">
      <c r="B2" s="355" t="s">
        <v>1085</v>
      </c>
      <c r="C2" s="355"/>
      <c r="D2" s="332" t="str">
        <f>VLOOKUP(D$1,TabelContent[],COLUMN(TabelContent[Titel-NL]))</f>
        <v>Studietijd en tentamencijfer</v>
      </c>
    </row>
    <row r="3" spans="2:13" x14ac:dyDescent="0.2">
      <c r="B3" s="355" t="s">
        <v>1086</v>
      </c>
      <c r="C3" s="355"/>
      <c r="D3" s="332" t="str">
        <f>VLOOKUP(D$1,TabelContent[],COLUMN(TabelContent[Cat-NL]))</f>
        <v>Data analyse</v>
      </c>
    </row>
    <row r="4" spans="2:13" x14ac:dyDescent="0.2">
      <c r="B4" s="355" t="s">
        <v>1087</v>
      </c>
      <c r="C4" s="355" t="s">
        <v>1077</v>
      </c>
      <c r="D4" s="332">
        <f>VLOOKUP(D$1,TabelContent[],COLUMN(TabelContent[Niveau]))</f>
        <v>2</v>
      </c>
    </row>
    <row r="5" spans="2:13" x14ac:dyDescent="0.2">
      <c r="B5" s="16"/>
      <c r="C5" s="16"/>
      <c r="D5" s="16"/>
      <c r="E5" s="16"/>
    </row>
    <row r="6" spans="2:13" x14ac:dyDescent="0.2">
      <c r="B6" s="356" t="s">
        <v>47</v>
      </c>
      <c r="C6" s="356"/>
      <c r="D6" s="356"/>
      <c r="E6" s="356"/>
    </row>
    <row r="7" spans="2:13" x14ac:dyDescent="0.2">
      <c r="B7" s="16"/>
      <c r="C7" s="16"/>
      <c r="D7" s="16"/>
      <c r="E7" s="16"/>
    </row>
    <row r="8" spans="2:13" x14ac:dyDescent="0.2">
      <c r="B8" s="16"/>
      <c r="D8" s="266" t="s">
        <v>1110</v>
      </c>
      <c r="E8" s="266">
        <v>8</v>
      </c>
      <c r="F8" s="267">
        <v>18</v>
      </c>
      <c r="G8" s="267">
        <v>20</v>
      </c>
      <c r="H8" s="267">
        <v>10</v>
      </c>
      <c r="I8" s="267">
        <v>12</v>
      </c>
      <c r="J8" s="267">
        <v>15</v>
      </c>
      <c r="L8" s="4" t="s">
        <v>1107</v>
      </c>
      <c r="M8" s="4">
        <f>SLOPE(E9:J9,E8:J8)</f>
        <v>0.20382848392036751</v>
      </c>
    </row>
    <row r="9" spans="2:13" x14ac:dyDescent="0.2">
      <c r="B9" s="16"/>
      <c r="D9" s="266" t="s">
        <v>786</v>
      </c>
      <c r="E9" s="266">
        <v>5.5</v>
      </c>
      <c r="F9" s="267">
        <v>6.3</v>
      </c>
      <c r="G9" s="267">
        <v>7.8</v>
      </c>
      <c r="H9" s="267">
        <v>4.5</v>
      </c>
      <c r="I9" s="267">
        <v>6</v>
      </c>
      <c r="J9" s="267">
        <v>7</v>
      </c>
      <c r="L9" s="268" t="s">
        <v>1108</v>
      </c>
      <c r="M9" s="4">
        <f>INTERCEPT(E9:J9,E8:J8)</f>
        <v>3.3637059724349161</v>
      </c>
    </row>
  </sheetData>
  <mergeCells count="5">
    <mergeCell ref="B2:C2"/>
    <mergeCell ref="B3:C3"/>
    <mergeCell ref="B4:C4"/>
    <mergeCell ref="B6:E6"/>
    <mergeCell ref="B1:C1"/>
  </mergeCells>
  <hyperlinks>
    <hyperlink ref="B6:D6" location="sjabloon!A1" display="Ga naar Inhoudsopgave" xr:uid="{00000000-0004-0000-2600-000000000000}"/>
    <hyperlink ref="B6:E6" location="Inhoud!A1" display="Ga naar Inhoudsopgave" xr:uid="{00000000-0004-0000-2600-000001000000}"/>
  </hyperlinks>
  <pageMargins left="0.7" right="0.7" top="0.75" bottom="0.75" header="0.3" footer="0.3"/>
  <pageSetup paperSize="9" orientation="landscape"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11"/>
  <dimension ref="B1:O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 style="4" bestFit="1" customWidth="1"/>
    <col min="5" max="12" width="5.7109375" style="4" customWidth="1"/>
    <col min="13" max="13" width="9.140625" style="4"/>
    <col min="14" max="14" width="7.7109375" style="4" bestFit="1" customWidth="1"/>
    <col min="15" max="15" width="6.7109375" style="4" bestFit="1" customWidth="1"/>
    <col min="16" max="16384" width="9.140625" style="4"/>
  </cols>
  <sheetData>
    <row r="1" spans="2:15" x14ac:dyDescent="0.2">
      <c r="B1" s="355" t="s">
        <v>1253</v>
      </c>
      <c r="C1" s="355"/>
      <c r="D1" s="316" t="s">
        <v>1120</v>
      </c>
    </row>
    <row r="2" spans="2:15" x14ac:dyDescent="0.2">
      <c r="B2" s="355" t="s">
        <v>1085</v>
      </c>
      <c r="C2" s="355"/>
      <c r="D2" s="332" t="str">
        <f>VLOOKUP(D$1,TabelContent[],COLUMN(TabelContent[Titel-NL]))</f>
        <v>Krimp en temperatuur</v>
      </c>
    </row>
    <row r="3" spans="2:15" x14ac:dyDescent="0.2">
      <c r="B3" s="355" t="s">
        <v>1086</v>
      </c>
      <c r="C3" s="355"/>
      <c r="D3" s="332" t="str">
        <f>VLOOKUP(D$1,TabelContent[],COLUMN(TabelContent[Cat-NL]))</f>
        <v>Data analyse</v>
      </c>
    </row>
    <row r="4" spans="2:15" x14ac:dyDescent="0.2">
      <c r="B4" s="355" t="s">
        <v>1087</v>
      </c>
      <c r="C4" s="355" t="s">
        <v>1077</v>
      </c>
      <c r="D4" s="332">
        <f>VLOOKUP(D$1,TabelContent[],COLUMN(TabelContent[Niveau]))</f>
        <v>2</v>
      </c>
    </row>
    <row r="5" spans="2:15" x14ac:dyDescent="0.2">
      <c r="B5" s="16"/>
      <c r="C5" s="16"/>
      <c r="D5" s="16"/>
      <c r="E5" s="16"/>
    </row>
    <row r="6" spans="2:15" x14ac:dyDescent="0.2">
      <c r="B6" s="356" t="s">
        <v>47</v>
      </c>
      <c r="C6" s="356"/>
      <c r="D6" s="356"/>
      <c r="E6" s="356"/>
    </row>
    <row r="7" spans="2:15" x14ac:dyDescent="0.2">
      <c r="B7" s="16"/>
      <c r="C7" s="16"/>
      <c r="D7" s="16"/>
      <c r="E7" s="16"/>
    </row>
    <row r="8" spans="2:15" ht="14.25" x14ac:dyDescent="0.2">
      <c r="B8" s="16"/>
      <c r="D8" s="266" t="s">
        <v>1113</v>
      </c>
      <c r="E8" s="266">
        <v>60</v>
      </c>
      <c r="F8" s="267">
        <v>70</v>
      </c>
      <c r="G8" s="267">
        <v>80</v>
      </c>
      <c r="H8" s="267">
        <v>90</v>
      </c>
      <c r="I8" s="267">
        <v>100</v>
      </c>
      <c r="J8" s="267">
        <v>75</v>
      </c>
      <c r="K8" s="267">
        <v>85</v>
      </c>
      <c r="L8" s="267">
        <v>100</v>
      </c>
      <c r="N8" s="4" t="s">
        <v>1107</v>
      </c>
      <c r="O8" s="4">
        <f>SLOPE(E9:L9,E8:L8)</f>
        <v>7.964285714285714E-2</v>
      </c>
    </row>
    <row r="9" spans="2:15" x14ac:dyDescent="0.2">
      <c r="B9" s="16"/>
      <c r="D9" s="266" t="s">
        <v>1112</v>
      </c>
      <c r="E9" s="266">
        <v>1.2</v>
      </c>
      <c r="F9" s="267">
        <v>1.9</v>
      </c>
      <c r="G9" s="267">
        <v>2.8</v>
      </c>
      <c r="H9" s="267">
        <v>3.8</v>
      </c>
      <c r="I9" s="267">
        <v>4.2</v>
      </c>
      <c r="J9" s="267">
        <v>2.6</v>
      </c>
      <c r="K9" s="267">
        <v>3.2</v>
      </c>
      <c r="L9" s="267">
        <v>4.5</v>
      </c>
      <c r="N9" s="268" t="s">
        <v>1108</v>
      </c>
      <c r="O9" s="4">
        <f>INTERCEPT(E9:L9,E8:L8)</f>
        <v>-3.5455357142857138</v>
      </c>
    </row>
    <row r="12" spans="2:15" x14ac:dyDescent="0.2">
      <c r="D12" s="1" t="s">
        <v>1115</v>
      </c>
    </row>
    <row r="13" spans="2:15" ht="14.25" x14ac:dyDescent="0.2">
      <c r="D13" s="268" t="s">
        <v>1113</v>
      </c>
      <c r="E13" s="269">
        <v>65</v>
      </c>
    </row>
    <row r="14" spans="2:15" x14ac:dyDescent="0.2">
      <c r="D14" s="268" t="s">
        <v>1112</v>
      </c>
      <c r="E14" s="270">
        <f>O8*E13+O9</f>
        <v>1.6312500000000001</v>
      </c>
    </row>
  </sheetData>
  <mergeCells count="5">
    <mergeCell ref="B2:C2"/>
    <mergeCell ref="B3:C3"/>
    <mergeCell ref="B4:C4"/>
    <mergeCell ref="B6:E6"/>
    <mergeCell ref="B1:C1"/>
  </mergeCells>
  <hyperlinks>
    <hyperlink ref="B6:D6" location="sjabloon!A1" display="Ga naar Inhoudsopgave" xr:uid="{00000000-0004-0000-2700-000000000000}"/>
    <hyperlink ref="B6:E6" location="Inhoud!A1" display="Ga naar Inhoudsopgave" xr:uid="{00000000-0004-0000-2700-000001000000}"/>
  </hyperlinks>
  <pageMargins left="0.7" right="0.7" top="0.75" bottom="0.75" header="0.3" footer="0.3"/>
  <pageSetup paperSize="9"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12"/>
  <dimension ref="B1:N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5.5703125" style="4" customWidth="1"/>
    <col min="5" max="11" width="5.7109375" style="4" customWidth="1"/>
    <col min="12" max="12" width="9.140625" style="4"/>
    <col min="13" max="13" width="7.7109375" style="4" bestFit="1" customWidth="1"/>
    <col min="14" max="14" width="6.7109375" style="4" bestFit="1" customWidth="1"/>
    <col min="15" max="16384" width="9.140625" style="4"/>
  </cols>
  <sheetData>
    <row r="1" spans="2:14" x14ac:dyDescent="0.2">
      <c r="B1" s="355" t="s">
        <v>1253</v>
      </c>
      <c r="C1" s="355"/>
      <c r="D1" s="316" t="s">
        <v>1121</v>
      </c>
    </row>
    <row r="2" spans="2:14" x14ac:dyDescent="0.2">
      <c r="B2" s="355" t="s">
        <v>1085</v>
      </c>
      <c r="C2" s="355"/>
      <c r="D2" s="332" t="str">
        <f>VLOOKUP(D$1,TabelContent[],COLUMN(TabelContent[Titel-NL]))</f>
        <v>Weerstand en temperatuur</v>
      </c>
    </row>
    <row r="3" spans="2:14" x14ac:dyDescent="0.2">
      <c r="B3" s="355" t="s">
        <v>1086</v>
      </c>
      <c r="C3" s="355"/>
      <c r="D3" s="332" t="str">
        <f>VLOOKUP(D$1,TabelContent[],COLUMN(TabelContent[Cat-NL]))</f>
        <v>Data analyse</v>
      </c>
    </row>
    <row r="4" spans="2:14" x14ac:dyDescent="0.2">
      <c r="B4" s="355" t="s">
        <v>1087</v>
      </c>
      <c r="C4" s="355" t="s">
        <v>1077</v>
      </c>
      <c r="D4" s="332">
        <f>VLOOKUP(D$1,TabelContent[],COLUMN(TabelContent[Niveau]))</f>
        <v>2</v>
      </c>
    </row>
    <row r="5" spans="2:14" x14ac:dyDescent="0.2">
      <c r="B5" s="16"/>
      <c r="C5" s="16"/>
      <c r="D5" s="16"/>
      <c r="E5" s="16"/>
    </row>
    <row r="6" spans="2:14" x14ac:dyDescent="0.2">
      <c r="B6" s="356" t="s">
        <v>47</v>
      </c>
      <c r="C6" s="356"/>
      <c r="D6" s="356"/>
      <c r="E6" s="356"/>
    </row>
    <row r="7" spans="2:14" x14ac:dyDescent="0.2">
      <c r="B7" s="16"/>
      <c r="C7" s="16"/>
      <c r="D7" s="16"/>
      <c r="E7" s="16"/>
    </row>
    <row r="8" spans="2:14" ht="14.25" x14ac:dyDescent="0.2">
      <c r="B8" s="16"/>
      <c r="D8" s="266" t="s">
        <v>1113</v>
      </c>
      <c r="E8" s="266">
        <v>-100</v>
      </c>
      <c r="F8" s="267">
        <v>-50</v>
      </c>
      <c r="G8" s="267">
        <v>0</v>
      </c>
      <c r="H8" s="267">
        <v>50</v>
      </c>
      <c r="I8" s="267">
        <v>100</v>
      </c>
      <c r="J8" s="267">
        <v>150</v>
      </c>
      <c r="K8" s="267">
        <v>200</v>
      </c>
      <c r="M8" s="4" t="s">
        <v>1107</v>
      </c>
      <c r="N8" s="4">
        <f>SLOPE(E9:K9,E8:K8)</f>
        <v>7.857142857142857E-2</v>
      </c>
    </row>
    <row r="9" spans="2:14" x14ac:dyDescent="0.2">
      <c r="B9" s="16"/>
      <c r="D9" s="266" t="s">
        <v>1116</v>
      </c>
      <c r="E9" s="266">
        <v>13</v>
      </c>
      <c r="F9" s="267">
        <v>18</v>
      </c>
      <c r="G9" s="267">
        <v>21</v>
      </c>
      <c r="H9" s="267">
        <v>25</v>
      </c>
      <c r="I9" s="267">
        <v>29</v>
      </c>
      <c r="J9" s="267">
        <v>33</v>
      </c>
      <c r="K9" s="267">
        <v>37</v>
      </c>
      <c r="M9" s="268" t="s">
        <v>1108</v>
      </c>
      <c r="N9" s="4">
        <f>INTERCEPT(E9:K9,E8:K8)</f>
        <v>21.214285714285715</v>
      </c>
    </row>
    <row r="12" spans="2:14" x14ac:dyDescent="0.2">
      <c r="D12" s="1" t="s">
        <v>1115</v>
      </c>
    </row>
    <row r="13" spans="2:14" ht="14.25" x14ac:dyDescent="0.2">
      <c r="D13" s="268" t="s">
        <v>1113</v>
      </c>
      <c r="E13" s="269">
        <v>400</v>
      </c>
    </row>
    <row r="14" spans="2:14" x14ac:dyDescent="0.2">
      <c r="D14" s="268" t="s">
        <v>1116</v>
      </c>
      <c r="E14" s="270">
        <f>N8*E13+N9</f>
        <v>52.642857142857139</v>
      </c>
    </row>
  </sheetData>
  <mergeCells count="5">
    <mergeCell ref="B2:C2"/>
    <mergeCell ref="B3:C3"/>
    <mergeCell ref="B4:C4"/>
    <mergeCell ref="B6:E6"/>
    <mergeCell ref="B1:C1"/>
  </mergeCells>
  <hyperlinks>
    <hyperlink ref="B6:D6" location="sjabloon!A1" display="Ga naar Inhoudsopgave" xr:uid="{00000000-0004-0000-2800-000000000000}"/>
    <hyperlink ref="B6:E6" location="Inhoud!A1" display="Ga naar Inhoudsopgave" xr:uid="{00000000-0004-0000-2800-000001000000}"/>
  </hyperlinks>
  <pageMargins left="0.7" right="0.7" top="0.75" bottom="0.75" header="0.3" footer="0.3"/>
  <pageSetup paperSize="9" orientation="landscape"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Blad29"/>
  <dimension ref="B1:R123"/>
  <sheetViews>
    <sheetView workbookViewId="0">
      <pane xSplit="1" ySplit="6" topLeftCell="B7" activePane="bottomRight" state="frozen"/>
      <selection pane="topRight" activeCell="B1" sqref="B1"/>
      <selection pane="bottomLeft" activeCell="A6" sqref="A6"/>
      <selection pane="bottomRight"/>
    </sheetView>
  </sheetViews>
  <sheetFormatPr defaultRowHeight="10.5" x14ac:dyDescent="0.15"/>
  <cols>
    <col min="1" max="2" width="3.7109375" style="15" customWidth="1"/>
    <col min="3" max="3" width="7.7109375" style="15" customWidth="1"/>
    <col min="4" max="4" width="11" style="15" bestFit="1" customWidth="1"/>
    <col min="5" max="5" width="9.28515625" style="15" bestFit="1" customWidth="1"/>
    <col min="6" max="6" width="20.5703125" style="15" bestFit="1" customWidth="1"/>
    <col min="7" max="7" width="13.5703125" style="15" bestFit="1" customWidth="1"/>
    <col min="8" max="8" width="9.28515625" style="15" bestFit="1" customWidth="1"/>
    <col min="9" max="9" width="12.85546875" style="15" bestFit="1" customWidth="1"/>
    <col min="10" max="10" width="10.7109375" style="15" bestFit="1" customWidth="1"/>
    <col min="11" max="11" width="9.140625" style="15"/>
    <col min="12" max="12" width="22.5703125" style="15" bestFit="1" customWidth="1"/>
    <col min="13" max="13" width="13.140625" style="15" customWidth="1"/>
    <col min="14" max="16" width="13.140625" style="15" bestFit="1" customWidth="1"/>
    <col min="17" max="16384" width="9.140625" style="15"/>
  </cols>
  <sheetData>
    <row r="1" spans="2:18" ht="12.75" x14ac:dyDescent="0.2">
      <c r="B1" s="355" t="s">
        <v>1253</v>
      </c>
      <c r="C1" s="355"/>
      <c r="D1" s="316" t="s">
        <v>617</v>
      </c>
    </row>
    <row r="2" spans="2:18" ht="12.75" x14ac:dyDescent="0.2">
      <c r="B2" s="355" t="s">
        <v>1085</v>
      </c>
      <c r="C2" s="355"/>
      <c r="D2" s="332" t="str">
        <f>VLOOKUP(D$1,TabelContent[],COLUMN(TabelContent[Titel-NL]))</f>
        <v>Salaris gemiddeldes</v>
      </c>
      <c r="E2" s="81"/>
      <c r="F2" s="81"/>
      <c r="G2" s="81"/>
      <c r="H2" s="81"/>
      <c r="I2" s="83"/>
      <c r="J2" s="84"/>
      <c r="K2" s="81"/>
      <c r="L2" s="81"/>
      <c r="M2" s="81"/>
      <c r="N2" s="81"/>
      <c r="O2" s="81"/>
      <c r="P2" s="81"/>
      <c r="Q2" s="81"/>
      <c r="R2" s="81"/>
    </row>
    <row r="3" spans="2:18" ht="12.75" x14ac:dyDescent="0.2">
      <c r="B3" s="355" t="s">
        <v>1086</v>
      </c>
      <c r="C3" s="355"/>
      <c r="D3" s="332" t="str">
        <f>VLOOKUP(D$1,TabelContent[],COLUMN(TabelContent[Cat-NL]))</f>
        <v>Draaitabel</v>
      </c>
      <c r="E3" s="81"/>
      <c r="F3" s="81"/>
      <c r="G3" s="81"/>
      <c r="H3" s="81"/>
      <c r="I3" s="83"/>
      <c r="J3" s="84"/>
      <c r="K3" s="81"/>
      <c r="L3" s="81"/>
      <c r="M3" s="81"/>
      <c r="N3" s="81"/>
      <c r="O3" s="81"/>
      <c r="P3" s="81"/>
      <c r="Q3" s="81"/>
      <c r="R3" s="81"/>
    </row>
    <row r="4" spans="2:18" ht="12.75" x14ac:dyDescent="0.2">
      <c r="B4" s="355" t="s">
        <v>1087</v>
      </c>
      <c r="C4" s="355" t="s">
        <v>1077</v>
      </c>
      <c r="D4" s="332">
        <f>VLOOKUP(D$1,TabelContent[],COLUMN(TabelContent[Niveau]))</f>
        <v>2</v>
      </c>
      <c r="E4" s="81"/>
      <c r="F4" s="81"/>
      <c r="G4" s="81"/>
      <c r="H4" s="81"/>
      <c r="I4" s="83"/>
      <c r="J4" s="84"/>
      <c r="K4" s="81"/>
      <c r="L4" s="81"/>
      <c r="M4" s="81"/>
      <c r="N4" s="81"/>
      <c r="O4" s="81"/>
      <c r="P4" s="81"/>
      <c r="Q4" s="81"/>
      <c r="R4" s="81"/>
    </row>
    <row r="5" spans="2:18" x14ac:dyDescent="0.15">
      <c r="B5" s="81"/>
      <c r="C5" s="81"/>
      <c r="D5" s="81"/>
      <c r="E5" s="81"/>
      <c r="F5" s="81"/>
      <c r="G5" s="81"/>
      <c r="H5" s="81"/>
      <c r="I5" s="81"/>
      <c r="J5" s="81"/>
      <c r="K5" s="81"/>
      <c r="L5" s="81"/>
      <c r="M5" s="81"/>
      <c r="N5" s="81"/>
      <c r="O5" s="81"/>
      <c r="P5" s="81"/>
      <c r="Q5" s="81"/>
      <c r="R5" s="81"/>
    </row>
    <row r="6" spans="2:18" ht="12.75" x14ac:dyDescent="0.2">
      <c r="B6" s="357" t="s">
        <v>47</v>
      </c>
      <c r="C6" s="357"/>
      <c r="D6" s="357"/>
      <c r="E6" s="358"/>
      <c r="F6" s="81"/>
      <c r="G6" s="81"/>
      <c r="H6" s="81"/>
      <c r="I6" s="81"/>
      <c r="J6" s="81"/>
      <c r="K6" s="81"/>
      <c r="L6" s="81"/>
      <c r="M6" s="81"/>
      <c r="N6" s="81"/>
      <c r="O6" s="81"/>
      <c r="P6" s="81"/>
      <c r="Q6" s="81"/>
      <c r="R6" s="81"/>
    </row>
    <row r="7" spans="2:18" x14ac:dyDescent="0.15">
      <c r="B7" s="81"/>
      <c r="C7" s="81"/>
      <c r="D7" s="81"/>
      <c r="E7" s="81"/>
      <c r="F7" s="81"/>
      <c r="G7" s="81"/>
      <c r="H7" s="81"/>
      <c r="I7" s="81"/>
      <c r="J7" s="81"/>
      <c r="K7" s="81"/>
      <c r="L7" s="81"/>
      <c r="M7" s="81"/>
      <c r="N7" s="81"/>
      <c r="O7" s="81"/>
      <c r="P7" s="81"/>
      <c r="Q7" s="81"/>
      <c r="R7" s="81"/>
    </row>
    <row r="8" spans="2:18" x14ac:dyDescent="0.15">
      <c r="B8" s="81"/>
      <c r="C8" s="81"/>
      <c r="D8" s="81"/>
      <c r="E8" s="81"/>
      <c r="F8" s="81"/>
      <c r="G8" s="81"/>
      <c r="H8" s="81"/>
      <c r="I8" s="81"/>
      <c r="J8" s="81"/>
      <c r="K8" s="81"/>
      <c r="L8" s="81"/>
      <c r="M8" s="81"/>
      <c r="N8" s="81"/>
      <c r="O8" s="81"/>
      <c r="P8" s="81"/>
      <c r="Q8" s="81"/>
      <c r="R8" s="81"/>
    </row>
    <row r="9" spans="2:18" x14ac:dyDescent="0.15">
      <c r="B9" s="81"/>
      <c r="C9" s="82" t="s">
        <v>371</v>
      </c>
      <c r="D9" s="82" t="s">
        <v>372</v>
      </c>
      <c r="E9" s="82" t="s">
        <v>373</v>
      </c>
      <c r="F9" s="82" t="s">
        <v>374</v>
      </c>
      <c r="G9" s="82" t="s">
        <v>375</v>
      </c>
      <c r="H9" s="82" t="s">
        <v>376</v>
      </c>
      <c r="I9" s="82" t="s">
        <v>377</v>
      </c>
      <c r="J9" s="82" t="s">
        <v>378</v>
      </c>
      <c r="K9" s="81"/>
      <c r="L9" s="81"/>
      <c r="M9" s="81"/>
      <c r="N9" s="81"/>
      <c r="O9" s="81"/>
      <c r="P9" s="81"/>
      <c r="Q9" s="81"/>
      <c r="R9" s="81"/>
    </row>
    <row r="10" spans="2:18" ht="12.75" x14ac:dyDescent="0.2">
      <c r="B10" s="81"/>
      <c r="C10" s="81">
        <v>1975</v>
      </c>
      <c r="D10" s="81" t="s">
        <v>379</v>
      </c>
      <c r="E10" s="81" t="s">
        <v>380</v>
      </c>
      <c r="F10" s="81" t="s">
        <v>381</v>
      </c>
      <c r="G10" s="81" t="s">
        <v>382</v>
      </c>
      <c r="H10" s="81" t="s">
        <v>383</v>
      </c>
      <c r="I10" s="83">
        <v>21887.95</v>
      </c>
      <c r="J10" s="84">
        <v>33365</v>
      </c>
      <c r="K10" s="81"/>
      <c r="L10" s="111" t="s">
        <v>614</v>
      </c>
      <c r="M10" s="111" t="s">
        <v>376</v>
      </c>
      <c r="N10"/>
      <c r="O10"/>
      <c r="P10"/>
      <c r="Q10" s="16"/>
      <c r="R10" s="16"/>
    </row>
    <row r="11" spans="2:18" ht="12.75" x14ac:dyDescent="0.2">
      <c r="B11" s="81"/>
      <c r="C11" s="81">
        <v>1976</v>
      </c>
      <c r="D11" s="81" t="s">
        <v>384</v>
      </c>
      <c r="E11" s="81" t="s">
        <v>385</v>
      </c>
      <c r="F11" s="81" t="s">
        <v>386</v>
      </c>
      <c r="G11" s="81" t="s">
        <v>387</v>
      </c>
      <c r="H11" s="81" t="s">
        <v>388</v>
      </c>
      <c r="I11" s="83">
        <v>23035.88</v>
      </c>
      <c r="J11" s="84">
        <v>33357</v>
      </c>
      <c r="K11" s="81"/>
      <c r="L11" s="111" t="s">
        <v>375</v>
      </c>
      <c r="M11" s="4" t="s">
        <v>391</v>
      </c>
      <c r="N11" s="4" t="s">
        <v>383</v>
      </c>
      <c r="O11" s="4" t="s">
        <v>388</v>
      </c>
      <c r="P11" s="4" t="s">
        <v>613</v>
      </c>
      <c r="Q11" s="16"/>
      <c r="R11" s="16"/>
    </row>
    <row r="12" spans="2:18" ht="12.75" x14ac:dyDescent="0.2">
      <c r="B12" s="81"/>
      <c r="C12" s="81">
        <v>1168</v>
      </c>
      <c r="D12" s="81" t="s">
        <v>389</v>
      </c>
      <c r="E12" s="81" t="s">
        <v>390</v>
      </c>
      <c r="F12" s="81" t="s">
        <v>386</v>
      </c>
      <c r="G12" s="81" t="s">
        <v>387</v>
      </c>
      <c r="H12" s="81" t="s">
        <v>391</v>
      </c>
      <c r="I12" s="83">
        <v>23035.88</v>
      </c>
      <c r="J12" s="84">
        <v>33338</v>
      </c>
      <c r="K12" s="81"/>
      <c r="L12" s="4" t="s">
        <v>382</v>
      </c>
      <c r="M12" s="253">
        <v>35096.302500000005</v>
      </c>
      <c r="N12" s="253">
        <v>27034.031999999999</v>
      </c>
      <c r="O12" s="253">
        <v>29263.571999999996</v>
      </c>
      <c r="P12" s="253">
        <v>30133.802142857141</v>
      </c>
      <c r="Q12" s="16"/>
      <c r="R12" s="16"/>
    </row>
    <row r="13" spans="2:18" ht="12.75" x14ac:dyDescent="0.2">
      <c r="B13" s="81"/>
      <c r="C13" s="81">
        <v>1169</v>
      </c>
      <c r="D13" s="81" t="s">
        <v>392</v>
      </c>
      <c r="E13" s="81" t="s">
        <v>393</v>
      </c>
      <c r="F13" s="81" t="s">
        <v>394</v>
      </c>
      <c r="G13" s="81" t="s">
        <v>387</v>
      </c>
      <c r="H13" s="81" t="s">
        <v>383</v>
      </c>
      <c r="I13" s="83">
        <v>34002.050000000003</v>
      </c>
      <c r="J13" s="84">
        <v>33890</v>
      </c>
      <c r="K13" s="81"/>
      <c r="L13" s="4" t="s">
        <v>405</v>
      </c>
      <c r="M13" s="253">
        <v>36615.623999999996</v>
      </c>
      <c r="N13" s="253">
        <v>47504.259999999995</v>
      </c>
      <c r="O13" s="253">
        <v>47159.552000000003</v>
      </c>
      <c r="P13" s="253">
        <v>43492.351428571441</v>
      </c>
      <c r="Q13" s="16"/>
      <c r="R13" s="16"/>
    </row>
    <row r="14" spans="2:18" ht="12.75" x14ac:dyDescent="0.2">
      <c r="B14" s="81"/>
      <c r="C14" s="81">
        <v>1167</v>
      </c>
      <c r="D14" s="81" t="s">
        <v>395</v>
      </c>
      <c r="E14" s="81" t="s">
        <v>396</v>
      </c>
      <c r="F14" s="81" t="s">
        <v>397</v>
      </c>
      <c r="G14" s="81" t="s">
        <v>398</v>
      </c>
      <c r="H14" s="81" t="s">
        <v>383</v>
      </c>
      <c r="I14" s="83">
        <v>31913.88</v>
      </c>
      <c r="J14" s="84">
        <v>33346</v>
      </c>
      <c r="K14" s="81"/>
      <c r="L14" s="4" t="s">
        <v>398</v>
      </c>
      <c r="M14" s="253">
        <v>49715.956666666672</v>
      </c>
      <c r="N14" s="253">
        <v>46289.205555555556</v>
      </c>
      <c r="O14" s="253">
        <v>47986.227272727272</v>
      </c>
      <c r="P14" s="253">
        <v>47797.964999999997</v>
      </c>
      <c r="Q14" s="16"/>
      <c r="R14" s="16"/>
    </row>
    <row r="15" spans="2:18" ht="12.75" x14ac:dyDescent="0.2">
      <c r="B15" s="81"/>
      <c r="C15" s="81">
        <v>1931</v>
      </c>
      <c r="D15" s="81" t="s">
        <v>399</v>
      </c>
      <c r="E15" s="81" t="s">
        <v>400</v>
      </c>
      <c r="F15" s="81" t="s">
        <v>401</v>
      </c>
      <c r="G15" s="81" t="s">
        <v>382</v>
      </c>
      <c r="H15" s="81" t="s">
        <v>383</v>
      </c>
      <c r="I15" s="83">
        <v>26101.439999999999</v>
      </c>
      <c r="J15" s="84">
        <v>32679</v>
      </c>
      <c r="K15" s="81"/>
      <c r="L15" s="4" t="s">
        <v>427</v>
      </c>
      <c r="M15" s="253">
        <v>41231.893333333333</v>
      </c>
      <c r="N15" s="253">
        <v>43852.346666666657</v>
      </c>
      <c r="O15" s="253">
        <v>48105.565999999999</v>
      </c>
      <c r="P15" s="253">
        <v>45070.959090909098</v>
      </c>
      <c r="Q15" s="16"/>
      <c r="R15" s="16"/>
    </row>
    <row r="16" spans="2:18" ht="12.75" x14ac:dyDescent="0.2">
      <c r="B16" s="81"/>
      <c r="C16" s="81">
        <v>1967</v>
      </c>
      <c r="D16" s="81" t="s">
        <v>402</v>
      </c>
      <c r="E16" s="81" t="s">
        <v>403</v>
      </c>
      <c r="F16" s="81" t="s">
        <v>404</v>
      </c>
      <c r="G16" s="81" t="s">
        <v>405</v>
      </c>
      <c r="H16" s="81" t="s">
        <v>383</v>
      </c>
      <c r="I16" s="83">
        <v>23212.32</v>
      </c>
      <c r="J16" s="84">
        <v>33551</v>
      </c>
      <c r="K16" s="81"/>
      <c r="L16" s="4" t="s">
        <v>387</v>
      </c>
      <c r="M16" s="253">
        <v>43838.686666666676</v>
      </c>
      <c r="N16" s="253">
        <v>51935.971666666672</v>
      </c>
      <c r="O16" s="253">
        <v>42005.904117647056</v>
      </c>
      <c r="P16" s="253">
        <v>45448.689512195124</v>
      </c>
      <c r="Q16" s="16"/>
      <c r="R16" s="16"/>
    </row>
    <row r="17" spans="2:18" ht="12.75" x14ac:dyDescent="0.2">
      <c r="B17" s="81"/>
      <c r="C17" s="81">
        <v>1676</v>
      </c>
      <c r="D17" s="81" t="s">
        <v>406</v>
      </c>
      <c r="E17" s="81" t="s">
        <v>407</v>
      </c>
      <c r="F17" s="81" t="s">
        <v>404</v>
      </c>
      <c r="G17" s="81" t="s">
        <v>405</v>
      </c>
      <c r="H17" s="81" t="s">
        <v>383</v>
      </c>
      <c r="I17" s="83">
        <v>23212.32</v>
      </c>
      <c r="J17" s="84">
        <v>29877</v>
      </c>
      <c r="K17" s="81"/>
      <c r="L17" s="4" t="s">
        <v>411</v>
      </c>
      <c r="M17" s="253">
        <v>32757.829999999998</v>
      </c>
      <c r="N17" s="253">
        <v>28016.309999999998</v>
      </c>
      <c r="O17" s="253">
        <v>29512.455000000002</v>
      </c>
      <c r="P17" s="253">
        <v>30168.416249999998</v>
      </c>
      <c r="Q17" s="16"/>
      <c r="R17" s="16"/>
    </row>
    <row r="18" spans="2:18" ht="12.75" x14ac:dyDescent="0.2">
      <c r="B18" s="81"/>
      <c r="C18" s="81">
        <v>1075</v>
      </c>
      <c r="D18" s="81" t="s">
        <v>408</v>
      </c>
      <c r="E18" s="81" t="s">
        <v>409</v>
      </c>
      <c r="F18" s="81" t="s">
        <v>410</v>
      </c>
      <c r="G18" s="81" t="s">
        <v>411</v>
      </c>
      <c r="H18" s="81" t="s">
        <v>388</v>
      </c>
      <c r="I18" s="83">
        <v>23239.439999999999</v>
      </c>
      <c r="J18" s="84">
        <v>33823</v>
      </c>
      <c r="K18" s="81"/>
      <c r="L18" s="4" t="s">
        <v>613</v>
      </c>
      <c r="M18" s="253">
        <v>41508.863030303015</v>
      </c>
      <c r="N18" s="253">
        <v>43906.324444444457</v>
      </c>
      <c r="O18" s="253">
        <v>42747.049555555546</v>
      </c>
      <c r="P18" s="253">
        <v>42754.713947368429</v>
      </c>
      <c r="Q18" s="16"/>
      <c r="R18" s="16"/>
    </row>
    <row r="19" spans="2:18" ht="12.75" x14ac:dyDescent="0.2">
      <c r="B19" s="81"/>
      <c r="C19" s="81">
        <v>1966</v>
      </c>
      <c r="D19" s="81" t="s">
        <v>412</v>
      </c>
      <c r="E19" s="81" t="s">
        <v>413</v>
      </c>
      <c r="F19" s="81" t="s">
        <v>410</v>
      </c>
      <c r="G19" s="81" t="s">
        <v>411</v>
      </c>
      <c r="H19" s="81" t="s">
        <v>391</v>
      </c>
      <c r="I19" s="83">
        <v>23239.439999999999</v>
      </c>
      <c r="J19" s="84">
        <v>33559</v>
      </c>
      <c r="K19" s="81"/>
      <c r="L19" s="16"/>
      <c r="M19" s="16"/>
      <c r="N19" s="16"/>
      <c r="O19" s="16"/>
      <c r="P19" s="16"/>
      <c r="Q19" s="16"/>
      <c r="R19" s="16"/>
    </row>
    <row r="20" spans="2:18" ht="12.75" x14ac:dyDescent="0.2">
      <c r="B20" s="81"/>
      <c r="C20" s="81">
        <v>1816</v>
      </c>
      <c r="D20" s="81" t="s">
        <v>414</v>
      </c>
      <c r="E20" s="81" t="s">
        <v>415</v>
      </c>
      <c r="F20" s="81" t="s">
        <v>394</v>
      </c>
      <c r="G20" s="81" t="s">
        <v>387</v>
      </c>
      <c r="H20" s="81" t="s">
        <v>391</v>
      </c>
      <c r="I20" s="83">
        <v>35480.400000000001</v>
      </c>
      <c r="J20" s="84">
        <v>33062</v>
      </c>
      <c r="K20" s="81"/>
      <c r="L20" s="16"/>
      <c r="M20" s="16"/>
      <c r="N20" s="16"/>
      <c r="O20" s="16"/>
      <c r="P20" s="16"/>
      <c r="Q20" s="16"/>
      <c r="R20" s="16"/>
    </row>
    <row r="21" spans="2:18" ht="12.75" x14ac:dyDescent="0.2">
      <c r="B21" s="81"/>
      <c r="C21" s="81">
        <v>1814</v>
      </c>
      <c r="D21" s="81" t="s">
        <v>416</v>
      </c>
      <c r="E21" s="81" t="s">
        <v>417</v>
      </c>
      <c r="F21" s="81" t="s">
        <v>418</v>
      </c>
      <c r="G21" s="81" t="s">
        <v>387</v>
      </c>
      <c r="H21" s="81" t="s">
        <v>391</v>
      </c>
      <c r="I21" s="83">
        <v>21303.599999999999</v>
      </c>
      <c r="J21" s="84">
        <v>32571</v>
      </c>
      <c r="K21" s="81"/>
      <c r="L21" s="16"/>
      <c r="M21" s="16"/>
      <c r="N21" s="16"/>
      <c r="O21" s="16"/>
      <c r="P21" s="16"/>
      <c r="Q21" s="16"/>
      <c r="R21" s="16"/>
    </row>
    <row r="22" spans="2:18" ht="12.75" x14ac:dyDescent="0.2">
      <c r="B22" s="81"/>
      <c r="C22" s="81">
        <v>1968</v>
      </c>
      <c r="D22" s="81" t="s">
        <v>419</v>
      </c>
      <c r="E22" s="81" t="s">
        <v>420</v>
      </c>
      <c r="F22" s="81" t="s">
        <v>421</v>
      </c>
      <c r="G22" s="81" t="s">
        <v>398</v>
      </c>
      <c r="H22" s="81" t="s">
        <v>383</v>
      </c>
      <c r="I22" s="83">
        <v>35989.199999999997</v>
      </c>
      <c r="J22" s="84">
        <v>33970</v>
      </c>
      <c r="K22" s="81"/>
      <c r="L22" s="16"/>
      <c r="M22" s="16"/>
      <c r="N22" s="16"/>
      <c r="O22" s="16"/>
      <c r="P22" s="16"/>
      <c r="Q22" s="16"/>
      <c r="R22" s="16"/>
    </row>
    <row r="23" spans="2:18" ht="12.75" x14ac:dyDescent="0.2">
      <c r="B23" s="81"/>
      <c r="C23" s="81">
        <v>1675</v>
      </c>
      <c r="D23" s="81" t="s">
        <v>422</v>
      </c>
      <c r="E23" s="81" t="s">
        <v>423</v>
      </c>
      <c r="F23" s="81" t="s">
        <v>397</v>
      </c>
      <c r="G23" s="81" t="s">
        <v>398</v>
      </c>
      <c r="H23" s="81" t="s">
        <v>383</v>
      </c>
      <c r="I23" s="83">
        <v>33301.440000000002</v>
      </c>
      <c r="J23" s="84">
        <v>29885</v>
      </c>
      <c r="K23" s="81"/>
      <c r="L23" s="16"/>
      <c r="M23" s="16"/>
      <c r="N23" s="16"/>
      <c r="O23" s="16"/>
      <c r="P23" s="16"/>
      <c r="Q23" s="16"/>
      <c r="R23" s="16"/>
    </row>
    <row r="24" spans="2:18" ht="12.75" x14ac:dyDescent="0.2">
      <c r="B24" s="81"/>
      <c r="C24" s="81">
        <v>1677</v>
      </c>
      <c r="D24" s="81" t="s">
        <v>424</v>
      </c>
      <c r="E24" s="81" t="s">
        <v>425</v>
      </c>
      <c r="F24" s="81" t="s">
        <v>426</v>
      </c>
      <c r="G24" s="81" t="s">
        <v>427</v>
      </c>
      <c r="H24" s="81" t="s">
        <v>391</v>
      </c>
      <c r="I24" s="83">
        <v>37895.519999999997</v>
      </c>
      <c r="J24" s="84">
        <v>32087</v>
      </c>
      <c r="K24" s="81"/>
      <c r="L24" s="16"/>
      <c r="M24" s="16"/>
      <c r="N24" s="16"/>
      <c r="O24" s="81"/>
      <c r="P24" s="81"/>
      <c r="Q24" s="81"/>
      <c r="R24" s="81"/>
    </row>
    <row r="25" spans="2:18" ht="12.75" x14ac:dyDescent="0.2">
      <c r="B25" s="81"/>
      <c r="C25" s="81">
        <v>1793</v>
      </c>
      <c r="D25" s="81" t="s">
        <v>428</v>
      </c>
      <c r="E25" s="81" t="s">
        <v>429</v>
      </c>
      <c r="F25" s="81" t="s">
        <v>404</v>
      </c>
      <c r="G25" s="81" t="s">
        <v>405</v>
      </c>
      <c r="H25" s="81" t="s">
        <v>391</v>
      </c>
      <c r="I25" s="83">
        <v>24179.5</v>
      </c>
      <c r="J25" s="84">
        <v>33223</v>
      </c>
      <c r="K25" s="81"/>
      <c r="L25" s="16"/>
      <c r="M25" s="16"/>
      <c r="N25" s="16"/>
      <c r="O25" s="81"/>
      <c r="P25" s="81"/>
      <c r="Q25" s="81"/>
      <c r="R25" s="81"/>
    </row>
    <row r="26" spans="2:18" ht="12.75" x14ac:dyDescent="0.2">
      <c r="B26" s="81"/>
      <c r="C26" s="81">
        <v>1792</v>
      </c>
      <c r="D26" s="81" t="s">
        <v>430</v>
      </c>
      <c r="E26" s="81" t="s">
        <v>431</v>
      </c>
      <c r="F26" s="81" t="s">
        <v>432</v>
      </c>
      <c r="G26" s="81" t="s">
        <v>411</v>
      </c>
      <c r="H26" s="81" t="s">
        <v>383</v>
      </c>
      <c r="I26" s="83">
        <v>28859.25</v>
      </c>
      <c r="J26" s="84">
        <v>33231</v>
      </c>
      <c r="K26" s="81"/>
      <c r="L26" s="16"/>
      <c r="M26" s="16"/>
      <c r="N26" s="16"/>
      <c r="O26" s="81"/>
      <c r="P26" s="81"/>
      <c r="Q26" s="81"/>
      <c r="R26" s="81"/>
    </row>
    <row r="27" spans="2:18" ht="12.75" x14ac:dyDescent="0.2">
      <c r="B27" s="81"/>
      <c r="C27" s="81">
        <v>1794</v>
      </c>
      <c r="D27" s="81" t="s">
        <v>433</v>
      </c>
      <c r="E27" s="81" t="s">
        <v>434</v>
      </c>
      <c r="F27" s="81" t="s">
        <v>421</v>
      </c>
      <c r="G27" s="81" t="s">
        <v>398</v>
      </c>
      <c r="H27" s="81" t="s">
        <v>391</v>
      </c>
      <c r="I27" s="83">
        <v>37488.75</v>
      </c>
      <c r="J27" s="84">
        <v>31034</v>
      </c>
      <c r="K27" s="81"/>
      <c r="L27" s="16"/>
      <c r="M27" s="16"/>
      <c r="N27" s="16"/>
      <c r="O27" s="81"/>
      <c r="P27" s="81"/>
      <c r="Q27" s="81"/>
      <c r="R27" s="81"/>
    </row>
    <row r="28" spans="2:18" ht="12.75" x14ac:dyDescent="0.2">
      <c r="B28" s="81"/>
      <c r="C28" s="81">
        <v>1426</v>
      </c>
      <c r="D28" s="81" t="s">
        <v>435</v>
      </c>
      <c r="E28" s="81" t="s">
        <v>393</v>
      </c>
      <c r="F28" s="81" t="s">
        <v>397</v>
      </c>
      <c r="G28" s="81" t="s">
        <v>398</v>
      </c>
      <c r="H28" s="81" t="s">
        <v>391</v>
      </c>
      <c r="I28" s="83">
        <v>34689</v>
      </c>
      <c r="J28" s="84">
        <v>28376</v>
      </c>
      <c r="K28" s="81"/>
      <c r="L28" s="16"/>
      <c r="M28" s="16"/>
      <c r="N28" s="16"/>
      <c r="O28" s="81"/>
      <c r="P28" s="81"/>
      <c r="Q28" s="81"/>
      <c r="R28" s="81"/>
    </row>
    <row r="29" spans="2:18" ht="12.75" x14ac:dyDescent="0.2">
      <c r="B29" s="81"/>
      <c r="C29" s="81">
        <v>1530</v>
      </c>
      <c r="D29" s="81" t="s">
        <v>436</v>
      </c>
      <c r="E29" s="81" t="s">
        <v>437</v>
      </c>
      <c r="F29" s="81" t="s">
        <v>404</v>
      </c>
      <c r="G29" s="81" t="s">
        <v>405</v>
      </c>
      <c r="H29" s="81" t="s">
        <v>388</v>
      </c>
      <c r="I29" s="83">
        <v>25146.68</v>
      </c>
      <c r="J29" s="84">
        <v>33258</v>
      </c>
      <c r="K29" s="81"/>
      <c r="L29" s="16"/>
      <c r="M29" s="16"/>
      <c r="N29" s="16"/>
      <c r="O29" s="81"/>
      <c r="P29" s="81"/>
      <c r="Q29" s="81"/>
      <c r="R29" s="81"/>
    </row>
    <row r="30" spans="2:18" ht="12.75" x14ac:dyDescent="0.2">
      <c r="B30" s="81"/>
      <c r="C30" s="81">
        <v>1054</v>
      </c>
      <c r="D30" s="81" t="s">
        <v>438</v>
      </c>
      <c r="E30" s="81" t="s">
        <v>439</v>
      </c>
      <c r="F30" s="81" t="s">
        <v>410</v>
      </c>
      <c r="G30" s="81" t="s">
        <v>411</v>
      </c>
      <c r="H30" s="81" t="s">
        <v>383</v>
      </c>
      <c r="I30" s="83">
        <v>25176.06</v>
      </c>
      <c r="J30" s="84">
        <v>33344</v>
      </c>
      <c r="K30" s="81"/>
      <c r="L30" s="16"/>
      <c r="M30" s="16"/>
      <c r="N30" s="16"/>
      <c r="O30" s="81"/>
      <c r="P30" s="81"/>
      <c r="Q30" s="81"/>
      <c r="R30" s="81"/>
    </row>
    <row r="31" spans="2:18" ht="12.75" x14ac:dyDescent="0.2">
      <c r="B31" s="81"/>
      <c r="C31" s="81">
        <v>1977</v>
      </c>
      <c r="D31" s="81" t="s">
        <v>440</v>
      </c>
      <c r="E31" s="81" t="s">
        <v>441</v>
      </c>
      <c r="F31" s="81" t="s">
        <v>432</v>
      </c>
      <c r="G31" s="81" t="s">
        <v>411</v>
      </c>
      <c r="H31" s="81" t="s">
        <v>383</v>
      </c>
      <c r="I31" s="83">
        <v>30013.62</v>
      </c>
      <c r="J31" s="84">
        <v>29385</v>
      </c>
      <c r="K31" s="81"/>
      <c r="L31" s="16"/>
      <c r="M31" s="16"/>
      <c r="N31" s="16"/>
      <c r="O31" s="81"/>
      <c r="P31" s="81"/>
      <c r="Q31" s="81"/>
      <c r="R31" s="81"/>
    </row>
    <row r="32" spans="2:18" ht="12.75" x14ac:dyDescent="0.2">
      <c r="B32" s="81"/>
      <c r="C32" s="81">
        <v>1529</v>
      </c>
      <c r="D32" s="81" t="s">
        <v>442</v>
      </c>
      <c r="E32" s="81" t="s">
        <v>443</v>
      </c>
      <c r="F32" s="81" t="s">
        <v>404</v>
      </c>
      <c r="G32" s="81" t="s">
        <v>387</v>
      </c>
      <c r="H32" s="81" t="s">
        <v>388</v>
      </c>
      <c r="I32" s="83">
        <v>25146.68</v>
      </c>
      <c r="J32" s="84">
        <v>31805</v>
      </c>
      <c r="K32" s="81"/>
      <c r="L32" s="16"/>
      <c r="M32" s="16"/>
      <c r="N32" s="16"/>
      <c r="O32" s="81"/>
      <c r="P32" s="81"/>
      <c r="Q32" s="81"/>
      <c r="R32" s="81"/>
    </row>
    <row r="33" spans="2:18" ht="12.75" x14ac:dyDescent="0.2">
      <c r="B33" s="81"/>
      <c r="C33" s="81">
        <v>1978</v>
      </c>
      <c r="D33" s="81" t="s">
        <v>444</v>
      </c>
      <c r="E33" s="81" t="s">
        <v>445</v>
      </c>
      <c r="F33" s="81" t="s">
        <v>446</v>
      </c>
      <c r="G33" s="81" t="s">
        <v>387</v>
      </c>
      <c r="H33" s="81" t="s">
        <v>391</v>
      </c>
      <c r="I33" s="83">
        <v>51878.84</v>
      </c>
      <c r="J33" s="84">
        <v>29377</v>
      </c>
      <c r="K33" s="81"/>
      <c r="L33" s="16"/>
      <c r="M33" s="16"/>
      <c r="N33" s="16"/>
      <c r="O33" s="81"/>
      <c r="P33" s="81"/>
      <c r="Q33" s="81"/>
      <c r="R33" s="81"/>
    </row>
    <row r="34" spans="2:18" ht="12.75" x14ac:dyDescent="0.2">
      <c r="B34" s="81"/>
      <c r="C34" s="81">
        <v>1055</v>
      </c>
      <c r="D34" s="81" t="s">
        <v>447</v>
      </c>
      <c r="E34" s="81" t="s">
        <v>448</v>
      </c>
      <c r="F34" s="81" t="s">
        <v>386</v>
      </c>
      <c r="G34" s="81" t="s">
        <v>398</v>
      </c>
      <c r="H34" s="81" t="s">
        <v>383</v>
      </c>
      <c r="I34" s="83">
        <v>26040.560000000001</v>
      </c>
      <c r="J34" s="84">
        <v>33336</v>
      </c>
      <c r="K34" s="81"/>
      <c r="L34" s="16"/>
      <c r="M34" s="16"/>
      <c r="N34" s="16"/>
      <c r="O34" s="81"/>
      <c r="P34" s="81"/>
      <c r="Q34" s="81"/>
      <c r="R34" s="81"/>
    </row>
    <row r="35" spans="2:18" ht="12.75" x14ac:dyDescent="0.2">
      <c r="B35" s="81"/>
      <c r="C35" s="81">
        <v>1531</v>
      </c>
      <c r="D35" s="81" t="s">
        <v>449</v>
      </c>
      <c r="E35" s="81" t="s">
        <v>450</v>
      </c>
      <c r="F35" s="81" t="s">
        <v>426</v>
      </c>
      <c r="G35" s="81" t="s">
        <v>427</v>
      </c>
      <c r="H35" s="81" t="s">
        <v>383</v>
      </c>
      <c r="I35" s="83">
        <v>41053.480000000003</v>
      </c>
      <c r="J35" s="84">
        <v>31543</v>
      </c>
      <c r="K35" s="81"/>
      <c r="L35" s="16"/>
      <c r="M35" s="16"/>
      <c r="N35" s="16"/>
      <c r="O35" s="81"/>
      <c r="P35" s="81"/>
      <c r="Q35" s="81"/>
      <c r="R35" s="81"/>
    </row>
    <row r="36" spans="2:18" ht="12.75" x14ac:dyDescent="0.2">
      <c r="B36" s="81"/>
      <c r="C36" s="81">
        <v>1290</v>
      </c>
      <c r="D36" s="81" t="s">
        <v>451</v>
      </c>
      <c r="E36" s="81" t="s">
        <v>452</v>
      </c>
      <c r="F36" s="81" t="s">
        <v>404</v>
      </c>
      <c r="G36" s="81" t="s">
        <v>405</v>
      </c>
      <c r="H36" s="81" t="s">
        <v>391</v>
      </c>
      <c r="I36" s="83">
        <v>26113.86</v>
      </c>
      <c r="J36" s="84">
        <v>31050</v>
      </c>
      <c r="K36" s="81"/>
      <c r="L36" s="16"/>
      <c r="M36" s="16"/>
      <c r="N36" s="16"/>
      <c r="O36" s="81"/>
      <c r="P36" s="81"/>
      <c r="Q36" s="81"/>
      <c r="R36" s="81"/>
    </row>
    <row r="37" spans="2:18" ht="12.75" x14ac:dyDescent="0.2">
      <c r="B37" s="81"/>
      <c r="C37" s="81">
        <v>1300</v>
      </c>
      <c r="D37" s="81" t="s">
        <v>453</v>
      </c>
      <c r="E37" s="81" t="s">
        <v>454</v>
      </c>
      <c r="F37" s="81" t="s">
        <v>401</v>
      </c>
      <c r="G37" s="81" t="s">
        <v>382</v>
      </c>
      <c r="H37" s="81" t="s">
        <v>388</v>
      </c>
      <c r="I37" s="83">
        <v>30451.68</v>
      </c>
      <c r="J37" s="84">
        <v>32855</v>
      </c>
      <c r="K37" s="81"/>
      <c r="L37" s="81"/>
      <c r="M37" s="81"/>
      <c r="N37" s="81"/>
      <c r="O37" s="81"/>
      <c r="P37" s="81"/>
      <c r="Q37" s="81"/>
      <c r="R37" s="81"/>
    </row>
    <row r="38" spans="2:18" ht="12.75" x14ac:dyDescent="0.2">
      <c r="B38" s="81"/>
      <c r="C38" s="81">
        <v>1152</v>
      </c>
      <c r="D38" s="81" t="s">
        <v>455</v>
      </c>
      <c r="E38" s="81" t="s">
        <v>456</v>
      </c>
      <c r="F38" s="81" t="s">
        <v>381</v>
      </c>
      <c r="G38" s="81" t="s">
        <v>382</v>
      </c>
      <c r="H38" s="81" t="s">
        <v>388</v>
      </c>
      <c r="I38" s="83">
        <v>26646.2</v>
      </c>
      <c r="J38" s="84">
        <v>32894</v>
      </c>
      <c r="K38" s="81"/>
      <c r="L38" s="81"/>
      <c r="M38" s="81"/>
      <c r="N38" s="81"/>
      <c r="O38" s="81"/>
      <c r="P38" s="81"/>
      <c r="Q38" s="81"/>
      <c r="R38" s="81"/>
    </row>
    <row r="39" spans="2:18" ht="12.75" x14ac:dyDescent="0.2">
      <c r="B39" s="81"/>
      <c r="C39" s="81">
        <v>1960</v>
      </c>
      <c r="D39" s="81" t="s">
        <v>457</v>
      </c>
      <c r="E39" s="81" t="s">
        <v>458</v>
      </c>
      <c r="F39" s="81" t="s">
        <v>386</v>
      </c>
      <c r="G39" s="81" t="s">
        <v>382</v>
      </c>
      <c r="H39" s="81" t="s">
        <v>383</v>
      </c>
      <c r="I39" s="83">
        <v>28043.68</v>
      </c>
      <c r="J39" s="84">
        <v>31729</v>
      </c>
      <c r="K39" s="81"/>
      <c r="L39" s="81"/>
      <c r="M39" s="81"/>
      <c r="N39" s="81"/>
      <c r="O39" s="81"/>
      <c r="P39" s="81"/>
      <c r="Q39" s="81"/>
      <c r="R39" s="81"/>
    </row>
    <row r="40" spans="2:18" ht="12.75" x14ac:dyDescent="0.2">
      <c r="B40" s="81"/>
      <c r="C40" s="81">
        <v>1153</v>
      </c>
      <c r="D40" s="81" t="s">
        <v>459</v>
      </c>
      <c r="E40" s="81" t="s">
        <v>460</v>
      </c>
      <c r="F40" s="81" t="s">
        <v>386</v>
      </c>
      <c r="G40" s="81" t="s">
        <v>382</v>
      </c>
      <c r="H40" s="81" t="s">
        <v>388</v>
      </c>
      <c r="I40" s="83">
        <v>28043.68</v>
      </c>
      <c r="J40" s="84">
        <v>32886</v>
      </c>
      <c r="K40" s="81"/>
      <c r="L40" s="81"/>
      <c r="M40" s="81"/>
      <c r="N40" s="81"/>
      <c r="O40" s="81"/>
      <c r="P40" s="81"/>
      <c r="Q40" s="81"/>
      <c r="R40" s="81"/>
    </row>
    <row r="41" spans="2:18" ht="12.75" x14ac:dyDescent="0.2">
      <c r="B41" s="81"/>
      <c r="C41" s="81">
        <v>1961</v>
      </c>
      <c r="D41" s="81" t="s">
        <v>402</v>
      </c>
      <c r="E41" s="81" t="s">
        <v>461</v>
      </c>
      <c r="F41" s="81" t="s">
        <v>404</v>
      </c>
      <c r="G41" s="81" t="s">
        <v>405</v>
      </c>
      <c r="H41" s="81" t="s">
        <v>391</v>
      </c>
      <c r="I41" s="83">
        <v>27081.040000000001</v>
      </c>
      <c r="J41" s="84">
        <v>31721</v>
      </c>
      <c r="K41" s="81"/>
      <c r="L41" s="81"/>
      <c r="M41" s="81"/>
      <c r="N41" s="81"/>
      <c r="O41" s="81"/>
      <c r="P41" s="81"/>
      <c r="Q41" s="81"/>
      <c r="R41" s="81"/>
    </row>
    <row r="42" spans="2:18" ht="12.75" x14ac:dyDescent="0.2">
      <c r="B42" s="81"/>
      <c r="C42" s="81">
        <v>1557</v>
      </c>
      <c r="D42" s="81" t="s">
        <v>462</v>
      </c>
      <c r="E42" s="81" t="s">
        <v>463</v>
      </c>
      <c r="F42" s="81" t="s">
        <v>404</v>
      </c>
      <c r="G42" s="81" t="s">
        <v>405</v>
      </c>
      <c r="H42" s="81" t="s">
        <v>383</v>
      </c>
      <c r="I42" s="83">
        <v>27081.040000000001</v>
      </c>
      <c r="J42" s="84">
        <v>29908</v>
      </c>
      <c r="K42" s="81"/>
      <c r="L42" s="81"/>
      <c r="M42" s="81"/>
      <c r="N42" s="81"/>
      <c r="O42" s="81"/>
      <c r="P42" s="81"/>
      <c r="Q42" s="81"/>
      <c r="R42" s="81"/>
    </row>
    <row r="43" spans="2:18" ht="12.75" x14ac:dyDescent="0.2">
      <c r="B43" s="81"/>
      <c r="C43" s="81">
        <v>1723</v>
      </c>
      <c r="D43" s="81" t="s">
        <v>464</v>
      </c>
      <c r="E43" s="81" t="s">
        <v>465</v>
      </c>
      <c r="F43" s="81" t="s">
        <v>466</v>
      </c>
      <c r="G43" s="81" t="s">
        <v>387</v>
      </c>
      <c r="H43" s="81" t="s">
        <v>391</v>
      </c>
      <c r="I43" s="83">
        <v>29362.2</v>
      </c>
      <c r="J43" s="84">
        <v>33091</v>
      </c>
      <c r="K43" s="81"/>
      <c r="L43" s="81"/>
      <c r="M43" s="81"/>
      <c r="N43" s="81"/>
      <c r="O43" s="81"/>
      <c r="P43" s="81"/>
      <c r="Q43" s="81"/>
      <c r="R43" s="81"/>
    </row>
    <row r="44" spans="2:18" ht="12.75" x14ac:dyDescent="0.2">
      <c r="B44" s="81"/>
      <c r="C44" s="81">
        <v>1556</v>
      </c>
      <c r="D44" s="81" t="s">
        <v>467</v>
      </c>
      <c r="E44" s="81" t="s">
        <v>468</v>
      </c>
      <c r="F44" s="81" t="s">
        <v>466</v>
      </c>
      <c r="G44" s="81" t="s">
        <v>387</v>
      </c>
      <c r="H44" s="81" t="s">
        <v>388</v>
      </c>
      <c r="I44" s="83">
        <v>29362.2</v>
      </c>
      <c r="J44" s="84">
        <v>29916</v>
      </c>
      <c r="K44" s="81"/>
      <c r="L44" s="81"/>
      <c r="M44" s="81"/>
      <c r="N44" s="81"/>
      <c r="O44" s="81"/>
      <c r="P44" s="81"/>
      <c r="Q44" s="81"/>
      <c r="R44" s="81"/>
    </row>
    <row r="45" spans="2:18" ht="12.75" x14ac:dyDescent="0.2">
      <c r="B45" s="81"/>
      <c r="C45" s="81">
        <v>1333</v>
      </c>
      <c r="D45" s="81" t="s">
        <v>469</v>
      </c>
      <c r="E45" s="81" t="s">
        <v>470</v>
      </c>
      <c r="F45" s="81" t="s">
        <v>466</v>
      </c>
      <c r="G45" s="81" t="s">
        <v>387</v>
      </c>
      <c r="H45" s="81" t="s">
        <v>383</v>
      </c>
      <c r="I45" s="83">
        <v>29362.2</v>
      </c>
      <c r="J45" s="84">
        <v>32979</v>
      </c>
      <c r="K45" s="81"/>
      <c r="L45" s="81"/>
      <c r="M45" s="81"/>
      <c r="N45" s="81"/>
      <c r="O45" s="81"/>
      <c r="P45" s="81"/>
      <c r="Q45" s="81"/>
      <c r="R45" s="81"/>
    </row>
    <row r="46" spans="2:18" ht="12.75" x14ac:dyDescent="0.2">
      <c r="B46" s="81"/>
      <c r="C46" s="81">
        <v>1299</v>
      </c>
      <c r="D46" s="81" t="s">
        <v>471</v>
      </c>
      <c r="E46" s="81" t="s">
        <v>472</v>
      </c>
      <c r="F46" s="81" t="s">
        <v>418</v>
      </c>
      <c r="G46" s="81" t="s">
        <v>387</v>
      </c>
      <c r="H46" s="81" t="s">
        <v>383</v>
      </c>
      <c r="I46" s="83">
        <v>24854.2</v>
      </c>
      <c r="J46" s="84">
        <v>32863</v>
      </c>
      <c r="K46" s="81"/>
      <c r="L46" s="81"/>
      <c r="M46" s="81"/>
      <c r="N46" s="81"/>
      <c r="O46" s="81"/>
      <c r="P46" s="81"/>
      <c r="Q46" s="81"/>
      <c r="R46" s="81"/>
    </row>
    <row r="47" spans="2:18" ht="12.75" x14ac:dyDescent="0.2">
      <c r="B47" s="81"/>
      <c r="C47" s="81">
        <v>1301</v>
      </c>
      <c r="D47" s="81" t="s">
        <v>473</v>
      </c>
      <c r="E47" s="81" t="s">
        <v>474</v>
      </c>
      <c r="F47" s="81" t="s">
        <v>404</v>
      </c>
      <c r="G47" s="81" t="s">
        <v>398</v>
      </c>
      <c r="H47" s="81" t="s">
        <v>391</v>
      </c>
      <c r="I47" s="83">
        <v>27081.040000000001</v>
      </c>
      <c r="J47" s="84">
        <v>30900</v>
      </c>
      <c r="K47" s="81"/>
      <c r="L47" s="81"/>
      <c r="M47" s="81"/>
      <c r="N47" s="81"/>
      <c r="O47" s="81"/>
      <c r="P47" s="81"/>
      <c r="Q47" s="81"/>
      <c r="R47" s="81"/>
    </row>
    <row r="48" spans="2:18" ht="12.75" x14ac:dyDescent="0.2">
      <c r="B48" s="81"/>
      <c r="C48" s="81">
        <v>1724</v>
      </c>
      <c r="D48" s="81" t="s">
        <v>475</v>
      </c>
      <c r="E48" s="81" t="s">
        <v>476</v>
      </c>
      <c r="F48" s="81" t="s">
        <v>386</v>
      </c>
      <c r="G48" s="81" t="s">
        <v>398</v>
      </c>
      <c r="H48" s="81" t="s">
        <v>388</v>
      </c>
      <c r="I48" s="83">
        <v>28043.68</v>
      </c>
      <c r="J48" s="84">
        <v>33083</v>
      </c>
      <c r="K48" s="81"/>
      <c r="L48" s="81"/>
      <c r="M48" s="81"/>
      <c r="N48" s="81"/>
      <c r="O48" s="81"/>
      <c r="P48" s="81"/>
      <c r="Q48" s="81"/>
      <c r="R48" s="81"/>
    </row>
    <row r="49" spans="2:18" ht="12.75" x14ac:dyDescent="0.2">
      <c r="B49" s="81"/>
      <c r="C49" s="81">
        <v>1558</v>
      </c>
      <c r="D49" s="81" t="s">
        <v>477</v>
      </c>
      <c r="E49" s="81" t="s">
        <v>478</v>
      </c>
      <c r="F49" s="81" t="s">
        <v>421</v>
      </c>
      <c r="G49" s="81" t="s">
        <v>398</v>
      </c>
      <c r="H49" s="81" t="s">
        <v>383</v>
      </c>
      <c r="I49" s="83">
        <v>41987.4</v>
      </c>
      <c r="J49" s="84">
        <v>30240</v>
      </c>
      <c r="K49" s="81"/>
      <c r="L49" s="81"/>
      <c r="M49" s="81"/>
      <c r="N49" s="81"/>
      <c r="O49" s="81"/>
      <c r="P49" s="81"/>
      <c r="Q49" s="81"/>
      <c r="R49" s="81"/>
    </row>
    <row r="50" spans="2:18" ht="12.75" x14ac:dyDescent="0.2">
      <c r="B50" s="81"/>
      <c r="C50" s="81">
        <v>1041</v>
      </c>
      <c r="D50" s="81" t="s">
        <v>479</v>
      </c>
      <c r="E50" s="81" t="s">
        <v>480</v>
      </c>
      <c r="F50" s="81" t="s">
        <v>386</v>
      </c>
      <c r="G50" s="81" t="s">
        <v>427</v>
      </c>
      <c r="H50" s="81" t="s">
        <v>388</v>
      </c>
      <c r="I50" s="83">
        <v>28043.68</v>
      </c>
      <c r="J50" s="84">
        <v>33710</v>
      </c>
      <c r="K50" s="81"/>
      <c r="L50" s="81"/>
      <c r="M50" s="81"/>
      <c r="N50" s="81"/>
      <c r="O50" s="81"/>
      <c r="P50" s="81"/>
      <c r="Q50" s="81"/>
      <c r="R50" s="81"/>
    </row>
    <row r="51" spans="2:18" ht="12.75" x14ac:dyDescent="0.2">
      <c r="B51" s="81"/>
      <c r="C51" s="81">
        <v>1334</v>
      </c>
      <c r="D51" s="81" t="s">
        <v>481</v>
      </c>
      <c r="E51" s="81" t="s">
        <v>482</v>
      </c>
      <c r="F51" s="81" t="s">
        <v>386</v>
      </c>
      <c r="G51" s="81" t="s">
        <v>427</v>
      </c>
      <c r="H51" s="81" t="s">
        <v>391</v>
      </c>
      <c r="I51" s="83">
        <v>28043.68</v>
      </c>
      <c r="J51" s="84">
        <v>32971</v>
      </c>
      <c r="K51" s="81"/>
      <c r="L51" s="81"/>
      <c r="M51" s="81"/>
      <c r="N51" s="81"/>
      <c r="O51" s="81"/>
      <c r="P51" s="81"/>
      <c r="Q51" s="81"/>
      <c r="R51" s="81"/>
    </row>
    <row r="52" spans="2:18" ht="12.75" x14ac:dyDescent="0.2">
      <c r="B52" s="81"/>
      <c r="C52" s="81">
        <v>1330</v>
      </c>
      <c r="D52" s="81" t="s">
        <v>483</v>
      </c>
      <c r="E52" s="81" t="s">
        <v>484</v>
      </c>
      <c r="F52" s="81" t="s">
        <v>401</v>
      </c>
      <c r="G52" s="81" t="s">
        <v>382</v>
      </c>
      <c r="H52" s="81" t="s">
        <v>383</v>
      </c>
      <c r="I52" s="83">
        <v>31539.24</v>
      </c>
      <c r="J52" s="84">
        <v>32553</v>
      </c>
      <c r="K52" s="81"/>
      <c r="L52" s="81"/>
      <c r="M52" s="81"/>
      <c r="N52" s="81"/>
      <c r="O52" s="81"/>
      <c r="P52" s="81"/>
      <c r="Q52" s="81"/>
      <c r="R52" s="81"/>
    </row>
    <row r="53" spans="2:18" ht="12.75" x14ac:dyDescent="0.2">
      <c r="B53" s="81"/>
      <c r="C53" s="81">
        <v>1674</v>
      </c>
      <c r="D53" s="81" t="s">
        <v>485</v>
      </c>
      <c r="E53" s="81" t="s">
        <v>486</v>
      </c>
      <c r="F53" s="81" t="s">
        <v>381</v>
      </c>
      <c r="G53" s="81" t="s">
        <v>382</v>
      </c>
      <c r="H53" s="81" t="s">
        <v>391</v>
      </c>
      <c r="I53" s="83">
        <v>27597.85</v>
      </c>
      <c r="J53" s="84">
        <v>33688</v>
      </c>
      <c r="K53" s="81"/>
      <c r="L53" s="81"/>
      <c r="M53" s="81"/>
      <c r="N53" s="81"/>
      <c r="O53" s="81"/>
      <c r="P53" s="81"/>
      <c r="Q53" s="81"/>
      <c r="R53" s="81"/>
    </row>
    <row r="54" spans="2:18" ht="12.75" x14ac:dyDescent="0.2">
      <c r="B54" s="81"/>
      <c r="C54" s="81">
        <v>1011</v>
      </c>
      <c r="D54" s="81" t="s">
        <v>487</v>
      </c>
      <c r="E54" s="81" t="s">
        <v>488</v>
      </c>
      <c r="F54" s="81" t="s">
        <v>381</v>
      </c>
      <c r="G54" s="81" t="s">
        <v>382</v>
      </c>
      <c r="H54" s="81" t="s">
        <v>383</v>
      </c>
      <c r="I54" s="83">
        <v>27597.85</v>
      </c>
      <c r="J54" s="84">
        <v>31446</v>
      </c>
      <c r="K54" s="81"/>
      <c r="L54" s="81"/>
      <c r="M54" s="81"/>
      <c r="N54" s="81"/>
      <c r="O54" s="81"/>
      <c r="P54" s="81"/>
      <c r="Q54" s="81"/>
      <c r="R54" s="81"/>
    </row>
    <row r="55" spans="2:18" ht="12.75" x14ac:dyDescent="0.2">
      <c r="B55" s="81"/>
      <c r="C55" s="81">
        <v>1675</v>
      </c>
      <c r="D55" s="81" t="s">
        <v>489</v>
      </c>
      <c r="E55" s="81" t="s">
        <v>490</v>
      </c>
      <c r="F55" s="81" t="s">
        <v>386</v>
      </c>
      <c r="G55" s="81" t="s">
        <v>382</v>
      </c>
      <c r="H55" s="81" t="s">
        <v>391</v>
      </c>
      <c r="I55" s="83">
        <v>29045.24</v>
      </c>
      <c r="J55" s="84">
        <v>33680</v>
      </c>
      <c r="K55" s="81"/>
      <c r="L55" s="81"/>
      <c r="M55" s="81"/>
      <c r="N55" s="81"/>
      <c r="O55" s="81"/>
      <c r="P55" s="81"/>
      <c r="Q55" s="81"/>
      <c r="R55" s="81"/>
    </row>
    <row r="56" spans="2:18" ht="12.75" x14ac:dyDescent="0.2">
      <c r="B56" s="81"/>
      <c r="C56" s="81">
        <v>1012</v>
      </c>
      <c r="D56" s="81" t="s">
        <v>491</v>
      </c>
      <c r="E56" s="81" t="s">
        <v>492</v>
      </c>
      <c r="F56" s="81" t="s">
        <v>493</v>
      </c>
      <c r="G56" s="81" t="s">
        <v>387</v>
      </c>
      <c r="H56" s="81" t="s">
        <v>388</v>
      </c>
      <c r="I56" s="83">
        <v>43394.15</v>
      </c>
      <c r="J56" s="84">
        <v>31438</v>
      </c>
      <c r="K56" s="81"/>
      <c r="L56" s="81"/>
      <c r="M56" s="81"/>
      <c r="N56" s="81"/>
      <c r="O56" s="81"/>
      <c r="P56" s="81"/>
      <c r="Q56" s="81"/>
      <c r="R56" s="81"/>
    </row>
    <row r="57" spans="2:18" ht="12.75" x14ac:dyDescent="0.2">
      <c r="B57" s="81"/>
      <c r="C57" s="81">
        <v>1331</v>
      </c>
      <c r="D57" s="81" t="s">
        <v>494</v>
      </c>
      <c r="E57" s="81" t="s">
        <v>495</v>
      </c>
      <c r="F57" s="81" t="s">
        <v>394</v>
      </c>
      <c r="G57" s="81" t="s">
        <v>387</v>
      </c>
      <c r="H57" s="81" t="s">
        <v>388</v>
      </c>
      <c r="I57" s="83">
        <v>42872.15</v>
      </c>
      <c r="J57" s="84">
        <v>32639</v>
      </c>
      <c r="K57" s="81"/>
      <c r="L57" s="81"/>
      <c r="M57" s="81"/>
      <c r="N57" s="81"/>
      <c r="O57" s="81"/>
      <c r="P57" s="81"/>
      <c r="Q57" s="81"/>
      <c r="R57" s="81"/>
    </row>
    <row r="58" spans="2:18" ht="12.75" x14ac:dyDescent="0.2">
      <c r="B58" s="81"/>
      <c r="C58" s="81">
        <v>1310</v>
      </c>
      <c r="D58" s="81" t="s">
        <v>438</v>
      </c>
      <c r="E58" s="81" t="s">
        <v>496</v>
      </c>
      <c r="F58" s="81" t="s">
        <v>466</v>
      </c>
      <c r="G58" s="81" t="s">
        <v>387</v>
      </c>
      <c r="H58" s="81" t="s">
        <v>391</v>
      </c>
      <c r="I58" s="83">
        <v>30410.85</v>
      </c>
      <c r="J58" s="84">
        <v>31689</v>
      </c>
      <c r="K58" s="81"/>
      <c r="L58" s="81"/>
      <c r="M58" s="81"/>
      <c r="N58" s="81"/>
      <c r="O58" s="81"/>
      <c r="P58" s="81"/>
      <c r="Q58" s="81"/>
      <c r="R58" s="81"/>
    </row>
    <row r="59" spans="2:18" ht="12.75" x14ac:dyDescent="0.2">
      <c r="B59" s="81"/>
      <c r="C59" s="81">
        <v>1329</v>
      </c>
      <c r="D59" s="81" t="s">
        <v>497</v>
      </c>
      <c r="E59" s="81" t="s">
        <v>498</v>
      </c>
      <c r="F59" s="81" t="s">
        <v>466</v>
      </c>
      <c r="G59" s="81" t="s">
        <v>387</v>
      </c>
      <c r="H59" s="81" t="s">
        <v>388</v>
      </c>
      <c r="I59" s="83">
        <v>30410.85</v>
      </c>
      <c r="J59" s="84">
        <v>32561</v>
      </c>
      <c r="K59" s="81"/>
      <c r="L59" s="81"/>
      <c r="M59" s="81"/>
      <c r="N59" s="81"/>
      <c r="O59" s="81"/>
      <c r="P59" s="81"/>
      <c r="Q59" s="81"/>
      <c r="R59" s="81"/>
    </row>
    <row r="60" spans="2:18" ht="12.75" x14ac:dyDescent="0.2">
      <c r="B60" s="81"/>
      <c r="C60" s="81">
        <v>1311</v>
      </c>
      <c r="D60" s="81" t="s">
        <v>499</v>
      </c>
      <c r="E60" s="81" t="s">
        <v>500</v>
      </c>
      <c r="F60" s="81" t="s">
        <v>421</v>
      </c>
      <c r="G60" s="81" t="s">
        <v>398</v>
      </c>
      <c r="H60" s="81" t="s">
        <v>388</v>
      </c>
      <c r="I60" s="83">
        <v>43486.95</v>
      </c>
      <c r="J60" s="84">
        <v>31681</v>
      </c>
      <c r="K60" s="81"/>
      <c r="L60" s="81"/>
      <c r="M60" s="81"/>
      <c r="N60" s="81"/>
      <c r="O60" s="81"/>
      <c r="P60" s="81"/>
      <c r="Q60" s="81"/>
      <c r="R60" s="81"/>
    </row>
    <row r="61" spans="2:18" ht="12.75" x14ac:dyDescent="0.2">
      <c r="B61" s="81"/>
      <c r="C61" s="81">
        <v>1657</v>
      </c>
      <c r="D61" s="81" t="s">
        <v>501</v>
      </c>
      <c r="E61" s="81" t="s">
        <v>502</v>
      </c>
      <c r="F61" s="81" t="s">
        <v>401</v>
      </c>
      <c r="G61" s="81" t="s">
        <v>382</v>
      </c>
      <c r="H61" s="81" t="s">
        <v>388</v>
      </c>
      <c r="I61" s="83">
        <v>32626.799999999999</v>
      </c>
      <c r="J61" s="84">
        <v>32117</v>
      </c>
      <c r="K61" s="81"/>
      <c r="L61" s="81"/>
      <c r="M61" s="81"/>
      <c r="N61" s="81"/>
      <c r="O61" s="81"/>
      <c r="P61" s="81"/>
      <c r="Q61" s="81"/>
      <c r="R61" s="81"/>
    </row>
    <row r="62" spans="2:18" ht="12.75" x14ac:dyDescent="0.2">
      <c r="B62" s="81"/>
      <c r="C62" s="81">
        <v>1516</v>
      </c>
      <c r="D62" s="81" t="s">
        <v>503</v>
      </c>
      <c r="E62" s="81" t="s">
        <v>504</v>
      </c>
      <c r="F62" s="81" t="s">
        <v>381</v>
      </c>
      <c r="G62" s="81" t="s">
        <v>382</v>
      </c>
      <c r="H62" s="81" t="s">
        <v>388</v>
      </c>
      <c r="I62" s="83">
        <v>28549.5</v>
      </c>
      <c r="J62" s="84">
        <v>31112</v>
      </c>
      <c r="K62" s="81"/>
      <c r="L62" s="81"/>
      <c r="M62" s="81"/>
      <c r="N62" s="81"/>
      <c r="O62" s="81"/>
      <c r="P62" s="81"/>
      <c r="Q62" s="81"/>
      <c r="R62" s="81"/>
    </row>
    <row r="63" spans="2:18" ht="12.75" x14ac:dyDescent="0.2">
      <c r="B63" s="81"/>
      <c r="C63" s="81">
        <v>1517</v>
      </c>
      <c r="D63" s="81" t="s">
        <v>505</v>
      </c>
      <c r="E63" s="81" t="s">
        <v>468</v>
      </c>
      <c r="F63" s="81" t="s">
        <v>506</v>
      </c>
      <c r="G63" s="81" t="s">
        <v>387</v>
      </c>
      <c r="H63" s="81" t="s">
        <v>388</v>
      </c>
      <c r="I63" s="83">
        <v>62589.599999999999</v>
      </c>
      <c r="J63" s="84">
        <v>31104</v>
      </c>
      <c r="K63" s="81"/>
      <c r="L63" s="81"/>
      <c r="M63" s="81"/>
      <c r="N63" s="81"/>
      <c r="O63" s="81"/>
      <c r="P63" s="81"/>
      <c r="Q63" s="81"/>
      <c r="R63" s="81"/>
    </row>
    <row r="64" spans="2:18" ht="12.75" x14ac:dyDescent="0.2">
      <c r="B64" s="81"/>
      <c r="C64" s="81">
        <v>1658</v>
      </c>
      <c r="D64" s="81" t="s">
        <v>507</v>
      </c>
      <c r="E64" s="81" t="s">
        <v>508</v>
      </c>
      <c r="F64" s="81" t="s">
        <v>394</v>
      </c>
      <c r="G64" s="81" t="s">
        <v>387</v>
      </c>
      <c r="H64" s="81" t="s">
        <v>383</v>
      </c>
      <c r="I64" s="83">
        <v>44350.5</v>
      </c>
      <c r="J64" s="84">
        <v>32300</v>
      </c>
      <c r="K64" s="81"/>
      <c r="L64" s="81"/>
      <c r="M64" s="81"/>
      <c r="N64" s="81"/>
      <c r="O64" s="81"/>
      <c r="P64" s="81"/>
      <c r="Q64" s="81"/>
      <c r="R64" s="81"/>
    </row>
    <row r="65" spans="2:18" ht="12.75" x14ac:dyDescent="0.2">
      <c r="B65" s="81"/>
      <c r="C65" s="81">
        <v>1518</v>
      </c>
      <c r="D65" s="81" t="s">
        <v>509</v>
      </c>
      <c r="E65" s="81" t="s">
        <v>510</v>
      </c>
      <c r="F65" s="81" t="s">
        <v>394</v>
      </c>
      <c r="G65" s="81" t="s">
        <v>387</v>
      </c>
      <c r="H65" s="81" t="s">
        <v>388</v>
      </c>
      <c r="I65" s="83">
        <v>44350.5</v>
      </c>
      <c r="J65" s="84">
        <v>33042</v>
      </c>
      <c r="K65" s="81"/>
      <c r="L65" s="81"/>
      <c r="M65" s="81"/>
      <c r="N65" s="81"/>
      <c r="O65" s="81"/>
      <c r="P65" s="81"/>
      <c r="Q65" s="81"/>
      <c r="R65" s="81"/>
    </row>
    <row r="66" spans="2:18" ht="12.75" x14ac:dyDescent="0.2">
      <c r="B66" s="81"/>
      <c r="C66" s="81">
        <v>1656</v>
      </c>
      <c r="D66" s="81" t="s">
        <v>511</v>
      </c>
      <c r="E66" s="81" t="s">
        <v>482</v>
      </c>
      <c r="F66" s="81" t="s">
        <v>404</v>
      </c>
      <c r="G66" s="81" t="s">
        <v>398</v>
      </c>
      <c r="H66" s="81" t="s">
        <v>383</v>
      </c>
      <c r="I66" s="83">
        <v>29015.4</v>
      </c>
      <c r="J66" s="84">
        <v>32125</v>
      </c>
      <c r="K66" s="81"/>
      <c r="L66" s="81"/>
      <c r="M66" s="81"/>
      <c r="N66" s="81"/>
      <c r="O66" s="81"/>
      <c r="P66" s="81"/>
      <c r="Q66" s="81"/>
      <c r="R66" s="81"/>
    </row>
    <row r="67" spans="2:18" ht="12.75" x14ac:dyDescent="0.2">
      <c r="B67" s="81"/>
      <c r="C67" s="81">
        <v>1079</v>
      </c>
      <c r="D67" s="81" t="s">
        <v>512</v>
      </c>
      <c r="E67" s="81" t="s">
        <v>496</v>
      </c>
      <c r="F67" s="81" t="s">
        <v>404</v>
      </c>
      <c r="G67" s="81" t="s">
        <v>405</v>
      </c>
      <c r="H67" s="81" t="s">
        <v>388</v>
      </c>
      <c r="I67" s="83">
        <v>29982.58</v>
      </c>
      <c r="J67" s="84">
        <v>31495</v>
      </c>
      <c r="K67" s="81"/>
      <c r="L67" s="81"/>
      <c r="M67" s="81"/>
      <c r="N67" s="81"/>
      <c r="O67" s="81"/>
      <c r="P67" s="81"/>
      <c r="Q67" s="81"/>
      <c r="R67" s="81"/>
    </row>
    <row r="68" spans="2:18" ht="12.75" x14ac:dyDescent="0.2">
      <c r="B68" s="81"/>
      <c r="C68" s="81">
        <v>1758</v>
      </c>
      <c r="D68" s="81" t="s">
        <v>513</v>
      </c>
      <c r="E68" s="81" t="s">
        <v>514</v>
      </c>
      <c r="F68" s="81" t="s">
        <v>432</v>
      </c>
      <c r="G68" s="81" t="s">
        <v>411</v>
      </c>
      <c r="H68" s="81" t="s">
        <v>388</v>
      </c>
      <c r="I68" s="83">
        <v>35785.47</v>
      </c>
      <c r="J68" s="84">
        <v>30028</v>
      </c>
      <c r="K68" s="81"/>
      <c r="L68" s="81"/>
      <c r="M68" s="81"/>
      <c r="N68" s="81"/>
      <c r="O68" s="81"/>
      <c r="P68" s="81"/>
      <c r="Q68" s="81"/>
      <c r="R68" s="81"/>
    </row>
    <row r="69" spans="2:18" ht="12.75" x14ac:dyDescent="0.2">
      <c r="B69" s="81"/>
      <c r="C69" s="81">
        <v>1673</v>
      </c>
      <c r="D69" s="81" t="s">
        <v>515</v>
      </c>
      <c r="E69" s="81" t="s">
        <v>452</v>
      </c>
      <c r="F69" s="81" t="s">
        <v>404</v>
      </c>
      <c r="G69" s="81" t="s">
        <v>387</v>
      </c>
      <c r="H69" s="81" t="s">
        <v>383</v>
      </c>
      <c r="I69" s="83">
        <v>29982.58</v>
      </c>
      <c r="J69" s="84">
        <v>32979</v>
      </c>
      <c r="K69" s="81"/>
      <c r="L69" s="81"/>
      <c r="M69" s="81"/>
      <c r="N69" s="81"/>
      <c r="O69" s="81"/>
      <c r="P69" s="81"/>
      <c r="Q69" s="81"/>
      <c r="R69" s="81"/>
    </row>
    <row r="70" spans="2:18" ht="12.75" x14ac:dyDescent="0.2">
      <c r="B70" s="81"/>
      <c r="C70" s="81">
        <v>1509</v>
      </c>
      <c r="D70" s="81" t="s">
        <v>516</v>
      </c>
      <c r="E70" s="81" t="s">
        <v>517</v>
      </c>
      <c r="F70" s="81" t="s">
        <v>404</v>
      </c>
      <c r="G70" s="81" t="s">
        <v>387</v>
      </c>
      <c r="H70" s="81" t="s">
        <v>391</v>
      </c>
      <c r="I70" s="83">
        <v>29982.58</v>
      </c>
      <c r="J70" s="84">
        <v>31217</v>
      </c>
      <c r="K70" s="81"/>
      <c r="L70" s="81"/>
      <c r="M70" s="81"/>
      <c r="N70" s="81"/>
      <c r="O70" s="81"/>
      <c r="P70" s="81"/>
      <c r="Q70" s="81"/>
      <c r="R70" s="81"/>
    </row>
    <row r="71" spans="2:18" ht="12.75" x14ac:dyDescent="0.2">
      <c r="B71" s="81"/>
      <c r="C71" s="81">
        <v>1759</v>
      </c>
      <c r="D71" s="81" t="s">
        <v>518</v>
      </c>
      <c r="E71" s="81" t="s">
        <v>519</v>
      </c>
      <c r="F71" s="81" t="s">
        <v>446</v>
      </c>
      <c r="G71" s="81" t="s">
        <v>387</v>
      </c>
      <c r="H71" s="81" t="s">
        <v>388</v>
      </c>
      <c r="I71" s="83">
        <v>61855.54</v>
      </c>
      <c r="J71" s="84">
        <v>30020</v>
      </c>
      <c r="K71" s="81"/>
      <c r="L71" s="81"/>
      <c r="M71" s="81"/>
      <c r="N71" s="81"/>
      <c r="O71" s="81"/>
      <c r="P71" s="81"/>
      <c r="Q71" s="81"/>
      <c r="R71" s="81"/>
    </row>
    <row r="72" spans="2:18" ht="12.75" x14ac:dyDescent="0.2">
      <c r="B72" s="81"/>
      <c r="C72" s="81">
        <v>1510</v>
      </c>
      <c r="D72" s="81" t="s">
        <v>520</v>
      </c>
      <c r="E72" s="81" t="s">
        <v>521</v>
      </c>
      <c r="F72" s="81" t="s">
        <v>493</v>
      </c>
      <c r="G72" s="81" t="s">
        <v>387</v>
      </c>
      <c r="H72" s="81" t="s">
        <v>383</v>
      </c>
      <c r="I72" s="83">
        <v>46386.85</v>
      </c>
      <c r="J72" s="84">
        <v>31209</v>
      </c>
      <c r="K72" s="81"/>
      <c r="L72" s="81"/>
      <c r="M72" s="81"/>
      <c r="N72" s="81"/>
      <c r="O72" s="81"/>
      <c r="P72" s="81"/>
      <c r="Q72" s="81"/>
      <c r="R72" s="81"/>
    </row>
    <row r="73" spans="2:18" ht="12.75" x14ac:dyDescent="0.2">
      <c r="B73" s="81"/>
      <c r="C73" s="81">
        <v>1078</v>
      </c>
      <c r="D73" s="81" t="s">
        <v>522</v>
      </c>
      <c r="E73" s="81" t="s">
        <v>523</v>
      </c>
      <c r="F73" s="81" t="s">
        <v>404</v>
      </c>
      <c r="G73" s="81" t="s">
        <v>398</v>
      </c>
      <c r="H73" s="81" t="s">
        <v>388</v>
      </c>
      <c r="I73" s="83">
        <v>29982.58</v>
      </c>
      <c r="J73" s="84">
        <v>31503</v>
      </c>
      <c r="K73" s="81"/>
      <c r="L73" s="81"/>
      <c r="M73" s="81"/>
      <c r="N73" s="81"/>
      <c r="O73" s="81"/>
      <c r="P73" s="81"/>
      <c r="Q73" s="81"/>
      <c r="R73" s="81"/>
    </row>
    <row r="74" spans="2:18" ht="12.75" x14ac:dyDescent="0.2">
      <c r="B74" s="81"/>
      <c r="C74" s="81">
        <v>1285</v>
      </c>
      <c r="D74" s="81" t="s">
        <v>524</v>
      </c>
      <c r="E74" s="81" t="s">
        <v>525</v>
      </c>
      <c r="F74" s="81" t="s">
        <v>526</v>
      </c>
      <c r="G74" s="81" t="s">
        <v>398</v>
      </c>
      <c r="H74" s="81" t="s">
        <v>388</v>
      </c>
      <c r="I74" s="83">
        <v>77179.149999999994</v>
      </c>
      <c r="J74" s="84">
        <v>31043</v>
      </c>
      <c r="K74" s="81"/>
      <c r="L74" s="81"/>
      <c r="M74" s="81"/>
      <c r="N74" s="81"/>
      <c r="O74" s="81"/>
      <c r="P74" s="81"/>
      <c r="Q74" s="81"/>
      <c r="R74" s="81"/>
    </row>
    <row r="75" spans="2:18" ht="12.75" x14ac:dyDescent="0.2">
      <c r="B75" s="81"/>
      <c r="C75" s="81">
        <v>1284</v>
      </c>
      <c r="D75" s="81" t="s">
        <v>527</v>
      </c>
      <c r="E75" s="81" t="s">
        <v>486</v>
      </c>
      <c r="F75" s="81" t="s">
        <v>421</v>
      </c>
      <c r="G75" s="81" t="s">
        <v>398</v>
      </c>
      <c r="H75" s="81" t="s">
        <v>391</v>
      </c>
      <c r="I75" s="83">
        <v>46486.05</v>
      </c>
      <c r="J75" s="84">
        <v>31051</v>
      </c>
      <c r="K75" s="81"/>
      <c r="L75" s="81"/>
      <c r="M75" s="81"/>
      <c r="N75" s="81"/>
      <c r="O75" s="81"/>
      <c r="P75" s="81"/>
      <c r="Q75" s="81"/>
      <c r="R75" s="81"/>
    </row>
    <row r="76" spans="2:18" ht="12.75" x14ac:dyDescent="0.2">
      <c r="B76" s="81"/>
      <c r="C76" s="81">
        <v>1674</v>
      </c>
      <c r="D76" s="81" t="s">
        <v>395</v>
      </c>
      <c r="E76" s="81" t="s">
        <v>528</v>
      </c>
      <c r="F76" s="81" t="s">
        <v>386</v>
      </c>
      <c r="G76" s="81" t="s">
        <v>427</v>
      </c>
      <c r="H76" s="81" t="s">
        <v>383</v>
      </c>
      <c r="I76" s="83">
        <v>31048.36</v>
      </c>
      <c r="J76" s="84">
        <v>32971</v>
      </c>
      <c r="K76" s="81"/>
      <c r="L76" s="81"/>
      <c r="M76" s="81"/>
      <c r="N76" s="81"/>
      <c r="O76" s="81"/>
      <c r="P76" s="81"/>
      <c r="Q76" s="81"/>
      <c r="R76" s="81"/>
    </row>
    <row r="77" spans="2:18" ht="12.75" x14ac:dyDescent="0.2">
      <c r="B77" s="81"/>
      <c r="C77" s="81">
        <v>1067</v>
      </c>
      <c r="D77" s="81" t="s">
        <v>529</v>
      </c>
      <c r="E77" s="81" t="s">
        <v>530</v>
      </c>
      <c r="F77" s="81" t="s">
        <v>432</v>
      </c>
      <c r="G77" s="81" t="s">
        <v>411</v>
      </c>
      <c r="H77" s="81" t="s">
        <v>391</v>
      </c>
      <c r="I77" s="83">
        <v>36939.839999999997</v>
      </c>
      <c r="J77" s="84">
        <v>32040</v>
      </c>
      <c r="K77" s="81"/>
      <c r="L77" s="81"/>
      <c r="M77" s="81"/>
      <c r="N77" s="81"/>
      <c r="O77" s="81"/>
      <c r="P77" s="81"/>
      <c r="Q77" s="81"/>
      <c r="R77" s="81"/>
    </row>
    <row r="78" spans="2:18" ht="12.75" x14ac:dyDescent="0.2">
      <c r="B78" s="81"/>
      <c r="C78" s="81">
        <v>1068</v>
      </c>
      <c r="D78" s="81" t="s">
        <v>531</v>
      </c>
      <c r="E78" s="81" t="s">
        <v>532</v>
      </c>
      <c r="F78" s="81" t="s">
        <v>493</v>
      </c>
      <c r="G78" s="81" t="s">
        <v>387</v>
      </c>
      <c r="H78" s="81" t="s">
        <v>388</v>
      </c>
      <c r="I78" s="83">
        <v>47883.199999999997</v>
      </c>
      <c r="J78" s="84">
        <v>32032</v>
      </c>
      <c r="K78" s="81"/>
      <c r="L78" s="81"/>
      <c r="M78" s="81"/>
      <c r="N78" s="81"/>
      <c r="O78" s="81"/>
      <c r="P78" s="81"/>
      <c r="Q78" s="81"/>
      <c r="R78" s="81"/>
    </row>
    <row r="79" spans="2:18" ht="12.75" x14ac:dyDescent="0.2">
      <c r="B79" s="81"/>
      <c r="C79" s="81">
        <v>1922</v>
      </c>
      <c r="D79" s="81" t="s">
        <v>438</v>
      </c>
      <c r="E79" s="81" t="s">
        <v>533</v>
      </c>
      <c r="F79" s="81" t="s">
        <v>418</v>
      </c>
      <c r="G79" s="81" t="s">
        <v>387</v>
      </c>
      <c r="H79" s="81" t="s">
        <v>388</v>
      </c>
      <c r="I79" s="83">
        <v>28404.799999999999</v>
      </c>
      <c r="J79" s="84">
        <v>31751</v>
      </c>
      <c r="K79" s="81"/>
      <c r="L79" s="81"/>
      <c r="M79" s="81"/>
      <c r="N79" s="81"/>
      <c r="O79" s="81"/>
      <c r="P79" s="81"/>
      <c r="Q79" s="81"/>
      <c r="R79" s="81"/>
    </row>
    <row r="80" spans="2:18" ht="12.75" x14ac:dyDescent="0.2">
      <c r="B80" s="81"/>
      <c r="C80" s="81">
        <v>1923</v>
      </c>
      <c r="D80" s="81" t="s">
        <v>24</v>
      </c>
      <c r="E80" s="81" t="s">
        <v>534</v>
      </c>
      <c r="F80" s="81" t="s">
        <v>421</v>
      </c>
      <c r="G80" s="81" t="s">
        <v>398</v>
      </c>
      <c r="H80" s="81" t="s">
        <v>391</v>
      </c>
      <c r="I80" s="83">
        <v>47985.599999999999</v>
      </c>
      <c r="J80" s="84">
        <v>31743</v>
      </c>
      <c r="K80" s="81"/>
      <c r="L80" s="81"/>
      <c r="M80" s="81"/>
      <c r="N80" s="81"/>
      <c r="O80" s="81"/>
      <c r="P80" s="81"/>
      <c r="Q80" s="81"/>
      <c r="R80" s="81"/>
    </row>
    <row r="81" spans="2:18" ht="12.75" x14ac:dyDescent="0.2">
      <c r="B81" s="81"/>
      <c r="C81" s="81">
        <v>1573</v>
      </c>
      <c r="D81" s="81" t="s">
        <v>535</v>
      </c>
      <c r="E81" s="81" t="s">
        <v>536</v>
      </c>
      <c r="F81" s="81" t="s">
        <v>401</v>
      </c>
      <c r="G81" s="81" t="s">
        <v>382</v>
      </c>
      <c r="H81" s="81" t="s">
        <v>391</v>
      </c>
      <c r="I81" s="83">
        <v>35889.480000000003</v>
      </c>
      <c r="J81" s="84">
        <v>32331</v>
      </c>
      <c r="K81" s="81"/>
      <c r="L81" s="81"/>
      <c r="M81" s="81"/>
      <c r="N81" s="81"/>
      <c r="O81" s="81"/>
      <c r="P81" s="81"/>
      <c r="Q81" s="81"/>
      <c r="R81" s="81"/>
    </row>
    <row r="82" spans="2:18" ht="12.75" x14ac:dyDescent="0.2">
      <c r="B82" s="81"/>
      <c r="C82" s="81">
        <v>1695</v>
      </c>
      <c r="D82" s="81" t="s">
        <v>537</v>
      </c>
      <c r="E82" s="81" t="s">
        <v>525</v>
      </c>
      <c r="F82" s="81" t="s">
        <v>432</v>
      </c>
      <c r="G82" s="81" t="s">
        <v>411</v>
      </c>
      <c r="H82" s="81" t="s">
        <v>391</v>
      </c>
      <c r="I82" s="83">
        <v>38094.21</v>
      </c>
      <c r="J82" s="84">
        <v>30975</v>
      </c>
      <c r="K82" s="81"/>
      <c r="L82" s="81"/>
      <c r="M82" s="81"/>
      <c r="N82" s="81"/>
      <c r="O82" s="81"/>
      <c r="P82" s="81"/>
      <c r="Q82" s="81"/>
      <c r="R82" s="81"/>
    </row>
    <row r="83" spans="2:18" ht="12.75" x14ac:dyDescent="0.2">
      <c r="B83" s="81"/>
      <c r="C83" s="81">
        <v>1360</v>
      </c>
      <c r="D83" s="81" t="s">
        <v>538</v>
      </c>
      <c r="E83" s="81" t="s">
        <v>539</v>
      </c>
      <c r="F83" s="81" t="s">
        <v>386</v>
      </c>
      <c r="G83" s="81" t="s">
        <v>387</v>
      </c>
      <c r="H83" s="81" t="s">
        <v>383</v>
      </c>
      <c r="I83" s="83">
        <v>33051.480000000003</v>
      </c>
      <c r="J83" s="84">
        <v>32356</v>
      </c>
      <c r="K83" s="81"/>
      <c r="L83" s="81"/>
      <c r="M83" s="81"/>
      <c r="N83" s="81"/>
      <c r="O83" s="81"/>
      <c r="P83" s="81"/>
      <c r="Q83" s="81"/>
      <c r="R83" s="81"/>
    </row>
    <row r="84" spans="2:18" ht="12.75" x14ac:dyDescent="0.2">
      <c r="B84" s="81"/>
      <c r="C84" s="81">
        <v>1574</v>
      </c>
      <c r="D84" s="81" t="s">
        <v>540</v>
      </c>
      <c r="E84" s="81" t="s">
        <v>541</v>
      </c>
      <c r="F84" s="81" t="s">
        <v>542</v>
      </c>
      <c r="G84" s="81" t="s">
        <v>387</v>
      </c>
      <c r="H84" s="81" t="s">
        <v>391</v>
      </c>
      <c r="I84" s="83">
        <v>50651.37</v>
      </c>
      <c r="J84" s="84">
        <v>31452</v>
      </c>
      <c r="K84" s="81"/>
      <c r="L84" s="81"/>
      <c r="M84" s="81"/>
      <c r="N84" s="81"/>
      <c r="O84" s="81"/>
      <c r="P84" s="81"/>
      <c r="Q84" s="81"/>
      <c r="R84" s="81"/>
    </row>
    <row r="85" spans="2:18" ht="12.75" x14ac:dyDescent="0.2">
      <c r="B85" s="81"/>
      <c r="C85" s="81">
        <v>1977</v>
      </c>
      <c r="D85" s="81" t="s">
        <v>543</v>
      </c>
      <c r="E85" s="81" t="s">
        <v>544</v>
      </c>
      <c r="F85" s="81" t="s">
        <v>394</v>
      </c>
      <c r="G85" s="81" t="s">
        <v>387</v>
      </c>
      <c r="H85" s="81" t="s">
        <v>391</v>
      </c>
      <c r="I85" s="83">
        <v>48785.55</v>
      </c>
      <c r="J85" s="84">
        <v>33490</v>
      </c>
      <c r="K85" s="81"/>
      <c r="L85" s="81"/>
      <c r="M85" s="81"/>
      <c r="N85" s="81"/>
      <c r="O85" s="81"/>
      <c r="P85" s="81"/>
      <c r="Q85" s="81"/>
      <c r="R85" s="81"/>
    </row>
    <row r="86" spans="2:18" ht="12.75" x14ac:dyDescent="0.2">
      <c r="B86" s="81"/>
      <c r="C86" s="81">
        <v>1572</v>
      </c>
      <c r="D86" s="81" t="s">
        <v>545</v>
      </c>
      <c r="E86" s="81" t="s">
        <v>546</v>
      </c>
      <c r="F86" s="81" t="s">
        <v>466</v>
      </c>
      <c r="G86" s="81" t="s">
        <v>387</v>
      </c>
      <c r="H86" s="81" t="s">
        <v>388</v>
      </c>
      <c r="I86" s="83">
        <v>34605.449999999997</v>
      </c>
      <c r="J86" s="84">
        <v>32339</v>
      </c>
      <c r="K86" s="81"/>
      <c r="L86" s="81"/>
      <c r="M86" s="81"/>
      <c r="N86" s="81"/>
      <c r="O86" s="81"/>
      <c r="P86" s="81"/>
      <c r="Q86" s="81"/>
      <c r="R86" s="81"/>
    </row>
    <row r="87" spans="2:18" ht="12.75" x14ac:dyDescent="0.2">
      <c r="B87" s="81"/>
      <c r="C87" s="81">
        <v>1906</v>
      </c>
      <c r="D87" s="81" t="s">
        <v>547</v>
      </c>
      <c r="E87" s="81" t="s">
        <v>548</v>
      </c>
      <c r="F87" s="81" t="s">
        <v>404</v>
      </c>
      <c r="G87" s="81" t="s">
        <v>398</v>
      </c>
      <c r="H87" s="81" t="s">
        <v>388</v>
      </c>
      <c r="I87" s="83">
        <v>31916.94</v>
      </c>
      <c r="J87" s="84">
        <v>32779</v>
      </c>
      <c r="K87" s="81"/>
      <c r="L87" s="81"/>
      <c r="M87" s="81"/>
      <c r="N87" s="81"/>
      <c r="O87" s="81"/>
      <c r="P87" s="81"/>
      <c r="Q87" s="81"/>
      <c r="R87" s="81"/>
    </row>
    <row r="88" spans="2:18" ht="12.75" x14ac:dyDescent="0.2">
      <c r="B88" s="81"/>
      <c r="C88" s="81">
        <v>1907</v>
      </c>
      <c r="D88" s="81" t="s">
        <v>549</v>
      </c>
      <c r="E88" s="81" t="s">
        <v>550</v>
      </c>
      <c r="F88" s="81" t="s">
        <v>386</v>
      </c>
      <c r="G88" s="81" t="s">
        <v>398</v>
      </c>
      <c r="H88" s="81" t="s">
        <v>388</v>
      </c>
      <c r="I88" s="83">
        <v>33051.480000000003</v>
      </c>
      <c r="J88" s="84">
        <v>32771</v>
      </c>
      <c r="K88" s="81"/>
      <c r="L88" s="81"/>
      <c r="M88" s="81"/>
      <c r="N88" s="81"/>
      <c r="O88" s="81"/>
      <c r="P88" s="81"/>
      <c r="Q88" s="81"/>
      <c r="R88" s="81"/>
    </row>
    <row r="89" spans="2:18" ht="12.75" x14ac:dyDescent="0.2">
      <c r="B89" s="81"/>
      <c r="C89" s="81">
        <v>1359</v>
      </c>
      <c r="D89" s="81" t="s">
        <v>551</v>
      </c>
      <c r="E89" s="81" t="s">
        <v>420</v>
      </c>
      <c r="F89" s="81" t="s">
        <v>421</v>
      </c>
      <c r="G89" s="81" t="s">
        <v>398</v>
      </c>
      <c r="H89" s="81" t="s">
        <v>388</v>
      </c>
      <c r="I89" s="83">
        <v>49485.15</v>
      </c>
      <c r="J89" s="84">
        <v>33094</v>
      </c>
      <c r="K89" s="81"/>
      <c r="L89" s="81"/>
      <c r="M89" s="81"/>
      <c r="N89" s="81"/>
      <c r="O89" s="81"/>
      <c r="P89" s="81"/>
      <c r="Q89" s="81"/>
      <c r="R89" s="81"/>
    </row>
    <row r="90" spans="2:18" ht="12.75" x14ac:dyDescent="0.2">
      <c r="B90" s="81"/>
      <c r="C90" s="81">
        <v>1361</v>
      </c>
      <c r="D90" s="81" t="s">
        <v>552</v>
      </c>
      <c r="E90" s="81" t="s">
        <v>553</v>
      </c>
      <c r="F90" s="81" t="s">
        <v>466</v>
      </c>
      <c r="G90" s="81" t="s">
        <v>427</v>
      </c>
      <c r="H90" s="81" t="s">
        <v>388</v>
      </c>
      <c r="I90" s="83">
        <v>34605.449999999997</v>
      </c>
      <c r="J90" s="84">
        <v>32346</v>
      </c>
      <c r="K90" s="81"/>
      <c r="L90" s="81"/>
      <c r="M90" s="81"/>
      <c r="N90" s="81"/>
      <c r="O90" s="81"/>
      <c r="P90" s="81"/>
      <c r="Q90" s="81"/>
      <c r="R90" s="81"/>
    </row>
    <row r="91" spans="2:18" ht="12.75" x14ac:dyDescent="0.2">
      <c r="B91" s="81"/>
      <c r="C91" s="81">
        <v>1368</v>
      </c>
      <c r="D91" s="81" t="s">
        <v>554</v>
      </c>
      <c r="E91" s="81" t="s">
        <v>555</v>
      </c>
      <c r="F91" s="81" t="s">
        <v>404</v>
      </c>
      <c r="G91" s="81" t="s">
        <v>405</v>
      </c>
      <c r="H91" s="81" t="s">
        <v>391</v>
      </c>
      <c r="I91" s="83">
        <v>32884.120000000003</v>
      </c>
      <c r="J91" s="84">
        <v>30386</v>
      </c>
      <c r="K91" s="81"/>
      <c r="L91" s="81"/>
      <c r="M91" s="81"/>
      <c r="N91" s="81"/>
      <c r="O91" s="81"/>
      <c r="P91" s="81"/>
      <c r="Q91" s="81"/>
      <c r="R91" s="81"/>
    </row>
    <row r="92" spans="2:18" ht="12.75" x14ac:dyDescent="0.2">
      <c r="B92" s="81"/>
      <c r="C92" s="81">
        <v>1815</v>
      </c>
      <c r="D92" s="81" t="s">
        <v>556</v>
      </c>
      <c r="E92" s="81" t="s">
        <v>557</v>
      </c>
      <c r="F92" s="81" t="s">
        <v>506</v>
      </c>
      <c r="G92" s="81" t="s">
        <v>387</v>
      </c>
      <c r="H92" s="81" t="s">
        <v>383</v>
      </c>
      <c r="I92" s="83">
        <v>70934.880000000005</v>
      </c>
      <c r="J92" s="84">
        <v>29276</v>
      </c>
      <c r="K92" s="81"/>
      <c r="L92" s="81"/>
      <c r="M92" s="81"/>
      <c r="N92" s="81"/>
      <c r="O92" s="81"/>
      <c r="P92" s="81"/>
      <c r="Q92" s="81"/>
      <c r="R92" s="81"/>
    </row>
    <row r="93" spans="2:18" ht="12.75" x14ac:dyDescent="0.2">
      <c r="B93" s="81"/>
      <c r="C93" s="81">
        <v>1369</v>
      </c>
      <c r="D93" s="81" t="s">
        <v>558</v>
      </c>
      <c r="E93" s="81" t="s">
        <v>472</v>
      </c>
      <c r="F93" s="81" t="s">
        <v>559</v>
      </c>
      <c r="G93" s="81" t="s">
        <v>427</v>
      </c>
      <c r="H93" s="81" t="s">
        <v>391</v>
      </c>
      <c r="I93" s="83">
        <v>57756.480000000003</v>
      </c>
      <c r="J93" s="84">
        <v>30378</v>
      </c>
      <c r="K93" s="81"/>
      <c r="L93" s="81"/>
      <c r="M93" s="81"/>
      <c r="N93" s="81"/>
      <c r="O93" s="81"/>
      <c r="P93" s="81"/>
      <c r="Q93" s="81"/>
      <c r="R93" s="81"/>
    </row>
    <row r="94" spans="2:18" ht="12.75" x14ac:dyDescent="0.2">
      <c r="B94" s="81"/>
      <c r="C94" s="81">
        <v>1370</v>
      </c>
      <c r="D94" s="81" t="s">
        <v>560</v>
      </c>
      <c r="E94" s="81" t="s">
        <v>561</v>
      </c>
      <c r="F94" s="81" t="s">
        <v>426</v>
      </c>
      <c r="G94" s="81" t="s">
        <v>427</v>
      </c>
      <c r="H94" s="81" t="s">
        <v>388</v>
      </c>
      <c r="I94" s="83">
        <v>53685.32</v>
      </c>
      <c r="J94" s="84">
        <v>32108</v>
      </c>
      <c r="K94" s="81"/>
      <c r="L94" s="81"/>
      <c r="M94" s="81"/>
      <c r="N94" s="81"/>
      <c r="O94" s="81"/>
      <c r="P94" s="81"/>
      <c r="Q94" s="81"/>
      <c r="R94" s="81"/>
    </row>
    <row r="95" spans="2:18" ht="12.75" x14ac:dyDescent="0.2">
      <c r="B95" s="81"/>
      <c r="C95" s="81">
        <v>1908</v>
      </c>
      <c r="D95" s="81" t="s">
        <v>562</v>
      </c>
      <c r="E95" s="81" t="s">
        <v>563</v>
      </c>
      <c r="F95" s="81" t="s">
        <v>564</v>
      </c>
      <c r="G95" s="81" t="s">
        <v>405</v>
      </c>
      <c r="H95" s="81" t="s">
        <v>391</v>
      </c>
      <c r="I95" s="83">
        <v>72819.600000000006</v>
      </c>
      <c r="J95" s="84">
        <v>30817</v>
      </c>
      <c r="K95" s="81"/>
      <c r="L95" s="81"/>
      <c r="M95" s="81"/>
      <c r="N95" s="81"/>
      <c r="O95" s="81"/>
      <c r="P95" s="81"/>
      <c r="Q95" s="81"/>
      <c r="R95" s="81"/>
    </row>
    <row r="96" spans="2:18" ht="12.75" x14ac:dyDescent="0.2">
      <c r="B96" s="81"/>
      <c r="C96" s="81">
        <v>1428</v>
      </c>
      <c r="D96" s="81" t="s">
        <v>565</v>
      </c>
      <c r="E96" s="81" t="s">
        <v>566</v>
      </c>
      <c r="F96" s="81" t="s">
        <v>542</v>
      </c>
      <c r="G96" s="81" t="s">
        <v>387</v>
      </c>
      <c r="H96" s="81" t="s">
        <v>388</v>
      </c>
      <c r="I96" s="83">
        <v>53721.15</v>
      </c>
      <c r="J96" s="84">
        <v>31728</v>
      </c>
      <c r="K96" s="81"/>
      <c r="L96" s="81"/>
      <c r="M96" s="81"/>
      <c r="N96" s="81"/>
      <c r="O96" s="81"/>
      <c r="P96" s="81"/>
      <c r="Q96" s="81"/>
      <c r="R96" s="81"/>
    </row>
    <row r="97" spans="2:18" ht="12.75" x14ac:dyDescent="0.2">
      <c r="B97" s="81"/>
      <c r="C97" s="81">
        <v>1352</v>
      </c>
      <c r="D97" s="81" t="s">
        <v>567</v>
      </c>
      <c r="E97" s="81" t="s">
        <v>568</v>
      </c>
      <c r="F97" s="81" t="s">
        <v>418</v>
      </c>
      <c r="G97" s="81" t="s">
        <v>387</v>
      </c>
      <c r="H97" s="81" t="s">
        <v>388</v>
      </c>
      <c r="I97" s="83">
        <v>31067.75</v>
      </c>
      <c r="J97" s="84">
        <v>30212</v>
      </c>
      <c r="K97" s="81"/>
      <c r="L97" s="81"/>
      <c r="M97" s="81"/>
      <c r="N97" s="81"/>
      <c r="O97" s="81"/>
      <c r="P97" s="81"/>
      <c r="Q97" s="81"/>
      <c r="R97" s="81"/>
    </row>
    <row r="98" spans="2:18" ht="12.75" x14ac:dyDescent="0.2">
      <c r="B98" s="81"/>
      <c r="C98" s="81">
        <v>1353</v>
      </c>
      <c r="D98" s="81" t="s">
        <v>569</v>
      </c>
      <c r="E98" s="81" t="s">
        <v>570</v>
      </c>
      <c r="F98" s="81" t="s">
        <v>559</v>
      </c>
      <c r="G98" s="81" t="s">
        <v>427</v>
      </c>
      <c r="H98" s="81" t="s">
        <v>388</v>
      </c>
      <c r="I98" s="83">
        <v>59455.199999999997</v>
      </c>
      <c r="J98" s="84">
        <v>30204</v>
      </c>
      <c r="K98" s="81"/>
      <c r="L98" s="81"/>
      <c r="M98" s="81"/>
      <c r="N98" s="81"/>
      <c r="O98" s="81"/>
      <c r="P98" s="81"/>
      <c r="Q98" s="81"/>
      <c r="R98" s="81"/>
    </row>
    <row r="99" spans="2:18" ht="12.75" x14ac:dyDescent="0.2">
      <c r="B99" s="81"/>
      <c r="C99" s="81">
        <v>1427</v>
      </c>
      <c r="D99" s="81" t="s">
        <v>571</v>
      </c>
      <c r="E99" s="81" t="s">
        <v>572</v>
      </c>
      <c r="F99" s="81" t="s">
        <v>559</v>
      </c>
      <c r="G99" s="81" t="s">
        <v>427</v>
      </c>
      <c r="H99" s="81" t="s">
        <v>383</v>
      </c>
      <c r="I99" s="83">
        <v>59455.199999999997</v>
      </c>
      <c r="J99" s="84">
        <v>28368</v>
      </c>
      <c r="K99" s="81"/>
      <c r="L99" s="81"/>
      <c r="M99" s="81"/>
      <c r="N99" s="81"/>
      <c r="O99" s="81"/>
      <c r="P99" s="81"/>
      <c r="Q99" s="81"/>
      <c r="R99" s="81"/>
    </row>
    <row r="100" spans="2:18" ht="12.75" x14ac:dyDescent="0.2">
      <c r="B100" s="81"/>
      <c r="C100" s="81">
        <v>1291</v>
      </c>
      <c r="D100" s="81" t="s">
        <v>573</v>
      </c>
      <c r="E100" s="81" t="s">
        <v>574</v>
      </c>
      <c r="F100" s="81" t="s">
        <v>404</v>
      </c>
      <c r="G100" s="81" t="s">
        <v>405</v>
      </c>
      <c r="H100" s="81" t="s">
        <v>388</v>
      </c>
      <c r="I100" s="83">
        <v>35785.660000000003</v>
      </c>
      <c r="J100" s="84">
        <v>31042</v>
      </c>
      <c r="K100" s="81"/>
      <c r="L100" s="81"/>
      <c r="M100" s="81"/>
      <c r="N100" s="81"/>
      <c r="O100" s="81"/>
      <c r="P100" s="81"/>
      <c r="Q100" s="81"/>
      <c r="R100" s="81"/>
    </row>
    <row r="101" spans="2:18" ht="12.75" x14ac:dyDescent="0.2">
      <c r="B101" s="81"/>
      <c r="C101" s="81">
        <v>1292</v>
      </c>
      <c r="D101" s="81" t="s">
        <v>575</v>
      </c>
      <c r="E101" s="81" t="s">
        <v>576</v>
      </c>
      <c r="F101" s="81" t="s">
        <v>397</v>
      </c>
      <c r="G101" s="81" t="s">
        <v>398</v>
      </c>
      <c r="H101" s="81" t="s">
        <v>388</v>
      </c>
      <c r="I101" s="83">
        <v>51339.72</v>
      </c>
      <c r="J101" s="84">
        <v>32101</v>
      </c>
      <c r="K101" s="81"/>
      <c r="L101" s="81"/>
      <c r="M101" s="81"/>
      <c r="N101" s="81"/>
      <c r="O101" s="81"/>
      <c r="P101" s="81"/>
      <c r="Q101" s="81"/>
      <c r="R101" s="81"/>
    </row>
    <row r="102" spans="2:18" ht="12.75" x14ac:dyDescent="0.2">
      <c r="B102" s="81"/>
      <c r="C102" s="81">
        <v>1725</v>
      </c>
      <c r="D102" s="81" t="s">
        <v>577</v>
      </c>
      <c r="E102" s="81" t="s">
        <v>460</v>
      </c>
      <c r="F102" s="81" t="s">
        <v>564</v>
      </c>
      <c r="G102" s="81" t="s">
        <v>405</v>
      </c>
      <c r="H102" s="81" t="s">
        <v>388</v>
      </c>
      <c r="I102" s="83">
        <v>79061.279999999999</v>
      </c>
      <c r="J102" s="84">
        <v>28533</v>
      </c>
      <c r="K102" s="81"/>
      <c r="L102" s="81"/>
      <c r="M102" s="81"/>
      <c r="N102" s="81"/>
      <c r="O102" s="81"/>
      <c r="P102" s="81"/>
      <c r="Q102" s="81"/>
      <c r="R102" s="81"/>
    </row>
    <row r="103" spans="2:18" ht="12.75" x14ac:dyDescent="0.2">
      <c r="B103" s="81"/>
      <c r="C103" s="81">
        <v>1302</v>
      </c>
      <c r="D103" s="81" t="s">
        <v>578</v>
      </c>
      <c r="E103" s="81" t="s">
        <v>536</v>
      </c>
      <c r="F103" s="81" t="s">
        <v>506</v>
      </c>
      <c r="G103" s="81" t="s">
        <v>387</v>
      </c>
      <c r="H103" s="81" t="s">
        <v>391</v>
      </c>
      <c r="I103" s="83">
        <v>79280.160000000003</v>
      </c>
      <c r="J103" s="84">
        <v>30892</v>
      </c>
      <c r="K103" s="81"/>
      <c r="L103" s="81"/>
      <c r="M103" s="81"/>
      <c r="N103" s="81"/>
      <c r="O103" s="81"/>
      <c r="P103" s="81"/>
      <c r="Q103" s="81"/>
      <c r="R103" s="81"/>
    </row>
    <row r="104" spans="2:18" ht="12.75" x14ac:dyDescent="0.2">
      <c r="B104" s="81"/>
      <c r="C104" s="81">
        <v>1301</v>
      </c>
      <c r="D104" s="81" t="s">
        <v>579</v>
      </c>
      <c r="E104" s="81" t="s">
        <v>580</v>
      </c>
      <c r="F104" s="81" t="s">
        <v>542</v>
      </c>
      <c r="G104" s="81" t="s">
        <v>387</v>
      </c>
      <c r="H104" s="81" t="s">
        <v>388</v>
      </c>
      <c r="I104" s="83">
        <v>58325.82</v>
      </c>
      <c r="J104" s="84">
        <v>31421</v>
      </c>
      <c r="K104" s="81"/>
      <c r="L104" s="81"/>
      <c r="M104" s="81"/>
      <c r="N104" s="81"/>
      <c r="O104" s="81"/>
      <c r="P104" s="81"/>
      <c r="Q104" s="81"/>
      <c r="R104" s="81"/>
    </row>
    <row r="105" spans="2:18" ht="12.75" x14ac:dyDescent="0.2">
      <c r="B105" s="81"/>
      <c r="C105" s="81">
        <v>1154</v>
      </c>
      <c r="D105" s="81" t="s">
        <v>581</v>
      </c>
      <c r="E105" s="81" t="s">
        <v>582</v>
      </c>
      <c r="F105" s="81" t="s">
        <v>394</v>
      </c>
      <c r="G105" s="81" t="s">
        <v>387</v>
      </c>
      <c r="H105" s="81" t="s">
        <v>383</v>
      </c>
      <c r="I105" s="83">
        <v>56177.3</v>
      </c>
      <c r="J105" s="84">
        <v>31965</v>
      </c>
      <c r="K105" s="81"/>
      <c r="L105" s="81"/>
      <c r="M105" s="81"/>
      <c r="N105" s="81"/>
      <c r="O105" s="81"/>
      <c r="P105" s="81"/>
      <c r="Q105" s="81"/>
      <c r="R105" s="81"/>
    </row>
    <row r="106" spans="2:18" ht="12.75" x14ac:dyDescent="0.2">
      <c r="B106" s="81"/>
      <c r="C106" s="81">
        <v>1303</v>
      </c>
      <c r="D106" s="81" t="s">
        <v>583</v>
      </c>
      <c r="E106" s="81" t="s">
        <v>584</v>
      </c>
      <c r="F106" s="81" t="s">
        <v>394</v>
      </c>
      <c r="G106" s="81" t="s">
        <v>387</v>
      </c>
      <c r="H106" s="81" t="s">
        <v>388</v>
      </c>
      <c r="I106" s="83">
        <v>56177.3</v>
      </c>
      <c r="J106" s="84">
        <v>32205</v>
      </c>
      <c r="K106" s="81"/>
      <c r="L106" s="81"/>
      <c r="M106" s="81"/>
      <c r="N106" s="81"/>
      <c r="O106" s="81"/>
      <c r="P106" s="81"/>
      <c r="Q106" s="81"/>
      <c r="R106" s="81"/>
    </row>
    <row r="107" spans="2:18" ht="12.75" x14ac:dyDescent="0.2">
      <c r="B107" s="81"/>
      <c r="C107" s="81">
        <v>1294</v>
      </c>
      <c r="D107" s="81" t="s">
        <v>585</v>
      </c>
      <c r="E107" s="81" t="s">
        <v>480</v>
      </c>
      <c r="F107" s="81" t="s">
        <v>493</v>
      </c>
      <c r="G107" s="81" t="s">
        <v>387</v>
      </c>
      <c r="H107" s="81" t="s">
        <v>391</v>
      </c>
      <c r="I107" s="83">
        <v>58357.65</v>
      </c>
      <c r="J107" s="84">
        <v>30931</v>
      </c>
      <c r="K107" s="81"/>
      <c r="L107" s="81"/>
      <c r="M107" s="81"/>
      <c r="N107" s="81"/>
      <c r="O107" s="81"/>
      <c r="P107" s="81"/>
      <c r="Q107" s="81"/>
      <c r="R107" s="81"/>
    </row>
    <row r="108" spans="2:18" ht="12.75" x14ac:dyDescent="0.2">
      <c r="B108" s="81"/>
      <c r="C108" s="81">
        <v>1293</v>
      </c>
      <c r="D108" s="81" t="s">
        <v>586</v>
      </c>
      <c r="E108" s="81" t="s">
        <v>587</v>
      </c>
      <c r="F108" s="81" t="s">
        <v>466</v>
      </c>
      <c r="G108" s="81" t="s">
        <v>387</v>
      </c>
      <c r="H108" s="81" t="s">
        <v>388</v>
      </c>
      <c r="I108" s="83">
        <v>40897.35</v>
      </c>
      <c r="J108" s="84">
        <v>30939</v>
      </c>
      <c r="K108" s="81"/>
      <c r="L108" s="81"/>
      <c r="M108" s="81"/>
      <c r="N108" s="81"/>
      <c r="O108" s="81"/>
      <c r="P108" s="81"/>
      <c r="Q108" s="81"/>
      <c r="R108" s="81"/>
    </row>
    <row r="109" spans="2:18" ht="12.75" x14ac:dyDescent="0.2">
      <c r="B109" s="81"/>
      <c r="C109" s="81">
        <v>1725</v>
      </c>
      <c r="D109" s="81" t="s">
        <v>588</v>
      </c>
      <c r="E109" s="81" t="s">
        <v>482</v>
      </c>
      <c r="F109" s="81" t="s">
        <v>526</v>
      </c>
      <c r="G109" s="81" t="s">
        <v>398</v>
      </c>
      <c r="H109" s="81" t="s">
        <v>383</v>
      </c>
      <c r="I109" s="83">
        <v>97096.35</v>
      </c>
      <c r="J109" s="84">
        <v>28523</v>
      </c>
      <c r="K109" s="81"/>
      <c r="L109" s="81"/>
      <c r="M109" s="81"/>
      <c r="N109" s="81"/>
      <c r="O109" s="81"/>
      <c r="P109" s="81"/>
      <c r="Q109" s="81"/>
      <c r="R109" s="81"/>
    </row>
    <row r="110" spans="2:18" ht="12.75" x14ac:dyDescent="0.2">
      <c r="B110" s="81"/>
      <c r="C110" s="81">
        <v>1724</v>
      </c>
      <c r="D110" s="81" t="s">
        <v>589</v>
      </c>
      <c r="E110" s="81" t="s">
        <v>456</v>
      </c>
      <c r="F110" s="81" t="s">
        <v>421</v>
      </c>
      <c r="G110" s="81" t="s">
        <v>398</v>
      </c>
      <c r="H110" s="81" t="s">
        <v>388</v>
      </c>
      <c r="I110" s="83">
        <v>58482.45</v>
      </c>
      <c r="J110" s="84">
        <v>28531</v>
      </c>
      <c r="K110" s="81"/>
      <c r="L110" s="81"/>
      <c r="M110" s="81"/>
      <c r="N110" s="81"/>
      <c r="O110" s="81"/>
      <c r="P110" s="81"/>
      <c r="Q110" s="81"/>
      <c r="R110" s="81"/>
    </row>
    <row r="111" spans="2:18" ht="12.75" x14ac:dyDescent="0.2">
      <c r="B111" s="81"/>
      <c r="C111" s="81">
        <v>1080</v>
      </c>
      <c r="D111" s="81" t="s">
        <v>590</v>
      </c>
      <c r="E111" s="81" t="s">
        <v>591</v>
      </c>
      <c r="F111" s="81" t="s">
        <v>426</v>
      </c>
      <c r="G111" s="81" t="s">
        <v>427</v>
      </c>
      <c r="H111" s="81" t="s">
        <v>388</v>
      </c>
      <c r="I111" s="83">
        <v>64738.18</v>
      </c>
      <c r="J111" s="84">
        <v>32445</v>
      </c>
      <c r="K111" s="81"/>
      <c r="L111" s="81"/>
      <c r="M111" s="81"/>
      <c r="N111" s="81"/>
      <c r="O111" s="81"/>
      <c r="P111" s="81"/>
      <c r="Q111" s="81"/>
      <c r="R111" s="81"/>
    </row>
    <row r="112" spans="2:18" ht="12.75" x14ac:dyDescent="0.2">
      <c r="B112" s="81"/>
      <c r="C112" s="81">
        <v>1968</v>
      </c>
      <c r="D112" s="81" t="s">
        <v>592</v>
      </c>
      <c r="E112" s="81" t="s">
        <v>593</v>
      </c>
      <c r="F112" s="81" t="s">
        <v>594</v>
      </c>
      <c r="G112" s="81" t="s">
        <v>405</v>
      </c>
      <c r="H112" s="81" t="s">
        <v>388</v>
      </c>
      <c r="I112" s="83">
        <v>65821.56</v>
      </c>
      <c r="J112" s="84">
        <v>30046</v>
      </c>
      <c r="K112" s="81"/>
      <c r="L112" s="81"/>
      <c r="M112" s="81"/>
      <c r="N112" s="81"/>
      <c r="O112" s="81"/>
      <c r="P112" s="81"/>
      <c r="Q112" s="81"/>
      <c r="R112" s="81"/>
    </row>
    <row r="113" spans="2:18" ht="12.75" x14ac:dyDescent="0.2">
      <c r="B113" s="81"/>
      <c r="C113" s="81">
        <v>1950</v>
      </c>
      <c r="D113" s="81" t="s">
        <v>595</v>
      </c>
      <c r="E113" s="81" t="s">
        <v>596</v>
      </c>
      <c r="F113" s="81" t="s">
        <v>526</v>
      </c>
      <c r="G113" s="81" t="s">
        <v>398</v>
      </c>
      <c r="H113" s="81" t="s">
        <v>391</v>
      </c>
      <c r="I113" s="83">
        <v>104565.3</v>
      </c>
      <c r="J113" s="84">
        <v>29863</v>
      </c>
      <c r="K113" s="81"/>
      <c r="L113" s="81"/>
      <c r="M113" s="81"/>
      <c r="N113" s="81"/>
      <c r="O113" s="81"/>
      <c r="P113" s="81"/>
      <c r="Q113" s="81"/>
      <c r="R113" s="81"/>
    </row>
    <row r="114" spans="2:18" ht="12.75" x14ac:dyDescent="0.2">
      <c r="B114" s="81"/>
      <c r="C114" s="81">
        <v>1949</v>
      </c>
      <c r="D114" s="81" t="s">
        <v>597</v>
      </c>
      <c r="E114" s="81" t="s">
        <v>598</v>
      </c>
      <c r="F114" s="81" t="s">
        <v>421</v>
      </c>
      <c r="G114" s="81" t="s">
        <v>398</v>
      </c>
      <c r="H114" s="81" t="s">
        <v>383</v>
      </c>
      <c r="I114" s="83">
        <v>62981.1</v>
      </c>
      <c r="J114" s="84">
        <v>29871</v>
      </c>
      <c r="K114" s="81"/>
      <c r="L114" s="81"/>
      <c r="M114" s="81"/>
      <c r="N114" s="81"/>
      <c r="O114" s="81"/>
      <c r="P114" s="81"/>
      <c r="Q114" s="81"/>
      <c r="R114" s="81"/>
    </row>
    <row r="115" spans="2:18" ht="12.75" x14ac:dyDescent="0.2">
      <c r="B115" s="81"/>
      <c r="C115" s="81">
        <v>1967</v>
      </c>
      <c r="D115" s="81" t="s">
        <v>599</v>
      </c>
      <c r="E115" s="81" t="s">
        <v>434</v>
      </c>
      <c r="F115" s="81" t="s">
        <v>397</v>
      </c>
      <c r="G115" s="81" t="s">
        <v>398</v>
      </c>
      <c r="H115" s="81" t="s">
        <v>383</v>
      </c>
      <c r="I115" s="83">
        <v>58277.52</v>
      </c>
      <c r="J115" s="84">
        <v>30054</v>
      </c>
      <c r="K115" s="81"/>
      <c r="L115" s="81"/>
      <c r="M115" s="81"/>
      <c r="N115" s="81"/>
      <c r="O115" s="81"/>
      <c r="P115" s="81"/>
      <c r="Q115" s="81"/>
      <c r="R115" s="81"/>
    </row>
    <row r="116" spans="2:18" ht="12.75" x14ac:dyDescent="0.2">
      <c r="B116" s="81"/>
      <c r="C116" s="81">
        <v>1969</v>
      </c>
      <c r="D116" s="81" t="s">
        <v>600</v>
      </c>
      <c r="E116" s="81" t="s">
        <v>601</v>
      </c>
      <c r="F116" s="81" t="s">
        <v>397</v>
      </c>
      <c r="G116" s="81" t="s">
        <v>398</v>
      </c>
      <c r="H116" s="81" t="s">
        <v>388</v>
      </c>
      <c r="I116" s="83">
        <v>58277.52</v>
      </c>
      <c r="J116" s="84">
        <v>32612</v>
      </c>
      <c r="K116" s="81"/>
      <c r="L116" s="81"/>
      <c r="M116" s="81"/>
      <c r="N116" s="81"/>
      <c r="O116" s="81"/>
      <c r="P116" s="81"/>
      <c r="Q116" s="81"/>
      <c r="R116" s="81"/>
    </row>
    <row r="117" spans="2:18" ht="12.75" x14ac:dyDescent="0.2">
      <c r="B117" s="81"/>
      <c r="C117" s="81">
        <v>1932</v>
      </c>
      <c r="D117" s="81" t="s">
        <v>602</v>
      </c>
      <c r="E117" s="81" t="s">
        <v>496</v>
      </c>
      <c r="F117" s="81" t="s">
        <v>401</v>
      </c>
      <c r="G117" s="81" t="s">
        <v>382</v>
      </c>
      <c r="H117" s="81" t="s">
        <v>391</v>
      </c>
      <c r="I117" s="83">
        <v>47852.639999999999</v>
      </c>
      <c r="J117" s="84">
        <v>32671</v>
      </c>
      <c r="K117" s="81"/>
      <c r="L117" s="81"/>
      <c r="M117" s="81"/>
      <c r="N117" s="81"/>
      <c r="O117" s="81"/>
      <c r="P117" s="81"/>
      <c r="Q117" s="81"/>
      <c r="R117" s="81"/>
    </row>
    <row r="118" spans="2:18" ht="12.75" x14ac:dyDescent="0.2">
      <c r="B118" s="81"/>
      <c r="C118" s="81">
        <v>1933</v>
      </c>
      <c r="D118" s="81" t="s">
        <v>603</v>
      </c>
      <c r="E118" s="81" t="s">
        <v>415</v>
      </c>
      <c r="F118" s="81" t="s">
        <v>542</v>
      </c>
      <c r="G118" s="81" t="s">
        <v>387</v>
      </c>
      <c r="H118" s="81" t="s">
        <v>391</v>
      </c>
      <c r="I118" s="83">
        <v>67535.16</v>
      </c>
      <c r="J118" s="84">
        <v>30689</v>
      </c>
      <c r="K118" s="81"/>
      <c r="L118" s="81"/>
      <c r="M118" s="81"/>
      <c r="N118" s="81"/>
      <c r="O118" s="81"/>
      <c r="P118" s="81"/>
      <c r="Q118" s="81"/>
      <c r="R118" s="81"/>
    </row>
    <row r="119" spans="2:18" ht="12.75" x14ac:dyDescent="0.2">
      <c r="B119" s="81"/>
      <c r="C119" s="81">
        <v>1354</v>
      </c>
      <c r="D119" s="81" t="s">
        <v>604</v>
      </c>
      <c r="E119" s="81" t="s">
        <v>605</v>
      </c>
      <c r="F119" s="81" t="s">
        <v>542</v>
      </c>
      <c r="G119" s="81" t="s">
        <v>387</v>
      </c>
      <c r="H119" s="81" t="s">
        <v>383</v>
      </c>
      <c r="I119" s="83">
        <v>69070.05</v>
      </c>
      <c r="J119" s="84">
        <v>31538</v>
      </c>
      <c r="K119" s="81"/>
      <c r="L119" s="81"/>
      <c r="M119" s="81"/>
      <c r="N119" s="81"/>
      <c r="O119" s="81"/>
      <c r="P119" s="81"/>
      <c r="Q119" s="81"/>
      <c r="R119" s="81"/>
    </row>
    <row r="120" spans="2:18" ht="12.75" x14ac:dyDescent="0.2">
      <c r="B120" s="81"/>
      <c r="C120" s="81">
        <v>1962</v>
      </c>
      <c r="D120" s="81" t="s">
        <v>606</v>
      </c>
      <c r="E120" s="81" t="s">
        <v>607</v>
      </c>
      <c r="F120" s="81" t="s">
        <v>397</v>
      </c>
      <c r="G120" s="81" t="s">
        <v>398</v>
      </c>
      <c r="H120" s="81" t="s">
        <v>388</v>
      </c>
      <c r="I120" s="83">
        <v>66602.880000000005</v>
      </c>
      <c r="J120" s="84">
        <v>32072</v>
      </c>
      <c r="K120" s="81"/>
      <c r="L120" s="81"/>
      <c r="M120" s="81"/>
      <c r="N120" s="81"/>
      <c r="O120" s="81"/>
      <c r="P120" s="81"/>
      <c r="Q120" s="81"/>
      <c r="R120" s="81"/>
    </row>
    <row r="121" spans="2:18" ht="12.75" x14ac:dyDescent="0.2">
      <c r="B121" s="81"/>
      <c r="C121" s="81">
        <v>1076</v>
      </c>
      <c r="D121" s="81" t="s">
        <v>608</v>
      </c>
      <c r="E121" s="81" t="s">
        <v>609</v>
      </c>
      <c r="F121" s="81" t="s">
        <v>446</v>
      </c>
      <c r="G121" s="81" t="s">
        <v>387</v>
      </c>
      <c r="H121" s="81" t="s">
        <v>383</v>
      </c>
      <c r="I121" s="83">
        <v>105753.02</v>
      </c>
      <c r="J121" s="84">
        <v>29066</v>
      </c>
      <c r="K121" s="81"/>
      <c r="L121" s="81"/>
      <c r="M121" s="81"/>
      <c r="N121" s="81"/>
      <c r="O121" s="81"/>
      <c r="P121" s="81"/>
      <c r="Q121" s="81"/>
      <c r="R121" s="81"/>
    </row>
    <row r="122" spans="2:18" ht="12.75" x14ac:dyDescent="0.2">
      <c r="B122" s="81"/>
      <c r="C122" s="81">
        <v>1696</v>
      </c>
      <c r="D122" s="81" t="s">
        <v>392</v>
      </c>
      <c r="E122" s="81" t="s">
        <v>610</v>
      </c>
      <c r="F122" s="81" t="s">
        <v>493</v>
      </c>
      <c r="G122" s="81" t="s">
        <v>387</v>
      </c>
      <c r="H122" s="81" t="s">
        <v>383</v>
      </c>
      <c r="I122" s="83">
        <v>79306.55</v>
      </c>
      <c r="J122" s="84">
        <v>30967</v>
      </c>
      <c r="K122" s="81"/>
      <c r="L122" s="81"/>
      <c r="M122" s="81"/>
      <c r="N122" s="81"/>
      <c r="O122" s="81"/>
      <c r="P122" s="81"/>
      <c r="Q122" s="81"/>
      <c r="R122" s="81"/>
    </row>
    <row r="123" spans="2:18" ht="12.75" x14ac:dyDescent="0.2">
      <c r="B123" s="81"/>
      <c r="C123" s="81">
        <v>1056</v>
      </c>
      <c r="D123" s="81" t="s">
        <v>611</v>
      </c>
      <c r="E123" s="81" t="s">
        <v>612</v>
      </c>
      <c r="F123" s="81" t="s">
        <v>564</v>
      </c>
      <c r="G123" s="81" t="s">
        <v>405</v>
      </c>
      <c r="H123" s="81" t="s">
        <v>383</v>
      </c>
      <c r="I123" s="83">
        <v>116511.36</v>
      </c>
      <c r="J123" s="84">
        <v>29153</v>
      </c>
      <c r="K123" s="81"/>
      <c r="L123" s="81"/>
      <c r="M123" s="81"/>
      <c r="N123" s="81"/>
      <c r="O123" s="81"/>
      <c r="P123" s="81"/>
      <c r="Q123" s="81"/>
      <c r="R123" s="81"/>
    </row>
  </sheetData>
  <mergeCells count="5">
    <mergeCell ref="B6:E6"/>
    <mergeCell ref="B2:C2"/>
    <mergeCell ref="B3:C3"/>
    <mergeCell ref="B4:C4"/>
    <mergeCell ref="B1:C1"/>
  </mergeCells>
  <hyperlinks>
    <hyperlink ref="B6:D6" location="Inhoud!A1" display="Ga naar Inhoudsopgave" xr:uid="{00000000-0004-0000-29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Blad30"/>
  <dimension ref="B1:I9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1" width="3.7109375" style="4" customWidth="1"/>
    <col min="2" max="2" width="7" style="4" customWidth="1"/>
    <col min="3" max="3" width="7.7109375" style="4" customWidth="1"/>
    <col min="4" max="4" width="19.42578125" style="4" customWidth="1"/>
    <col min="5" max="7" width="12" style="4" customWidth="1"/>
    <col min="8" max="8" width="13.140625" style="4" customWidth="1"/>
    <col min="9" max="16384" width="9.140625" style="4"/>
  </cols>
  <sheetData>
    <row r="1" spans="2:9" x14ac:dyDescent="0.2">
      <c r="B1" s="355" t="s">
        <v>1253</v>
      </c>
      <c r="C1" s="355"/>
      <c r="D1" s="332" t="s">
        <v>619</v>
      </c>
      <c r="E1" s="16"/>
      <c r="F1" s="16"/>
      <c r="G1" s="16"/>
      <c r="H1" s="16"/>
      <c r="I1" s="16"/>
    </row>
    <row r="2" spans="2:9" x14ac:dyDescent="0.2">
      <c r="B2" s="355" t="s">
        <v>1085</v>
      </c>
      <c r="C2" s="355"/>
      <c r="D2" s="332" t="str">
        <f>VLOOKUP(D$1,TabelContent[],COLUMN(TabelContent[Titel-NL]))</f>
        <v>Salaris totalen</v>
      </c>
      <c r="E2" s="16"/>
      <c r="F2" s="16"/>
      <c r="G2" s="16"/>
      <c r="H2" s="16"/>
      <c r="I2" s="16"/>
    </row>
    <row r="3" spans="2:9" x14ac:dyDescent="0.2">
      <c r="B3" s="355" t="s">
        <v>1086</v>
      </c>
      <c r="C3" s="355"/>
      <c r="D3" s="332" t="str">
        <f>VLOOKUP(D$1,TabelContent[],COLUMN(TabelContent[Cat-NL]))</f>
        <v>Draaitabel</v>
      </c>
      <c r="E3" s="16"/>
      <c r="F3" s="16"/>
      <c r="G3" s="16"/>
      <c r="H3" s="16"/>
      <c r="I3" s="16"/>
    </row>
    <row r="4" spans="2:9" x14ac:dyDescent="0.2">
      <c r="B4" s="355" t="s">
        <v>1087</v>
      </c>
      <c r="C4" s="355" t="s">
        <v>1077</v>
      </c>
      <c r="D4" s="332">
        <f>VLOOKUP(D$1,TabelContent[],COLUMN(TabelContent[Niveau]))</f>
        <v>2</v>
      </c>
      <c r="E4" s="16"/>
      <c r="F4" s="16"/>
      <c r="G4" s="16"/>
      <c r="H4" s="16"/>
      <c r="I4" s="16"/>
    </row>
    <row r="5" spans="2:9" x14ac:dyDescent="0.2">
      <c r="B5" s="316"/>
      <c r="C5" s="316"/>
      <c r="D5" s="316"/>
      <c r="E5" s="16"/>
      <c r="F5" s="16"/>
      <c r="G5" s="16"/>
      <c r="H5" s="16"/>
      <c r="I5" s="16"/>
    </row>
    <row r="6" spans="2:9" x14ac:dyDescent="0.2">
      <c r="B6" s="356" t="s">
        <v>47</v>
      </c>
      <c r="C6" s="356"/>
      <c r="D6" s="356"/>
      <c r="E6" s="16"/>
      <c r="F6" s="16"/>
      <c r="G6" s="16"/>
      <c r="H6" s="16"/>
      <c r="I6" s="16"/>
    </row>
    <row r="7" spans="2:9" x14ac:dyDescent="0.2">
      <c r="B7" s="16"/>
      <c r="C7" s="16"/>
      <c r="D7" s="16"/>
      <c r="E7" s="16"/>
      <c r="F7" s="16"/>
      <c r="G7" s="16"/>
      <c r="H7" s="16"/>
      <c r="I7" s="16"/>
    </row>
    <row r="8" spans="2:9" x14ac:dyDescent="0.2">
      <c r="B8" s="16"/>
      <c r="D8" s="16"/>
      <c r="E8" s="16"/>
      <c r="F8" s="16"/>
      <c r="G8" s="16"/>
      <c r="H8" s="16"/>
      <c r="I8" s="16"/>
    </row>
    <row r="9" spans="2:9" x14ac:dyDescent="0.2">
      <c r="B9" s="16"/>
      <c r="D9" s="111" t="s">
        <v>375</v>
      </c>
      <c r="E9" s="4" t="s">
        <v>398</v>
      </c>
      <c r="F9" s="16"/>
      <c r="G9" s="16"/>
      <c r="H9" s="16"/>
      <c r="I9" s="16"/>
    </row>
    <row r="10" spans="2:9" x14ac:dyDescent="0.2">
      <c r="B10" s="16"/>
      <c r="D10" s="16"/>
      <c r="E10" s="16"/>
      <c r="F10" s="16"/>
      <c r="G10" s="16"/>
      <c r="H10" s="16"/>
      <c r="I10" s="16"/>
    </row>
    <row r="11" spans="2:9" x14ac:dyDescent="0.2">
      <c r="B11" s="16"/>
      <c r="D11" s="111" t="s">
        <v>615</v>
      </c>
      <c r="E11" s="111" t="s">
        <v>376</v>
      </c>
      <c r="F11"/>
      <c r="G11"/>
      <c r="H11"/>
      <c r="I11" s="16"/>
    </row>
    <row r="12" spans="2:9" x14ac:dyDescent="0.2">
      <c r="B12" s="16"/>
      <c r="D12" s="111" t="s">
        <v>374</v>
      </c>
      <c r="E12" s="4" t="s">
        <v>391</v>
      </c>
      <c r="F12" s="4" t="s">
        <v>383</v>
      </c>
      <c r="G12" s="4" t="s">
        <v>388</v>
      </c>
      <c r="H12" s="4" t="s">
        <v>613</v>
      </c>
      <c r="I12" s="16"/>
    </row>
    <row r="13" spans="2:9" x14ac:dyDescent="0.2">
      <c r="B13" s="16"/>
      <c r="D13" s="4" t="s">
        <v>404</v>
      </c>
      <c r="E13" s="112">
        <v>27081.040000000001</v>
      </c>
      <c r="F13" s="112">
        <v>29015.4</v>
      </c>
      <c r="G13" s="112">
        <v>61899.520000000004</v>
      </c>
      <c r="H13" s="112">
        <v>117995.96</v>
      </c>
      <c r="I13" s="16"/>
    </row>
    <row r="14" spans="2:9" x14ac:dyDescent="0.2">
      <c r="B14" s="16"/>
      <c r="D14" s="4" t="s">
        <v>386</v>
      </c>
      <c r="E14" s="112"/>
      <c r="F14" s="112">
        <v>26040.560000000001</v>
      </c>
      <c r="G14" s="112">
        <v>61095.16</v>
      </c>
      <c r="H14" s="112">
        <v>87135.72</v>
      </c>
      <c r="I14" s="16"/>
    </row>
    <row r="15" spans="2:9" x14ac:dyDescent="0.2">
      <c r="B15" s="16"/>
      <c r="D15" s="4" t="s">
        <v>526</v>
      </c>
      <c r="E15" s="112">
        <v>104565.3</v>
      </c>
      <c r="F15" s="112">
        <v>97096.35</v>
      </c>
      <c r="G15" s="112">
        <v>77179.149999999994</v>
      </c>
      <c r="H15" s="112">
        <v>278840.80000000005</v>
      </c>
      <c r="I15" s="16"/>
    </row>
    <row r="16" spans="2:9" x14ac:dyDescent="0.2">
      <c r="B16" s="16"/>
      <c r="D16" s="4" t="s">
        <v>421</v>
      </c>
      <c r="E16" s="112">
        <v>131960.4</v>
      </c>
      <c r="F16" s="112">
        <v>140957.69999999998</v>
      </c>
      <c r="G16" s="112">
        <v>151454.54999999999</v>
      </c>
      <c r="H16" s="112">
        <v>424372.64999999997</v>
      </c>
      <c r="I16" s="16"/>
    </row>
    <row r="17" spans="2:9" x14ac:dyDescent="0.2">
      <c r="B17" s="16"/>
      <c r="D17" s="4" t="s">
        <v>397</v>
      </c>
      <c r="E17" s="112">
        <v>34689</v>
      </c>
      <c r="F17" s="112">
        <v>123492.84</v>
      </c>
      <c r="G17" s="112">
        <v>176220.12</v>
      </c>
      <c r="H17" s="112">
        <v>334401.95999999996</v>
      </c>
      <c r="I17" s="16"/>
    </row>
    <row r="18" spans="2:9" x14ac:dyDescent="0.2">
      <c r="B18" s="16"/>
      <c r="D18" s="4" t="s">
        <v>613</v>
      </c>
      <c r="E18" s="112">
        <v>298295.74</v>
      </c>
      <c r="F18" s="112">
        <v>416602.85</v>
      </c>
      <c r="G18" s="112">
        <v>527848.5</v>
      </c>
      <c r="H18" s="112">
        <v>1242747.0899999999</v>
      </c>
      <c r="I18" s="16"/>
    </row>
    <row r="19" spans="2:9" x14ac:dyDescent="0.2">
      <c r="B19" s="16"/>
      <c r="C19" s="16"/>
      <c r="D19" s="16"/>
      <c r="E19" s="16"/>
      <c r="F19" s="16"/>
      <c r="G19" s="16"/>
      <c r="H19" s="16"/>
      <c r="I19" s="16"/>
    </row>
    <row r="20" spans="2:9" x14ac:dyDescent="0.2">
      <c r="B20" s="16"/>
      <c r="C20" s="16"/>
      <c r="D20" s="16"/>
      <c r="E20" s="16"/>
      <c r="F20" s="16"/>
      <c r="G20" s="16"/>
      <c r="H20" s="16"/>
      <c r="I20" s="16"/>
    </row>
    <row r="21" spans="2:9" x14ac:dyDescent="0.2">
      <c r="B21" s="16"/>
      <c r="C21" s="16"/>
      <c r="D21" s="16"/>
      <c r="E21" s="16"/>
      <c r="F21" s="16"/>
      <c r="G21" s="16"/>
      <c r="H21" s="16"/>
      <c r="I21" s="16"/>
    </row>
    <row r="22" spans="2:9" x14ac:dyDescent="0.2">
      <c r="B22" s="16"/>
      <c r="C22" s="16"/>
      <c r="D22" s="16"/>
      <c r="E22" s="16"/>
      <c r="F22" s="16"/>
      <c r="G22" s="16"/>
      <c r="H22" s="16"/>
      <c r="I22" s="16"/>
    </row>
    <row r="23" spans="2:9" x14ac:dyDescent="0.2">
      <c r="B23" s="16"/>
      <c r="C23" s="16"/>
      <c r="D23" s="16"/>
      <c r="E23" s="16"/>
      <c r="F23" s="16"/>
      <c r="G23" s="16"/>
      <c r="H23" s="16"/>
      <c r="I23" s="16"/>
    </row>
    <row r="24" spans="2:9" x14ac:dyDescent="0.2">
      <c r="B24" s="16"/>
      <c r="C24" s="16"/>
      <c r="D24" s="16"/>
      <c r="E24" s="16"/>
      <c r="F24" s="16"/>
      <c r="G24" s="16"/>
      <c r="H24" s="16"/>
      <c r="I24" s="16"/>
    </row>
    <row r="25" spans="2:9" x14ac:dyDescent="0.2">
      <c r="B25" s="16"/>
      <c r="C25" s="16"/>
      <c r="D25" s="16"/>
      <c r="E25" s="16"/>
      <c r="F25" s="16"/>
      <c r="G25" s="16"/>
      <c r="H25" s="16"/>
      <c r="I25" s="16"/>
    </row>
    <row r="26" spans="2:9" x14ac:dyDescent="0.2">
      <c r="B26" s="16"/>
      <c r="C26" s="16"/>
      <c r="D26" s="16"/>
      <c r="E26" s="16"/>
      <c r="F26" s="16"/>
      <c r="G26" s="16"/>
      <c r="H26" s="16"/>
      <c r="I26" s="16"/>
    </row>
    <row r="27" spans="2:9" x14ac:dyDescent="0.2">
      <c r="B27" s="16"/>
      <c r="C27" s="16"/>
      <c r="D27" s="16"/>
      <c r="E27" s="16"/>
      <c r="F27" s="16"/>
      <c r="G27" s="16"/>
      <c r="H27" s="16"/>
      <c r="I27" s="16"/>
    </row>
    <row r="28" spans="2:9" x14ac:dyDescent="0.2">
      <c r="B28" s="16"/>
      <c r="C28" s="16"/>
      <c r="D28" s="16"/>
      <c r="E28" s="16"/>
      <c r="F28" s="16"/>
      <c r="G28" s="16"/>
      <c r="H28" s="16"/>
      <c r="I28" s="16"/>
    </row>
    <row r="29" spans="2:9" x14ac:dyDescent="0.2">
      <c r="B29" s="16"/>
      <c r="C29" s="16"/>
      <c r="D29" s="16"/>
      <c r="E29" s="16"/>
      <c r="F29" s="16"/>
      <c r="G29" s="16"/>
      <c r="H29" s="16"/>
      <c r="I29" s="16"/>
    </row>
    <row r="30" spans="2:9" x14ac:dyDescent="0.2">
      <c r="B30" s="16"/>
      <c r="C30" s="16"/>
      <c r="D30" s="16"/>
      <c r="E30" s="16"/>
      <c r="F30" s="16"/>
      <c r="G30" s="16"/>
      <c r="H30" s="16"/>
      <c r="I30" s="16"/>
    </row>
    <row r="31" spans="2:9" x14ac:dyDescent="0.2">
      <c r="B31" s="16"/>
      <c r="C31" s="16"/>
      <c r="D31" s="16"/>
      <c r="E31" s="16"/>
      <c r="F31" s="16"/>
      <c r="G31" s="16"/>
      <c r="H31" s="16"/>
      <c r="I31" s="16"/>
    </row>
    <row r="32" spans="2:9" x14ac:dyDescent="0.2">
      <c r="B32" s="16"/>
      <c r="C32" s="16"/>
      <c r="D32" s="16"/>
      <c r="E32" s="16"/>
      <c r="F32" s="16"/>
      <c r="G32" s="16"/>
      <c r="H32" s="16"/>
      <c r="I32" s="16"/>
    </row>
    <row r="33" spans="2:9" x14ac:dyDescent="0.2">
      <c r="B33" s="16"/>
      <c r="C33" s="16"/>
      <c r="D33" s="16"/>
      <c r="E33" s="16"/>
      <c r="F33" s="16"/>
      <c r="G33" s="16"/>
      <c r="H33" s="16"/>
      <c r="I33" s="16"/>
    </row>
    <row r="34" spans="2:9" x14ac:dyDescent="0.2">
      <c r="B34" s="16"/>
      <c r="C34" s="16"/>
      <c r="D34" s="16"/>
      <c r="E34" s="16"/>
      <c r="F34" s="16"/>
      <c r="G34" s="16"/>
      <c r="H34" s="16"/>
      <c r="I34" s="16"/>
    </row>
    <row r="35" spans="2:9" x14ac:dyDescent="0.2">
      <c r="B35" s="16"/>
      <c r="C35" s="16"/>
      <c r="D35" s="16"/>
      <c r="E35" s="16"/>
      <c r="F35" s="16"/>
      <c r="G35" s="16"/>
      <c r="H35" s="16"/>
      <c r="I35" s="16"/>
    </row>
    <row r="36" spans="2:9" x14ac:dyDescent="0.2">
      <c r="B36" s="16"/>
      <c r="C36" s="16"/>
      <c r="D36" s="16"/>
      <c r="E36" s="16"/>
      <c r="F36" s="16"/>
      <c r="G36" s="16"/>
      <c r="H36" s="16"/>
      <c r="I36" s="16"/>
    </row>
    <row r="37" spans="2:9" x14ac:dyDescent="0.2">
      <c r="B37" s="16"/>
      <c r="C37" s="16"/>
      <c r="D37" s="16"/>
      <c r="E37" s="16"/>
      <c r="F37" s="16"/>
      <c r="G37" s="16"/>
      <c r="H37" s="16"/>
      <c r="I37" s="16"/>
    </row>
    <row r="38" spans="2:9" x14ac:dyDescent="0.2">
      <c r="B38" s="16"/>
      <c r="C38" s="16"/>
      <c r="D38" s="16"/>
      <c r="E38" s="16"/>
      <c r="F38" s="16"/>
      <c r="G38" s="16"/>
      <c r="H38" s="16"/>
      <c r="I38" s="16"/>
    </row>
    <row r="39" spans="2:9" x14ac:dyDescent="0.2">
      <c r="B39" s="16"/>
      <c r="C39" s="16"/>
      <c r="D39" s="16"/>
      <c r="E39" s="16"/>
      <c r="F39" s="16"/>
      <c r="G39" s="16"/>
      <c r="H39" s="16"/>
      <c r="I39" s="16"/>
    </row>
    <row r="40" spans="2:9" x14ac:dyDescent="0.2">
      <c r="B40" s="16"/>
      <c r="C40" s="16"/>
      <c r="D40" s="16"/>
      <c r="E40" s="16"/>
      <c r="F40" s="16"/>
      <c r="G40" s="16"/>
      <c r="H40" s="16"/>
      <c r="I40" s="16"/>
    </row>
    <row r="41" spans="2:9" x14ac:dyDescent="0.2">
      <c r="B41" s="16"/>
      <c r="C41" s="16"/>
      <c r="D41" s="16"/>
      <c r="E41" s="16"/>
      <c r="F41" s="16"/>
      <c r="G41" s="16"/>
      <c r="H41" s="16"/>
      <c r="I41" s="16"/>
    </row>
    <row r="42" spans="2:9" x14ac:dyDescent="0.2">
      <c r="B42" s="16"/>
      <c r="C42" s="16"/>
      <c r="D42" s="16"/>
      <c r="E42" s="16"/>
      <c r="F42" s="16"/>
      <c r="G42" s="16"/>
      <c r="H42" s="16"/>
      <c r="I42" s="16"/>
    </row>
    <row r="43" spans="2:9" x14ac:dyDescent="0.2">
      <c r="B43" s="16"/>
      <c r="C43" s="16"/>
      <c r="D43" s="16"/>
      <c r="E43" s="16"/>
      <c r="F43" s="16"/>
      <c r="G43" s="16"/>
      <c r="H43" s="16"/>
      <c r="I43" s="16"/>
    </row>
    <row r="44" spans="2:9" x14ac:dyDescent="0.2">
      <c r="B44" s="16"/>
      <c r="C44" s="16"/>
      <c r="D44" s="16"/>
      <c r="E44" s="16"/>
      <c r="F44" s="16"/>
      <c r="G44" s="16"/>
      <c r="H44" s="16"/>
      <c r="I44" s="16"/>
    </row>
    <row r="45" spans="2:9" x14ac:dyDescent="0.2">
      <c r="B45" s="16"/>
      <c r="C45" s="16"/>
      <c r="D45" s="16"/>
      <c r="E45" s="16"/>
      <c r="F45" s="16"/>
      <c r="G45" s="16"/>
      <c r="H45" s="16"/>
      <c r="I45" s="16"/>
    </row>
    <row r="46" spans="2:9" x14ac:dyDescent="0.2">
      <c r="B46" s="16"/>
      <c r="C46" s="16"/>
      <c r="D46" s="16"/>
      <c r="E46" s="16"/>
      <c r="F46" s="16"/>
      <c r="G46" s="16"/>
      <c r="H46" s="16"/>
      <c r="I46" s="16"/>
    </row>
    <row r="47" spans="2:9" x14ac:dyDescent="0.2">
      <c r="B47" s="16"/>
      <c r="C47" s="16"/>
      <c r="D47" s="16"/>
      <c r="E47" s="16"/>
      <c r="F47" s="16"/>
      <c r="G47" s="16"/>
      <c r="H47" s="16"/>
      <c r="I47" s="16"/>
    </row>
    <row r="48" spans="2:9" x14ac:dyDescent="0.2">
      <c r="B48" s="16"/>
      <c r="C48" s="16"/>
      <c r="D48" s="16"/>
      <c r="E48" s="16"/>
      <c r="F48" s="16"/>
      <c r="G48" s="16"/>
      <c r="H48" s="16"/>
      <c r="I48" s="16"/>
    </row>
    <row r="49" spans="2:9" x14ac:dyDescent="0.2">
      <c r="B49" s="16"/>
      <c r="C49" s="16"/>
      <c r="D49" s="16"/>
      <c r="E49" s="16"/>
      <c r="F49" s="16"/>
      <c r="G49" s="16"/>
      <c r="H49" s="16"/>
      <c r="I49" s="16"/>
    </row>
    <row r="50" spans="2:9" x14ac:dyDescent="0.2">
      <c r="B50" s="16"/>
      <c r="C50" s="16"/>
      <c r="D50" s="16"/>
      <c r="E50" s="16"/>
      <c r="F50" s="16"/>
      <c r="G50" s="16"/>
      <c r="H50" s="16"/>
      <c r="I50" s="16"/>
    </row>
    <row r="51" spans="2:9" x14ac:dyDescent="0.2">
      <c r="B51" s="16"/>
      <c r="C51" s="16"/>
      <c r="D51" s="16"/>
      <c r="E51" s="16"/>
      <c r="F51" s="16"/>
      <c r="G51" s="16"/>
      <c r="H51" s="16"/>
      <c r="I51" s="16"/>
    </row>
    <row r="52" spans="2:9" x14ac:dyDescent="0.2">
      <c r="B52" s="16"/>
      <c r="C52" s="16"/>
      <c r="D52" s="16"/>
      <c r="E52" s="16"/>
      <c r="F52" s="16"/>
      <c r="G52" s="16"/>
      <c r="H52" s="16"/>
      <c r="I52" s="16"/>
    </row>
    <row r="53" spans="2:9" x14ac:dyDescent="0.2">
      <c r="B53" s="16"/>
      <c r="C53" s="16"/>
      <c r="D53" s="16"/>
      <c r="E53" s="16"/>
      <c r="F53" s="16"/>
      <c r="G53" s="16"/>
      <c r="H53" s="16"/>
      <c r="I53" s="16"/>
    </row>
    <row r="54" spans="2:9" x14ac:dyDescent="0.2">
      <c r="B54" s="16"/>
      <c r="C54" s="16"/>
      <c r="D54" s="16"/>
      <c r="E54" s="16"/>
      <c r="F54" s="16"/>
      <c r="G54" s="16"/>
      <c r="H54" s="16"/>
      <c r="I54" s="16"/>
    </row>
    <row r="55" spans="2:9" x14ac:dyDescent="0.2">
      <c r="B55" s="16"/>
      <c r="C55" s="16"/>
      <c r="D55" s="16"/>
      <c r="E55" s="16"/>
      <c r="F55" s="16"/>
      <c r="G55" s="16"/>
      <c r="H55" s="16"/>
      <c r="I55" s="16"/>
    </row>
    <row r="56" spans="2:9" x14ac:dyDescent="0.2">
      <c r="B56" s="16"/>
      <c r="C56" s="16"/>
      <c r="D56" s="16"/>
      <c r="E56" s="16"/>
      <c r="F56" s="16"/>
      <c r="G56" s="16"/>
      <c r="H56" s="16"/>
      <c r="I56" s="16"/>
    </row>
    <row r="57" spans="2:9" x14ac:dyDescent="0.2">
      <c r="B57" s="16"/>
      <c r="C57" s="16"/>
      <c r="D57" s="16"/>
      <c r="E57" s="16"/>
      <c r="F57" s="16"/>
      <c r="G57" s="16"/>
      <c r="H57" s="16"/>
      <c r="I57" s="16"/>
    </row>
    <row r="58" spans="2:9" x14ac:dyDescent="0.2">
      <c r="B58" s="16"/>
      <c r="C58" s="16"/>
      <c r="D58" s="16"/>
      <c r="E58" s="16"/>
      <c r="F58" s="16"/>
      <c r="G58" s="16"/>
      <c r="H58" s="16"/>
      <c r="I58" s="16"/>
    </row>
    <row r="59" spans="2:9" x14ac:dyDescent="0.2">
      <c r="B59" s="16"/>
      <c r="C59" s="16"/>
      <c r="D59" s="16"/>
      <c r="E59" s="16"/>
      <c r="F59" s="16"/>
      <c r="G59" s="16"/>
      <c r="H59" s="16"/>
      <c r="I59" s="16"/>
    </row>
    <row r="60" spans="2:9" x14ac:dyDescent="0.2">
      <c r="B60" s="16"/>
      <c r="C60" s="16"/>
      <c r="D60" s="16"/>
      <c r="E60" s="16"/>
      <c r="F60" s="16"/>
      <c r="G60" s="16"/>
      <c r="H60" s="16"/>
      <c r="I60" s="16"/>
    </row>
    <row r="61" spans="2:9" x14ac:dyDescent="0.2">
      <c r="B61" s="16"/>
      <c r="C61" s="16"/>
      <c r="D61" s="16"/>
      <c r="E61" s="16"/>
      <c r="F61" s="16"/>
      <c r="G61" s="16"/>
      <c r="H61" s="16"/>
      <c r="I61" s="16"/>
    </row>
    <row r="62" spans="2:9" x14ac:dyDescent="0.2">
      <c r="B62" s="16"/>
      <c r="C62" s="16"/>
      <c r="D62" s="16"/>
      <c r="E62" s="16"/>
      <c r="F62" s="16"/>
      <c r="G62" s="16"/>
      <c r="H62" s="16"/>
      <c r="I62" s="16"/>
    </row>
    <row r="63" spans="2:9" x14ac:dyDescent="0.2">
      <c r="B63" s="16"/>
      <c r="C63" s="16"/>
      <c r="D63" s="16"/>
      <c r="E63" s="16"/>
      <c r="F63" s="16"/>
      <c r="G63" s="16"/>
      <c r="H63" s="16"/>
      <c r="I63" s="16"/>
    </row>
    <row r="64" spans="2:9" x14ac:dyDescent="0.2">
      <c r="B64" s="16"/>
      <c r="C64" s="16"/>
      <c r="D64" s="16"/>
      <c r="E64" s="16"/>
      <c r="F64" s="16"/>
      <c r="G64" s="16"/>
      <c r="H64" s="16"/>
      <c r="I64" s="16"/>
    </row>
    <row r="65" spans="2:9" x14ac:dyDescent="0.2">
      <c r="B65" s="16"/>
      <c r="C65" s="16"/>
      <c r="D65" s="16"/>
      <c r="E65" s="16"/>
      <c r="F65" s="16"/>
      <c r="G65" s="16"/>
      <c r="H65" s="16"/>
      <c r="I65" s="16"/>
    </row>
    <row r="66" spans="2:9" x14ac:dyDescent="0.2">
      <c r="B66" s="16"/>
      <c r="C66" s="16"/>
      <c r="D66" s="16"/>
      <c r="E66" s="16"/>
      <c r="F66" s="16"/>
      <c r="G66" s="16"/>
      <c r="H66" s="16"/>
      <c r="I66" s="16"/>
    </row>
    <row r="67" spans="2:9" x14ac:dyDescent="0.2">
      <c r="B67" s="16"/>
      <c r="C67" s="16"/>
      <c r="D67" s="16"/>
      <c r="E67" s="16"/>
      <c r="F67" s="16"/>
      <c r="G67" s="16"/>
      <c r="H67" s="16"/>
      <c r="I67" s="16"/>
    </row>
    <row r="68" spans="2:9" x14ac:dyDescent="0.2">
      <c r="B68" s="16"/>
      <c r="C68" s="16"/>
      <c r="D68" s="16"/>
      <c r="E68" s="16"/>
      <c r="F68" s="16"/>
      <c r="G68" s="16"/>
      <c r="H68" s="16"/>
      <c r="I68" s="16"/>
    </row>
    <row r="69" spans="2:9" x14ac:dyDescent="0.2">
      <c r="B69" s="16"/>
      <c r="C69" s="16"/>
      <c r="D69" s="16"/>
      <c r="E69" s="16"/>
      <c r="F69" s="16"/>
      <c r="G69" s="16"/>
      <c r="H69" s="16"/>
      <c r="I69" s="16"/>
    </row>
    <row r="70" spans="2:9" x14ac:dyDescent="0.2">
      <c r="B70" s="16"/>
      <c r="C70" s="16"/>
      <c r="D70" s="16"/>
      <c r="E70" s="16"/>
      <c r="F70" s="16"/>
      <c r="G70" s="16"/>
      <c r="H70" s="16"/>
      <c r="I70" s="16"/>
    </row>
    <row r="71" spans="2:9" x14ac:dyDescent="0.2">
      <c r="B71" s="16"/>
      <c r="C71" s="16"/>
      <c r="D71" s="16"/>
      <c r="E71" s="16"/>
      <c r="F71" s="16"/>
      <c r="G71" s="16"/>
      <c r="H71" s="16"/>
      <c r="I71" s="16"/>
    </row>
    <row r="72" spans="2:9" x14ac:dyDescent="0.2">
      <c r="B72" s="16"/>
      <c r="C72" s="16"/>
      <c r="D72" s="16"/>
      <c r="E72" s="16"/>
      <c r="F72" s="16"/>
      <c r="G72" s="16"/>
      <c r="H72" s="16"/>
      <c r="I72" s="16"/>
    </row>
    <row r="73" spans="2:9" x14ac:dyDescent="0.2">
      <c r="B73" s="16"/>
      <c r="C73" s="16"/>
      <c r="D73" s="16"/>
      <c r="E73" s="16"/>
      <c r="F73" s="16"/>
      <c r="G73" s="16"/>
      <c r="H73" s="16"/>
      <c r="I73" s="16"/>
    </row>
    <row r="74" spans="2:9" x14ac:dyDescent="0.2">
      <c r="B74" s="16"/>
      <c r="C74" s="16"/>
      <c r="D74" s="16"/>
      <c r="E74" s="16"/>
      <c r="F74" s="16"/>
      <c r="G74" s="16"/>
      <c r="H74" s="16"/>
      <c r="I74" s="16"/>
    </row>
    <row r="75" spans="2:9" x14ac:dyDescent="0.2">
      <c r="B75" s="16"/>
      <c r="C75" s="16"/>
      <c r="D75" s="16"/>
      <c r="E75" s="16"/>
      <c r="F75" s="16"/>
      <c r="G75" s="16"/>
      <c r="H75" s="16"/>
      <c r="I75" s="16"/>
    </row>
    <row r="76" spans="2:9" x14ac:dyDescent="0.2">
      <c r="B76" s="16"/>
      <c r="C76" s="16"/>
      <c r="D76" s="16"/>
      <c r="E76" s="16"/>
      <c r="F76" s="16"/>
      <c r="G76" s="16"/>
      <c r="H76" s="16"/>
      <c r="I76" s="16"/>
    </row>
    <row r="77" spans="2:9" x14ac:dyDescent="0.2">
      <c r="B77" s="16"/>
      <c r="C77" s="16"/>
      <c r="D77" s="16"/>
      <c r="E77" s="16"/>
      <c r="F77" s="16"/>
      <c r="G77" s="16"/>
      <c r="H77" s="16"/>
      <c r="I77" s="16"/>
    </row>
    <row r="78" spans="2:9" x14ac:dyDescent="0.2">
      <c r="B78" s="16"/>
      <c r="C78" s="16"/>
      <c r="D78" s="16"/>
      <c r="E78" s="16"/>
      <c r="F78" s="16"/>
      <c r="G78" s="16"/>
      <c r="H78" s="16"/>
      <c r="I78" s="16"/>
    </row>
    <row r="79" spans="2:9" x14ac:dyDescent="0.2">
      <c r="B79" s="16"/>
      <c r="C79" s="16"/>
      <c r="D79" s="16"/>
      <c r="E79" s="16"/>
      <c r="F79" s="16"/>
      <c r="G79" s="16"/>
      <c r="H79" s="16"/>
      <c r="I79" s="16"/>
    </row>
    <row r="80" spans="2:9" x14ac:dyDescent="0.2">
      <c r="B80" s="16"/>
      <c r="C80" s="16"/>
      <c r="D80" s="16"/>
      <c r="E80" s="16"/>
      <c r="F80" s="16"/>
      <c r="G80" s="16"/>
      <c r="H80" s="16"/>
      <c r="I80" s="16"/>
    </row>
    <row r="81" spans="2:9" x14ac:dyDescent="0.2">
      <c r="B81" s="16"/>
      <c r="C81" s="16"/>
      <c r="D81" s="16"/>
      <c r="E81" s="16"/>
      <c r="F81" s="16"/>
      <c r="G81" s="16"/>
      <c r="H81" s="16"/>
      <c r="I81" s="16"/>
    </row>
    <row r="82" spans="2:9" x14ac:dyDescent="0.2">
      <c r="B82" s="16"/>
      <c r="C82" s="16"/>
      <c r="D82" s="16"/>
      <c r="E82" s="16"/>
      <c r="F82" s="16"/>
      <c r="G82" s="16"/>
      <c r="H82" s="16"/>
      <c r="I82" s="16"/>
    </row>
    <row r="83" spans="2:9" x14ac:dyDescent="0.2">
      <c r="B83" s="16"/>
      <c r="C83" s="16"/>
      <c r="D83" s="16"/>
      <c r="E83" s="16"/>
      <c r="F83" s="16"/>
      <c r="G83" s="16"/>
      <c r="H83" s="16"/>
      <c r="I83" s="16"/>
    </row>
    <row r="84" spans="2:9" x14ac:dyDescent="0.2">
      <c r="B84" s="16"/>
      <c r="C84" s="16"/>
      <c r="D84" s="16"/>
      <c r="E84" s="16"/>
      <c r="F84" s="16"/>
      <c r="G84" s="16"/>
      <c r="H84" s="16"/>
      <c r="I84" s="16"/>
    </row>
    <row r="85" spans="2:9" x14ac:dyDescent="0.2">
      <c r="B85" s="16"/>
      <c r="C85" s="16"/>
      <c r="D85" s="16"/>
      <c r="E85" s="16"/>
      <c r="F85" s="16"/>
      <c r="G85" s="16"/>
      <c r="H85" s="16"/>
      <c r="I85" s="16"/>
    </row>
    <row r="86" spans="2:9" x14ac:dyDescent="0.2">
      <c r="B86" s="16"/>
      <c r="C86" s="16"/>
      <c r="D86" s="16"/>
      <c r="E86" s="16"/>
      <c r="F86" s="16"/>
      <c r="G86" s="16"/>
      <c r="H86" s="16"/>
      <c r="I86" s="16"/>
    </row>
    <row r="87" spans="2:9" x14ac:dyDescent="0.2">
      <c r="B87" s="16"/>
      <c r="C87" s="16"/>
      <c r="D87" s="16"/>
      <c r="E87" s="16"/>
      <c r="F87" s="16"/>
      <c r="G87" s="16"/>
      <c r="H87" s="16"/>
      <c r="I87" s="16"/>
    </row>
    <row r="88" spans="2:9" x14ac:dyDescent="0.2">
      <c r="B88" s="16"/>
      <c r="C88" s="16"/>
      <c r="D88" s="16"/>
      <c r="E88" s="16"/>
      <c r="F88" s="16"/>
      <c r="G88" s="16"/>
      <c r="H88" s="16"/>
      <c r="I88" s="16"/>
    </row>
    <row r="89" spans="2:9" x14ac:dyDescent="0.2">
      <c r="B89" s="16"/>
      <c r="C89" s="16"/>
      <c r="D89" s="16"/>
      <c r="E89" s="16"/>
      <c r="F89" s="16"/>
      <c r="G89" s="16"/>
      <c r="H89" s="16"/>
      <c r="I89" s="16"/>
    </row>
    <row r="90" spans="2:9" x14ac:dyDescent="0.2">
      <c r="B90" s="16"/>
      <c r="C90" s="16"/>
      <c r="D90" s="16"/>
      <c r="E90" s="16"/>
      <c r="F90" s="16"/>
      <c r="G90" s="16"/>
      <c r="H90" s="16"/>
      <c r="I90" s="16"/>
    </row>
    <row r="91" spans="2:9" x14ac:dyDescent="0.2">
      <c r="B91" s="16"/>
      <c r="C91" s="16"/>
      <c r="D91" s="16"/>
      <c r="E91" s="16"/>
      <c r="F91" s="16"/>
      <c r="G91" s="16"/>
      <c r="H91" s="16"/>
      <c r="I91" s="16"/>
    </row>
  </sheetData>
  <mergeCells count="5">
    <mergeCell ref="B6:D6"/>
    <mergeCell ref="B1:C1"/>
    <mergeCell ref="B2:C2"/>
    <mergeCell ref="B3:C3"/>
    <mergeCell ref="B4:C4"/>
  </mergeCells>
  <hyperlinks>
    <hyperlink ref="B6:D6" location="Inhoud!A1" display="Ga naar Inhoudsopgave" xr:uid="{00000000-0004-0000-2A00-000000000000}"/>
  </hyperlinks>
  <pageMargins left="0.7" right="0.7" top="0.75" bottom="0.75" header="0.3" footer="0.3"/>
  <pageSetup paperSize="9" orientation="landscape"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Blad31"/>
  <dimension ref="B1:EV96"/>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6.140625" style="4" bestFit="1" customWidth="1"/>
    <col min="5" max="5" width="19.42578125" style="4" bestFit="1" customWidth="1"/>
    <col min="6" max="6" width="8.28515625" style="4" bestFit="1" customWidth="1"/>
    <col min="7" max="7" width="11.140625" style="4" bestFit="1" customWidth="1"/>
    <col min="8" max="8" width="8.28515625" style="4" bestFit="1" customWidth="1"/>
    <col min="9" max="9" width="9" style="4" customWidth="1"/>
    <col min="10" max="10" width="32.140625" style="4" customWidth="1"/>
    <col min="11" max="13" width="10.140625" style="4" customWidth="1"/>
    <col min="14" max="14" width="11.28515625" style="4" customWidth="1"/>
    <col min="15" max="15" width="19.85546875" style="4" customWidth="1"/>
    <col min="16" max="16" width="16.85546875" style="4" customWidth="1"/>
    <col min="17" max="17" width="15.42578125" style="4" customWidth="1"/>
    <col min="18" max="18" width="19.85546875" style="4" customWidth="1"/>
    <col min="19" max="19" width="16.85546875" style="4" customWidth="1"/>
    <col min="20" max="20" width="22" style="4" customWidth="1"/>
    <col min="21" max="21" width="26.42578125" style="4" customWidth="1"/>
    <col min="22" max="22" width="23.42578125" style="4" customWidth="1"/>
    <col min="23" max="63" width="9" style="4" customWidth="1"/>
    <col min="64" max="64" width="11.42578125" style="4" customWidth="1"/>
    <col min="65" max="65" width="16.5703125" style="4" bestFit="1" customWidth="1"/>
    <col min="66" max="66" width="11" style="4" bestFit="1" customWidth="1"/>
    <col min="67" max="67" width="16.5703125" style="4" bestFit="1" customWidth="1"/>
    <col min="68" max="68" width="11" style="4" bestFit="1" customWidth="1"/>
    <col min="69" max="69" width="16.5703125" style="4" bestFit="1" customWidth="1"/>
    <col min="70" max="70" width="11" style="4" bestFit="1" customWidth="1"/>
    <col min="71" max="71" width="16.5703125" style="4" bestFit="1" customWidth="1"/>
    <col min="72" max="72" width="11" style="4" bestFit="1" customWidth="1"/>
    <col min="73" max="73" width="16.5703125" style="4" bestFit="1" customWidth="1"/>
    <col min="74" max="74" width="11" style="4" bestFit="1" customWidth="1"/>
    <col min="75" max="75" width="16.5703125" style="4" bestFit="1" customWidth="1"/>
    <col min="76" max="76" width="11" style="4" bestFit="1" customWidth="1"/>
    <col min="77" max="77" width="16.5703125" style="4" bestFit="1" customWidth="1"/>
    <col min="78" max="78" width="11" style="4" bestFit="1" customWidth="1"/>
    <col min="79" max="79" width="16.5703125" style="4" bestFit="1" customWidth="1"/>
    <col min="80" max="80" width="11" style="4" bestFit="1" customWidth="1"/>
    <col min="81" max="81" width="16.5703125" style="4" bestFit="1" customWidth="1"/>
    <col min="82" max="82" width="11" style="4" bestFit="1" customWidth="1"/>
    <col min="83" max="83" width="16.5703125" style="4" bestFit="1" customWidth="1"/>
    <col min="84" max="84" width="11" style="4" bestFit="1" customWidth="1"/>
    <col min="85" max="85" width="16.5703125" style="4" bestFit="1" customWidth="1"/>
    <col min="86" max="86" width="11" style="4" bestFit="1" customWidth="1"/>
    <col min="87" max="87" width="16.5703125" style="4" bestFit="1" customWidth="1"/>
    <col min="88" max="88" width="11" style="4" bestFit="1" customWidth="1"/>
    <col min="89" max="89" width="16.5703125" style="4" bestFit="1" customWidth="1"/>
    <col min="90" max="90" width="11" style="4" bestFit="1" customWidth="1"/>
    <col min="91" max="91" width="16.5703125" style="4" bestFit="1" customWidth="1"/>
    <col min="92" max="92" width="11" style="4" bestFit="1" customWidth="1"/>
    <col min="93" max="93" width="16.5703125" style="4" bestFit="1" customWidth="1"/>
    <col min="94" max="94" width="11" style="4" bestFit="1" customWidth="1"/>
    <col min="95" max="95" width="16.5703125" style="4" bestFit="1" customWidth="1"/>
    <col min="96" max="96" width="11" style="4" bestFit="1" customWidth="1"/>
    <col min="97" max="97" width="16.5703125" style="4" bestFit="1" customWidth="1"/>
    <col min="98" max="98" width="11" style="4" bestFit="1" customWidth="1"/>
    <col min="99" max="99" width="16.5703125" style="4" bestFit="1" customWidth="1"/>
    <col min="100" max="100" width="11" style="4" bestFit="1" customWidth="1"/>
    <col min="101" max="101" width="16.5703125" style="4" bestFit="1" customWidth="1"/>
    <col min="102" max="102" width="11" style="4" bestFit="1" customWidth="1"/>
    <col min="103" max="103" width="16.5703125" style="4" bestFit="1" customWidth="1"/>
    <col min="104" max="104" width="11" style="4" bestFit="1" customWidth="1"/>
    <col min="105" max="105" width="16.5703125" style="4" bestFit="1" customWidth="1"/>
    <col min="106" max="106" width="11" style="4" bestFit="1" customWidth="1"/>
    <col min="107" max="107" width="16.5703125" style="4" bestFit="1" customWidth="1"/>
    <col min="108" max="108" width="11" style="4" bestFit="1" customWidth="1"/>
    <col min="109" max="109" width="16.5703125" style="4" bestFit="1" customWidth="1"/>
    <col min="110" max="110" width="11" style="4" bestFit="1" customWidth="1"/>
    <col min="111" max="111" width="16.5703125" style="4" bestFit="1" customWidth="1"/>
    <col min="112" max="112" width="11" style="4" bestFit="1" customWidth="1"/>
    <col min="113" max="113" width="16.5703125" style="4" bestFit="1" customWidth="1"/>
    <col min="114" max="114" width="11" style="4" bestFit="1" customWidth="1"/>
    <col min="115" max="115" width="16.5703125" style="4" bestFit="1" customWidth="1"/>
    <col min="116" max="116" width="11" style="4" bestFit="1" customWidth="1"/>
    <col min="117" max="117" width="16.5703125" style="4" bestFit="1" customWidth="1"/>
    <col min="118" max="118" width="11" style="4" bestFit="1" customWidth="1"/>
    <col min="119" max="119" width="16.5703125" style="4" bestFit="1" customWidth="1"/>
    <col min="120" max="120" width="11" style="4" bestFit="1" customWidth="1"/>
    <col min="121" max="121" width="16.5703125" style="4" bestFit="1" customWidth="1"/>
    <col min="122" max="122" width="11" style="4" bestFit="1" customWidth="1"/>
    <col min="123" max="123" width="16.5703125" style="4" bestFit="1" customWidth="1"/>
    <col min="124" max="124" width="11" style="4" bestFit="1" customWidth="1"/>
    <col min="125" max="125" width="16.5703125" style="4" bestFit="1" customWidth="1"/>
    <col min="126" max="126" width="11" style="4" bestFit="1" customWidth="1"/>
    <col min="127" max="127" width="16.5703125" style="4" bestFit="1" customWidth="1"/>
    <col min="128" max="128" width="11" style="4" bestFit="1" customWidth="1"/>
    <col min="129" max="129" width="16.5703125" style="4" bestFit="1" customWidth="1"/>
    <col min="130" max="130" width="11" style="4" bestFit="1" customWidth="1"/>
    <col min="131" max="131" width="16.5703125" style="4" bestFit="1" customWidth="1"/>
    <col min="132" max="132" width="11" style="4" bestFit="1" customWidth="1"/>
    <col min="133" max="133" width="16.5703125" style="4" bestFit="1" customWidth="1"/>
    <col min="134" max="134" width="11" style="4" bestFit="1" customWidth="1"/>
    <col min="135" max="135" width="16.5703125" style="4" bestFit="1" customWidth="1"/>
    <col min="136" max="136" width="11" style="4" bestFit="1" customWidth="1"/>
    <col min="137" max="137" width="16.5703125" style="4" bestFit="1" customWidth="1"/>
    <col min="138" max="138" width="11" style="4" bestFit="1" customWidth="1"/>
    <col min="139" max="139" width="16.5703125" style="4" bestFit="1" customWidth="1"/>
    <col min="140" max="140" width="11" style="4" bestFit="1" customWidth="1"/>
    <col min="141" max="141" width="16.5703125" style="4" bestFit="1" customWidth="1"/>
    <col min="142" max="142" width="11" style="4" bestFit="1" customWidth="1"/>
    <col min="143" max="143" width="16.5703125" style="4" bestFit="1" customWidth="1"/>
    <col min="144" max="144" width="11" style="4" bestFit="1" customWidth="1"/>
    <col min="145" max="145" width="16.5703125" style="4" bestFit="1" customWidth="1"/>
    <col min="146" max="146" width="11" style="4" bestFit="1" customWidth="1"/>
    <col min="147" max="147" width="16.5703125" style="4" bestFit="1" customWidth="1"/>
    <col min="148" max="148" width="11" style="4" bestFit="1" customWidth="1"/>
    <col min="149" max="149" width="16.5703125" style="4" bestFit="1" customWidth="1"/>
    <col min="150" max="150" width="11" style="4" bestFit="1" customWidth="1"/>
    <col min="151" max="151" width="16.5703125" style="4" bestFit="1" customWidth="1"/>
    <col min="152" max="152" width="11.42578125" style="4" bestFit="1" customWidth="1"/>
    <col min="153" max="16384" width="9.140625" style="4"/>
  </cols>
  <sheetData>
    <row r="1" spans="2:152" x14ac:dyDescent="0.2">
      <c r="B1" s="355" t="s">
        <v>1253</v>
      </c>
      <c r="C1" s="355"/>
      <c r="D1" s="316" t="s">
        <v>757</v>
      </c>
    </row>
    <row r="2" spans="2:152" x14ac:dyDescent="0.2">
      <c r="B2" s="355" t="s">
        <v>1085</v>
      </c>
      <c r="C2" s="355"/>
      <c r="D2" s="332" t="str">
        <f>VLOOKUP(D$1,TabelContent[],COLUMN(TabelContent[Titel-NL]))</f>
        <v>Omzet, reiskosten en provisie</v>
      </c>
      <c r="E2" s="109"/>
      <c r="F2" s="110"/>
      <c r="G2" s="110"/>
      <c r="H2" s="110"/>
    </row>
    <row r="3" spans="2:152" x14ac:dyDescent="0.2">
      <c r="B3" s="355" t="s">
        <v>1086</v>
      </c>
      <c r="C3" s="355"/>
      <c r="D3" s="332" t="str">
        <f>VLOOKUP(D$1,TabelContent[],COLUMN(TabelContent[Cat-NL]))</f>
        <v>Draaitabel</v>
      </c>
      <c r="E3" s="109"/>
      <c r="F3" s="110"/>
      <c r="G3" s="110"/>
      <c r="H3" s="110"/>
    </row>
    <row r="4" spans="2:152" x14ac:dyDescent="0.2">
      <c r="B4" s="355" t="s">
        <v>1087</v>
      </c>
      <c r="C4" s="355" t="s">
        <v>1077</v>
      </c>
      <c r="D4" s="332">
        <f>VLOOKUP(D$1,TabelContent[],COLUMN(TabelContent[Niveau]))</f>
        <v>3</v>
      </c>
      <c r="E4" s="109"/>
      <c r="F4" s="110"/>
      <c r="G4" s="110"/>
      <c r="H4" s="110"/>
    </row>
    <row r="5" spans="2:152" x14ac:dyDescent="0.2">
      <c r="B5" s="16"/>
      <c r="C5" s="16"/>
      <c r="D5" s="16"/>
      <c r="E5" s="16"/>
    </row>
    <row r="6" spans="2:152" x14ac:dyDescent="0.2">
      <c r="B6" s="356" t="s">
        <v>47</v>
      </c>
      <c r="C6" s="356"/>
      <c r="D6" s="356"/>
      <c r="E6" s="356"/>
    </row>
    <row r="7" spans="2:152" x14ac:dyDescent="0.2">
      <c r="B7" s="16"/>
      <c r="C7" s="16"/>
      <c r="D7" s="16"/>
      <c r="E7" s="16"/>
    </row>
    <row r="8" spans="2:152" x14ac:dyDescent="0.2">
      <c r="B8" s="16"/>
      <c r="C8" s="1" t="s">
        <v>749</v>
      </c>
      <c r="D8" s="1" t="s">
        <v>750</v>
      </c>
      <c r="E8" s="1" t="s">
        <v>397</v>
      </c>
      <c r="F8" s="97" t="s">
        <v>751</v>
      </c>
      <c r="G8" s="97" t="s">
        <v>752</v>
      </c>
      <c r="H8" s="97" t="s">
        <v>753</v>
      </c>
    </row>
    <row r="9" spans="2:152" x14ac:dyDescent="0.2">
      <c r="B9" s="16"/>
      <c r="C9" s="109" t="s">
        <v>754</v>
      </c>
      <c r="D9" s="109" t="s">
        <v>585</v>
      </c>
      <c r="E9" s="109" t="s">
        <v>24</v>
      </c>
      <c r="F9" s="110">
        <v>3423</v>
      </c>
      <c r="G9" s="110">
        <v>337</v>
      </c>
      <c r="H9" s="110">
        <v>104</v>
      </c>
      <c r="J9" s="111" t="s">
        <v>750</v>
      </c>
      <c r="K9" s="4" t="s">
        <v>1182</v>
      </c>
    </row>
    <row r="10" spans="2:152" x14ac:dyDescent="0.2">
      <c r="C10" s="109" t="s">
        <v>755</v>
      </c>
      <c r="D10" s="109" t="s">
        <v>585</v>
      </c>
      <c r="E10" s="109" t="s">
        <v>25</v>
      </c>
      <c r="F10" s="110">
        <v>2203</v>
      </c>
      <c r="G10" s="110">
        <v>323</v>
      </c>
      <c r="H10" s="110">
        <v>284</v>
      </c>
    </row>
    <row r="11" spans="2:152" x14ac:dyDescent="0.2">
      <c r="C11" s="109" t="s">
        <v>755</v>
      </c>
      <c r="D11" s="109" t="s">
        <v>707</v>
      </c>
      <c r="E11" s="109" t="s">
        <v>25</v>
      </c>
      <c r="F11" s="110">
        <v>3236</v>
      </c>
      <c r="G11" s="110">
        <v>219</v>
      </c>
      <c r="H11" s="110">
        <v>226</v>
      </c>
      <c r="J11"/>
      <c r="K11" s="111" t="s">
        <v>749</v>
      </c>
      <c r="L11"/>
      <c r="M11"/>
      <c r="N11"/>
      <c r="O11"/>
      <c r="P11"/>
      <c r="Q11"/>
      <c r="R11"/>
      <c r="S11"/>
      <c r="T11"/>
      <c r="U11"/>
      <c r="V11"/>
    </row>
    <row r="12" spans="2:152" x14ac:dyDescent="0.2">
      <c r="C12" s="109" t="s">
        <v>755</v>
      </c>
      <c r="D12" s="109" t="s">
        <v>600</v>
      </c>
      <c r="E12" s="109" t="s">
        <v>25</v>
      </c>
      <c r="F12" s="110">
        <v>761</v>
      </c>
      <c r="G12" s="110">
        <v>381</v>
      </c>
      <c r="H12" s="110">
        <v>281</v>
      </c>
      <c r="I12"/>
      <c r="J12" s="111" t="s">
        <v>397</v>
      </c>
      <c r="K12" s="4" t="s">
        <v>754</v>
      </c>
      <c r="L12" s="4" t="s">
        <v>755</v>
      </c>
      <c r="M12" s="4" t="s">
        <v>756</v>
      </c>
      <c r="N12" s="4" t="s">
        <v>613</v>
      </c>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row>
    <row r="13" spans="2:152" x14ac:dyDescent="0.2">
      <c r="C13" s="109" t="s">
        <v>756</v>
      </c>
      <c r="D13" s="109" t="s">
        <v>707</v>
      </c>
      <c r="E13" s="109" t="s">
        <v>25</v>
      </c>
      <c r="F13" s="110">
        <v>4117</v>
      </c>
      <c r="G13" s="110">
        <v>226</v>
      </c>
      <c r="H13" s="110">
        <v>208</v>
      </c>
      <c r="I13"/>
      <c r="J13" s="114" t="s">
        <v>24</v>
      </c>
      <c r="K13" s="112"/>
      <c r="L13" s="112"/>
      <c r="M13" s="112"/>
      <c r="N13" s="112"/>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row>
    <row r="14" spans="2:152" x14ac:dyDescent="0.2">
      <c r="C14" s="109" t="s">
        <v>756</v>
      </c>
      <c r="D14" s="109" t="s">
        <v>706</v>
      </c>
      <c r="E14" s="109" t="s">
        <v>25</v>
      </c>
      <c r="F14" s="110">
        <v>4524</v>
      </c>
      <c r="G14" s="110">
        <v>349</v>
      </c>
      <c r="H14" s="110">
        <v>233</v>
      </c>
      <c r="I14"/>
      <c r="J14" s="284" t="s">
        <v>760</v>
      </c>
      <c r="K14" s="112">
        <v>43570</v>
      </c>
      <c r="L14" s="112">
        <v>43375</v>
      </c>
      <c r="M14" s="112">
        <v>37650</v>
      </c>
      <c r="N14" s="112">
        <v>124595</v>
      </c>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row>
    <row r="15" spans="2:152" x14ac:dyDescent="0.2">
      <c r="C15" s="109" t="s">
        <v>756</v>
      </c>
      <c r="D15" s="109" t="s">
        <v>707</v>
      </c>
      <c r="E15" s="109" t="s">
        <v>25</v>
      </c>
      <c r="F15" s="110">
        <v>1546</v>
      </c>
      <c r="G15" s="110">
        <v>229</v>
      </c>
      <c r="H15" s="110">
        <v>246</v>
      </c>
      <c r="I15"/>
      <c r="J15" s="284" t="s">
        <v>762</v>
      </c>
      <c r="K15" s="112">
        <v>5438</v>
      </c>
      <c r="L15" s="112">
        <v>5365</v>
      </c>
      <c r="M15" s="112">
        <v>4090</v>
      </c>
      <c r="N15" s="112">
        <v>14893</v>
      </c>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row>
    <row r="16" spans="2:152" x14ac:dyDescent="0.2">
      <c r="C16" s="109" t="s">
        <v>756</v>
      </c>
      <c r="D16" s="109" t="s">
        <v>707</v>
      </c>
      <c r="E16" s="109" t="s">
        <v>24</v>
      </c>
      <c r="F16" s="110">
        <v>1516</v>
      </c>
      <c r="G16" s="110">
        <v>226</v>
      </c>
      <c r="H16" s="110">
        <v>58</v>
      </c>
      <c r="I16"/>
      <c r="J16" s="284" t="s">
        <v>763</v>
      </c>
      <c r="K16" s="112">
        <v>2639</v>
      </c>
      <c r="L16" s="112">
        <v>3186</v>
      </c>
      <c r="M16" s="112">
        <v>3062</v>
      </c>
      <c r="N16" s="112">
        <v>8887</v>
      </c>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row>
    <row r="17" spans="3:152" x14ac:dyDescent="0.2">
      <c r="C17" s="109" t="s">
        <v>755</v>
      </c>
      <c r="D17" s="109" t="s">
        <v>600</v>
      </c>
      <c r="E17" s="109" t="s">
        <v>24</v>
      </c>
      <c r="F17" s="110">
        <v>3641</v>
      </c>
      <c r="G17" s="110">
        <v>461</v>
      </c>
      <c r="H17" s="110">
        <v>255</v>
      </c>
      <c r="I17"/>
      <c r="J17" s="114" t="s">
        <v>25</v>
      </c>
      <c r="K17" s="112"/>
      <c r="L17" s="112"/>
      <c r="M17" s="112"/>
      <c r="N17" s="112"/>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row>
    <row r="18" spans="3:152" x14ac:dyDescent="0.2">
      <c r="C18" s="109" t="s">
        <v>755</v>
      </c>
      <c r="D18" s="109" t="s">
        <v>706</v>
      </c>
      <c r="E18" s="109" t="s">
        <v>24</v>
      </c>
      <c r="F18" s="110">
        <v>3431</v>
      </c>
      <c r="G18" s="110">
        <v>471</v>
      </c>
      <c r="H18" s="110">
        <v>270</v>
      </c>
      <c r="J18" s="284" t="s">
        <v>760</v>
      </c>
      <c r="K18" s="112">
        <v>38717</v>
      </c>
      <c r="L18" s="112">
        <v>38277</v>
      </c>
      <c r="M18" s="112">
        <v>43089</v>
      </c>
      <c r="N18" s="112">
        <v>120083</v>
      </c>
    </row>
    <row r="19" spans="3:152" x14ac:dyDescent="0.2">
      <c r="C19" s="109" t="s">
        <v>754</v>
      </c>
      <c r="D19" s="109" t="s">
        <v>706</v>
      </c>
      <c r="E19" s="109" t="s">
        <v>24</v>
      </c>
      <c r="F19" s="110">
        <v>4388</v>
      </c>
      <c r="G19" s="110">
        <v>310</v>
      </c>
      <c r="H19" s="110">
        <v>102</v>
      </c>
      <c r="J19" s="284" t="s">
        <v>762</v>
      </c>
      <c r="K19" s="112">
        <v>4745</v>
      </c>
      <c r="L19" s="112">
        <v>4224</v>
      </c>
      <c r="M19" s="112">
        <v>4267</v>
      </c>
      <c r="N19" s="112">
        <v>13236</v>
      </c>
    </row>
    <row r="20" spans="3:152" x14ac:dyDescent="0.2">
      <c r="C20" s="109" t="s">
        <v>754</v>
      </c>
      <c r="D20" s="109" t="s">
        <v>585</v>
      </c>
      <c r="E20" s="109" t="s">
        <v>25</v>
      </c>
      <c r="F20" s="110">
        <v>2198</v>
      </c>
      <c r="G20" s="110">
        <v>289</v>
      </c>
      <c r="H20" s="110">
        <v>156</v>
      </c>
      <c r="J20" s="284" t="s">
        <v>763</v>
      </c>
      <c r="K20" s="112">
        <v>3199</v>
      </c>
      <c r="L20" s="112">
        <v>2260</v>
      </c>
      <c r="M20" s="112">
        <v>2797</v>
      </c>
      <c r="N20" s="112">
        <v>8256</v>
      </c>
    </row>
    <row r="21" spans="3:152" x14ac:dyDescent="0.2">
      <c r="C21" s="109" t="s">
        <v>754</v>
      </c>
      <c r="D21" s="109" t="s">
        <v>600</v>
      </c>
      <c r="E21" s="109" t="s">
        <v>24</v>
      </c>
      <c r="F21" s="110">
        <v>2118</v>
      </c>
      <c r="G21" s="110">
        <v>408</v>
      </c>
      <c r="H21" s="110">
        <v>-34</v>
      </c>
      <c r="J21" s="114" t="s">
        <v>1179</v>
      </c>
      <c r="K21" s="112">
        <v>82287</v>
      </c>
      <c r="L21" s="112">
        <v>81652</v>
      </c>
      <c r="M21" s="112">
        <v>80739</v>
      </c>
      <c r="N21" s="112">
        <v>244678</v>
      </c>
    </row>
    <row r="22" spans="3:152" x14ac:dyDescent="0.2">
      <c r="C22" s="109" t="s">
        <v>755</v>
      </c>
      <c r="D22" s="109" t="s">
        <v>600</v>
      </c>
      <c r="E22" s="109" t="s">
        <v>24</v>
      </c>
      <c r="F22" s="110">
        <v>2094</v>
      </c>
      <c r="G22" s="110">
        <v>424</v>
      </c>
      <c r="H22" s="110">
        <v>174</v>
      </c>
      <c r="J22" s="114" t="s">
        <v>1180</v>
      </c>
      <c r="K22" s="112">
        <v>10183</v>
      </c>
      <c r="L22" s="112">
        <v>9589</v>
      </c>
      <c r="M22" s="112">
        <v>8357</v>
      </c>
      <c r="N22" s="112">
        <v>28129</v>
      </c>
    </row>
    <row r="23" spans="3:152" x14ac:dyDescent="0.2">
      <c r="C23" s="109" t="s">
        <v>755</v>
      </c>
      <c r="D23" s="109" t="s">
        <v>707</v>
      </c>
      <c r="E23" s="109" t="s">
        <v>25</v>
      </c>
      <c r="F23" s="110">
        <v>5828</v>
      </c>
      <c r="G23" s="110">
        <v>374</v>
      </c>
      <c r="H23" s="110">
        <v>157</v>
      </c>
      <c r="J23" s="114" t="s">
        <v>1181</v>
      </c>
      <c r="K23" s="112">
        <v>5838</v>
      </c>
      <c r="L23" s="112">
        <v>5446</v>
      </c>
      <c r="M23" s="112">
        <v>5859</v>
      </c>
      <c r="N23" s="112">
        <v>17143</v>
      </c>
    </row>
    <row r="24" spans="3:152" x14ac:dyDescent="0.2">
      <c r="C24" s="109" t="s">
        <v>754</v>
      </c>
      <c r="D24" s="109" t="s">
        <v>600</v>
      </c>
      <c r="E24" s="109" t="s">
        <v>25</v>
      </c>
      <c r="F24" s="110">
        <v>1135</v>
      </c>
      <c r="G24" s="110">
        <v>316</v>
      </c>
      <c r="H24" s="110">
        <v>189</v>
      </c>
      <c r="J24"/>
      <c r="K24"/>
      <c r="L24"/>
    </row>
    <row r="25" spans="3:152" x14ac:dyDescent="0.2">
      <c r="C25" s="109" t="s">
        <v>756</v>
      </c>
      <c r="D25" s="109" t="s">
        <v>600</v>
      </c>
      <c r="E25" s="109" t="s">
        <v>25</v>
      </c>
      <c r="F25" s="110">
        <v>3303</v>
      </c>
      <c r="G25" s="110">
        <v>401</v>
      </c>
      <c r="H25" s="110">
        <v>115</v>
      </c>
      <c r="J25"/>
      <c r="K25"/>
      <c r="L25"/>
    </row>
    <row r="26" spans="3:152" x14ac:dyDescent="0.2">
      <c r="C26" s="109" t="s">
        <v>754</v>
      </c>
      <c r="D26" s="109" t="s">
        <v>585</v>
      </c>
      <c r="E26" s="109" t="s">
        <v>24</v>
      </c>
      <c r="F26" s="110">
        <v>3946</v>
      </c>
      <c r="G26" s="110">
        <v>318</v>
      </c>
      <c r="H26" s="110">
        <v>341</v>
      </c>
      <c r="J26"/>
      <c r="K26"/>
      <c r="L26"/>
    </row>
    <row r="27" spans="3:152" x14ac:dyDescent="0.2">
      <c r="C27" s="109" t="s">
        <v>756</v>
      </c>
      <c r="D27" s="109" t="s">
        <v>707</v>
      </c>
      <c r="E27" s="109" t="s">
        <v>24</v>
      </c>
      <c r="F27" s="110">
        <v>1710</v>
      </c>
      <c r="G27" s="110">
        <v>261</v>
      </c>
      <c r="H27" s="110">
        <v>159</v>
      </c>
      <c r="J27"/>
      <c r="K27"/>
      <c r="L27"/>
    </row>
    <row r="28" spans="3:152" x14ac:dyDescent="0.2">
      <c r="C28" s="109" t="s">
        <v>756</v>
      </c>
      <c r="D28" s="109" t="s">
        <v>706</v>
      </c>
      <c r="E28" s="109" t="s">
        <v>24</v>
      </c>
      <c r="F28" s="110">
        <v>3766</v>
      </c>
      <c r="G28" s="110">
        <v>268</v>
      </c>
      <c r="H28" s="110">
        <v>212</v>
      </c>
      <c r="J28"/>
      <c r="K28"/>
      <c r="L28"/>
    </row>
    <row r="29" spans="3:152" x14ac:dyDescent="0.2">
      <c r="C29" s="109" t="s">
        <v>755</v>
      </c>
      <c r="D29" s="109" t="s">
        <v>585</v>
      </c>
      <c r="E29" s="109" t="s">
        <v>25</v>
      </c>
      <c r="F29" s="110">
        <v>2832</v>
      </c>
      <c r="G29" s="110">
        <v>336</v>
      </c>
      <c r="H29" s="110">
        <v>229</v>
      </c>
    </row>
    <row r="30" spans="3:152" x14ac:dyDescent="0.2">
      <c r="C30" s="109" t="s">
        <v>756</v>
      </c>
      <c r="D30" s="109" t="s">
        <v>600</v>
      </c>
      <c r="E30" s="109" t="s">
        <v>24</v>
      </c>
      <c r="F30" s="110">
        <v>2908</v>
      </c>
      <c r="G30" s="110">
        <v>450</v>
      </c>
      <c r="H30" s="110">
        <v>207</v>
      </c>
    </row>
    <row r="31" spans="3:152" x14ac:dyDescent="0.2">
      <c r="C31" s="109" t="s">
        <v>754</v>
      </c>
      <c r="D31" s="109" t="s">
        <v>600</v>
      </c>
      <c r="E31" s="109" t="s">
        <v>25</v>
      </c>
      <c r="F31" s="110">
        <v>1739</v>
      </c>
      <c r="G31" s="110">
        <v>418</v>
      </c>
      <c r="H31" s="110">
        <v>125</v>
      </c>
    </row>
    <row r="32" spans="3:152" x14ac:dyDescent="0.2">
      <c r="C32" s="109" t="s">
        <v>755</v>
      </c>
      <c r="D32" s="109" t="s">
        <v>706</v>
      </c>
      <c r="E32" s="109" t="s">
        <v>25</v>
      </c>
      <c r="F32" s="110">
        <v>2728</v>
      </c>
      <c r="G32" s="110">
        <v>227</v>
      </c>
      <c r="H32" s="110">
        <v>71</v>
      </c>
    </row>
    <row r="33" spans="3:8" x14ac:dyDescent="0.2">
      <c r="C33" s="109" t="s">
        <v>754</v>
      </c>
      <c r="D33" s="109" t="s">
        <v>706</v>
      </c>
      <c r="E33" s="109" t="s">
        <v>25</v>
      </c>
      <c r="F33" s="110">
        <v>2954</v>
      </c>
      <c r="G33" s="110">
        <v>300</v>
      </c>
      <c r="H33" s="110">
        <v>137</v>
      </c>
    </row>
    <row r="34" spans="3:8" x14ac:dyDescent="0.2">
      <c r="C34" s="109" t="s">
        <v>755</v>
      </c>
      <c r="D34" s="109" t="s">
        <v>706</v>
      </c>
      <c r="E34" s="109" t="s">
        <v>24</v>
      </c>
      <c r="F34" s="110">
        <v>2091</v>
      </c>
      <c r="G34" s="110">
        <v>446</v>
      </c>
      <c r="H34" s="110">
        <v>176</v>
      </c>
    </row>
    <row r="35" spans="3:8" x14ac:dyDescent="0.2">
      <c r="C35" s="109" t="s">
        <v>756</v>
      </c>
      <c r="D35" s="109" t="s">
        <v>706</v>
      </c>
      <c r="E35" s="109" t="s">
        <v>24</v>
      </c>
      <c r="F35" s="110">
        <v>2747</v>
      </c>
      <c r="G35" s="110">
        <v>344</v>
      </c>
      <c r="H35" s="110">
        <v>189</v>
      </c>
    </row>
    <row r="36" spans="3:8" x14ac:dyDescent="0.2">
      <c r="C36" s="109" t="s">
        <v>754</v>
      </c>
      <c r="D36" s="109" t="s">
        <v>707</v>
      </c>
      <c r="E36" s="109" t="s">
        <v>25</v>
      </c>
      <c r="F36" s="110">
        <v>2447</v>
      </c>
      <c r="G36" s="110">
        <v>271</v>
      </c>
      <c r="H36" s="110">
        <v>133</v>
      </c>
    </row>
    <row r="37" spans="3:8" x14ac:dyDescent="0.2">
      <c r="C37" s="109" t="s">
        <v>755</v>
      </c>
      <c r="D37" s="109" t="s">
        <v>600</v>
      </c>
      <c r="E37" s="109" t="s">
        <v>24</v>
      </c>
      <c r="F37" s="110">
        <v>2250</v>
      </c>
      <c r="G37" s="110">
        <v>374</v>
      </c>
      <c r="H37" s="110">
        <v>248</v>
      </c>
    </row>
    <row r="38" spans="3:8" x14ac:dyDescent="0.2">
      <c r="C38" s="109" t="s">
        <v>755</v>
      </c>
      <c r="D38" s="109" t="s">
        <v>585</v>
      </c>
      <c r="E38" s="109" t="s">
        <v>25</v>
      </c>
      <c r="F38" s="110">
        <v>2722</v>
      </c>
      <c r="G38" s="110">
        <v>226</v>
      </c>
      <c r="H38" s="110">
        <v>83</v>
      </c>
    </row>
    <row r="39" spans="3:8" x14ac:dyDescent="0.2">
      <c r="C39" s="109" t="s">
        <v>755</v>
      </c>
      <c r="D39" s="109" t="s">
        <v>707</v>
      </c>
      <c r="E39" s="109" t="s">
        <v>25</v>
      </c>
      <c r="F39" s="110">
        <v>3169</v>
      </c>
      <c r="G39" s="110">
        <v>333</v>
      </c>
      <c r="H39" s="110">
        <v>165</v>
      </c>
    </row>
    <row r="40" spans="3:8" x14ac:dyDescent="0.2">
      <c r="C40" s="109" t="s">
        <v>755</v>
      </c>
      <c r="D40" s="109" t="s">
        <v>707</v>
      </c>
      <c r="E40" s="109" t="s">
        <v>24</v>
      </c>
      <c r="F40" s="110">
        <v>2089</v>
      </c>
      <c r="G40" s="110">
        <v>170</v>
      </c>
      <c r="H40" s="110">
        <v>389</v>
      </c>
    </row>
    <row r="41" spans="3:8" x14ac:dyDescent="0.2">
      <c r="C41" s="109" t="s">
        <v>755</v>
      </c>
      <c r="D41" s="109" t="s">
        <v>585</v>
      </c>
      <c r="E41" s="109" t="s">
        <v>24</v>
      </c>
      <c r="F41" s="110">
        <v>3895</v>
      </c>
      <c r="G41" s="110">
        <v>156</v>
      </c>
      <c r="H41" s="110">
        <v>152</v>
      </c>
    </row>
    <row r="42" spans="3:8" x14ac:dyDescent="0.2">
      <c r="C42" s="109" t="s">
        <v>755</v>
      </c>
      <c r="D42" s="109" t="s">
        <v>585</v>
      </c>
      <c r="E42" s="109" t="s">
        <v>24</v>
      </c>
      <c r="F42" s="110">
        <v>3393</v>
      </c>
      <c r="G42" s="110">
        <v>336</v>
      </c>
      <c r="H42" s="110">
        <v>271</v>
      </c>
    </row>
    <row r="43" spans="3:8" x14ac:dyDescent="0.2">
      <c r="C43" s="109" t="s">
        <v>756</v>
      </c>
      <c r="D43" s="109" t="s">
        <v>585</v>
      </c>
      <c r="E43" s="109" t="s">
        <v>25</v>
      </c>
      <c r="F43" s="110">
        <v>3315</v>
      </c>
      <c r="G43" s="110">
        <v>220</v>
      </c>
      <c r="H43" s="110">
        <v>193</v>
      </c>
    </row>
    <row r="44" spans="3:8" x14ac:dyDescent="0.2">
      <c r="C44" s="109" t="s">
        <v>754</v>
      </c>
      <c r="D44" s="109" t="s">
        <v>707</v>
      </c>
      <c r="E44" s="109" t="s">
        <v>24</v>
      </c>
      <c r="F44" s="110">
        <v>2213</v>
      </c>
      <c r="G44" s="110">
        <v>272</v>
      </c>
      <c r="H44" s="110">
        <v>147</v>
      </c>
    </row>
    <row r="45" spans="3:8" x14ac:dyDescent="0.2">
      <c r="C45" s="109" t="s">
        <v>756</v>
      </c>
      <c r="D45" s="109" t="s">
        <v>585</v>
      </c>
      <c r="E45" s="109" t="s">
        <v>24</v>
      </c>
      <c r="F45" s="110">
        <v>2207</v>
      </c>
      <c r="G45" s="110">
        <v>301</v>
      </c>
      <c r="H45" s="110">
        <v>211</v>
      </c>
    </row>
    <row r="46" spans="3:8" x14ac:dyDescent="0.2">
      <c r="C46" s="109" t="s">
        <v>756</v>
      </c>
      <c r="D46" s="109" t="s">
        <v>707</v>
      </c>
      <c r="E46" s="109" t="s">
        <v>25</v>
      </c>
      <c r="F46" s="110">
        <v>4055</v>
      </c>
      <c r="G46" s="110">
        <v>360</v>
      </c>
      <c r="H46" s="110">
        <v>199</v>
      </c>
    </row>
    <row r="47" spans="3:8" x14ac:dyDescent="0.2">
      <c r="C47" s="109" t="s">
        <v>755</v>
      </c>
      <c r="D47" s="109" t="s">
        <v>600</v>
      </c>
      <c r="E47" s="109" t="s">
        <v>24</v>
      </c>
      <c r="F47" s="110">
        <v>4946</v>
      </c>
      <c r="G47" s="110">
        <v>181</v>
      </c>
      <c r="H47" s="110">
        <v>115</v>
      </c>
    </row>
    <row r="48" spans="3:8" x14ac:dyDescent="0.2">
      <c r="C48" s="109" t="s">
        <v>755</v>
      </c>
      <c r="D48" s="109" t="s">
        <v>707</v>
      </c>
      <c r="E48" s="109" t="s">
        <v>24</v>
      </c>
      <c r="F48" s="110">
        <v>3076</v>
      </c>
      <c r="G48" s="110">
        <v>426</v>
      </c>
      <c r="H48" s="110">
        <v>120</v>
      </c>
    </row>
    <row r="49" spans="3:8" x14ac:dyDescent="0.2">
      <c r="C49" s="109" t="s">
        <v>754</v>
      </c>
      <c r="D49" s="109" t="s">
        <v>706</v>
      </c>
      <c r="E49" s="109" t="s">
        <v>24</v>
      </c>
      <c r="F49" s="110">
        <v>2573</v>
      </c>
      <c r="G49" s="110">
        <v>276</v>
      </c>
      <c r="H49" s="110">
        <v>228</v>
      </c>
    </row>
    <row r="50" spans="3:8" x14ac:dyDescent="0.2">
      <c r="C50" s="109" t="s">
        <v>756</v>
      </c>
      <c r="D50" s="109" t="s">
        <v>706</v>
      </c>
      <c r="E50" s="109" t="s">
        <v>25</v>
      </c>
      <c r="F50" s="110">
        <v>1752</v>
      </c>
      <c r="G50" s="110">
        <v>369</v>
      </c>
      <c r="H50" s="110">
        <v>213</v>
      </c>
    </row>
    <row r="51" spans="3:8" x14ac:dyDescent="0.2">
      <c r="C51" s="109" t="s">
        <v>755</v>
      </c>
      <c r="D51" s="109" t="s">
        <v>707</v>
      </c>
      <c r="E51" s="109" t="s">
        <v>24</v>
      </c>
      <c r="F51" s="110">
        <v>3183</v>
      </c>
      <c r="G51" s="110">
        <v>379</v>
      </c>
      <c r="H51" s="110">
        <v>220</v>
      </c>
    </row>
    <row r="52" spans="3:8" x14ac:dyDescent="0.2">
      <c r="C52" s="109" t="s">
        <v>754</v>
      </c>
      <c r="D52" s="109" t="s">
        <v>706</v>
      </c>
      <c r="E52" s="109" t="s">
        <v>25</v>
      </c>
      <c r="F52" s="110">
        <v>3532</v>
      </c>
      <c r="G52" s="110">
        <v>300</v>
      </c>
      <c r="H52" s="110">
        <v>219</v>
      </c>
    </row>
    <row r="53" spans="3:8" x14ac:dyDescent="0.2">
      <c r="C53" s="109" t="s">
        <v>754</v>
      </c>
      <c r="D53" s="109" t="s">
        <v>706</v>
      </c>
      <c r="E53" s="109" t="s">
        <v>25</v>
      </c>
      <c r="F53" s="110">
        <v>3639</v>
      </c>
      <c r="G53" s="110">
        <v>291</v>
      </c>
      <c r="H53" s="110">
        <v>202</v>
      </c>
    </row>
    <row r="54" spans="3:8" x14ac:dyDescent="0.2">
      <c r="C54" s="109" t="s">
        <v>756</v>
      </c>
      <c r="D54" s="109" t="s">
        <v>706</v>
      </c>
      <c r="E54" s="109" t="s">
        <v>24</v>
      </c>
      <c r="F54" s="110">
        <v>2661</v>
      </c>
      <c r="G54" s="110">
        <v>224</v>
      </c>
      <c r="H54" s="110">
        <v>344</v>
      </c>
    </row>
    <row r="55" spans="3:8" x14ac:dyDescent="0.2">
      <c r="C55" s="109" t="s">
        <v>755</v>
      </c>
      <c r="D55" s="109" t="s">
        <v>585</v>
      </c>
      <c r="E55" s="109" t="s">
        <v>24</v>
      </c>
      <c r="F55" s="110">
        <v>1186</v>
      </c>
      <c r="G55" s="110">
        <v>508</v>
      </c>
      <c r="H55" s="110">
        <v>150</v>
      </c>
    </row>
    <row r="56" spans="3:8" x14ac:dyDescent="0.2">
      <c r="C56" s="109" t="s">
        <v>756</v>
      </c>
      <c r="D56" s="109" t="s">
        <v>706</v>
      </c>
      <c r="E56" s="109" t="s">
        <v>24</v>
      </c>
      <c r="F56" s="110">
        <v>3208</v>
      </c>
      <c r="G56" s="110">
        <v>512</v>
      </c>
      <c r="H56" s="110">
        <v>318</v>
      </c>
    </row>
    <row r="57" spans="3:8" x14ac:dyDescent="0.2">
      <c r="C57" s="109" t="s">
        <v>755</v>
      </c>
      <c r="D57" s="109" t="s">
        <v>706</v>
      </c>
      <c r="E57" s="109" t="s">
        <v>25</v>
      </c>
      <c r="F57" s="110">
        <v>2816</v>
      </c>
      <c r="G57" s="110">
        <v>480</v>
      </c>
      <c r="H57" s="110">
        <v>289</v>
      </c>
    </row>
    <row r="58" spans="3:8" x14ac:dyDescent="0.2">
      <c r="C58" s="109" t="s">
        <v>754</v>
      </c>
      <c r="D58" s="109" t="s">
        <v>706</v>
      </c>
      <c r="E58" s="109" t="s">
        <v>25</v>
      </c>
      <c r="F58" s="110">
        <v>1895</v>
      </c>
      <c r="G58" s="110">
        <v>209</v>
      </c>
      <c r="H58" s="110">
        <v>178</v>
      </c>
    </row>
    <row r="59" spans="3:8" x14ac:dyDescent="0.2">
      <c r="C59" s="109" t="s">
        <v>755</v>
      </c>
      <c r="D59" s="109" t="s">
        <v>707</v>
      </c>
      <c r="E59" s="109" t="s">
        <v>25</v>
      </c>
      <c r="F59" s="110">
        <v>1854</v>
      </c>
      <c r="G59" s="110">
        <v>400</v>
      </c>
      <c r="H59" s="110">
        <v>62</v>
      </c>
    </row>
    <row r="60" spans="3:8" x14ac:dyDescent="0.2">
      <c r="C60" s="109" t="s">
        <v>756</v>
      </c>
      <c r="D60" s="109" t="s">
        <v>585</v>
      </c>
      <c r="E60" s="109" t="s">
        <v>24</v>
      </c>
      <c r="F60" s="110">
        <v>3472</v>
      </c>
      <c r="G60" s="110">
        <v>139</v>
      </c>
      <c r="H60" s="110">
        <v>304</v>
      </c>
    </row>
    <row r="61" spans="3:8" x14ac:dyDescent="0.2">
      <c r="C61" s="109" t="s">
        <v>755</v>
      </c>
      <c r="D61" s="109" t="s">
        <v>600</v>
      </c>
      <c r="E61" s="109" t="s">
        <v>25</v>
      </c>
      <c r="F61" s="110">
        <v>3696</v>
      </c>
      <c r="G61" s="110">
        <v>395</v>
      </c>
      <c r="H61" s="110">
        <v>194</v>
      </c>
    </row>
    <row r="62" spans="3:8" x14ac:dyDescent="0.2">
      <c r="C62" s="109" t="s">
        <v>756</v>
      </c>
      <c r="D62" s="109" t="s">
        <v>585</v>
      </c>
      <c r="E62" s="109" t="s">
        <v>25</v>
      </c>
      <c r="F62" s="110">
        <v>2999</v>
      </c>
      <c r="G62" s="110">
        <v>349</v>
      </c>
      <c r="H62" s="110">
        <v>95</v>
      </c>
    </row>
    <row r="63" spans="3:8" x14ac:dyDescent="0.2">
      <c r="C63" s="109" t="s">
        <v>755</v>
      </c>
      <c r="D63" s="109" t="s">
        <v>706</v>
      </c>
      <c r="E63" s="109" t="s">
        <v>24</v>
      </c>
      <c r="F63" s="110">
        <v>2485</v>
      </c>
      <c r="G63" s="110">
        <v>374</v>
      </c>
      <c r="H63" s="110">
        <v>202</v>
      </c>
    </row>
    <row r="64" spans="3:8" x14ac:dyDescent="0.2">
      <c r="C64" s="109" t="s">
        <v>756</v>
      </c>
      <c r="D64" s="109" t="s">
        <v>600</v>
      </c>
      <c r="E64" s="109" t="s">
        <v>25</v>
      </c>
      <c r="F64" s="110">
        <v>1614</v>
      </c>
      <c r="G64" s="110">
        <v>282</v>
      </c>
      <c r="H64" s="110">
        <v>98</v>
      </c>
    </row>
    <row r="65" spans="3:8" x14ac:dyDescent="0.2">
      <c r="C65" s="109" t="s">
        <v>755</v>
      </c>
      <c r="D65" s="109" t="s">
        <v>706</v>
      </c>
      <c r="E65" s="109" t="s">
        <v>25</v>
      </c>
      <c r="F65" s="110">
        <v>2518</v>
      </c>
      <c r="G65" s="110">
        <v>187</v>
      </c>
      <c r="H65" s="110">
        <v>113</v>
      </c>
    </row>
    <row r="66" spans="3:8" x14ac:dyDescent="0.2">
      <c r="C66" s="109" t="s">
        <v>755</v>
      </c>
      <c r="D66" s="109" t="s">
        <v>707</v>
      </c>
      <c r="E66" s="109" t="s">
        <v>24</v>
      </c>
      <c r="F66" s="110">
        <v>3611</v>
      </c>
      <c r="G66" s="110">
        <v>275</v>
      </c>
      <c r="H66" s="110">
        <v>188</v>
      </c>
    </row>
    <row r="67" spans="3:8" x14ac:dyDescent="0.2">
      <c r="C67" s="109" t="s">
        <v>754</v>
      </c>
      <c r="D67" s="109" t="s">
        <v>706</v>
      </c>
      <c r="E67" s="109" t="s">
        <v>24</v>
      </c>
      <c r="F67" s="110">
        <v>2452</v>
      </c>
      <c r="G67" s="110">
        <v>402</v>
      </c>
      <c r="H67" s="110">
        <v>289</v>
      </c>
    </row>
    <row r="68" spans="3:8" x14ac:dyDescent="0.2">
      <c r="C68" s="109" t="s">
        <v>754</v>
      </c>
      <c r="D68" s="109" t="s">
        <v>707</v>
      </c>
      <c r="E68" s="109" t="s">
        <v>25</v>
      </c>
      <c r="F68" s="110">
        <v>3886</v>
      </c>
      <c r="G68" s="110">
        <v>156</v>
      </c>
      <c r="H68" s="110">
        <v>146</v>
      </c>
    </row>
    <row r="69" spans="3:8" x14ac:dyDescent="0.2">
      <c r="C69" s="109" t="s">
        <v>754</v>
      </c>
      <c r="D69" s="109" t="s">
        <v>600</v>
      </c>
      <c r="E69" s="109" t="s">
        <v>24</v>
      </c>
      <c r="F69" s="110">
        <v>2103</v>
      </c>
      <c r="G69" s="110">
        <v>288</v>
      </c>
      <c r="H69" s="110">
        <v>95</v>
      </c>
    </row>
    <row r="70" spans="3:8" x14ac:dyDescent="0.2">
      <c r="C70" s="109" t="s">
        <v>756</v>
      </c>
      <c r="D70" s="109" t="s">
        <v>585</v>
      </c>
      <c r="E70" s="109" t="s">
        <v>25</v>
      </c>
      <c r="F70" s="110">
        <v>4140</v>
      </c>
      <c r="G70" s="110">
        <v>193</v>
      </c>
      <c r="H70" s="110">
        <v>218</v>
      </c>
    </row>
    <row r="71" spans="3:8" x14ac:dyDescent="0.2">
      <c r="C71" s="109" t="s">
        <v>756</v>
      </c>
      <c r="D71" s="109" t="s">
        <v>707</v>
      </c>
      <c r="E71" s="109" t="s">
        <v>24</v>
      </c>
      <c r="F71" s="110">
        <v>2455</v>
      </c>
      <c r="G71" s="110">
        <v>178</v>
      </c>
      <c r="H71" s="110">
        <v>95</v>
      </c>
    </row>
    <row r="72" spans="3:8" x14ac:dyDescent="0.2">
      <c r="C72" s="109" t="s">
        <v>754</v>
      </c>
      <c r="D72" s="109" t="s">
        <v>600</v>
      </c>
      <c r="E72" s="109" t="s">
        <v>24</v>
      </c>
      <c r="F72" s="110">
        <v>2407</v>
      </c>
      <c r="G72" s="110">
        <v>200</v>
      </c>
      <c r="H72" s="110">
        <v>178</v>
      </c>
    </row>
    <row r="73" spans="3:8" x14ac:dyDescent="0.2">
      <c r="C73" s="109" t="s">
        <v>756</v>
      </c>
      <c r="D73" s="109" t="s">
        <v>600</v>
      </c>
      <c r="E73" s="109" t="s">
        <v>25</v>
      </c>
      <c r="F73" s="110">
        <v>2698</v>
      </c>
      <c r="G73" s="110">
        <v>209</v>
      </c>
      <c r="H73" s="110">
        <v>175</v>
      </c>
    </row>
    <row r="74" spans="3:8" x14ac:dyDescent="0.2">
      <c r="C74" s="109" t="s">
        <v>754</v>
      </c>
      <c r="D74" s="109" t="s">
        <v>707</v>
      </c>
      <c r="E74" s="109" t="s">
        <v>24</v>
      </c>
      <c r="F74" s="110">
        <v>4635</v>
      </c>
      <c r="G74" s="110">
        <v>423</v>
      </c>
      <c r="H74" s="110">
        <v>165</v>
      </c>
    </row>
    <row r="75" spans="3:8" x14ac:dyDescent="0.2">
      <c r="C75" s="109" t="s">
        <v>754</v>
      </c>
      <c r="D75" s="109" t="s">
        <v>585</v>
      </c>
      <c r="E75" s="109" t="s">
        <v>25</v>
      </c>
      <c r="F75" s="110">
        <v>2261</v>
      </c>
      <c r="G75" s="110">
        <v>373</v>
      </c>
      <c r="H75" s="110">
        <v>363</v>
      </c>
    </row>
    <row r="76" spans="3:8" x14ac:dyDescent="0.2">
      <c r="C76" s="109" t="s">
        <v>754</v>
      </c>
      <c r="D76" s="109" t="s">
        <v>706</v>
      </c>
      <c r="E76" s="109" t="s">
        <v>24</v>
      </c>
      <c r="F76" s="110">
        <v>2520</v>
      </c>
      <c r="G76" s="110">
        <v>319</v>
      </c>
      <c r="H76" s="110">
        <v>103</v>
      </c>
    </row>
    <row r="77" spans="3:8" x14ac:dyDescent="0.2">
      <c r="C77" s="109" t="s">
        <v>756</v>
      </c>
      <c r="D77" s="109" t="s">
        <v>585</v>
      </c>
      <c r="E77" s="109" t="s">
        <v>25</v>
      </c>
      <c r="F77" s="110">
        <v>2491</v>
      </c>
      <c r="G77" s="110">
        <v>421</v>
      </c>
      <c r="H77" s="110">
        <v>249</v>
      </c>
    </row>
    <row r="78" spans="3:8" x14ac:dyDescent="0.2">
      <c r="C78" s="109" t="s">
        <v>754</v>
      </c>
      <c r="D78" s="109" t="s">
        <v>600</v>
      </c>
      <c r="E78" s="109" t="s">
        <v>24</v>
      </c>
      <c r="F78" s="110">
        <v>2910</v>
      </c>
      <c r="G78" s="110">
        <v>382</v>
      </c>
      <c r="H78" s="110">
        <v>196</v>
      </c>
    </row>
    <row r="79" spans="3:8" x14ac:dyDescent="0.2">
      <c r="C79" s="109" t="s">
        <v>756</v>
      </c>
      <c r="D79" s="109" t="s">
        <v>585</v>
      </c>
      <c r="E79" s="109" t="s">
        <v>24</v>
      </c>
      <c r="F79" s="110">
        <v>2962</v>
      </c>
      <c r="G79" s="110">
        <v>282</v>
      </c>
      <c r="H79" s="110">
        <v>146</v>
      </c>
    </row>
    <row r="80" spans="3:8" x14ac:dyDescent="0.2">
      <c r="C80" s="109" t="s">
        <v>756</v>
      </c>
      <c r="D80" s="109" t="s">
        <v>585</v>
      </c>
      <c r="E80" s="109" t="s">
        <v>24</v>
      </c>
      <c r="F80" s="110">
        <v>2576</v>
      </c>
      <c r="G80" s="110">
        <v>264</v>
      </c>
      <c r="H80" s="110">
        <v>289</v>
      </c>
    </row>
    <row r="81" spans="3:8" x14ac:dyDescent="0.2">
      <c r="C81" s="109" t="s">
        <v>755</v>
      </c>
      <c r="D81" s="109" t="s">
        <v>585</v>
      </c>
      <c r="E81" s="109" t="s">
        <v>24</v>
      </c>
      <c r="F81" s="110">
        <v>2004</v>
      </c>
      <c r="G81" s="110">
        <v>384</v>
      </c>
      <c r="H81" s="110">
        <v>256</v>
      </c>
    </row>
    <row r="82" spans="3:8" x14ac:dyDescent="0.2">
      <c r="C82" s="109" t="s">
        <v>754</v>
      </c>
      <c r="D82" s="109" t="s">
        <v>707</v>
      </c>
      <c r="E82" s="109" t="s">
        <v>24</v>
      </c>
      <c r="F82" s="110">
        <v>2374</v>
      </c>
      <c r="G82" s="110">
        <v>234</v>
      </c>
      <c r="H82" s="110">
        <v>196</v>
      </c>
    </row>
    <row r="83" spans="3:8" x14ac:dyDescent="0.2">
      <c r="C83" s="109" t="s">
        <v>754</v>
      </c>
      <c r="D83" s="109" t="s">
        <v>600</v>
      </c>
      <c r="E83" s="109" t="s">
        <v>25</v>
      </c>
      <c r="F83" s="110">
        <v>2233</v>
      </c>
      <c r="G83" s="110">
        <v>307</v>
      </c>
      <c r="H83" s="110">
        <v>273</v>
      </c>
    </row>
    <row r="84" spans="3:8" x14ac:dyDescent="0.2">
      <c r="C84" s="109" t="s">
        <v>756</v>
      </c>
      <c r="D84" s="109" t="s">
        <v>600</v>
      </c>
      <c r="E84" s="109" t="s">
        <v>24</v>
      </c>
      <c r="F84" s="110">
        <v>2635</v>
      </c>
      <c r="G84" s="110">
        <v>326</v>
      </c>
      <c r="H84" s="110">
        <v>219</v>
      </c>
    </row>
    <row r="85" spans="3:8" x14ac:dyDescent="0.2">
      <c r="C85" s="109" t="s">
        <v>754</v>
      </c>
      <c r="D85" s="109" t="s">
        <v>585</v>
      </c>
      <c r="E85" s="109" t="s">
        <v>24</v>
      </c>
      <c r="F85" s="110">
        <v>842</v>
      </c>
      <c r="G85" s="110">
        <v>513</v>
      </c>
      <c r="H85" s="110">
        <v>179</v>
      </c>
    </row>
    <row r="86" spans="3:8" x14ac:dyDescent="0.2">
      <c r="C86" s="109" t="s">
        <v>754</v>
      </c>
      <c r="D86" s="109" t="s">
        <v>600</v>
      </c>
      <c r="E86" s="109" t="s">
        <v>25</v>
      </c>
      <c r="F86" s="110">
        <v>3240</v>
      </c>
      <c r="G86" s="110">
        <v>204</v>
      </c>
      <c r="H86" s="110">
        <v>221</v>
      </c>
    </row>
    <row r="87" spans="3:8" x14ac:dyDescent="0.2">
      <c r="C87" s="109" t="s">
        <v>754</v>
      </c>
      <c r="D87" s="109" t="s">
        <v>707</v>
      </c>
      <c r="E87" s="109" t="s">
        <v>24</v>
      </c>
      <c r="F87" s="110">
        <v>2368</v>
      </c>
      <c r="G87" s="110">
        <v>378</v>
      </c>
      <c r="H87" s="110">
        <v>195</v>
      </c>
    </row>
    <row r="88" spans="3:8" x14ac:dyDescent="0.2">
      <c r="C88" s="109" t="s">
        <v>754</v>
      </c>
      <c r="D88" s="109" t="s">
        <v>585</v>
      </c>
      <c r="E88" s="109" t="s">
        <v>25</v>
      </c>
      <c r="F88" s="110">
        <v>1189</v>
      </c>
      <c r="G88" s="110">
        <v>298</v>
      </c>
      <c r="H88" s="110">
        <v>177</v>
      </c>
    </row>
    <row r="89" spans="3:8" x14ac:dyDescent="0.2">
      <c r="C89" s="109" t="s">
        <v>755</v>
      </c>
      <c r="D89" s="109" t="s">
        <v>585</v>
      </c>
      <c r="E89" s="109" t="s">
        <v>25</v>
      </c>
      <c r="F89" s="110">
        <v>3914</v>
      </c>
      <c r="G89" s="110">
        <v>343</v>
      </c>
      <c r="H89" s="110">
        <v>106</v>
      </c>
    </row>
    <row r="90" spans="3:8" x14ac:dyDescent="0.2">
      <c r="C90" s="109" t="s">
        <v>756</v>
      </c>
      <c r="D90" s="109" t="s">
        <v>600</v>
      </c>
      <c r="E90" s="109" t="s">
        <v>24</v>
      </c>
      <c r="F90" s="110">
        <v>2827</v>
      </c>
      <c r="G90" s="110">
        <v>315</v>
      </c>
      <c r="H90" s="110">
        <v>311</v>
      </c>
    </row>
    <row r="91" spans="3:8" x14ac:dyDescent="0.2">
      <c r="C91" s="109" t="s">
        <v>754</v>
      </c>
      <c r="D91" s="109" t="s">
        <v>585</v>
      </c>
      <c r="E91" s="109" t="s">
        <v>25</v>
      </c>
      <c r="F91" s="110">
        <v>2067</v>
      </c>
      <c r="G91" s="110">
        <v>294</v>
      </c>
      <c r="H91" s="110">
        <v>222</v>
      </c>
    </row>
    <row r="92" spans="3:8" x14ac:dyDescent="0.2">
      <c r="C92" s="109" t="s">
        <v>756</v>
      </c>
      <c r="D92" s="109" t="s">
        <v>707</v>
      </c>
      <c r="E92" s="109" t="s">
        <v>25</v>
      </c>
      <c r="F92" s="110">
        <v>3965</v>
      </c>
      <c r="G92" s="110">
        <v>345</v>
      </c>
      <c r="H92" s="110">
        <v>249</v>
      </c>
    </row>
    <row r="93" spans="3:8" x14ac:dyDescent="0.2">
      <c r="C93" s="109" t="s">
        <v>754</v>
      </c>
      <c r="D93" s="109" t="s">
        <v>707</v>
      </c>
      <c r="E93" s="109" t="s">
        <v>25</v>
      </c>
      <c r="F93" s="110">
        <v>2418</v>
      </c>
      <c r="G93" s="110">
        <v>264</v>
      </c>
      <c r="H93" s="110">
        <v>286</v>
      </c>
    </row>
    <row r="94" spans="3:8" x14ac:dyDescent="0.2">
      <c r="C94" s="109" t="s">
        <v>756</v>
      </c>
      <c r="D94" s="109" t="s">
        <v>706</v>
      </c>
      <c r="E94" s="109" t="s">
        <v>25</v>
      </c>
      <c r="F94" s="110">
        <v>2570</v>
      </c>
      <c r="G94" s="110">
        <v>314</v>
      </c>
      <c r="H94" s="110">
        <v>306</v>
      </c>
    </row>
    <row r="95" spans="3:8" x14ac:dyDescent="0.2">
      <c r="C95" s="109" t="s">
        <v>754</v>
      </c>
      <c r="D95" s="109" t="s">
        <v>585</v>
      </c>
      <c r="E95" s="109" t="s">
        <v>24</v>
      </c>
      <c r="F95" s="110">
        <v>2298</v>
      </c>
      <c r="G95" s="110">
        <v>378</v>
      </c>
      <c r="H95" s="110">
        <v>155</v>
      </c>
    </row>
    <row r="96" spans="3:8" x14ac:dyDescent="0.2">
      <c r="C96" s="109" t="s">
        <v>754</v>
      </c>
      <c r="D96" s="109" t="s">
        <v>707</v>
      </c>
      <c r="E96" s="109" t="s">
        <v>25</v>
      </c>
      <c r="F96" s="110">
        <v>1884</v>
      </c>
      <c r="G96" s="110">
        <v>455</v>
      </c>
      <c r="H96" s="110">
        <v>172</v>
      </c>
    </row>
  </sheetData>
  <mergeCells count="5">
    <mergeCell ref="B6:E6"/>
    <mergeCell ref="B2:C2"/>
    <mergeCell ref="B3:C3"/>
    <mergeCell ref="B4:C4"/>
    <mergeCell ref="B1:C1"/>
  </mergeCells>
  <hyperlinks>
    <hyperlink ref="B6:D6" location="sjabloon!A1" display="Ga naar Inhoudsopgave" xr:uid="{00000000-0004-0000-2B00-000000000000}"/>
    <hyperlink ref="B6:E6" location="Inhoud!A1" display="Ga naar Inhoudsopgave" xr:uid="{00000000-0004-0000-2B00-000001000000}"/>
  </hyperlinks>
  <pageMargins left="0.7" right="0.7" top="0.75" bottom="0.75" header="0.3" footer="0.3"/>
  <pageSetup paperSize="9" orientation="landscape"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Blad32"/>
  <dimension ref="B1:N28"/>
  <sheetViews>
    <sheetView workbookViewId="0">
      <pane xSplit="1" ySplit="6" topLeftCell="B7" activePane="bottomRight" state="frozen"/>
      <selection pane="topRight" activeCell="B1" sqref="B1"/>
      <selection pane="bottomLeft" activeCell="A5" sqref="A5"/>
      <selection pane="bottomRight" activeCell="A2" sqref="A2"/>
    </sheetView>
  </sheetViews>
  <sheetFormatPr defaultRowHeight="12.75" x14ac:dyDescent="0.2"/>
  <cols>
    <col min="1" max="2" width="3.7109375" style="4" customWidth="1"/>
    <col min="3" max="3" width="7.7109375" style="4" customWidth="1"/>
    <col min="4" max="4" width="6.7109375" style="4" bestFit="1" customWidth="1"/>
    <col min="5" max="5" width="9.7109375" style="4" customWidth="1"/>
    <col min="6" max="6" width="4.7109375" style="4" customWidth="1"/>
    <col min="7" max="7" width="9.140625" style="4"/>
    <col min="8" max="8" width="18.5703125" style="4" bestFit="1" customWidth="1"/>
    <col min="9" max="10" width="11.140625" style="4" customWidth="1"/>
    <col min="11" max="11" width="10.28515625" style="4" customWidth="1"/>
    <col min="12" max="16384" width="9.140625" style="4"/>
  </cols>
  <sheetData>
    <row r="1" spans="2:14" x14ac:dyDescent="0.2">
      <c r="B1" s="355" t="s">
        <v>1253</v>
      </c>
      <c r="C1" s="355"/>
      <c r="D1" s="316" t="s">
        <v>766</v>
      </c>
    </row>
    <row r="2" spans="2:14" x14ac:dyDescent="0.2">
      <c r="B2" s="355" t="s">
        <v>1085</v>
      </c>
      <c r="C2" s="355"/>
      <c r="D2" s="332" t="str">
        <f>VLOOKUP(D$1,TabelContent[],COLUMN(TabelContent[Titel-NL]))</f>
        <v>Gemiddeld cijfer</v>
      </c>
    </row>
    <row r="3" spans="2:14" x14ac:dyDescent="0.2">
      <c r="B3" s="355" t="s">
        <v>1086</v>
      </c>
      <c r="C3" s="355"/>
      <c r="D3" s="332" t="str">
        <f>VLOOKUP(D$1,TabelContent[],COLUMN(TabelContent[Cat-NL]))</f>
        <v>Draaitabel</v>
      </c>
    </row>
    <row r="4" spans="2:14" x14ac:dyDescent="0.2">
      <c r="B4" s="355" t="s">
        <v>1087</v>
      </c>
      <c r="C4" s="355" t="s">
        <v>1077</v>
      </c>
      <c r="D4" s="332">
        <f>VLOOKUP(D$1,TabelContent[],COLUMN(TabelContent[Niveau]))</f>
        <v>2</v>
      </c>
    </row>
    <row r="5" spans="2:14" x14ac:dyDescent="0.2">
      <c r="B5" s="16"/>
      <c r="C5" s="16"/>
      <c r="D5" s="16"/>
      <c r="E5" s="16"/>
    </row>
    <row r="6" spans="2:14" x14ac:dyDescent="0.2">
      <c r="B6" s="356" t="s">
        <v>47</v>
      </c>
      <c r="C6" s="356"/>
      <c r="D6" s="356"/>
      <c r="E6" s="356"/>
    </row>
    <row r="7" spans="2:14" x14ac:dyDescent="0.2">
      <c r="B7" s="16"/>
      <c r="C7" s="16"/>
      <c r="D7" s="16"/>
      <c r="E7" s="16"/>
    </row>
    <row r="8" spans="2:14" x14ac:dyDescent="0.2">
      <c r="B8" s="16"/>
      <c r="C8" s="23" t="s">
        <v>768</v>
      </c>
      <c r="D8" s="23" t="s">
        <v>675</v>
      </c>
      <c r="E8" s="23" t="s">
        <v>769</v>
      </c>
      <c r="F8" s="98" t="s">
        <v>784</v>
      </c>
    </row>
    <row r="9" spans="2:14" x14ac:dyDescent="0.2">
      <c r="B9" s="16"/>
      <c r="C9" s="16" t="s">
        <v>770</v>
      </c>
      <c r="D9" s="16" t="s">
        <v>771</v>
      </c>
      <c r="E9" s="16" t="s">
        <v>772</v>
      </c>
      <c r="F9" s="4">
        <v>5</v>
      </c>
    </row>
    <row r="10" spans="2:14" x14ac:dyDescent="0.2">
      <c r="B10" s="16"/>
      <c r="C10" s="16" t="s">
        <v>770</v>
      </c>
      <c r="D10" s="16" t="s">
        <v>773</v>
      </c>
      <c r="E10" s="16" t="s">
        <v>772</v>
      </c>
      <c r="F10" s="4">
        <v>6</v>
      </c>
    </row>
    <row r="11" spans="2:14" x14ac:dyDescent="0.2">
      <c r="B11" s="16"/>
      <c r="C11" s="16" t="s">
        <v>770</v>
      </c>
      <c r="D11" s="16" t="s">
        <v>774</v>
      </c>
      <c r="E11" s="16" t="s">
        <v>775</v>
      </c>
      <c r="F11" s="4">
        <v>7</v>
      </c>
      <c r="H11" s="111" t="s">
        <v>785</v>
      </c>
      <c r="I11" s="111" t="s">
        <v>769</v>
      </c>
      <c r="J11"/>
      <c r="K11"/>
      <c r="L11"/>
      <c r="M11"/>
      <c r="N11"/>
    </row>
    <row r="12" spans="2:14" x14ac:dyDescent="0.2">
      <c r="B12" s="16"/>
      <c r="C12" s="16" t="s">
        <v>770</v>
      </c>
      <c r="D12" s="16" t="s">
        <v>85</v>
      </c>
      <c r="E12" s="16" t="s">
        <v>775</v>
      </c>
      <c r="F12" s="4">
        <v>5</v>
      </c>
      <c r="H12" s="111" t="s">
        <v>768</v>
      </c>
      <c r="I12" s="4" t="s">
        <v>775</v>
      </c>
      <c r="J12" s="4" t="s">
        <v>772</v>
      </c>
      <c r="K12" s="4" t="s">
        <v>613</v>
      </c>
      <c r="L12"/>
      <c r="M12"/>
      <c r="N12"/>
    </row>
    <row r="13" spans="2:14" x14ac:dyDescent="0.2">
      <c r="B13" s="16"/>
      <c r="C13" s="16" t="s">
        <v>770</v>
      </c>
      <c r="D13" s="16" t="s">
        <v>776</v>
      </c>
      <c r="E13" s="16" t="s">
        <v>772</v>
      </c>
      <c r="F13" s="4">
        <v>7</v>
      </c>
      <c r="H13" s="4" t="s">
        <v>770</v>
      </c>
      <c r="I13" s="113">
        <v>6</v>
      </c>
      <c r="J13" s="113">
        <v>6.75</v>
      </c>
      <c r="K13" s="113">
        <v>6.5</v>
      </c>
      <c r="L13"/>
      <c r="M13"/>
      <c r="N13"/>
    </row>
    <row r="14" spans="2:14" x14ac:dyDescent="0.2">
      <c r="B14" s="16"/>
      <c r="C14" s="16" t="s">
        <v>770</v>
      </c>
      <c r="D14" s="16" t="s">
        <v>777</v>
      </c>
      <c r="E14" s="16" t="s">
        <v>772</v>
      </c>
      <c r="F14" s="4">
        <v>9</v>
      </c>
      <c r="H14" s="4" t="s">
        <v>778</v>
      </c>
      <c r="I14" s="113">
        <v>6.333333333333333</v>
      </c>
      <c r="J14" s="113">
        <v>6.5</v>
      </c>
      <c r="K14" s="113">
        <v>6.4</v>
      </c>
      <c r="L14"/>
      <c r="M14"/>
      <c r="N14"/>
    </row>
    <row r="15" spans="2:14" x14ac:dyDescent="0.2">
      <c r="B15" s="16"/>
      <c r="C15" s="16" t="s">
        <v>778</v>
      </c>
      <c r="D15" s="16" t="s">
        <v>779</v>
      </c>
      <c r="E15" s="16" t="s">
        <v>772</v>
      </c>
      <c r="F15" s="4">
        <v>6</v>
      </c>
      <c r="H15" s="4" t="s">
        <v>613</v>
      </c>
      <c r="I15" s="113">
        <v>6.2</v>
      </c>
      <c r="J15" s="113">
        <v>6.666666666666667</v>
      </c>
      <c r="K15" s="113">
        <v>6.4545454545454541</v>
      </c>
      <c r="L15"/>
      <c r="M15"/>
      <c r="N15"/>
    </row>
    <row r="16" spans="2:14" x14ac:dyDescent="0.2">
      <c r="C16" s="4" t="s">
        <v>778</v>
      </c>
      <c r="D16" s="4" t="s">
        <v>780</v>
      </c>
      <c r="E16" s="4" t="s">
        <v>775</v>
      </c>
      <c r="F16" s="4">
        <v>6</v>
      </c>
      <c r="H16"/>
      <c r="I16"/>
      <c r="J16"/>
      <c r="K16"/>
      <c r="L16"/>
      <c r="M16"/>
      <c r="N16"/>
    </row>
    <row r="17" spans="3:14" x14ac:dyDescent="0.2">
      <c r="C17" s="4" t="s">
        <v>778</v>
      </c>
      <c r="D17" s="4" t="s">
        <v>781</v>
      </c>
      <c r="E17" s="4" t="s">
        <v>772</v>
      </c>
      <c r="F17" s="4">
        <v>7</v>
      </c>
      <c r="H17"/>
      <c r="I17"/>
      <c r="J17"/>
      <c r="K17"/>
      <c r="L17"/>
      <c r="M17"/>
      <c r="N17"/>
    </row>
    <row r="18" spans="3:14" x14ac:dyDescent="0.2">
      <c r="C18" s="4" t="s">
        <v>778</v>
      </c>
      <c r="D18" s="4" t="s">
        <v>782</v>
      </c>
      <c r="E18" s="4" t="s">
        <v>775</v>
      </c>
      <c r="F18" s="4">
        <v>8</v>
      </c>
      <c r="H18"/>
      <c r="I18"/>
      <c r="J18"/>
      <c r="K18"/>
      <c r="L18"/>
      <c r="M18"/>
      <c r="N18"/>
    </row>
    <row r="19" spans="3:14" x14ac:dyDescent="0.2">
      <c r="C19" s="4" t="s">
        <v>778</v>
      </c>
      <c r="D19" s="4" t="s">
        <v>783</v>
      </c>
      <c r="E19" s="4" t="s">
        <v>775</v>
      </c>
      <c r="F19" s="4">
        <v>5</v>
      </c>
      <c r="H19"/>
      <c r="I19"/>
      <c r="J19"/>
      <c r="K19"/>
      <c r="L19"/>
      <c r="M19"/>
      <c r="N19"/>
    </row>
    <row r="20" spans="3:14" x14ac:dyDescent="0.2">
      <c r="H20"/>
      <c r="I20"/>
      <c r="J20"/>
      <c r="K20"/>
      <c r="L20"/>
      <c r="M20"/>
      <c r="N20"/>
    </row>
    <row r="21" spans="3:14" x14ac:dyDescent="0.2">
      <c r="H21"/>
      <c r="I21"/>
      <c r="J21"/>
      <c r="K21"/>
      <c r="L21"/>
      <c r="M21"/>
      <c r="N21"/>
    </row>
    <row r="22" spans="3:14" x14ac:dyDescent="0.2">
      <c r="H22"/>
      <c r="I22"/>
      <c r="J22"/>
      <c r="K22"/>
      <c r="L22"/>
      <c r="M22"/>
      <c r="N22"/>
    </row>
    <row r="23" spans="3:14" x14ac:dyDescent="0.2">
      <c r="H23"/>
      <c r="I23"/>
      <c r="J23"/>
      <c r="K23"/>
      <c r="L23"/>
      <c r="M23"/>
      <c r="N23"/>
    </row>
    <row r="24" spans="3:14" x14ac:dyDescent="0.2">
      <c r="H24"/>
      <c r="I24"/>
      <c r="J24"/>
      <c r="K24"/>
      <c r="L24"/>
      <c r="M24"/>
      <c r="N24"/>
    </row>
    <row r="25" spans="3:14" x14ac:dyDescent="0.2">
      <c r="H25"/>
      <c r="I25"/>
      <c r="J25"/>
    </row>
    <row r="26" spans="3:14" x14ac:dyDescent="0.2">
      <c r="H26"/>
      <c r="I26"/>
      <c r="J26"/>
    </row>
    <row r="27" spans="3:14" x14ac:dyDescent="0.2">
      <c r="H27"/>
      <c r="I27"/>
      <c r="J27"/>
    </row>
    <row r="28" spans="3:14" x14ac:dyDescent="0.2">
      <c r="H28"/>
      <c r="I28"/>
      <c r="J28"/>
    </row>
  </sheetData>
  <mergeCells count="5">
    <mergeCell ref="B6:E6"/>
    <mergeCell ref="B2:C2"/>
    <mergeCell ref="B3:C3"/>
    <mergeCell ref="B4:C4"/>
    <mergeCell ref="B1:C1"/>
  </mergeCells>
  <hyperlinks>
    <hyperlink ref="B6:D6" location="sjabloon!A1" display="Ga naar Inhoudsopgave" xr:uid="{00000000-0004-0000-2C00-000000000000}"/>
    <hyperlink ref="B6:E6" location="Inhoud!A1" display="Ga naar Inhoudsopgave" xr:uid="{00000000-0004-0000-2C00-000001000000}"/>
  </hyperlinks>
  <pageMargins left="0.7" right="0.7" top="0.75" bottom="0.75" header="0.3" footer="0.3"/>
  <pageSetup paperSize="9" orientation="landscape"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Blad33"/>
  <dimension ref="B1:I2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2.42578125" style="4" bestFit="1" customWidth="1"/>
    <col min="5" max="5" width="5.85546875" style="4" bestFit="1" customWidth="1"/>
    <col min="6" max="6" width="9.140625" style="4"/>
    <col min="7" max="7" width="10.28515625" style="4" customWidth="1"/>
    <col min="8" max="8" width="7.140625" style="4" customWidth="1"/>
    <col min="9" max="16384" width="9.140625" style="4"/>
  </cols>
  <sheetData>
    <row r="1" spans="2:9" x14ac:dyDescent="0.2">
      <c r="B1" s="355" t="s">
        <v>1253</v>
      </c>
      <c r="C1" s="355"/>
      <c r="D1" s="316" t="s">
        <v>767</v>
      </c>
    </row>
    <row r="2" spans="2:9" x14ac:dyDescent="0.2">
      <c r="B2" s="355" t="s">
        <v>1085</v>
      </c>
      <c r="C2" s="355"/>
      <c r="D2" s="332" t="str">
        <f>VLOOKUP(D$1,TabelContent[],COLUMN(TabelContent[Titel-NL]))</f>
        <v>Frequentieverdeling</v>
      </c>
    </row>
    <row r="3" spans="2:9" x14ac:dyDescent="0.2">
      <c r="B3" s="355" t="s">
        <v>1086</v>
      </c>
      <c r="C3" s="355"/>
      <c r="D3" s="332" t="str">
        <f>VLOOKUP(D$1,TabelContent[],COLUMN(TabelContent[Cat-NL]))</f>
        <v>Draaitabel</v>
      </c>
    </row>
    <row r="4" spans="2:9" x14ac:dyDescent="0.2">
      <c r="B4" s="355" t="s">
        <v>1087</v>
      </c>
      <c r="C4" s="355" t="s">
        <v>1077</v>
      </c>
      <c r="D4" s="332">
        <f>VLOOKUP(D$1,TabelContent[],COLUMN(TabelContent[Niveau]))</f>
        <v>2</v>
      </c>
    </row>
    <row r="5" spans="2:9" x14ac:dyDescent="0.2">
      <c r="B5" s="16"/>
      <c r="C5" s="16"/>
      <c r="D5" s="16"/>
      <c r="E5" s="16"/>
    </row>
    <row r="6" spans="2:9" x14ac:dyDescent="0.2">
      <c r="B6" s="356" t="s">
        <v>47</v>
      </c>
      <c r="C6" s="356"/>
      <c r="D6" s="356"/>
      <c r="E6" s="356"/>
    </row>
    <row r="7" spans="2:9" x14ac:dyDescent="0.2">
      <c r="B7" s="16"/>
      <c r="C7" s="16"/>
      <c r="D7" s="16"/>
      <c r="E7" s="16"/>
    </row>
    <row r="8" spans="2:9" x14ac:dyDescent="0.2">
      <c r="B8" s="16"/>
      <c r="C8" s="23" t="s">
        <v>373</v>
      </c>
      <c r="D8" s="23" t="s">
        <v>372</v>
      </c>
      <c r="E8" s="23" t="s">
        <v>786</v>
      </c>
    </row>
    <row r="9" spans="2:9" x14ac:dyDescent="0.2">
      <c r="B9" s="16"/>
      <c r="C9" s="16" t="s">
        <v>83</v>
      </c>
      <c r="D9" s="16" t="s">
        <v>84</v>
      </c>
      <c r="E9" s="16">
        <v>3</v>
      </c>
    </row>
    <row r="10" spans="2:9" x14ac:dyDescent="0.2">
      <c r="B10" s="16"/>
      <c r="C10" s="16" t="s">
        <v>85</v>
      </c>
      <c r="D10" s="16" t="s">
        <v>86</v>
      </c>
      <c r="E10" s="16">
        <v>6</v>
      </c>
    </row>
    <row r="11" spans="2:9" x14ac:dyDescent="0.2">
      <c r="B11" s="16"/>
      <c r="C11" s="16" t="s">
        <v>87</v>
      </c>
      <c r="D11" s="16" t="s">
        <v>88</v>
      </c>
      <c r="E11" s="16">
        <v>4</v>
      </c>
      <c r="G11" s="111" t="s">
        <v>1170</v>
      </c>
      <c r="H11" s="99" t="s">
        <v>688</v>
      </c>
      <c r="I11"/>
    </row>
    <row r="12" spans="2:9" x14ac:dyDescent="0.2">
      <c r="B12" s="16"/>
      <c r="C12" s="16" t="s">
        <v>89</v>
      </c>
      <c r="D12" s="16" t="s">
        <v>90</v>
      </c>
      <c r="E12" s="16">
        <v>6</v>
      </c>
      <c r="G12" s="114">
        <v>3</v>
      </c>
      <c r="H12" s="115">
        <v>1</v>
      </c>
      <c r="I12"/>
    </row>
    <row r="13" spans="2:9" x14ac:dyDescent="0.2">
      <c r="B13" s="16"/>
      <c r="C13" s="16" t="s">
        <v>91</v>
      </c>
      <c r="D13" s="16" t="s">
        <v>92</v>
      </c>
      <c r="E13" s="16">
        <v>7</v>
      </c>
      <c r="G13" s="114">
        <v>4</v>
      </c>
      <c r="H13" s="115">
        <v>2</v>
      </c>
      <c r="I13"/>
    </row>
    <row r="14" spans="2:9" x14ac:dyDescent="0.2">
      <c r="B14" s="16"/>
      <c r="C14" s="16" t="s">
        <v>93</v>
      </c>
      <c r="D14" s="16" t="s">
        <v>94</v>
      </c>
      <c r="E14" s="16">
        <v>6</v>
      </c>
      <c r="G14" s="114">
        <v>6</v>
      </c>
      <c r="H14" s="115">
        <v>3</v>
      </c>
      <c r="I14"/>
    </row>
    <row r="15" spans="2:9" x14ac:dyDescent="0.2">
      <c r="B15" s="16"/>
      <c r="C15" s="16" t="s">
        <v>95</v>
      </c>
      <c r="D15" s="16" t="s">
        <v>96</v>
      </c>
      <c r="E15" s="16">
        <v>7</v>
      </c>
      <c r="G15" s="114">
        <v>7</v>
      </c>
      <c r="H15" s="115">
        <v>2</v>
      </c>
      <c r="I15"/>
    </row>
    <row r="16" spans="2:9" x14ac:dyDescent="0.2">
      <c r="C16" s="4" t="s">
        <v>104</v>
      </c>
      <c r="D16" s="4" t="s">
        <v>787</v>
      </c>
      <c r="E16" s="4">
        <v>9</v>
      </c>
      <c r="G16" s="114">
        <v>9</v>
      </c>
      <c r="H16" s="115">
        <v>1</v>
      </c>
      <c r="I16"/>
    </row>
    <row r="17" spans="3:9" x14ac:dyDescent="0.2">
      <c r="C17" s="4" t="s">
        <v>108</v>
      </c>
      <c r="D17" s="4" t="s">
        <v>788</v>
      </c>
      <c r="E17" s="4">
        <v>4</v>
      </c>
      <c r="G17" s="114" t="s">
        <v>613</v>
      </c>
      <c r="H17" s="115">
        <v>9</v>
      </c>
      <c r="I17"/>
    </row>
    <row r="18" spans="3:9" x14ac:dyDescent="0.2">
      <c r="G18"/>
      <c r="H18"/>
      <c r="I18"/>
    </row>
    <row r="19" spans="3:9" x14ac:dyDescent="0.2">
      <c r="G19"/>
      <c r="H19"/>
      <c r="I19"/>
    </row>
    <row r="20" spans="3:9" x14ac:dyDescent="0.2">
      <c r="G20"/>
      <c r="H20"/>
      <c r="I20"/>
    </row>
    <row r="21" spans="3:9" x14ac:dyDescent="0.2">
      <c r="G21"/>
      <c r="H21"/>
      <c r="I21"/>
    </row>
    <row r="22" spans="3:9" x14ac:dyDescent="0.2">
      <c r="G22"/>
      <c r="H22"/>
      <c r="I22"/>
    </row>
    <row r="23" spans="3:9" x14ac:dyDescent="0.2">
      <c r="G23"/>
      <c r="H23"/>
      <c r="I23"/>
    </row>
    <row r="24" spans="3:9" x14ac:dyDescent="0.2">
      <c r="G24"/>
      <c r="H24"/>
      <c r="I24"/>
    </row>
    <row r="25" spans="3:9" x14ac:dyDescent="0.2">
      <c r="G25"/>
      <c r="H25"/>
      <c r="I25"/>
    </row>
    <row r="26" spans="3:9" x14ac:dyDescent="0.2">
      <c r="G26"/>
      <c r="H26"/>
      <c r="I26"/>
    </row>
    <row r="27" spans="3:9" x14ac:dyDescent="0.2">
      <c r="G27"/>
      <c r="H27"/>
      <c r="I27"/>
    </row>
    <row r="28" spans="3:9" x14ac:dyDescent="0.2">
      <c r="G28"/>
      <c r="H28"/>
      <c r="I28"/>
    </row>
  </sheetData>
  <mergeCells count="5">
    <mergeCell ref="B6:E6"/>
    <mergeCell ref="B2:C2"/>
    <mergeCell ref="B3:C3"/>
    <mergeCell ref="B4:C4"/>
    <mergeCell ref="B1:C1"/>
  </mergeCells>
  <hyperlinks>
    <hyperlink ref="B6:D6" location="sjabloon!A1" display="Ga naar Inhoudsopgave" xr:uid="{00000000-0004-0000-2D00-000000000000}"/>
    <hyperlink ref="B6:E6" location="Inhoud!A1" display="Ga naar Inhoudsopgave" xr:uid="{00000000-0004-0000-2D00-000001000000}"/>
  </hyperlinks>
  <pageMargins left="0.7" right="0.7" top="0.75" bottom="0.75" header="0.3" footer="0.3"/>
  <pageSetup paperSize="9" orientation="landscape"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Blad34"/>
  <dimension ref="B1:N2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2.5703125" style="4" customWidth="1"/>
    <col min="5" max="5" width="5" style="4" bestFit="1" customWidth="1"/>
    <col min="6" max="6" width="9.28515625" style="4" bestFit="1" customWidth="1"/>
    <col min="7" max="7" width="6" style="4" bestFit="1" customWidth="1"/>
    <col min="8" max="8" width="9.140625" style="4"/>
    <col min="9" max="9" width="18.5703125" style="4" bestFit="1" customWidth="1"/>
    <col min="10" max="13" width="10.140625" style="4" customWidth="1"/>
    <col min="14" max="14" width="10.28515625" style="4" bestFit="1" customWidth="1"/>
    <col min="15" max="16384" width="9.140625" style="4"/>
  </cols>
  <sheetData>
    <row r="1" spans="2:14" x14ac:dyDescent="0.2">
      <c r="B1" s="355" t="s">
        <v>1253</v>
      </c>
      <c r="C1" s="355"/>
      <c r="D1" s="316" t="s">
        <v>794</v>
      </c>
    </row>
    <row r="2" spans="2:14" x14ac:dyDescent="0.2">
      <c r="B2" s="355" t="s">
        <v>1085</v>
      </c>
      <c r="C2" s="355"/>
      <c r="D2" s="332" t="str">
        <f>VLOOKUP(D$1,TabelContent[],COLUMN(TabelContent[Titel-NL]))</f>
        <v>Kledingverkoop per regio</v>
      </c>
    </row>
    <row r="3" spans="2:14" x14ac:dyDescent="0.2">
      <c r="B3" s="355" t="s">
        <v>1086</v>
      </c>
      <c r="C3" s="355"/>
      <c r="D3" s="332" t="str">
        <f>VLOOKUP(D$1,TabelContent[],COLUMN(TabelContent[Cat-NL]))</f>
        <v>Draaitabel</v>
      </c>
    </row>
    <row r="4" spans="2:14" x14ac:dyDescent="0.2">
      <c r="B4" s="355" t="s">
        <v>1087</v>
      </c>
      <c r="C4" s="355" t="s">
        <v>1077</v>
      </c>
      <c r="D4" s="332">
        <f>VLOOKUP(D$1,TabelContent[],COLUMN(TabelContent[Niveau]))</f>
        <v>2</v>
      </c>
    </row>
    <row r="5" spans="2:14" x14ac:dyDescent="0.2">
      <c r="B5" s="16"/>
      <c r="C5" s="16"/>
      <c r="D5" s="16"/>
      <c r="E5" s="16"/>
    </row>
    <row r="6" spans="2:14" x14ac:dyDescent="0.2">
      <c r="B6" s="356" t="s">
        <v>47</v>
      </c>
      <c r="C6" s="356"/>
      <c r="D6" s="356"/>
      <c r="E6" s="356"/>
    </row>
    <row r="7" spans="2:14" s="116" customFormat="1" ht="11.25" x14ac:dyDescent="0.15">
      <c r="B7" s="51"/>
      <c r="C7" s="51"/>
      <c r="D7" s="51"/>
      <c r="E7" s="51"/>
    </row>
    <row r="8" spans="2:14" s="116" customFormat="1" ht="11.25" x14ac:dyDescent="0.15">
      <c r="D8" s="117" t="s">
        <v>789</v>
      </c>
      <c r="E8" s="117" t="s">
        <v>53</v>
      </c>
      <c r="F8" s="117" t="s">
        <v>366</v>
      </c>
      <c r="G8" s="117" t="s">
        <v>750</v>
      </c>
    </row>
    <row r="9" spans="2:14" s="116" customFormat="1" ht="11.25" x14ac:dyDescent="0.15">
      <c r="D9" s="116" t="s">
        <v>790</v>
      </c>
      <c r="E9" s="116">
        <v>2009</v>
      </c>
      <c r="F9" s="118">
        <v>7700</v>
      </c>
      <c r="G9" s="116" t="s">
        <v>585</v>
      </c>
    </row>
    <row r="10" spans="2:14" s="116" customFormat="1" x14ac:dyDescent="0.2">
      <c r="D10" s="116" t="s">
        <v>790</v>
      </c>
      <c r="E10" s="116">
        <v>2009</v>
      </c>
      <c r="F10" s="118">
        <v>2970</v>
      </c>
      <c r="G10" s="116" t="s">
        <v>707</v>
      </c>
      <c r="I10" s="111" t="s">
        <v>792</v>
      </c>
      <c r="J10"/>
      <c r="K10"/>
      <c r="L10"/>
      <c r="M10"/>
      <c r="N10"/>
    </row>
    <row r="11" spans="2:14" s="116" customFormat="1" x14ac:dyDescent="0.2">
      <c r="D11" s="116" t="s">
        <v>790</v>
      </c>
      <c r="E11" s="116">
        <v>2009</v>
      </c>
      <c r="F11" s="118">
        <v>8180</v>
      </c>
      <c r="G11" s="116" t="s">
        <v>706</v>
      </c>
      <c r="I11"/>
      <c r="J11" s="4" t="s">
        <v>585</v>
      </c>
      <c r="K11" s="4" t="s">
        <v>707</v>
      </c>
      <c r="L11" s="4" t="s">
        <v>600</v>
      </c>
      <c r="M11" s="4" t="s">
        <v>706</v>
      </c>
      <c r="N11" s="4" t="s">
        <v>613</v>
      </c>
    </row>
    <row r="12" spans="2:14" s="116" customFormat="1" x14ac:dyDescent="0.2">
      <c r="D12" s="116" t="s">
        <v>790</v>
      </c>
      <c r="E12" s="116">
        <v>2009</v>
      </c>
      <c r="F12" s="118">
        <v>4460</v>
      </c>
      <c r="G12" s="116" t="s">
        <v>600</v>
      </c>
      <c r="I12" s="114">
        <v>2009</v>
      </c>
      <c r="J12" s="112">
        <v>10610</v>
      </c>
      <c r="K12" s="112">
        <v>7910</v>
      </c>
      <c r="L12" s="112">
        <v>4920</v>
      </c>
      <c r="M12" s="112">
        <v>10930</v>
      </c>
      <c r="N12" s="112">
        <v>34370</v>
      </c>
    </row>
    <row r="13" spans="2:14" s="116" customFormat="1" x14ac:dyDescent="0.2">
      <c r="D13" s="116" t="s">
        <v>791</v>
      </c>
      <c r="E13" s="116">
        <v>2009</v>
      </c>
      <c r="F13" s="118">
        <v>2910</v>
      </c>
      <c r="G13" s="116" t="s">
        <v>585</v>
      </c>
      <c r="I13" s="284" t="s">
        <v>791</v>
      </c>
      <c r="J13" s="112">
        <v>2910</v>
      </c>
      <c r="K13" s="112">
        <v>4940</v>
      </c>
      <c r="L13" s="112">
        <v>460</v>
      </c>
      <c r="M13" s="112">
        <v>2750</v>
      </c>
      <c r="N13" s="112">
        <v>11060</v>
      </c>
    </row>
    <row r="14" spans="2:14" s="116" customFormat="1" x14ac:dyDescent="0.2">
      <c r="D14" s="116" t="s">
        <v>791</v>
      </c>
      <c r="E14" s="116">
        <v>2009</v>
      </c>
      <c r="F14" s="118">
        <v>4940</v>
      </c>
      <c r="G14" s="116" t="s">
        <v>707</v>
      </c>
      <c r="I14" s="284" t="s">
        <v>790</v>
      </c>
      <c r="J14" s="112">
        <v>7700</v>
      </c>
      <c r="K14" s="112">
        <v>2970</v>
      </c>
      <c r="L14" s="112">
        <v>4460</v>
      </c>
      <c r="M14" s="112">
        <v>8180</v>
      </c>
      <c r="N14" s="112">
        <v>23310</v>
      </c>
    </row>
    <row r="15" spans="2:14" s="116" customFormat="1" x14ac:dyDescent="0.2">
      <c r="D15" s="116" t="s">
        <v>791</v>
      </c>
      <c r="E15" s="116">
        <v>2009</v>
      </c>
      <c r="F15" s="118">
        <v>2750</v>
      </c>
      <c r="G15" s="116" t="s">
        <v>706</v>
      </c>
      <c r="I15" s="114">
        <v>2010</v>
      </c>
      <c r="J15" s="112">
        <v>4460</v>
      </c>
      <c r="K15" s="112">
        <v>14360</v>
      </c>
      <c r="L15" s="112">
        <v>11950</v>
      </c>
      <c r="M15" s="112">
        <v>10390</v>
      </c>
      <c r="N15" s="112">
        <v>41160</v>
      </c>
    </row>
    <row r="16" spans="2:14" s="116" customFormat="1" x14ac:dyDescent="0.2">
      <c r="D16" s="116" t="s">
        <v>791</v>
      </c>
      <c r="E16" s="116">
        <v>2009</v>
      </c>
      <c r="F16" s="118">
        <v>460</v>
      </c>
      <c r="G16" s="116" t="s">
        <v>600</v>
      </c>
      <c r="I16" s="284" t="s">
        <v>791</v>
      </c>
      <c r="J16" s="112">
        <v>3650</v>
      </c>
      <c r="K16" s="112">
        <v>5590</v>
      </c>
      <c r="L16" s="112">
        <v>4890</v>
      </c>
      <c r="M16" s="112">
        <v>7630</v>
      </c>
      <c r="N16" s="112">
        <v>21760</v>
      </c>
    </row>
    <row r="17" spans="4:14" s="116" customFormat="1" x14ac:dyDescent="0.2">
      <c r="D17" s="116" t="s">
        <v>790</v>
      </c>
      <c r="E17" s="116">
        <v>2010</v>
      </c>
      <c r="F17" s="118">
        <v>810</v>
      </c>
      <c r="G17" s="116" t="s">
        <v>585</v>
      </c>
      <c r="I17" s="284" t="s">
        <v>790</v>
      </c>
      <c r="J17" s="112">
        <v>810</v>
      </c>
      <c r="K17" s="112">
        <v>8770</v>
      </c>
      <c r="L17" s="112">
        <v>7060</v>
      </c>
      <c r="M17" s="112">
        <v>2760</v>
      </c>
      <c r="N17" s="112">
        <v>19400</v>
      </c>
    </row>
    <row r="18" spans="4:14" s="116" customFormat="1" x14ac:dyDescent="0.2">
      <c r="D18" s="116" t="s">
        <v>790</v>
      </c>
      <c r="E18" s="116">
        <v>2010</v>
      </c>
      <c r="F18" s="118">
        <v>8770</v>
      </c>
      <c r="G18" s="116" t="s">
        <v>707</v>
      </c>
      <c r="I18" s="114" t="s">
        <v>613</v>
      </c>
      <c r="J18" s="112">
        <v>15070</v>
      </c>
      <c r="K18" s="112">
        <v>22270</v>
      </c>
      <c r="L18" s="112">
        <v>16870</v>
      </c>
      <c r="M18" s="112">
        <v>21320</v>
      </c>
      <c r="N18" s="112">
        <v>75530</v>
      </c>
    </row>
    <row r="19" spans="4:14" s="116" customFormat="1" x14ac:dyDescent="0.2">
      <c r="D19" s="116" t="s">
        <v>790</v>
      </c>
      <c r="E19" s="116">
        <v>2010</v>
      </c>
      <c r="F19" s="118">
        <v>2760</v>
      </c>
      <c r="G19" s="116" t="s">
        <v>706</v>
      </c>
      <c r="I19"/>
      <c r="J19"/>
      <c r="K19"/>
    </row>
    <row r="20" spans="4:14" s="116" customFormat="1" x14ac:dyDescent="0.2">
      <c r="D20" s="116" t="s">
        <v>790</v>
      </c>
      <c r="E20" s="116">
        <v>2010</v>
      </c>
      <c r="F20" s="118">
        <v>7060</v>
      </c>
      <c r="G20" s="116" t="s">
        <v>600</v>
      </c>
      <c r="I20"/>
      <c r="J20"/>
      <c r="K20"/>
    </row>
    <row r="21" spans="4:14" s="116" customFormat="1" x14ac:dyDescent="0.2">
      <c r="D21" s="116" t="s">
        <v>791</v>
      </c>
      <c r="E21" s="116">
        <v>2010</v>
      </c>
      <c r="F21" s="118">
        <v>3650</v>
      </c>
      <c r="G21" s="116" t="s">
        <v>585</v>
      </c>
      <c r="I21"/>
      <c r="J21"/>
      <c r="K21"/>
    </row>
    <row r="22" spans="4:14" s="116" customFormat="1" x14ac:dyDescent="0.2">
      <c r="D22" s="116" t="s">
        <v>791</v>
      </c>
      <c r="E22" s="116">
        <v>2010</v>
      </c>
      <c r="F22" s="118">
        <v>5590</v>
      </c>
      <c r="G22" s="116" t="s">
        <v>707</v>
      </c>
      <c r="I22"/>
      <c r="J22"/>
      <c r="K22"/>
    </row>
    <row r="23" spans="4:14" s="116" customFormat="1" x14ac:dyDescent="0.2">
      <c r="D23" s="116" t="s">
        <v>791</v>
      </c>
      <c r="E23" s="116">
        <v>2010</v>
      </c>
      <c r="F23" s="118">
        <v>7630</v>
      </c>
      <c r="G23" s="116" t="s">
        <v>706</v>
      </c>
      <c r="I23"/>
      <c r="J23"/>
      <c r="K23"/>
    </row>
    <row r="24" spans="4:14" s="116" customFormat="1" x14ac:dyDescent="0.2">
      <c r="D24" s="116" t="s">
        <v>791</v>
      </c>
      <c r="E24" s="116">
        <v>2010</v>
      </c>
      <c r="F24" s="118">
        <v>4890</v>
      </c>
      <c r="G24" s="116" t="s">
        <v>600</v>
      </c>
      <c r="I24"/>
      <c r="J24"/>
      <c r="K24"/>
    </row>
    <row r="25" spans="4:14" s="116" customFormat="1" x14ac:dyDescent="0.2">
      <c r="I25"/>
      <c r="J25"/>
      <c r="K25"/>
    </row>
    <row r="26" spans="4:14" x14ac:dyDescent="0.2">
      <c r="I26"/>
      <c r="J26"/>
      <c r="K26"/>
    </row>
    <row r="27" spans="4:14" x14ac:dyDescent="0.2">
      <c r="I27"/>
      <c r="J27"/>
      <c r="K27"/>
    </row>
  </sheetData>
  <mergeCells count="5">
    <mergeCell ref="B6:E6"/>
    <mergeCell ref="B2:C2"/>
    <mergeCell ref="B3:C3"/>
    <mergeCell ref="B4:C4"/>
    <mergeCell ref="B1:C1"/>
  </mergeCells>
  <hyperlinks>
    <hyperlink ref="B6:D6" location="sjabloon!A1" display="Ga naar Inhoudsopgave" xr:uid="{00000000-0004-0000-2E00-000000000000}"/>
    <hyperlink ref="B6:E6" location="Inhoud!A1" display="Ga naar Inhoudsopgave" xr:uid="{00000000-0004-0000-2E00-000001000000}"/>
  </hyperlinks>
  <pageMargins left="0.7" right="0.7" top="0.75" bottom="0.75" header="0.3" footer="0.3"/>
  <pageSetup paperSize="9" orientation="landscape"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Blad35"/>
  <dimension ref="B1:L2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8.28515625" style="4" bestFit="1" customWidth="1"/>
    <col min="5" max="5" width="7.140625" style="4" bestFit="1" customWidth="1"/>
    <col min="6" max="6" width="11.140625" style="4" bestFit="1" customWidth="1"/>
    <col min="7" max="7" width="9.140625" style="4"/>
    <col min="8" max="8" width="23" style="4" bestFit="1" customWidth="1"/>
    <col min="9" max="9" width="11.140625" style="4" customWidth="1"/>
    <col min="10" max="10" width="14.140625" style="4" customWidth="1"/>
    <col min="11" max="11" width="14.140625" style="4" bestFit="1" customWidth="1"/>
    <col min="12" max="12" width="10.28515625" style="4" bestFit="1" customWidth="1"/>
    <col min="13" max="16384" width="9.140625" style="4"/>
  </cols>
  <sheetData>
    <row r="1" spans="2:12" x14ac:dyDescent="0.2">
      <c r="B1" s="355" t="s">
        <v>1253</v>
      </c>
      <c r="C1" s="355"/>
      <c r="D1" s="316" t="s">
        <v>805</v>
      </c>
    </row>
    <row r="2" spans="2:12" x14ac:dyDescent="0.2">
      <c r="B2" s="355" t="s">
        <v>1085</v>
      </c>
      <c r="C2" s="355"/>
      <c r="D2" s="332" t="str">
        <f>VLOOKUP(D$1,TabelContent[],COLUMN(TabelContent[Titel-NL]))</f>
        <v>Winkelsluiting</v>
      </c>
    </row>
    <row r="3" spans="2:12" x14ac:dyDescent="0.2">
      <c r="B3" s="355" t="s">
        <v>1086</v>
      </c>
      <c r="C3" s="355"/>
      <c r="D3" s="332" t="str">
        <f>VLOOKUP(D$1,TabelContent[],COLUMN(TabelContent[Cat-NL]))</f>
        <v>Draaitabel</v>
      </c>
    </row>
    <row r="4" spans="2:12" x14ac:dyDescent="0.2">
      <c r="B4" s="355" t="s">
        <v>1087</v>
      </c>
      <c r="C4" s="355" t="s">
        <v>1077</v>
      </c>
      <c r="D4" s="332">
        <f>VLOOKUP(D$1,TabelContent[],COLUMN(TabelContent[Niveau]))</f>
        <v>2</v>
      </c>
    </row>
    <row r="5" spans="2:12" x14ac:dyDescent="0.2">
      <c r="B5" s="16"/>
      <c r="C5" s="16"/>
      <c r="D5" s="16"/>
      <c r="E5" s="16"/>
    </row>
    <row r="6" spans="2:12" x14ac:dyDescent="0.2">
      <c r="B6" s="356" t="s">
        <v>47</v>
      </c>
      <c r="C6" s="356"/>
      <c r="D6" s="356"/>
      <c r="E6" s="356"/>
    </row>
    <row r="7" spans="2:12" x14ac:dyDescent="0.2">
      <c r="B7" s="16"/>
      <c r="C7" s="16"/>
      <c r="D7" s="16"/>
      <c r="E7" s="16"/>
    </row>
    <row r="8" spans="2:12" x14ac:dyDescent="0.2">
      <c r="B8" s="51"/>
      <c r="C8" s="53" t="s">
        <v>802</v>
      </c>
      <c r="D8" s="53" t="s">
        <v>769</v>
      </c>
      <c r="E8" s="53" t="s">
        <v>795</v>
      </c>
      <c r="F8" s="117" t="s">
        <v>796</v>
      </c>
    </row>
    <row r="9" spans="2:12" x14ac:dyDescent="0.2">
      <c r="B9" s="51"/>
      <c r="C9" s="51">
        <v>1</v>
      </c>
      <c r="D9" s="119" t="s">
        <v>775</v>
      </c>
      <c r="E9" s="119" t="s">
        <v>797</v>
      </c>
      <c r="F9" s="120" t="s">
        <v>798</v>
      </c>
    </row>
    <row r="10" spans="2:12" x14ac:dyDescent="0.2">
      <c r="B10" s="51"/>
      <c r="C10" s="51">
        <v>2</v>
      </c>
      <c r="D10" s="119" t="s">
        <v>772</v>
      </c>
      <c r="E10" s="119" t="s">
        <v>799</v>
      </c>
      <c r="F10" s="120" t="s">
        <v>800</v>
      </c>
    </row>
    <row r="11" spans="2:12" x14ac:dyDescent="0.2">
      <c r="B11" s="51"/>
      <c r="C11" s="51">
        <v>3</v>
      </c>
      <c r="D11" s="119" t="s">
        <v>772</v>
      </c>
      <c r="E11" s="119" t="s">
        <v>797</v>
      </c>
      <c r="F11" s="120" t="s">
        <v>798</v>
      </c>
      <c r="H11" s="111" t="s">
        <v>803</v>
      </c>
      <c r="I11"/>
      <c r="J11" s="111" t="s">
        <v>796</v>
      </c>
      <c r="K11"/>
      <c r="L11"/>
    </row>
    <row r="12" spans="2:12" x14ac:dyDescent="0.2">
      <c r="B12" s="51"/>
      <c r="C12" s="51">
        <v>4</v>
      </c>
      <c r="D12" s="119" t="s">
        <v>775</v>
      </c>
      <c r="E12" s="119" t="s">
        <v>799</v>
      </c>
      <c r="F12" s="120" t="s">
        <v>800</v>
      </c>
      <c r="H12" s="111" t="s">
        <v>795</v>
      </c>
      <c r="I12" s="111" t="s">
        <v>769</v>
      </c>
      <c r="J12" s="4" t="s">
        <v>798</v>
      </c>
      <c r="K12" s="4" t="s">
        <v>800</v>
      </c>
      <c r="L12" s="4" t="s">
        <v>613</v>
      </c>
    </row>
    <row r="13" spans="2:12" x14ac:dyDescent="0.2">
      <c r="B13" s="51"/>
      <c r="C13" s="51">
        <v>5</v>
      </c>
      <c r="D13" s="119" t="s">
        <v>772</v>
      </c>
      <c r="E13" s="119" t="s">
        <v>799</v>
      </c>
      <c r="F13" s="120" t="s">
        <v>800</v>
      </c>
      <c r="H13" s="4" t="s">
        <v>799</v>
      </c>
      <c r="I13" s="4" t="s">
        <v>775</v>
      </c>
      <c r="J13" s="115">
        <v>1</v>
      </c>
      <c r="K13" s="115">
        <v>1</v>
      </c>
      <c r="L13" s="115">
        <v>2</v>
      </c>
    </row>
    <row r="14" spans="2:12" x14ac:dyDescent="0.2">
      <c r="B14" s="51"/>
      <c r="C14" s="51">
        <v>6</v>
      </c>
      <c r="D14" s="119" t="s">
        <v>775</v>
      </c>
      <c r="E14" s="119" t="s">
        <v>799</v>
      </c>
      <c r="F14" s="120" t="s">
        <v>798</v>
      </c>
      <c r="H14"/>
      <c r="I14" s="4" t="s">
        <v>772</v>
      </c>
      <c r="J14" s="115">
        <v>1</v>
      </c>
      <c r="K14" s="115">
        <v>2</v>
      </c>
      <c r="L14" s="115">
        <v>3</v>
      </c>
    </row>
    <row r="15" spans="2:12" x14ac:dyDescent="0.2">
      <c r="B15" s="51"/>
      <c r="C15" s="51">
        <v>7</v>
      </c>
      <c r="D15" s="119" t="s">
        <v>772</v>
      </c>
      <c r="E15" s="119" t="s">
        <v>801</v>
      </c>
      <c r="F15" s="120" t="s">
        <v>800</v>
      </c>
      <c r="H15" s="4" t="s">
        <v>1171</v>
      </c>
      <c r="J15" s="115">
        <v>2</v>
      </c>
      <c r="K15" s="115">
        <v>3</v>
      </c>
      <c r="L15" s="115">
        <v>5</v>
      </c>
    </row>
    <row r="16" spans="2:12" x14ac:dyDescent="0.2">
      <c r="B16" s="116"/>
      <c r="C16" s="116">
        <v>8</v>
      </c>
      <c r="D16" s="120" t="s">
        <v>775</v>
      </c>
      <c r="E16" s="120" t="s">
        <v>797</v>
      </c>
      <c r="F16" s="120" t="s">
        <v>800</v>
      </c>
      <c r="H16" s="4" t="s">
        <v>797</v>
      </c>
      <c r="I16" s="4" t="s">
        <v>775</v>
      </c>
      <c r="J16" s="115">
        <v>1</v>
      </c>
      <c r="K16" s="115">
        <v>2</v>
      </c>
      <c r="L16" s="115">
        <v>3</v>
      </c>
    </row>
    <row r="17" spans="2:12" x14ac:dyDescent="0.2">
      <c r="B17" s="116"/>
      <c r="C17" s="116">
        <v>9</v>
      </c>
      <c r="D17" s="120" t="s">
        <v>775</v>
      </c>
      <c r="E17" s="120" t="s">
        <v>801</v>
      </c>
      <c r="F17" s="120" t="s">
        <v>798</v>
      </c>
      <c r="H17"/>
      <c r="I17" s="4" t="s">
        <v>772</v>
      </c>
      <c r="J17" s="115">
        <v>3</v>
      </c>
      <c r="K17" s="115">
        <v>1</v>
      </c>
      <c r="L17" s="115">
        <v>4</v>
      </c>
    </row>
    <row r="18" spans="2:12" x14ac:dyDescent="0.2">
      <c r="B18" s="116"/>
      <c r="C18" s="116">
        <v>10</v>
      </c>
      <c r="D18" s="120" t="s">
        <v>775</v>
      </c>
      <c r="E18" s="120" t="s">
        <v>801</v>
      </c>
      <c r="F18" s="120" t="s">
        <v>798</v>
      </c>
      <c r="H18" s="4" t="s">
        <v>1172</v>
      </c>
      <c r="J18" s="115">
        <v>4</v>
      </c>
      <c r="K18" s="115">
        <v>3</v>
      </c>
      <c r="L18" s="115">
        <v>7</v>
      </c>
    </row>
    <row r="19" spans="2:12" x14ac:dyDescent="0.2">
      <c r="B19" s="116"/>
      <c r="C19" s="116">
        <v>11</v>
      </c>
      <c r="D19" s="120" t="s">
        <v>772</v>
      </c>
      <c r="E19" s="120" t="s">
        <v>799</v>
      </c>
      <c r="F19" s="120" t="s">
        <v>798</v>
      </c>
      <c r="H19" s="4" t="s">
        <v>801</v>
      </c>
      <c r="I19" s="4" t="s">
        <v>775</v>
      </c>
      <c r="J19" s="115">
        <v>2</v>
      </c>
      <c r="K19" s="115">
        <v>1</v>
      </c>
      <c r="L19" s="115">
        <v>3</v>
      </c>
    </row>
    <row r="20" spans="2:12" x14ac:dyDescent="0.2">
      <c r="B20" s="116"/>
      <c r="C20" s="116">
        <v>12</v>
      </c>
      <c r="D20" s="120" t="s">
        <v>775</v>
      </c>
      <c r="E20" s="120" t="s">
        <v>797</v>
      </c>
      <c r="F20" s="120" t="s">
        <v>800</v>
      </c>
      <c r="H20"/>
      <c r="I20" s="4" t="s">
        <v>772</v>
      </c>
      <c r="J20" s="115">
        <v>2</v>
      </c>
      <c r="K20" s="115">
        <v>1</v>
      </c>
      <c r="L20" s="115">
        <v>3</v>
      </c>
    </row>
    <row r="21" spans="2:12" x14ac:dyDescent="0.2">
      <c r="B21" s="116"/>
      <c r="C21" s="116">
        <v>13</v>
      </c>
      <c r="D21" s="120" t="s">
        <v>772</v>
      </c>
      <c r="E21" s="120" t="s">
        <v>801</v>
      </c>
      <c r="F21" s="120" t="s">
        <v>798</v>
      </c>
      <c r="H21" s="4" t="s">
        <v>1173</v>
      </c>
      <c r="J21" s="115">
        <v>4</v>
      </c>
      <c r="K21" s="115">
        <v>2</v>
      </c>
      <c r="L21" s="115">
        <v>6</v>
      </c>
    </row>
    <row r="22" spans="2:12" x14ac:dyDescent="0.2">
      <c r="B22" s="116"/>
      <c r="C22" s="116">
        <v>14</v>
      </c>
      <c r="D22" s="120" t="s">
        <v>772</v>
      </c>
      <c r="E22" s="120" t="s">
        <v>801</v>
      </c>
      <c r="F22" s="120" t="s">
        <v>798</v>
      </c>
      <c r="H22" s="4" t="s">
        <v>613</v>
      </c>
      <c r="I22"/>
      <c r="J22" s="115">
        <v>10</v>
      </c>
      <c r="K22" s="115">
        <v>8</v>
      </c>
      <c r="L22" s="115">
        <v>18</v>
      </c>
    </row>
    <row r="23" spans="2:12" x14ac:dyDescent="0.2">
      <c r="B23" s="116"/>
      <c r="C23" s="116">
        <v>15</v>
      </c>
      <c r="D23" s="120" t="s">
        <v>772</v>
      </c>
      <c r="E23" s="120" t="s">
        <v>797</v>
      </c>
      <c r="F23" s="120" t="s">
        <v>798</v>
      </c>
      <c r="H23"/>
      <c r="I23"/>
      <c r="J23"/>
    </row>
    <row r="24" spans="2:12" x14ac:dyDescent="0.2">
      <c r="B24" s="116"/>
      <c r="C24" s="116">
        <v>16</v>
      </c>
      <c r="D24" s="120" t="s">
        <v>775</v>
      </c>
      <c r="E24" s="120" t="s">
        <v>801</v>
      </c>
      <c r="F24" s="120" t="s">
        <v>800</v>
      </c>
      <c r="H24"/>
      <c r="I24"/>
      <c r="J24"/>
    </row>
    <row r="25" spans="2:12" x14ac:dyDescent="0.2">
      <c r="B25" s="116"/>
      <c r="C25" s="116">
        <v>17</v>
      </c>
      <c r="D25" s="120" t="s">
        <v>772</v>
      </c>
      <c r="E25" s="120" t="s">
        <v>797</v>
      </c>
      <c r="F25" s="120" t="s">
        <v>800</v>
      </c>
      <c r="H25"/>
      <c r="I25"/>
      <c r="J25"/>
    </row>
    <row r="26" spans="2:12" x14ac:dyDescent="0.2">
      <c r="B26" s="116"/>
      <c r="C26" s="116">
        <v>18</v>
      </c>
      <c r="D26" s="120" t="s">
        <v>772</v>
      </c>
      <c r="E26" s="120" t="s">
        <v>797</v>
      </c>
      <c r="F26" s="120" t="s">
        <v>798</v>
      </c>
      <c r="H26"/>
      <c r="I26"/>
      <c r="J26"/>
    </row>
    <row r="27" spans="2:12" x14ac:dyDescent="0.2">
      <c r="H27"/>
      <c r="I27"/>
      <c r="J27"/>
    </row>
    <row r="28" spans="2:12" x14ac:dyDescent="0.2">
      <c r="H28"/>
      <c r="I28"/>
      <c r="J28"/>
    </row>
  </sheetData>
  <mergeCells count="5">
    <mergeCell ref="B6:E6"/>
    <mergeCell ref="B2:C2"/>
    <mergeCell ref="B3:C3"/>
    <mergeCell ref="B4:C4"/>
    <mergeCell ref="B1:C1"/>
  </mergeCells>
  <hyperlinks>
    <hyperlink ref="B6:D6" location="sjabloon!A1" display="Ga naar Inhoudsopgave" xr:uid="{00000000-0004-0000-2F00-000000000000}"/>
    <hyperlink ref="B6:E6" location="Inhoud!A1" display="Ga naar Inhoudsopgave" xr:uid="{00000000-0004-0000-2F00-000001000000}"/>
  </hyperlinks>
  <pageMargins left="0.7" right="0.7" top="0.75" bottom="0.75" header="0.3" footer="0.3"/>
  <pageSetup paperSize="9" orientation="landscape"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Blad36"/>
  <dimension ref="B1:N2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1.5703125" style="4" bestFit="1" customWidth="1"/>
    <col min="5" max="6" width="10.28515625" style="4" bestFit="1" customWidth="1"/>
    <col min="7" max="7" width="9.140625" style="4"/>
    <col min="8" max="8" width="13.85546875" style="4" customWidth="1"/>
    <col min="9" max="9" width="21.42578125" style="4" customWidth="1"/>
    <col min="10" max="10" width="23.42578125" style="4" customWidth="1"/>
    <col min="11" max="16384" width="9.140625" style="4"/>
  </cols>
  <sheetData>
    <row r="1" spans="2:14" x14ac:dyDescent="0.2">
      <c r="B1" s="355" t="s">
        <v>1253</v>
      </c>
      <c r="C1" s="355"/>
      <c r="D1" s="316" t="s">
        <v>806</v>
      </c>
    </row>
    <row r="2" spans="2:14" x14ac:dyDescent="0.2">
      <c r="B2" s="355" t="s">
        <v>1085</v>
      </c>
      <c r="C2" s="355"/>
      <c r="D2" s="332" t="str">
        <f>VLOOKUP(D$1,TabelContent[],COLUMN(TabelContent[Titel-NL]))</f>
        <v>Eigen huis en gemiddelde waarde</v>
      </c>
    </row>
    <row r="3" spans="2:14" x14ac:dyDescent="0.2">
      <c r="B3" s="355" t="s">
        <v>1086</v>
      </c>
      <c r="C3" s="355"/>
      <c r="D3" s="332" t="str">
        <f>VLOOKUP(D$1,TabelContent[],COLUMN(TabelContent[Cat-NL]))</f>
        <v>Draaitabel</v>
      </c>
    </row>
    <row r="4" spans="2:14" x14ac:dyDescent="0.2">
      <c r="B4" s="355" t="s">
        <v>1087</v>
      </c>
      <c r="C4" s="355" t="s">
        <v>1077</v>
      </c>
      <c r="D4" s="332">
        <f>VLOOKUP(D$1,TabelContent[],COLUMN(TabelContent[Niveau]))</f>
        <v>3</v>
      </c>
    </row>
    <row r="5" spans="2:14" x14ac:dyDescent="0.2">
      <c r="B5" s="16"/>
      <c r="C5" s="16"/>
      <c r="D5" s="16"/>
      <c r="E5" s="16"/>
    </row>
    <row r="6" spans="2:14" x14ac:dyDescent="0.2">
      <c r="B6" s="356" t="s">
        <v>47</v>
      </c>
      <c r="C6" s="356"/>
      <c r="D6" s="356"/>
      <c r="E6" s="356"/>
    </row>
    <row r="7" spans="2:14" x14ac:dyDescent="0.2">
      <c r="B7" s="16"/>
      <c r="C7" s="16"/>
      <c r="D7" s="16"/>
      <c r="E7" s="16"/>
    </row>
    <row r="8" spans="2:14" x14ac:dyDescent="0.2">
      <c r="B8" s="16"/>
      <c r="C8" s="23" t="s">
        <v>675</v>
      </c>
      <c r="D8" s="23" t="s">
        <v>825</v>
      </c>
      <c r="E8" s="23" t="s">
        <v>807</v>
      </c>
      <c r="F8" s="1" t="s">
        <v>808</v>
      </c>
    </row>
    <row r="9" spans="2:14" x14ac:dyDescent="0.2">
      <c r="B9" s="16"/>
      <c r="C9" s="16" t="s">
        <v>809</v>
      </c>
      <c r="D9" s="39">
        <v>10</v>
      </c>
      <c r="E9" s="39" t="s">
        <v>810</v>
      </c>
      <c r="F9" s="101">
        <v>200000</v>
      </c>
      <c r="H9" s="111" t="s">
        <v>807</v>
      </c>
      <c r="I9" s="4" t="s">
        <v>810</v>
      </c>
    </row>
    <row r="10" spans="2:14" x14ac:dyDescent="0.2">
      <c r="B10" s="16"/>
      <c r="C10" s="16" t="s">
        <v>811</v>
      </c>
      <c r="D10" s="39">
        <v>10</v>
      </c>
      <c r="E10" s="39" t="s">
        <v>810</v>
      </c>
      <c r="F10" s="101">
        <v>230000</v>
      </c>
    </row>
    <row r="11" spans="2:14" x14ac:dyDescent="0.2">
      <c r="B11" s="16"/>
      <c r="C11" s="16" t="s">
        <v>812</v>
      </c>
      <c r="D11" s="39">
        <v>12</v>
      </c>
      <c r="E11" s="39" t="s">
        <v>813</v>
      </c>
      <c r="F11" s="101"/>
      <c r="H11"/>
      <c r="I11" s="111" t="s">
        <v>761</v>
      </c>
      <c r="J11"/>
      <c r="K11"/>
      <c r="L11"/>
      <c r="M11"/>
      <c r="N11"/>
    </row>
    <row r="12" spans="2:14" x14ac:dyDescent="0.2">
      <c r="B12" s="16"/>
      <c r="C12" s="16" t="s">
        <v>814</v>
      </c>
      <c r="D12" s="39">
        <v>12</v>
      </c>
      <c r="E12" s="39" t="s">
        <v>813</v>
      </c>
      <c r="F12" s="101"/>
      <c r="H12" s="111" t="s">
        <v>825</v>
      </c>
      <c r="I12" s="4" t="s">
        <v>827</v>
      </c>
      <c r="J12" s="4" t="s">
        <v>826</v>
      </c>
      <c r="K12"/>
      <c r="L12"/>
      <c r="M12"/>
      <c r="N12"/>
    </row>
    <row r="13" spans="2:14" x14ac:dyDescent="0.2">
      <c r="B13" s="16"/>
      <c r="C13" s="16" t="s">
        <v>815</v>
      </c>
      <c r="D13" s="39">
        <v>11</v>
      </c>
      <c r="E13" s="39" t="s">
        <v>810</v>
      </c>
      <c r="F13" s="101">
        <v>200000</v>
      </c>
      <c r="H13" s="4">
        <v>9</v>
      </c>
      <c r="I13" s="115">
        <v>1</v>
      </c>
      <c r="J13" s="112">
        <v>300000</v>
      </c>
      <c r="K13"/>
      <c r="L13"/>
      <c r="M13"/>
      <c r="N13"/>
    </row>
    <row r="14" spans="2:14" x14ac:dyDescent="0.2">
      <c r="B14" s="16"/>
      <c r="C14" s="16" t="s">
        <v>816</v>
      </c>
      <c r="D14" s="39">
        <v>9</v>
      </c>
      <c r="E14" s="39" t="s">
        <v>810</v>
      </c>
      <c r="F14" s="101">
        <v>300000</v>
      </c>
      <c r="H14" s="4">
        <v>10</v>
      </c>
      <c r="I14" s="115">
        <v>2</v>
      </c>
      <c r="J14" s="112">
        <v>215000</v>
      </c>
      <c r="K14"/>
      <c r="L14"/>
      <c r="M14"/>
      <c r="N14"/>
    </row>
    <row r="15" spans="2:14" x14ac:dyDescent="0.2">
      <c r="B15" s="16"/>
      <c r="C15" s="16" t="s">
        <v>817</v>
      </c>
      <c r="D15" s="39">
        <v>14</v>
      </c>
      <c r="E15" s="39" t="s">
        <v>813</v>
      </c>
      <c r="F15" s="101"/>
      <c r="H15" s="4">
        <v>11</v>
      </c>
      <c r="I15" s="115">
        <v>2</v>
      </c>
      <c r="J15" s="112">
        <v>200000</v>
      </c>
      <c r="K15"/>
      <c r="L15"/>
      <c r="M15"/>
      <c r="N15"/>
    </row>
    <row r="16" spans="2:14" x14ac:dyDescent="0.2">
      <c r="C16" s="4" t="s">
        <v>818</v>
      </c>
      <c r="D16" s="3">
        <v>9</v>
      </c>
      <c r="E16" s="3" t="s">
        <v>813</v>
      </c>
      <c r="F16" s="101"/>
      <c r="H16" s="4">
        <v>12</v>
      </c>
      <c r="I16" s="115">
        <v>2</v>
      </c>
      <c r="J16" s="112">
        <v>245000</v>
      </c>
      <c r="K16"/>
      <c r="L16"/>
      <c r="M16"/>
      <c r="N16"/>
    </row>
    <row r="17" spans="3:14" x14ac:dyDescent="0.2">
      <c r="C17" s="4" t="s">
        <v>819</v>
      </c>
      <c r="D17" s="3">
        <v>10</v>
      </c>
      <c r="E17" s="3" t="s">
        <v>813</v>
      </c>
      <c r="F17" s="101"/>
      <c r="H17" s="4">
        <v>13</v>
      </c>
      <c r="I17" s="115">
        <v>1</v>
      </c>
      <c r="J17" s="112">
        <v>140000</v>
      </c>
      <c r="K17"/>
      <c r="L17"/>
      <c r="M17"/>
      <c r="N17"/>
    </row>
    <row r="18" spans="3:14" x14ac:dyDescent="0.2">
      <c r="C18" s="4" t="s">
        <v>774</v>
      </c>
      <c r="D18" s="3">
        <v>14</v>
      </c>
      <c r="E18" s="3" t="s">
        <v>810</v>
      </c>
      <c r="F18" s="101">
        <v>180000</v>
      </c>
      <c r="H18" s="4">
        <v>14</v>
      </c>
      <c r="I18" s="115">
        <v>2</v>
      </c>
      <c r="J18" s="112">
        <v>175000</v>
      </c>
      <c r="K18"/>
      <c r="L18"/>
      <c r="M18"/>
      <c r="N18"/>
    </row>
    <row r="19" spans="3:14" x14ac:dyDescent="0.2">
      <c r="C19" s="4" t="s">
        <v>820</v>
      </c>
      <c r="D19" s="3">
        <v>12</v>
      </c>
      <c r="E19" s="3" t="s">
        <v>810</v>
      </c>
      <c r="F19" s="101">
        <v>250000</v>
      </c>
      <c r="H19" s="4">
        <v>15</v>
      </c>
      <c r="I19" s="115">
        <v>1</v>
      </c>
      <c r="J19" s="112">
        <v>350000</v>
      </c>
      <c r="K19"/>
      <c r="L19"/>
      <c r="M19"/>
      <c r="N19"/>
    </row>
    <row r="20" spans="3:14" x14ac:dyDescent="0.2">
      <c r="C20" s="4" t="s">
        <v>821</v>
      </c>
      <c r="D20" s="3">
        <v>12</v>
      </c>
      <c r="E20" s="3" t="s">
        <v>810</v>
      </c>
      <c r="F20" s="101">
        <v>240000</v>
      </c>
      <c r="H20" s="4" t="s">
        <v>613</v>
      </c>
      <c r="I20" s="115">
        <v>11</v>
      </c>
      <c r="J20" s="112">
        <v>223636.36363636365</v>
      </c>
      <c r="K20"/>
      <c r="L20"/>
      <c r="M20"/>
      <c r="N20"/>
    </row>
    <row r="21" spans="3:14" x14ac:dyDescent="0.2">
      <c r="C21" s="4" t="s">
        <v>822</v>
      </c>
      <c r="D21" s="3">
        <v>11</v>
      </c>
      <c r="E21" s="3" t="s">
        <v>810</v>
      </c>
      <c r="F21" s="101">
        <v>200000</v>
      </c>
      <c r="H21"/>
      <c r="I21"/>
      <c r="J21"/>
      <c r="K21"/>
      <c r="L21"/>
      <c r="M21"/>
      <c r="N21"/>
    </row>
    <row r="22" spans="3:14" x14ac:dyDescent="0.2">
      <c r="C22" s="4" t="s">
        <v>112</v>
      </c>
      <c r="D22" s="3">
        <v>13</v>
      </c>
      <c r="E22" s="3" t="s">
        <v>810</v>
      </c>
      <c r="F22" s="101">
        <v>140000</v>
      </c>
      <c r="H22"/>
      <c r="I22"/>
      <c r="J22"/>
      <c r="K22"/>
      <c r="L22"/>
      <c r="M22"/>
      <c r="N22"/>
    </row>
    <row r="23" spans="3:14" x14ac:dyDescent="0.2">
      <c r="C23" s="4" t="s">
        <v>823</v>
      </c>
      <c r="D23" s="3">
        <v>14</v>
      </c>
      <c r="E23" s="3" t="s">
        <v>810</v>
      </c>
      <c r="F23" s="101">
        <v>170000</v>
      </c>
      <c r="H23"/>
      <c r="I23"/>
      <c r="J23"/>
      <c r="K23"/>
      <c r="L23"/>
      <c r="M23"/>
      <c r="N23"/>
    </row>
    <row r="24" spans="3:14" x14ac:dyDescent="0.2">
      <c r="C24" s="4" t="s">
        <v>103</v>
      </c>
      <c r="D24" s="3">
        <v>15</v>
      </c>
      <c r="E24" s="3" t="s">
        <v>810</v>
      </c>
      <c r="F24" s="101">
        <v>350000</v>
      </c>
      <c r="H24"/>
      <c r="I24"/>
      <c r="J24"/>
      <c r="K24"/>
      <c r="L24"/>
      <c r="M24"/>
      <c r="N24"/>
    </row>
    <row r="25" spans="3:14" x14ac:dyDescent="0.2">
      <c r="C25" s="4" t="s">
        <v>824</v>
      </c>
      <c r="D25" s="3">
        <v>11</v>
      </c>
      <c r="E25" s="3" t="s">
        <v>813</v>
      </c>
      <c r="F25" s="101"/>
      <c r="H25"/>
      <c r="I25"/>
      <c r="J25"/>
    </row>
    <row r="26" spans="3:14" x14ac:dyDescent="0.2">
      <c r="H26"/>
      <c r="I26"/>
      <c r="J26"/>
    </row>
    <row r="27" spans="3:14" x14ac:dyDescent="0.2">
      <c r="H27"/>
      <c r="I27"/>
      <c r="J27"/>
    </row>
    <row r="28" spans="3:14" x14ac:dyDescent="0.2">
      <c r="H28"/>
      <c r="I28"/>
      <c r="J28"/>
    </row>
  </sheetData>
  <mergeCells count="5">
    <mergeCell ref="B6:E6"/>
    <mergeCell ref="B2:C2"/>
    <mergeCell ref="B3:C3"/>
    <mergeCell ref="B4:C4"/>
    <mergeCell ref="B1:C1"/>
  </mergeCells>
  <hyperlinks>
    <hyperlink ref="B6:D6" location="sjabloon!A1" display="Ga naar Inhoudsopgave" xr:uid="{00000000-0004-0000-3000-000000000000}"/>
    <hyperlink ref="B6:E6" location="Inhoud!A1" display="Ga naar Inhoudsopgave" xr:uid="{00000000-0004-0000-3000-000001000000}"/>
  </hyperlinks>
  <pageMargins left="0.7" right="0.7" top="0.75" bottom="0.75" header="0.3" footer="0.3"/>
  <pageSetup paperSize="9" orientation="landscape"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Blad37"/>
  <dimension ref="B1:M3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8.5703125" style="4" customWidth="1"/>
    <col min="5" max="5" width="5.28515625" style="4" bestFit="1" customWidth="1"/>
    <col min="6" max="6" width="8.140625" style="4" bestFit="1" customWidth="1"/>
    <col min="7" max="7" width="9.42578125" style="4" customWidth="1"/>
    <col min="8" max="8" width="8.5703125" style="4" customWidth="1"/>
    <col min="9" max="9" width="8.140625" style="4" customWidth="1"/>
    <col min="10" max="10" width="9.140625" style="4"/>
    <col min="11" max="11" width="19.28515625" style="4" customWidth="1"/>
    <col min="12" max="12" width="4.85546875" style="4" customWidth="1"/>
    <col min="13" max="16384" width="9.140625" style="4"/>
  </cols>
  <sheetData>
    <row r="1" spans="2:13" x14ac:dyDescent="0.2">
      <c r="B1" s="355" t="s">
        <v>1253</v>
      </c>
      <c r="C1" s="355"/>
      <c r="D1" s="316" t="s">
        <v>844</v>
      </c>
    </row>
    <row r="2" spans="2:13" x14ac:dyDescent="0.2">
      <c r="B2" s="355" t="s">
        <v>1085</v>
      </c>
      <c r="C2" s="355"/>
      <c r="D2" s="332" t="str">
        <f>VLOOKUP(D$1,TabelContent[],COLUMN(TabelContent[Titel-NL]))</f>
        <v>Vervoersonderzoek</v>
      </c>
    </row>
    <row r="3" spans="2:13" x14ac:dyDescent="0.2">
      <c r="B3" s="355" t="s">
        <v>1086</v>
      </c>
      <c r="C3" s="355"/>
      <c r="D3" s="332" t="str">
        <f>VLOOKUP(D$1,TabelContent[],COLUMN(TabelContent[Cat-NL]))</f>
        <v>Draaitabel</v>
      </c>
    </row>
    <row r="4" spans="2:13" x14ac:dyDescent="0.2">
      <c r="B4" s="355" t="s">
        <v>1087</v>
      </c>
      <c r="C4" s="355" t="s">
        <v>1077</v>
      </c>
      <c r="D4" s="332">
        <f>VLOOKUP(D$1,TabelContent[],COLUMN(TabelContent[Niveau]))</f>
        <v>3</v>
      </c>
    </row>
    <row r="5" spans="2:13" x14ac:dyDescent="0.2">
      <c r="B5" s="16"/>
      <c r="C5" s="16"/>
      <c r="D5" s="16"/>
      <c r="E5" s="16"/>
    </row>
    <row r="6" spans="2:13" x14ac:dyDescent="0.2">
      <c r="B6" s="356" t="s">
        <v>47</v>
      </c>
      <c r="C6" s="356"/>
      <c r="D6" s="356"/>
      <c r="E6" s="356"/>
    </row>
    <row r="7" spans="2:13" x14ac:dyDescent="0.2">
      <c r="B7" s="16"/>
      <c r="C7" s="16"/>
      <c r="D7" s="16"/>
      <c r="E7" s="16"/>
    </row>
    <row r="8" spans="2:13" ht="25.5" x14ac:dyDescent="0.2">
      <c r="B8" s="16"/>
      <c r="D8" s="23" t="s">
        <v>829</v>
      </c>
      <c r="E8" s="23" t="s">
        <v>830</v>
      </c>
      <c r="F8" s="23" t="s">
        <v>339</v>
      </c>
      <c r="G8" s="121" t="s">
        <v>831</v>
      </c>
      <c r="H8" s="121" t="s">
        <v>832</v>
      </c>
      <c r="I8" s="121" t="s">
        <v>833</v>
      </c>
    </row>
    <row r="9" spans="2:13" x14ac:dyDescent="0.2">
      <c r="B9" s="16"/>
      <c r="D9" s="16" t="s">
        <v>810</v>
      </c>
      <c r="E9" s="16" t="s">
        <v>813</v>
      </c>
      <c r="F9" s="16">
        <v>4</v>
      </c>
      <c r="H9" s="4">
        <v>20</v>
      </c>
      <c r="I9" s="4" t="str">
        <f>IF(F9&gt;15,"ja","nee")</f>
        <v>nee</v>
      </c>
      <c r="K9" s="111" t="s">
        <v>829</v>
      </c>
      <c r="L9" s="4" t="s">
        <v>810</v>
      </c>
    </row>
    <row r="10" spans="2:13" x14ac:dyDescent="0.2">
      <c r="B10" s="16"/>
      <c r="D10" s="16" t="s">
        <v>810</v>
      </c>
      <c r="E10" s="16" t="s">
        <v>810</v>
      </c>
      <c r="F10" s="16">
        <v>4</v>
      </c>
      <c r="G10" s="4">
        <v>14</v>
      </c>
      <c r="H10" s="4">
        <v>25</v>
      </c>
      <c r="I10" s="4" t="str">
        <f t="shared" ref="I10:I23" si="0">IF(F10&gt;15,"ja","nee")</f>
        <v>nee</v>
      </c>
      <c r="K10" s="111" t="s">
        <v>830</v>
      </c>
      <c r="L10" s="4" t="s">
        <v>810</v>
      </c>
    </row>
    <row r="11" spans="2:13" x14ac:dyDescent="0.2">
      <c r="B11" s="16"/>
      <c r="D11" s="16" t="s">
        <v>813</v>
      </c>
      <c r="E11" s="16" t="s">
        <v>813</v>
      </c>
      <c r="F11" s="16">
        <v>14</v>
      </c>
      <c r="H11" s="4">
        <v>35</v>
      </c>
      <c r="I11" s="4" t="str">
        <f t="shared" si="0"/>
        <v>nee</v>
      </c>
      <c r="K11" s="111" t="s">
        <v>833</v>
      </c>
      <c r="L11" s="4" t="s">
        <v>810</v>
      </c>
    </row>
    <row r="12" spans="2:13" x14ac:dyDescent="0.2">
      <c r="B12" s="16"/>
      <c r="D12" s="16" t="s">
        <v>813</v>
      </c>
      <c r="E12" s="16" t="s">
        <v>810</v>
      </c>
      <c r="F12" s="16">
        <v>10</v>
      </c>
      <c r="G12" s="4">
        <v>4</v>
      </c>
      <c r="H12" s="4">
        <v>45</v>
      </c>
      <c r="I12" s="4" t="str">
        <f t="shared" si="0"/>
        <v>nee</v>
      </c>
    </row>
    <row r="13" spans="2:13" x14ac:dyDescent="0.2">
      <c r="B13" s="16"/>
      <c r="D13" s="16" t="s">
        <v>810</v>
      </c>
      <c r="E13" s="16" t="s">
        <v>810</v>
      </c>
      <c r="F13" s="16">
        <v>24</v>
      </c>
      <c r="G13" s="4">
        <v>18</v>
      </c>
      <c r="H13" s="4">
        <v>55</v>
      </c>
      <c r="I13" s="4" t="str">
        <f t="shared" si="0"/>
        <v>ja</v>
      </c>
      <c r="K13" t="s">
        <v>834</v>
      </c>
      <c r="L13"/>
      <c r="M13"/>
    </row>
    <row r="14" spans="2:13" x14ac:dyDescent="0.2">
      <c r="B14" s="16"/>
      <c r="D14" s="16" t="s">
        <v>810</v>
      </c>
      <c r="E14" s="16" t="s">
        <v>813</v>
      </c>
      <c r="F14" s="16">
        <v>34</v>
      </c>
      <c r="H14" s="4">
        <v>6</v>
      </c>
      <c r="I14" s="4" t="str">
        <f t="shared" si="0"/>
        <v>ja</v>
      </c>
      <c r="K14" s="115">
        <v>28.5</v>
      </c>
      <c r="L14"/>
      <c r="M14"/>
    </row>
    <row r="15" spans="2:13" x14ac:dyDescent="0.2">
      <c r="B15" s="16"/>
      <c r="D15" s="16" t="s">
        <v>810</v>
      </c>
      <c r="E15" s="16" t="s">
        <v>810</v>
      </c>
      <c r="F15" s="16">
        <v>55</v>
      </c>
      <c r="G15" s="4">
        <v>66</v>
      </c>
      <c r="H15" s="4">
        <v>55</v>
      </c>
      <c r="I15" s="4" t="str">
        <f t="shared" si="0"/>
        <v>ja</v>
      </c>
      <c r="K15"/>
      <c r="L15"/>
      <c r="M15"/>
    </row>
    <row r="16" spans="2:13" x14ac:dyDescent="0.2">
      <c r="D16" s="4" t="s">
        <v>813</v>
      </c>
      <c r="E16" s="4" t="s">
        <v>810</v>
      </c>
      <c r="F16" s="4">
        <v>44</v>
      </c>
      <c r="G16" s="4">
        <v>22</v>
      </c>
      <c r="H16" s="4">
        <v>5</v>
      </c>
      <c r="I16" s="4" t="str">
        <f t="shared" si="0"/>
        <v>ja</v>
      </c>
      <c r="K16"/>
      <c r="L16"/>
      <c r="M16"/>
    </row>
    <row r="17" spans="4:13" x14ac:dyDescent="0.2">
      <c r="D17" s="4" t="s">
        <v>813</v>
      </c>
      <c r="E17" s="4" t="s">
        <v>813</v>
      </c>
      <c r="F17" s="4">
        <v>54</v>
      </c>
      <c r="H17" s="4">
        <v>95</v>
      </c>
      <c r="I17" s="4" t="str">
        <f t="shared" si="0"/>
        <v>ja</v>
      </c>
      <c r="K17"/>
      <c r="L17"/>
      <c r="M17"/>
    </row>
    <row r="18" spans="4:13" x14ac:dyDescent="0.2">
      <c r="D18" s="4" t="s">
        <v>810</v>
      </c>
      <c r="E18" s="4" t="s">
        <v>810</v>
      </c>
      <c r="F18" s="4">
        <v>66</v>
      </c>
      <c r="G18" s="4">
        <v>4</v>
      </c>
      <c r="H18" s="4">
        <v>33</v>
      </c>
      <c r="I18" s="4" t="str">
        <f t="shared" si="0"/>
        <v>ja</v>
      </c>
      <c r="K18"/>
      <c r="L18"/>
      <c r="M18"/>
    </row>
    <row r="19" spans="4:13" x14ac:dyDescent="0.2">
      <c r="D19" s="4" t="s">
        <v>810</v>
      </c>
      <c r="E19" s="4" t="s">
        <v>810</v>
      </c>
      <c r="F19" s="4">
        <v>64</v>
      </c>
      <c r="G19" s="4">
        <v>26</v>
      </c>
      <c r="H19" s="4">
        <v>45</v>
      </c>
      <c r="I19" s="4" t="str">
        <f t="shared" si="0"/>
        <v>ja</v>
      </c>
      <c r="K19"/>
      <c r="L19"/>
      <c r="M19"/>
    </row>
    <row r="20" spans="4:13" x14ac:dyDescent="0.2">
      <c r="D20" s="4" t="s">
        <v>810</v>
      </c>
      <c r="E20" s="4" t="s">
        <v>813</v>
      </c>
      <c r="F20" s="4">
        <v>74</v>
      </c>
      <c r="H20" s="4">
        <v>57</v>
      </c>
      <c r="I20" s="4" t="str">
        <f t="shared" si="0"/>
        <v>ja</v>
      </c>
      <c r="K20"/>
      <c r="L20"/>
      <c r="M20"/>
    </row>
    <row r="21" spans="4:13" x14ac:dyDescent="0.2">
      <c r="D21" s="4" t="s">
        <v>813</v>
      </c>
      <c r="E21" s="4" t="s">
        <v>810</v>
      </c>
      <c r="F21" s="4">
        <v>66</v>
      </c>
      <c r="G21" s="4">
        <v>44</v>
      </c>
      <c r="H21" s="4">
        <v>69</v>
      </c>
      <c r="I21" s="4" t="str">
        <f t="shared" si="0"/>
        <v>ja</v>
      </c>
      <c r="K21"/>
      <c r="L21"/>
      <c r="M21"/>
    </row>
    <row r="22" spans="4:13" x14ac:dyDescent="0.2">
      <c r="D22" s="4" t="s">
        <v>813</v>
      </c>
      <c r="E22" s="4" t="s">
        <v>810</v>
      </c>
      <c r="F22" s="4">
        <v>84</v>
      </c>
      <c r="G22" s="4">
        <v>44</v>
      </c>
      <c r="H22" s="4">
        <v>81</v>
      </c>
      <c r="I22" s="4" t="str">
        <f t="shared" si="0"/>
        <v>ja</v>
      </c>
      <c r="K22"/>
      <c r="L22"/>
      <c r="M22"/>
    </row>
    <row r="23" spans="4:13" x14ac:dyDescent="0.2">
      <c r="D23" s="4" t="s">
        <v>810</v>
      </c>
      <c r="E23" s="4" t="s">
        <v>813</v>
      </c>
      <c r="F23" s="4">
        <v>94</v>
      </c>
      <c r="H23" s="4">
        <v>93</v>
      </c>
      <c r="I23" s="4" t="str">
        <f t="shared" si="0"/>
        <v>ja</v>
      </c>
      <c r="K23"/>
      <c r="L23"/>
      <c r="M23"/>
    </row>
    <row r="24" spans="4:13" x14ac:dyDescent="0.2">
      <c r="K24"/>
      <c r="L24"/>
      <c r="M24"/>
    </row>
    <row r="25" spans="4:13" x14ac:dyDescent="0.2">
      <c r="K25"/>
      <c r="L25"/>
      <c r="M25"/>
    </row>
    <row r="26" spans="4:13" x14ac:dyDescent="0.2">
      <c r="K26"/>
      <c r="L26"/>
      <c r="M26"/>
    </row>
    <row r="27" spans="4:13" x14ac:dyDescent="0.2">
      <c r="K27"/>
      <c r="L27"/>
      <c r="M27"/>
    </row>
    <row r="28" spans="4:13" x14ac:dyDescent="0.2">
      <c r="K28"/>
      <c r="L28"/>
      <c r="M28"/>
    </row>
    <row r="29" spans="4:13" x14ac:dyDescent="0.2">
      <c r="K29"/>
      <c r="L29"/>
      <c r="M29"/>
    </row>
    <row r="30" spans="4:13" x14ac:dyDescent="0.2">
      <c r="K30"/>
      <c r="L30"/>
      <c r="M30"/>
    </row>
  </sheetData>
  <mergeCells count="5">
    <mergeCell ref="B6:E6"/>
    <mergeCell ref="B2:C2"/>
    <mergeCell ref="B3:C3"/>
    <mergeCell ref="B4:C4"/>
    <mergeCell ref="B1:C1"/>
  </mergeCells>
  <hyperlinks>
    <hyperlink ref="B6:D6" location="sjabloon!A1" display="Ga naar Inhoudsopgave" xr:uid="{00000000-0004-0000-3100-000000000000}"/>
    <hyperlink ref="B6:E6" location="Inhoud!A1" display="Ga naar Inhoudsopgave" xr:uid="{00000000-0004-0000-3100-000001000000}"/>
  </hyperlinks>
  <pageMargins left="0.7" right="0.7" top="0.75" bottom="0.75" header="0.3" footer="0.3"/>
  <pageSetup paperSize="9" orientation="landscape"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Blad38"/>
  <dimension ref="B1:M8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5.28515625" style="4" customWidth="1"/>
    <col min="5" max="5" width="7.140625" style="4" bestFit="1" customWidth="1"/>
    <col min="6" max="6" width="6" style="4" bestFit="1" customWidth="1"/>
    <col min="7" max="7" width="10.28515625" style="4" bestFit="1" customWidth="1"/>
    <col min="8" max="8" width="9.140625" style="4"/>
    <col min="9" max="9" width="17" style="4" bestFit="1" customWidth="1"/>
    <col min="10" max="12" width="15.85546875" style="4" bestFit="1" customWidth="1"/>
    <col min="13" max="13" width="9.7109375" style="4" bestFit="1" customWidth="1"/>
    <col min="14" max="16384" width="9.140625" style="4"/>
  </cols>
  <sheetData>
    <row r="1" spans="2:13" x14ac:dyDescent="0.2">
      <c r="B1" s="355" t="s">
        <v>1253</v>
      </c>
      <c r="C1" s="355"/>
      <c r="D1" s="316" t="s">
        <v>845</v>
      </c>
    </row>
    <row r="2" spans="2:13" s="116" customFormat="1" x14ac:dyDescent="0.2">
      <c r="B2" s="355" t="s">
        <v>1085</v>
      </c>
      <c r="C2" s="355"/>
      <c r="D2" s="332" t="str">
        <f>VLOOKUP(D$1,TabelContent[],COLUMN(TabelContent[Titel-NL]))</f>
        <v>Opbrengst koffie per regio</v>
      </c>
      <c r="F2" s="118"/>
      <c r="G2" s="118"/>
    </row>
    <row r="3" spans="2:13" s="116" customFormat="1" x14ac:dyDescent="0.2">
      <c r="B3" s="355" t="s">
        <v>1086</v>
      </c>
      <c r="C3" s="355"/>
      <c r="D3" s="332" t="str">
        <f>VLOOKUP(D$1,TabelContent[],COLUMN(TabelContent[Cat-NL]))</f>
        <v>Draaitabel</v>
      </c>
      <c r="F3" s="118"/>
      <c r="G3" s="118"/>
    </row>
    <row r="4" spans="2:13" s="116" customFormat="1" x14ac:dyDescent="0.2">
      <c r="B4" s="355" t="s">
        <v>1087</v>
      </c>
      <c r="C4" s="355" t="s">
        <v>1077</v>
      </c>
      <c r="D4" s="332">
        <f>VLOOKUP(D$1,TabelContent[],COLUMN(TabelContent[Niveau]))</f>
        <v>2</v>
      </c>
      <c r="F4" s="118"/>
      <c r="G4" s="118"/>
    </row>
    <row r="5" spans="2:13" x14ac:dyDescent="0.2">
      <c r="B5" s="16"/>
      <c r="C5" s="16"/>
      <c r="D5" s="16"/>
      <c r="E5" s="16"/>
    </row>
    <row r="6" spans="2:13" x14ac:dyDescent="0.2">
      <c r="B6" s="356" t="s">
        <v>47</v>
      </c>
      <c r="C6" s="356"/>
      <c r="D6" s="356"/>
      <c r="E6" s="356"/>
    </row>
    <row r="7" spans="2:13" x14ac:dyDescent="0.2">
      <c r="B7" s="16"/>
      <c r="C7" s="16"/>
      <c r="D7" s="16"/>
      <c r="E7" s="16"/>
    </row>
    <row r="8" spans="2:13" s="116" customFormat="1" ht="11.25" x14ac:dyDescent="0.15">
      <c r="B8" s="51"/>
      <c r="D8" s="117" t="s">
        <v>835</v>
      </c>
      <c r="E8" s="117" t="s">
        <v>749</v>
      </c>
      <c r="F8" s="117" t="s">
        <v>750</v>
      </c>
      <c r="G8" s="117" t="s">
        <v>2</v>
      </c>
    </row>
    <row r="9" spans="2:13" s="116" customFormat="1" ht="11.25" x14ac:dyDescent="0.15">
      <c r="B9" s="51"/>
      <c r="D9" s="116" t="s">
        <v>836</v>
      </c>
      <c r="E9" s="116" t="s">
        <v>754</v>
      </c>
      <c r="F9" s="116" t="s">
        <v>585</v>
      </c>
      <c r="G9" s="118">
        <v>43200</v>
      </c>
      <c r="I9" s="122"/>
      <c r="J9" s="122"/>
      <c r="K9" s="122"/>
      <c r="L9" s="122"/>
      <c r="M9" s="122"/>
    </row>
    <row r="10" spans="2:13" s="116" customFormat="1" ht="11.25" x14ac:dyDescent="0.15">
      <c r="B10" s="51"/>
      <c r="D10" s="116" t="s">
        <v>836</v>
      </c>
      <c r="E10" s="116" t="s">
        <v>755</v>
      </c>
      <c r="F10" s="116" t="s">
        <v>585</v>
      </c>
      <c r="G10" s="118">
        <v>45000</v>
      </c>
      <c r="I10" s="313" t="s">
        <v>750</v>
      </c>
      <c r="J10" s="314" t="s">
        <v>585</v>
      </c>
      <c r="K10" s="122"/>
      <c r="L10" s="122"/>
      <c r="M10" s="122"/>
    </row>
    <row r="11" spans="2:13" s="116" customFormat="1" ht="11.25" x14ac:dyDescent="0.15">
      <c r="B11" s="51"/>
      <c r="D11" s="116" t="s">
        <v>836</v>
      </c>
      <c r="E11" s="116" t="s">
        <v>756</v>
      </c>
      <c r="F11" s="116" t="s">
        <v>585</v>
      </c>
      <c r="G11" s="118">
        <v>35280</v>
      </c>
      <c r="I11" s="122"/>
      <c r="J11" s="122"/>
      <c r="K11" s="122"/>
      <c r="L11" s="122"/>
      <c r="M11" s="122"/>
    </row>
    <row r="12" spans="2:13" s="116" customFormat="1" ht="11.25" x14ac:dyDescent="0.15">
      <c r="B12" s="51"/>
      <c r="D12" s="116" t="s">
        <v>836</v>
      </c>
      <c r="E12" s="116" t="s">
        <v>837</v>
      </c>
      <c r="F12" s="116" t="s">
        <v>585</v>
      </c>
      <c r="G12" s="118">
        <v>39600</v>
      </c>
      <c r="I12" s="313" t="s">
        <v>842</v>
      </c>
      <c r="J12" s="313" t="s">
        <v>835</v>
      </c>
      <c r="K12" s="314"/>
      <c r="L12" s="314"/>
      <c r="M12" s="314"/>
    </row>
    <row r="13" spans="2:13" s="116" customFormat="1" ht="11.25" x14ac:dyDescent="0.15">
      <c r="B13" s="51"/>
      <c r="D13" s="116" t="s">
        <v>836</v>
      </c>
      <c r="E13" s="116" t="s">
        <v>838</v>
      </c>
      <c r="F13" s="116" t="s">
        <v>585</v>
      </c>
      <c r="G13" s="118">
        <v>39960</v>
      </c>
      <c r="I13" s="313" t="s">
        <v>749</v>
      </c>
      <c r="J13" s="314" t="s">
        <v>836</v>
      </c>
      <c r="K13" s="314" t="s">
        <v>841</v>
      </c>
      <c r="L13" s="314" t="s">
        <v>840</v>
      </c>
      <c r="M13" s="314" t="s">
        <v>613</v>
      </c>
    </row>
    <row r="14" spans="2:13" s="116" customFormat="1" ht="11.25" x14ac:dyDescent="0.15">
      <c r="B14" s="51"/>
      <c r="D14" s="116" t="s">
        <v>836</v>
      </c>
      <c r="E14" s="116" t="s">
        <v>839</v>
      </c>
      <c r="F14" s="116" t="s">
        <v>585</v>
      </c>
      <c r="G14" s="118">
        <v>39600</v>
      </c>
      <c r="I14" s="314" t="s">
        <v>754</v>
      </c>
      <c r="J14" s="315">
        <v>43200</v>
      </c>
      <c r="K14" s="315">
        <v>50700</v>
      </c>
      <c r="L14" s="315">
        <v>35000</v>
      </c>
      <c r="M14" s="315">
        <v>128900</v>
      </c>
    </row>
    <row r="15" spans="2:13" s="116" customFormat="1" ht="11.25" x14ac:dyDescent="0.15">
      <c r="B15" s="51"/>
      <c r="D15" s="116" t="s">
        <v>836</v>
      </c>
      <c r="E15" s="116" t="s">
        <v>754</v>
      </c>
      <c r="F15" s="116" t="s">
        <v>707</v>
      </c>
      <c r="G15" s="118">
        <v>39600</v>
      </c>
      <c r="I15" s="314" t="s">
        <v>755</v>
      </c>
      <c r="J15" s="315">
        <v>45000</v>
      </c>
      <c r="K15" s="315">
        <v>52900</v>
      </c>
      <c r="L15" s="315">
        <v>35500</v>
      </c>
      <c r="M15" s="315">
        <v>133400</v>
      </c>
    </row>
    <row r="16" spans="2:13" s="116" customFormat="1" ht="11.25" x14ac:dyDescent="0.15">
      <c r="D16" s="116" t="s">
        <v>836</v>
      </c>
      <c r="E16" s="116" t="s">
        <v>755</v>
      </c>
      <c r="F16" s="116" t="s">
        <v>707</v>
      </c>
      <c r="G16" s="118">
        <v>42300</v>
      </c>
      <c r="I16" s="314" t="s">
        <v>756</v>
      </c>
      <c r="J16" s="315">
        <v>35280</v>
      </c>
      <c r="K16" s="315">
        <v>41200</v>
      </c>
      <c r="L16" s="315">
        <v>36900</v>
      </c>
      <c r="M16" s="315">
        <v>113380</v>
      </c>
    </row>
    <row r="17" spans="4:13" s="116" customFormat="1" ht="11.25" x14ac:dyDescent="0.15">
      <c r="D17" s="116" t="s">
        <v>836</v>
      </c>
      <c r="E17" s="116" t="s">
        <v>756</v>
      </c>
      <c r="F17" s="116" t="s">
        <v>707</v>
      </c>
      <c r="G17" s="118">
        <v>42300</v>
      </c>
      <c r="I17" s="314" t="s">
        <v>837</v>
      </c>
      <c r="J17" s="315">
        <v>39600</v>
      </c>
      <c r="K17" s="315">
        <v>46400</v>
      </c>
      <c r="L17" s="315">
        <v>36100</v>
      </c>
      <c r="M17" s="315">
        <v>122100</v>
      </c>
    </row>
    <row r="18" spans="4:13" s="116" customFormat="1" ht="11.25" x14ac:dyDescent="0.15">
      <c r="D18" s="116" t="s">
        <v>836</v>
      </c>
      <c r="E18" s="116" t="s">
        <v>837</v>
      </c>
      <c r="F18" s="116" t="s">
        <v>707</v>
      </c>
      <c r="G18" s="118">
        <v>42750</v>
      </c>
      <c r="I18" s="314" t="s">
        <v>838</v>
      </c>
      <c r="J18" s="315">
        <v>39960</v>
      </c>
      <c r="K18" s="315">
        <v>46900</v>
      </c>
      <c r="L18" s="315">
        <v>36400</v>
      </c>
      <c r="M18" s="315">
        <v>123260</v>
      </c>
    </row>
    <row r="19" spans="4:13" s="116" customFormat="1" ht="11.25" x14ac:dyDescent="0.15">
      <c r="D19" s="116" t="s">
        <v>836</v>
      </c>
      <c r="E19" s="116" t="s">
        <v>838</v>
      </c>
      <c r="F19" s="116" t="s">
        <v>707</v>
      </c>
      <c r="G19" s="118">
        <v>43650</v>
      </c>
      <c r="I19" s="314" t="s">
        <v>839</v>
      </c>
      <c r="J19" s="315">
        <v>39600</v>
      </c>
      <c r="K19" s="315">
        <v>46400</v>
      </c>
      <c r="L19" s="315">
        <v>36100</v>
      </c>
      <c r="M19" s="315">
        <v>122100</v>
      </c>
    </row>
    <row r="20" spans="4:13" s="116" customFormat="1" ht="11.25" x14ac:dyDescent="0.15">
      <c r="D20" s="116" t="s">
        <v>836</v>
      </c>
      <c r="E20" s="116" t="s">
        <v>839</v>
      </c>
      <c r="F20" s="116" t="s">
        <v>707</v>
      </c>
      <c r="G20" s="118">
        <v>44550</v>
      </c>
      <c r="I20" s="314" t="s">
        <v>613</v>
      </c>
      <c r="J20" s="315">
        <v>242640</v>
      </c>
      <c r="K20" s="315">
        <v>284500</v>
      </c>
      <c r="L20" s="315">
        <v>216000</v>
      </c>
      <c r="M20" s="315">
        <v>743140</v>
      </c>
    </row>
    <row r="21" spans="4:13" s="116" customFormat="1" ht="11.25" x14ac:dyDescent="0.15">
      <c r="D21" s="116" t="s">
        <v>836</v>
      </c>
      <c r="E21" s="116" t="s">
        <v>754</v>
      </c>
      <c r="F21" s="116" t="s">
        <v>706</v>
      </c>
      <c r="G21" s="118">
        <v>39600</v>
      </c>
    </row>
    <row r="22" spans="4:13" s="116" customFormat="1" ht="11.25" x14ac:dyDescent="0.15">
      <c r="D22" s="116" t="s">
        <v>836</v>
      </c>
      <c r="E22" s="116" t="s">
        <v>755</v>
      </c>
      <c r="F22" s="116" t="s">
        <v>706</v>
      </c>
      <c r="G22" s="118">
        <v>42300</v>
      </c>
    </row>
    <row r="23" spans="4:13" s="116" customFormat="1" ht="11.25" x14ac:dyDescent="0.15">
      <c r="D23" s="116" t="s">
        <v>836</v>
      </c>
      <c r="E23" s="116" t="s">
        <v>756</v>
      </c>
      <c r="F23" s="116" t="s">
        <v>706</v>
      </c>
      <c r="G23" s="118">
        <v>42300</v>
      </c>
    </row>
    <row r="24" spans="4:13" s="116" customFormat="1" ht="11.25" x14ac:dyDescent="0.15">
      <c r="D24" s="116" t="s">
        <v>836</v>
      </c>
      <c r="E24" s="116" t="s">
        <v>837</v>
      </c>
      <c r="F24" s="116" t="s">
        <v>706</v>
      </c>
      <c r="G24" s="118">
        <v>42750</v>
      </c>
    </row>
    <row r="25" spans="4:13" s="116" customFormat="1" ht="11.25" x14ac:dyDescent="0.15">
      <c r="D25" s="116" t="s">
        <v>836</v>
      </c>
      <c r="E25" s="116" t="s">
        <v>838</v>
      </c>
      <c r="F25" s="116" t="s">
        <v>706</v>
      </c>
      <c r="G25" s="118">
        <v>43650</v>
      </c>
    </row>
    <row r="26" spans="4:13" s="116" customFormat="1" ht="11.25" x14ac:dyDescent="0.15">
      <c r="D26" s="116" t="s">
        <v>836</v>
      </c>
      <c r="E26" s="116" t="s">
        <v>839</v>
      </c>
      <c r="F26" s="116" t="s">
        <v>706</v>
      </c>
      <c r="G26" s="118">
        <v>44550</v>
      </c>
    </row>
    <row r="27" spans="4:13" s="116" customFormat="1" ht="11.25" x14ac:dyDescent="0.15">
      <c r="D27" s="116" t="s">
        <v>836</v>
      </c>
      <c r="E27" s="116" t="s">
        <v>754</v>
      </c>
      <c r="F27" s="116" t="s">
        <v>600</v>
      </c>
      <c r="G27" s="118">
        <v>41280</v>
      </c>
    </row>
    <row r="28" spans="4:13" s="116" customFormat="1" ht="11.25" x14ac:dyDescent="0.15">
      <c r="D28" s="116" t="s">
        <v>836</v>
      </c>
      <c r="E28" s="116" t="s">
        <v>755</v>
      </c>
      <c r="F28" s="116" t="s">
        <v>600</v>
      </c>
      <c r="G28" s="118">
        <v>41760</v>
      </c>
    </row>
    <row r="29" spans="4:13" s="116" customFormat="1" ht="11.25" x14ac:dyDescent="0.15">
      <c r="D29" s="116" t="s">
        <v>836</v>
      </c>
      <c r="E29" s="116" t="s">
        <v>756</v>
      </c>
      <c r="F29" s="116" t="s">
        <v>600</v>
      </c>
      <c r="G29" s="118">
        <v>39360</v>
      </c>
    </row>
    <row r="30" spans="4:13" s="116" customFormat="1" ht="11.25" x14ac:dyDescent="0.15">
      <c r="D30" s="116" t="s">
        <v>836</v>
      </c>
      <c r="E30" s="116" t="s">
        <v>837</v>
      </c>
      <c r="F30" s="116" t="s">
        <v>600</v>
      </c>
      <c r="G30" s="118">
        <v>40900</v>
      </c>
    </row>
    <row r="31" spans="4:13" s="116" customFormat="1" ht="11.25" x14ac:dyDescent="0.15">
      <c r="D31" s="116" t="s">
        <v>836</v>
      </c>
      <c r="E31" s="116" t="s">
        <v>838</v>
      </c>
      <c r="F31" s="116" t="s">
        <v>600</v>
      </c>
      <c r="G31" s="118">
        <v>42000</v>
      </c>
    </row>
    <row r="32" spans="4:13" s="116" customFormat="1" ht="11.25" x14ac:dyDescent="0.15">
      <c r="D32" s="116" t="s">
        <v>836</v>
      </c>
      <c r="E32" s="116" t="s">
        <v>839</v>
      </c>
      <c r="F32" s="116" t="s">
        <v>600</v>
      </c>
      <c r="G32" s="118">
        <v>43500</v>
      </c>
    </row>
    <row r="33" spans="4:7" s="116" customFormat="1" ht="11.25" x14ac:dyDescent="0.15">
      <c r="D33" s="116" t="s">
        <v>840</v>
      </c>
      <c r="E33" s="116" t="s">
        <v>754</v>
      </c>
      <c r="F33" s="116" t="s">
        <v>585</v>
      </c>
      <c r="G33" s="118">
        <v>35000</v>
      </c>
    </row>
    <row r="34" spans="4:7" s="116" customFormat="1" ht="11.25" x14ac:dyDescent="0.15">
      <c r="D34" s="116" t="s">
        <v>840</v>
      </c>
      <c r="E34" s="116" t="s">
        <v>755</v>
      </c>
      <c r="F34" s="116" t="s">
        <v>585</v>
      </c>
      <c r="G34" s="118">
        <v>35500</v>
      </c>
    </row>
    <row r="35" spans="4:7" s="116" customFormat="1" ht="11.25" x14ac:dyDescent="0.15">
      <c r="D35" s="116" t="s">
        <v>840</v>
      </c>
      <c r="E35" s="116" t="s">
        <v>756</v>
      </c>
      <c r="F35" s="116" t="s">
        <v>585</v>
      </c>
      <c r="G35" s="118">
        <v>36900</v>
      </c>
    </row>
    <row r="36" spans="4:7" s="116" customFormat="1" ht="11.25" x14ac:dyDescent="0.15">
      <c r="D36" s="116" t="s">
        <v>840</v>
      </c>
      <c r="E36" s="116" t="s">
        <v>837</v>
      </c>
      <c r="F36" s="116" t="s">
        <v>585</v>
      </c>
      <c r="G36" s="118">
        <v>36100</v>
      </c>
    </row>
    <row r="37" spans="4:7" s="116" customFormat="1" ht="11.25" x14ac:dyDescent="0.15">
      <c r="D37" s="116" t="s">
        <v>840</v>
      </c>
      <c r="E37" s="116" t="s">
        <v>838</v>
      </c>
      <c r="F37" s="116" t="s">
        <v>585</v>
      </c>
      <c r="G37" s="118">
        <v>36400</v>
      </c>
    </row>
    <row r="38" spans="4:7" s="116" customFormat="1" ht="11.25" x14ac:dyDescent="0.15">
      <c r="D38" s="116" t="s">
        <v>840</v>
      </c>
      <c r="E38" s="116" t="s">
        <v>839</v>
      </c>
      <c r="F38" s="116" t="s">
        <v>585</v>
      </c>
      <c r="G38" s="118">
        <v>36100</v>
      </c>
    </row>
    <row r="39" spans="4:7" s="116" customFormat="1" ht="11.25" x14ac:dyDescent="0.15">
      <c r="D39" s="116" t="s">
        <v>840</v>
      </c>
      <c r="E39" s="116" t="s">
        <v>754</v>
      </c>
      <c r="F39" s="116" t="s">
        <v>707</v>
      </c>
      <c r="G39" s="118">
        <v>22100</v>
      </c>
    </row>
    <row r="40" spans="4:7" s="116" customFormat="1" ht="11.25" x14ac:dyDescent="0.15">
      <c r="D40" s="116" t="s">
        <v>840</v>
      </c>
      <c r="E40" s="116" t="s">
        <v>755</v>
      </c>
      <c r="F40" s="116" t="s">
        <v>707</v>
      </c>
      <c r="G40" s="118">
        <v>24300</v>
      </c>
    </row>
    <row r="41" spans="4:7" s="116" customFormat="1" ht="11.25" x14ac:dyDescent="0.15">
      <c r="D41" s="116" t="s">
        <v>840</v>
      </c>
      <c r="E41" s="116" t="s">
        <v>756</v>
      </c>
      <c r="F41" s="116" t="s">
        <v>707</v>
      </c>
      <c r="G41" s="118">
        <v>24300</v>
      </c>
    </row>
    <row r="42" spans="4:7" s="116" customFormat="1" ht="11.25" x14ac:dyDescent="0.15">
      <c r="D42" s="116" t="s">
        <v>840</v>
      </c>
      <c r="E42" s="116" t="s">
        <v>837</v>
      </c>
      <c r="F42" s="116" t="s">
        <v>707</v>
      </c>
      <c r="G42" s="118">
        <v>24600</v>
      </c>
    </row>
    <row r="43" spans="4:7" s="116" customFormat="1" ht="11.25" x14ac:dyDescent="0.15">
      <c r="D43" s="116" t="s">
        <v>840</v>
      </c>
      <c r="E43" s="116" t="s">
        <v>838</v>
      </c>
      <c r="F43" s="116" t="s">
        <v>707</v>
      </c>
      <c r="G43" s="118">
        <v>25400</v>
      </c>
    </row>
    <row r="44" spans="4:7" s="116" customFormat="1" ht="11.25" x14ac:dyDescent="0.15">
      <c r="D44" s="116" t="s">
        <v>840</v>
      </c>
      <c r="E44" s="116" t="s">
        <v>839</v>
      </c>
      <c r="F44" s="116" t="s">
        <v>707</v>
      </c>
      <c r="G44" s="118">
        <v>23100</v>
      </c>
    </row>
    <row r="45" spans="4:7" s="116" customFormat="1" ht="11.25" x14ac:dyDescent="0.15">
      <c r="D45" s="116" t="s">
        <v>840</v>
      </c>
      <c r="E45" s="116" t="s">
        <v>754</v>
      </c>
      <c r="F45" s="116" t="s">
        <v>706</v>
      </c>
      <c r="G45" s="118">
        <v>26200</v>
      </c>
    </row>
    <row r="46" spans="4:7" s="116" customFormat="1" ht="11.25" x14ac:dyDescent="0.15">
      <c r="D46" s="116" t="s">
        <v>840</v>
      </c>
      <c r="E46" s="116" t="s">
        <v>755</v>
      </c>
      <c r="F46" s="116" t="s">
        <v>706</v>
      </c>
      <c r="G46" s="118">
        <v>24500</v>
      </c>
    </row>
    <row r="47" spans="4:7" s="116" customFormat="1" ht="11.25" x14ac:dyDescent="0.15">
      <c r="D47" s="116" t="s">
        <v>840</v>
      </c>
      <c r="E47" s="116" t="s">
        <v>756</v>
      </c>
      <c r="F47" s="116" t="s">
        <v>706</v>
      </c>
      <c r="G47" s="118">
        <v>24300</v>
      </c>
    </row>
    <row r="48" spans="4:7" s="116" customFormat="1" ht="11.25" x14ac:dyDescent="0.15">
      <c r="D48" s="116" t="s">
        <v>840</v>
      </c>
      <c r="E48" s="116" t="s">
        <v>837</v>
      </c>
      <c r="F48" s="116" t="s">
        <v>706</v>
      </c>
      <c r="G48" s="118">
        <v>24800</v>
      </c>
    </row>
    <row r="49" spans="4:7" s="116" customFormat="1" ht="11.25" x14ac:dyDescent="0.15">
      <c r="D49" s="116" t="s">
        <v>840</v>
      </c>
      <c r="E49" s="116" t="s">
        <v>838</v>
      </c>
      <c r="F49" s="116" t="s">
        <v>706</v>
      </c>
      <c r="G49" s="118">
        <v>25400</v>
      </c>
    </row>
    <row r="50" spans="4:7" s="116" customFormat="1" ht="11.25" x14ac:dyDescent="0.15">
      <c r="D50" s="116" t="s">
        <v>840</v>
      </c>
      <c r="E50" s="116" t="s">
        <v>839</v>
      </c>
      <c r="F50" s="116" t="s">
        <v>706</v>
      </c>
      <c r="G50" s="118">
        <v>26100</v>
      </c>
    </row>
    <row r="51" spans="4:7" s="116" customFormat="1" ht="11.25" x14ac:dyDescent="0.15">
      <c r="D51" s="116" t="s">
        <v>840</v>
      </c>
      <c r="E51" s="116" t="s">
        <v>754</v>
      </c>
      <c r="F51" s="116" t="s">
        <v>600</v>
      </c>
      <c r="G51" s="118">
        <v>23400</v>
      </c>
    </row>
    <row r="52" spans="4:7" s="116" customFormat="1" ht="11.25" x14ac:dyDescent="0.15">
      <c r="D52" s="116" t="s">
        <v>840</v>
      </c>
      <c r="E52" s="116" t="s">
        <v>755</v>
      </c>
      <c r="F52" s="116" t="s">
        <v>600</v>
      </c>
      <c r="G52" s="118">
        <v>23800</v>
      </c>
    </row>
    <row r="53" spans="4:7" s="116" customFormat="1" ht="11.25" x14ac:dyDescent="0.15">
      <c r="D53" s="116" t="s">
        <v>840</v>
      </c>
      <c r="E53" s="116" t="s">
        <v>756</v>
      </c>
      <c r="F53" s="116" t="s">
        <v>600</v>
      </c>
      <c r="G53" s="118">
        <v>23900</v>
      </c>
    </row>
    <row r="54" spans="4:7" s="116" customFormat="1" ht="11.25" x14ac:dyDescent="0.15">
      <c r="D54" s="116" t="s">
        <v>840</v>
      </c>
      <c r="E54" s="116" t="s">
        <v>837</v>
      </c>
      <c r="F54" s="116" t="s">
        <v>600</v>
      </c>
      <c r="G54" s="118">
        <v>23100</v>
      </c>
    </row>
    <row r="55" spans="4:7" s="116" customFormat="1" ht="11.25" x14ac:dyDescent="0.15">
      <c r="D55" s="116" t="s">
        <v>840</v>
      </c>
      <c r="E55" s="116" t="s">
        <v>838</v>
      </c>
      <c r="F55" s="116" t="s">
        <v>600</v>
      </c>
      <c r="G55" s="118">
        <v>24000</v>
      </c>
    </row>
    <row r="56" spans="4:7" s="116" customFormat="1" ht="11.25" x14ac:dyDescent="0.15">
      <c r="D56" s="116" t="s">
        <v>840</v>
      </c>
      <c r="E56" s="116" t="s">
        <v>839</v>
      </c>
      <c r="F56" s="116" t="s">
        <v>600</v>
      </c>
      <c r="G56" s="118">
        <v>23200</v>
      </c>
    </row>
    <row r="57" spans="4:7" s="116" customFormat="1" ht="11.25" x14ac:dyDescent="0.15">
      <c r="D57" s="116" t="s">
        <v>841</v>
      </c>
      <c r="E57" s="116" t="s">
        <v>754</v>
      </c>
      <c r="F57" s="116" t="s">
        <v>585</v>
      </c>
      <c r="G57" s="118">
        <v>50700</v>
      </c>
    </row>
    <row r="58" spans="4:7" s="116" customFormat="1" ht="11.25" x14ac:dyDescent="0.15">
      <c r="D58" s="116" t="s">
        <v>841</v>
      </c>
      <c r="E58" s="116" t="s">
        <v>755</v>
      </c>
      <c r="F58" s="116" t="s">
        <v>585</v>
      </c>
      <c r="G58" s="118">
        <v>52900</v>
      </c>
    </row>
    <row r="59" spans="4:7" s="116" customFormat="1" ht="11.25" x14ac:dyDescent="0.15">
      <c r="D59" s="116" t="s">
        <v>841</v>
      </c>
      <c r="E59" s="116" t="s">
        <v>756</v>
      </c>
      <c r="F59" s="116" t="s">
        <v>585</v>
      </c>
      <c r="G59" s="118">
        <v>41200</v>
      </c>
    </row>
    <row r="60" spans="4:7" s="116" customFormat="1" ht="11.25" x14ac:dyDescent="0.15">
      <c r="D60" s="116" t="s">
        <v>841</v>
      </c>
      <c r="E60" s="116" t="s">
        <v>837</v>
      </c>
      <c r="F60" s="116" t="s">
        <v>585</v>
      </c>
      <c r="G60" s="118">
        <v>46400</v>
      </c>
    </row>
    <row r="61" spans="4:7" s="116" customFormat="1" ht="11.25" x14ac:dyDescent="0.15">
      <c r="D61" s="116" t="s">
        <v>841</v>
      </c>
      <c r="E61" s="116" t="s">
        <v>838</v>
      </c>
      <c r="F61" s="116" t="s">
        <v>585</v>
      </c>
      <c r="G61" s="118">
        <v>46900</v>
      </c>
    </row>
    <row r="62" spans="4:7" s="116" customFormat="1" ht="11.25" x14ac:dyDescent="0.15">
      <c r="D62" s="116" t="s">
        <v>841</v>
      </c>
      <c r="E62" s="116" t="s">
        <v>839</v>
      </c>
      <c r="F62" s="116" t="s">
        <v>585</v>
      </c>
      <c r="G62" s="118">
        <v>46400</v>
      </c>
    </row>
    <row r="63" spans="4:7" s="116" customFormat="1" ht="11.25" x14ac:dyDescent="0.15">
      <c r="D63" s="116" t="s">
        <v>841</v>
      </c>
      <c r="E63" s="116" t="s">
        <v>754</v>
      </c>
      <c r="F63" s="116" t="s">
        <v>707</v>
      </c>
      <c r="G63" s="118">
        <v>46400</v>
      </c>
    </row>
    <row r="64" spans="4:7" s="116" customFormat="1" ht="11.25" x14ac:dyDescent="0.15">
      <c r="D64" s="116" t="s">
        <v>841</v>
      </c>
      <c r="E64" s="116" t="s">
        <v>755</v>
      </c>
      <c r="F64" s="116" t="s">
        <v>707</v>
      </c>
      <c r="G64" s="118">
        <v>49700</v>
      </c>
    </row>
    <row r="65" spans="4:7" s="116" customFormat="1" ht="11.25" x14ac:dyDescent="0.15">
      <c r="D65" s="116" t="s">
        <v>841</v>
      </c>
      <c r="E65" s="116" t="s">
        <v>756</v>
      </c>
      <c r="F65" s="116" t="s">
        <v>707</v>
      </c>
      <c r="G65" s="118">
        <v>49700</v>
      </c>
    </row>
    <row r="66" spans="4:7" s="116" customFormat="1" ht="11.25" x14ac:dyDescent="0.15">
      <c r="D66" s="116" t="s">
        <v>841</v>
      </c>
      <c r="E66" s="116" t="s">
        <v>837</v>
      </c>
      <c r="F66" s="116" t="s">
        <v>707</v>
      </c>
      <c r="G66" s="118">
        <v>50200</v>
      </c>
    </row>
    <row r="67" spans="4:7" s="116" customFormat="1" ht="11.25" x14ac:dyDescent="0.15">
      <c r="D67" s="116" t="s">
        <v>841</v>
      </c>
      <c r="E67" s="116" t="s">
        <v>838</v>
      </c>
      <c r="F67" s="116" t="s">
        <v>707</v>
      </c>
      <c r="G67" s="118">
        <v>51300</v>
      </c>
    </row>
    <row r="68" spans="4:7" s="116" customFormat="1" ht="11.25" x14ac:dyDescent="0.15">
      <c r="D68" s="116" t="s">
        <v>841</v>
      </c>
      <c r="E68" s="116" t="s">
        <v>839</v>
      </c>
      <c r="F68" s="116" t="s">
        <v>707</v>
      </c>
      <c r="G68" s="118">
        <v>52400</v>
      </c>
    </row>
    <row r="69" spans="4:7" s="116" customFormat="1" ht="11.25" x14ac:dyDescent="0.15">
      <c r="D69" s="116" t="s">
        <v>841</v>
      </c>
      <c r="E69" s="116" t="s">
        <v>754</v>
      </c>
      <c r="F69" s="116" t="s">
        <v>706</v>
      </c>
      <c r="G69" s="118">
        <v>46400</v>
      </c>
    </row>
    <row r="70" spans="4:7" s="116" customFormat="1" ht="11.25" x14ac:dyDescent="0.15">
      <c r="D70" s="116" t="s">
        <v>841</v>
      </c>
      <c r="E70" s="116" t="s">
        <v>755</v>
      </c>
      <c r="F70" s="116" t="s">
        <v>706</v>
      </c>
      <c r="G70" s="118">
        <v>49700</v>
      </c>
    </row>
    <row r="71" spans="4:7" s="116" customFormat="1" ht="11.25" x14ac:dyDescent="0.15">
      <c r="D71" s="116" t="s">
        <v>841</v>
      </c>
      <c r="E71" s="116" t="s">
        <v>756</v>
      </c>
      <c r="F71" s="116" t="s">
        <v>706</v>
      </c>
      <c r="G71" s="118">
        <v>49700</v>
      </c>
    </row>
    <row r="72" spans="4:7" s="116" customFormat="1" ht="11.25" x14ac:dyDescent="0.15">
      <c r="D72" s="116" t="s">
        <v>841</v>
      </c>
      <c r="E72" s="116" t="s">
        <v>837</v>
      </c>
      <c r="F72" s="116" t="s">
        <v>706</v>
      </c>
      <c r="G72" s="118">
        <v>50200</v>
      </c>
    </row>
    <row r="73" spans="4:7" s="116" customFormat="1" ht="11.25" x14ac:dyDescent="0.15">
      <c r="D73" s="116" t="s">
        <v>841</v>
      </c>
      <c r="E73" s="116" t="s">
        <v>838</v>
      </c>
      <c r="F73" s="116" t="s">
        <v>706</v>
      </c>
      <c r="G73" s="118">
        <v>51300</v>
      </c>
    </row>
    <row r="74" spans="4:7" s="116" customFormat="1" ht="11.25" x14ac:dyDescent="0.15">
      <c r="D74" s="116" t="s">
        <v>841</v>
      </c>
      <c r="E74" s="116" t="s">
        <v>839</v>
      </c>
      <c r="F74" s="116" t="s">
        <v>706</v>
      </c>
      <c r="G74" s="118">
        <v>52400</v>
      </c>
    </row>
    <row r="75" spans="4:7" s="116" customFormat="1" ht="11.25" x14ac:dyDescent="0.15">
      <c r="D75" s="116" t="s">
        <v>841</v>
      </c>
      <c r="E75" s="116" t="s">
        <v>754</v>
      </c>
      <c r="F75" s="116" t="s">
        <v>600</v>
      </c>
      <c r="G75" s="118">
        <v>48400</v>
      </c>
    </row>
    <row r="76" spans="4:7" s="116" customFormat="1" ht="11.25" x14ac:dyDescent="0.15">
      <c r="D76" s="116" t="s">
        <v>841</v>
      </c>
      <c r="E76" s="116" t="s">
        <v>755</v>
      </c>
      <c r="F76" s="116" t="s">
        <v>600</v>
      </c>
      <c r="G76" s="118">
        <v>49000</v>
      </c>
    </row>
    <row r="77" spans="4:7" s="116" customFormat="1" ht="11.25" x14ac:dyDescent="0.15">
      <c r="D77" s="116" t="s">
        <v>841</v>
      </c>
      <c r="E77" s="116" t="s">
        <v>756</v>
      </c>
      <c r="F77" s="116" t="s">
        <v>600</v>
      </c>
      <c r="G77" s="118">
        <v>46100</v>
      </c>
    </row>
    <row r="78" spans="4:7" s="116" customFormat="1" ht="11.25" x14ac:dyDescent="0.15">
      <c r="D78" s="116" t="s">
        <v>841</v>
      </c>
      <c r="E78" s="116" t="s">
        <v>837</v>
      </c>
      <c r="F78" s="116" t="s">
        <v>600</v>
      </c>
      <c r="G78" s="118">
        <v>48000</v>
      </c>
    </row>
    <row r="79" spans="4:7" s="116" customFormat="1" ht="11.25" x14ac:dyDescent="0.15">
      <c r="D79" s="116" t="s">
        <v>841</v>
      </c>
      <c r="E79" s="116" t="s">
        <v>838</v>
      </c>
      <c r="F79" s="116" t="s">
        <v>600</v>
      </c>
      <c r="G79" s="118">
        <v>49300</v>
      </c>
    </row>
    <row r="80" spans="4:7" s="116" customFormat="1" ht="11.25" x14ac:dyDescent="0.15">
      <c r="D80" s="116" t="s">
        <v>841</v>
      </c>
      <c r="E80" s="116" t="s">
        <v>839</v>
      </c>
      <c r="F80" s="116" t="s">
        <v>600</v>
      </c>
      <c r="G80" s="118">
        <v>51100</v>
      </c>
    </row>
  </sheetData>
  <mergeCells count="5">
    <mergeCell ref="B6:E6"/>
    <mergeCell ref="B2:C2"/>
    <mergeCell ref="B3:C3"/>
    <mergeCell ref="B4:C4"/>
    <mergeCell ref="B1:C1"/>
  </mergeCells>
  <hyperlinks>
    <hyperlink ref="B6:D6" location="sjabloon!A1" display="Ga naar Inhoudsopgave" xr:uid="{00000000-0004-0000-3200-000000000000}"/>
    <hyperlink ref="B6:E6" location="Inhoud!A1" display="Ga naar Inhoudsopgave" xr:uid="{00000000-0004-0000-3200-000001000000}"/>
  </hyperlinks>
  <pageMargins left="0.7" right="0.7" top="0.75" bottom="0.75" header="0.3" footer="0.3"/>
  <pageSetup paperSize="9" orientation="landscape"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Blad39"/>
  <dimension ref="B1:S16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10.7109375" style="4" bestFit="1" customWidth="1"/>
    <col min="4" max="4" width="12.7109375" style="4" bestFit="1" customWidth="1"/>
    <col min="5" max="5" width="8.42578125" style="4" bestFit="1" customWidth="1"/>
    <col min="6" max="6" width="10.7109375" style="4" bestFit="1" customWidth="1"/>
    <col min="7" max="7" width="8.85546875" style="4" bestFit="1" customWidth="1"/>
    <col min="8" max="8" width="7.85546875" style="4" bestFit="1" customWidth="1"/>
    <col min="9" max="9" width="9.28515625" style="4" bestFit="1" customWidth="1"/>
    <col min="10" max="10" width="9.140625" style="4"/>
    <col min="11" max="11" width="16" style="4" customWidth="1"/>
    <col min="12" max="12" width="14" style="4" customWidth="1"/>
    <col min="13" max="13" width="8.42578125" style="4" customWidth="1"/>
    <col min="14" max="14" width="6.42578125" style="4" customWidth="1"/>
    <col min="15" max="15" width="8.7109375" style="4" customWidth="1"/>
    <col min="16" max="16" width="13.140625" style="4" customWidth="1"/>
    <col min="17" max="17" width="12.42578125" style="4" customWidth="1"/>
    <col min="18" max="18" width="19.5703125" style="4" customWidth="1"/>
    <col min="19" max="19" width="19" style="4" customWidth="1"/>
    <col min="20" max="16384" width="9.140625" style="4"/>
  </cols>
  <sheetData>
    <row r="1" spans="2:19" x14ac:dyDescent="0.2">
      <c r="B1" s="355" t="s">
        <v>1253</v>
      </c>
      <c r="C1" s="355"/>
      <c r="D1" s="316" t="s">
        <v>849</v>
      </c>
    </row>
    <row r="2" spans="2:19" x14ac:dyDescent="0.2">
      <c r="B2" s="355" t="s">
        <v>1085</v>
      </c>
      <c r="C2" s="355"/>
      <c r="D2" s="332" t="str">
        <f>VLOOKUP(D$1,TabelContent[],COLUMN(TabelContent[Titel-NL]))</f>
        <v>Kenmerken auto's</v>
      </c>
      <c r="E2" s="7"/>
      <c r="F2" s="7"/>
      <c r="G2" s="7"/>
      <c r="H2" s="8"/>
      <c r="I2" s="9"/>
    </row>
    <row r="3" spans="2:19" x14ac:dyDescent="0.2">
      <c r="B3" s="355" t="s">
        <v>1086</v>
      </c>
      <c r="C3" s="355"/>
      <c r="D3" s="332" t="str">
        <f>VLOOKUP(D$1,TabelContent[],COLUMN(TabelContent[Cat-NL]))</f>
        <v>Draaitabel</v>
      </c>
      <c r="E3" s="7"/>
      <c r="F3" s="7"/>
      <c r="G3" s="7"/>
      <c r="H3" s="8"/>
      <c r="I3" s="9"/>
    </row>
    <row r="4" spans="2:19" x14ac:dyDescent="0.2">
      <c r="B4" s="355" t="s">
        <v>1087</v>
      </c>
      <c r="C4" s="355" t="s">
        <v>1077</v>
      </c>
      <c r="D4" s="332">
        <f>VLOOKUP(D$1,TabelContent[],COLUMN(TabelContent[Niveau]))</f>
        <v>2</v>
      </c>
      <c r="E4" s="7"/>
      <c r="F4" s="7"/>
      <c r="G4" s="7"/>
      <c r="H4" s="8"/>
      <c r="I4" s="9"/>
    </row>
    <row r="5" spans="2:19" x14ac:dyDescent="0.2">
      <c r="B5" s="16"/>
      <c r="C5" s="16"/>
      <c r="D5" s="16"/>
      <c r="E5" s="16"/>
    </row>
    <row r="6" spans="2:19" x14ac:dyDescent="0.2">
      <c r="B6" s="356" t="s">
        <v>47</v>
      </c>
      <c r="C6" s="356"/>
      <c r="D6" s="356"/>
      <c r="E6" s="356"/>
    </row>
    <row r="7" spans="2:19" x14ac:dyDescent="0.2">
      <c r="B7" s="16"/>
      <c r="C7" s="16"/>
      <c r="D7" s="16"/>
      <c r="E7" s="16"/>
    </row>
    <row r="8" spans="2:19" x14ac:dyDescent="0.2">
      <c r="B8" s="16"/>
      <c r="C8" s="5" t="s">
        <v>125</v>
      </c>
      <c r="D8" s="5" t="s">
        <v>126</v>
      </c>
      <c r="E8" s="5" t="s">
        <v>127</v>
      </c>
      <c r="F8" s="5" t="s">
        <v>128</v>
      </c>
      <c r="G8" s="5" t="s">
        <v>129</v>
      </c>
      <c r="H8" s="5" t="s">
        <v>130</v>
      </c>
      <c r="I8" s="5" t="s">
        <v>131</v>
      </c>
    </row>
    <row r="9" spans="2:19" x14ac:dyDescent="0.2">
      <c r="B9" s="16"/>
      <c r="C9" s="123" t="s">
        <v>132</v>
      </c>
      <c r="D9" s="123" t="s">
        <v>133</v>
      </c>
      <c r="E9" s="7">
        <v>4</v>
      </c>
      <c r="F9" s="7">
        <v>170</v>
      </c>
      <c r="G9" s="123" t="s">
        <v>1177</v>
      </c>
      <c r="H9" s="8">
        <v>12.2</v>
      </c>
      <c r="I9" s="9">
        <v>19990</v>
      </c>
    </row>
    <row r="10" spans="2:19" x14ac:dyDescent="0.2">
      <c r="B10" s="16"/>
      <c r="C10" s="123" t="s">
        <v>132</v>
      </c>
      <c r="D10" s="123" t="s">
        <v>134</v>
      </c>
      <c r="E10" s="7">
        <v>4</v>
      </c>
      <c r="F10" s="7">
        <v>190</v>
      </c>
      <c r="G10" s="123" t="s">
        <v>1177</v>
      </c>
      <c r="H10" s="8">
        <v>10</v>
      </c>
      <c r="I10" s="9">
        <v>33645</v>
      </c>
    </row>
    <row r="11" spans="2:19" x14ac:dyDescent="0.2">
      <c r="B11" s="16"/>
      <c r="C11" s="123" t="s">
        <v>132</v>
      </c>
      <c r="D11" s="123" t="s">
        <v>135</v>
      </c>
      <c r="E11" s="7">
        <v>4</v>
      </c>
      <c r="F11" s="7">
        <v>175</v>
      </c>
      <c r="G11" s="123" t="s">
        <v>1176</v>
      </c>
      <c r="H11" s="8">
        <v>12.9</v>
      </c>
      <c r="I11" s="9">
        <v>45040</v>
      </c>
      <c r="K11"/>
      <c r="L11" s="111" t="s">
        <v>129</v>
      </c>
      <c r="M11"/>
      <c r="N11"/>
      <c r="O11"/>
      <c r="P11"/>
      <c r="Q11"/>
      <c r="R11"/>
      <c r="S11"/>
    </row>
    <row r="12" spans="2:19" x14ac:dyDescent="0.2">
      <c r="B12" s="16"/>
      <c r="C12" s="123" t="s">
        <v>132</v>
      </c>
      <c r="D12" s="123" t="s">
        <v>137</v>
      </c>
      <c r="E12" s="7">
        <v>4</v>
      </c>
      <c r="F12" s="7">
        <v>190</v>
      </c>
      <c r="G12" s="123" t="s">
        <v>1177</v>
      </c>
      <c r="H12" s="8">
        <v>10.1</v>
      </c>
      <c r="I12" s="9">
        <v>45725</v>
      </c>
      <c r="K12" s="111" t="s">
        <v>125</v>
      </c>
      <c r="L12" s="4" t="s">
        <v>1176</v>
      </c>
      <c r="M12" s="4" t="s">
        <v>1178</v>
      </c>
      <c r="N12" s="4" t="s">
        <v>1177</v>
      </c>
      <c r="O12"/>
      <c r="P12"/>
      <c r="Q12"/>
      <c r="R12"/>
      <c r="S12"/>
    </row>
    <row r="13" spans="2:19" x14ac:dyDescent="0.2">
      <c r="B13" s="16"/>
      <c r="C13" s="123" t="s">
        <v>138</v>
      </c>
      <c r="D13" s="123" t="s">
        <v>139</v>
      </c>
      <c r="E13" s="7">
        <v>4</v>
      </c>
      <c r="F13" s="7">
        <v>167</v>
      </c>
      <c r="G13" s="123" t="s">
        <v>1178</v>
      </c>
      <c r="H13" s="8">
        <v>12.4</v>
      </c>
      <c r="I13" s="9">
        <v>31595</v>
      </c>
      <c r="K13" s="114" t="s">
        <v>132</v>
      </c>
      <c r="L13" s="115"/>
      <c r="M13" s="115"/>
      <c r="N13" s="115"/>
      <c r="O13"/>
      <c r="P13"/>
      <c r="Q13"/>
      <c r="R13"/>
      <c r="S13"/>
    </row>
    <row r="14" spans="2:19" x14ac:dyDescent="0.2">
      <c r="B14" s="16"/>
      <c r="C14" s="123" t="s">
        <v>138</v>
      </c>
      <c r="D14" s="123" t="s">
        <v>140</v>
      </c>
      <c r="E14" s="7">
        <v>4</v>
      </c>
      <c r="F14" s="7">
        <v>153</v>
      </c>
      <c r="G14" s="123" t="s">
        <v>1176</v>
      </c>
      <c r="H14" s="8">
        <v>16.2</v>
      </c>
      <c r="I14" s="9">
        <v>36745</v>
      </c>
      <c r="K14" s="284" t="s">
        <v>1174</v>
      </c>
      <c r="L14" s="115">
        <v>12.9</v>
      </c>
      <c r="M14" s="115"/>
      <c r="N14" s="115">
        <v>12.2</v>
      </c>
      <c r="O14"/>
      <c r="P14"/>
      <c r="Q14"/>
      <c r="R14"/>
      <c r="S14"/>
    </row>
    <row r="15" spans="2:19" x14ac:dyDescent="0.2">
      <c r="B15" s="16"/>
      <c r="C15" s="123" t="s">
        <v>138</v>
      </c>
      <c r="D15" s="123" t="s">
        <v>141</v>
      </c>
      <c r="E15" s="7">
        <v>4</v>
      </c>
      <c r="F15" s="7">
        <v>176</v>
      </c>
      <c r="G15" s="123" t="s">
        <v>1178</v>
      </c>
      <c r="H15" s="8">
        <v>13.1</v>
      </c>
      <c r="I15" s="9">
        <v>45750</v>
      </c>
      <c r="K15" s="284" t="s">
        <v>1175</v>
      </c>
      <c r="L15" s="115">
        <v>12.9</v>
      </c>
      <c r="M15" s="115"/>
      <c r="N15" s="115">
        <v>10</v>
      </c>
      <c r="O15"/>
      <c r="P15"/>
      <c r="Q15"/>
      <c r="R15"/>
      <c r="S15"/>
    </row>
    <row r="16" spans="2:19" x14ac:dyDescent="0.2">
      <c r="C16" s="123" t="s">
        <v>138</v>
      </c>
      <c r="D16" s="123" t="s">
        <v>142</v>
      </c>
      <c r="E16" s="7">
        <v>5</v>
      </c>
      <c r="F16" s="7">
        <v>158</v>
      </c>
      <c r="G16" s="123" t="s">
        <v>1176</v>
      </c>
      <c r="H16" s="8">
        <v>14.9</v>
      </c>
      <c r="I16" s="9">
        <v>54450</v>
      </c>
      <c r="K16" s="114" t="s">
        <v>138</v>
      </c>
      <c r="L16" s="115"/>
      <c r="M16" s="115"/>
      <c r="N16" s="115"/>
      <c r="O16"/>
      <c r="P16"/>
      <c r="Q16"/>
      <c r="R16"/>
      <c r="S16"/>
    </row>
    <row r="17" spans="3:19" x14ac:dyDescent="0.2">
      <c r="C17" s="123" t="s">
        <v>138</v>
      </c>
      <c r="D17" s="123">
        <v>200</v>
      </c>
      <c r="E17" s="7">
        <v>5</v>
      </c>
      <c r="F17" s="7">
        <v>216</v>
      </c>
      <c r="G17" s="123" t="s">
        <v>1178</v>
      </c>
      <c r="H17" s="8">
        <v>10.199999999999999</v>
      </c>
      <c r="I17" s="9">
        <v>96900</v>
      </c>
      <c r="K17" s="284" t="s">
        <v>1174</v>
      </c>
      <c r="L17" s="115">
        <v>16.2</v>
      </c>
      <c r="M17" s="115">
        <v>13.1</v>
      </c>
      <c r="N17" s="115"/>
      <c r="O17"/>
      <c r="P17"/>
      <c r="Q17"/>
      <c r="R17"/>
      <c r="S17"/>
    </row>
    <row r="18" spans="3:19" x14ac:dyDescent="0.2">
      <c r="C18" s="123" t="s">
        <v>143</v>
      </c>
      <c r="D18" s="123" t="s">
        <v>144</v>
      </c>
      <c r="E18" s="7">
        <v>4</v>
      </c>
      <c r="F18" s="7">
        <v>138</v>
      </c>
      <c r="G18" s="123" t="s">
        <v>1177</v>
      </c>
      <c r="H18" s="8">
        <v>14.4</v>
      </c>
      <c r="I18" s="9">
        <v>14995</v>
      </c>
      <c r="K18" s="284" t="s">
        <v>1175</v>
      </c>
      <c r="L18" s="115">
        <v>14.9</v>
      </c>
      <c r="M18" s="115">
        <v>10.199999999999999</v>
      </c>
      <c r="N18" s="115"/>
      <c r="O18"/>
      <c r="P18"/>
      <c r="Q18"/>
      <c r="R18"/>
      <c r="S18"/>
    </row>
    <row r="19" spans="3:19" x14ac:dyDescent="0.2">
      <c r="C19" s="123" t="s">
        <v>143</v>
      </c>
      <c r="D19" s="123" t="s">
        <v>145</v>
      </c>
      <c r="E19" s="7">
        <v>4</v>
      </c>
      <c r="F19" s="7">
        <v>155</v>
      </c>
      <c r="G19" s="123" t="s">
        <v>1177</v>
      </c>
      <c r="H19" s="8">
        <v>13.2</v>
      </c>
      <c r="I19" s="9">
        <v>19995</v>
      </c>
      <c r="K19" s="114" t="s">
        <v>143</v>
      </c>
      <c r="L19" s="115"/>
      <c r="M19" s="115"/>
      <c r="N19" s="115"/>
      <c r="O19"/>
      <c r="P19"/>
      <c r="Q19"/>
      <c r="R19"/>
      <c r="S19"/>
    </row>
    <row r="20" spans="3:19" x14ac:dyDescent="0.2">
      <c r="C20" s="123" t="s">
        <v>143</v>
      </c>
      <c r="D20" s="123" t="s">
        <v>146</v>
      </c>
      <c r="E20" s="7">
        <v>4</v>
      </c>
      <c r="F20" s="7">
        <v>154</v>
      </c>
      <c r="G20" s="123" t="s">
        <v>1177</v>
      </c>
      <c r="H20" s="8">
        <v>13.2</v>
      </c>
      <c r="I20" s="9">
        <v>23990</v>
      </c>
      <c r="K20" s="284" t="s">
        <v>1174</v>
      </c>
      <c r="L20" s="115"/>
      <c r="M20" s="115"/>
      <c r="N20" s="115">
        <v>14.4</v>
      </c>
      <c r="O20"/>
      <c r="P20"/>
      <c r="Q20"/>
      <c r="R20"/>
      <c r="S20"/>
    </row>
    <row r="21" spans="3:19" x14ac:dyDescent="0.2">
      <c r="C21" s="123" t="s">
        <v>147</v>
      </c>
      <c r="D21" s="123">
        <v>316</v>
      </c>
      <c r="E21" s="7">
        <v>4</v>
      </c>
      <c r="F21" s="7">
        <v>175</v>
      </c>
      <c r="G21" s="123" t="s">
        <v>1177</v>
      </c>
      <c r="H21" s="8">
        <v>11.6</v>
      </c>
      <c r="I21" s="9">
        <v>33720</v>
      </c>
      <c r="K21" s="284" t="s">
        <v>1175</v>
      </c>
      <c r="L21" s="115"/>
      <c r="M21" s="115"/>
      <c r="N21" s="115">
        <v>13.2</v>
      </c>
      <c r="O21"/>
      <c r="P21"/>
      <c r="Q21"/>
      <c r="R21"/>
      <c r="S21"/>
    </row>
    <row r="22" spans="3:19" x14ac:dyDescent="0.2">
      <c r="C22" s="123" t="s">
        <v>147</v>
      </c>
      <c r="D22" s="123" t="s">
        <v>148</v>
      </c>
      <c r="E22" s="7">
        <v>4</v>
      </c>
      <c r="F22" s="7">
        <v>184</v>
      </c>
      <c r="G22" s="123" t="s">
        <v>1177</v>
      </c>
      <c r="H22" s="8">
        <v>11.2</v>
      </c>
      <c r="I22" s="9">
        <v>38160</v>
      </c>
      <c r="K22" s="114" t="s">
        <v>147</v>
      </c>
      <c r="L22" s="115"/>
      <c r="M22" s="115"/>
      <c r="N22" s="115"/>
      <c r="O22"/>
      <c r="P22"/>
      <c r="Q22"/>
      <c r="R22"/>
      <c r="S22"/>
    </row>
    <row r="23" spans="3:19" x14ac:dyDescent="0.2">
      <c r="C23" s="123" t="s">
        <v>147</v>
      </c>
      <c r="D23" s="123" t="s">
        <v>149</v>
      </c>
      <c r="E23" s="7">
        <v>6</v>
      </c>
      <c r="F23" s="7">
        <v>217</v>
      </c>
      <c r="G23" s="123" t="s">
        <v>1177</v>
      </c>
      <c r="H23" s="8">
        <v>9.9</v>
      </c>
      <c r="I23" s="9">
        <v>58290</v>
      </c>
      <c r="K23" s="284" t="s">
        <v>1174</v>
      </c>
      <c r="L23" s="115"/>
      <c r="M23" s="115">
        <v>8.8000000000000007</v>
      </c>
      <c r="N23" s="115">
        <v>11.6</v>
      </c>
      <c r="O23"/>
      <c r="P23"/>
      <c r="Q23"/>
      <c r="R23"/>
      <c r="S23"/>
    </row>
    <row r="24" spans="3:19" x14ac:dyDescent="0.2">
      <c r="C24" s="123" t="s">
        <v>147</v>
      </c>
      <c r="D24" s="123" t="s">
        <v>150</v>
      </c>
      <c r="E24" s="7">
        <v>4</v>
      </c>
      <c r="F24" s="7">
        <v>175</v>
      </c>
      <c r="G24" s="123" t="s">
        <v>1177</v>
      </c>
      <c r="H24" s="8">
        <v>10.4</v>
      </c>
      <c r="I24" s="9">
        <v>43170</v>
      </c>
      <c r="K24" s="284" t="s">
        <v>1175</v>
      </c>
      <c r="L24" s="115"/>
      <c r="M24" s="115">
        <v>8.8000000000000007</v>
      </c>
      <c r="N24" s="115">
        <v>9.4</v>
      </c>
      <c r="O24"/>
      <c r="P24"/>
      <c r="Q24"/>
      <c r="R24"/>
      <c r="S24"/>
    </row>
    <row r="25" spans="3:19" x14ac:dyDescent="0.2">
      <c r="C25" s="123" t="s">
        <v>147</v>
      </c>
      <c r="D25" s="123" t="s">
        <v>151</v>
      </c>
      <c r="E25" s="7">
        <v>6</v>
      </c>
      <c r="F25" s="7">
        <v>185</v>
      </c>
      <c r="G25" s="123" t="s">
        <v>1177</v>
      </c>
      <c r="H25" s="8">
        <v>10.3</v>
      </c>
      <c r="I25" s="9">
        <v>50220</v>
      </c>
      <c r="K25" s="114" t="s">
        <v>154</v>
      </c>
      <c r="L25" s="115"/>
      <c r="M25" s="115"/>
      <c r="N25" s="115"/>
      <c r="O25"/>
      <c r="P25"/>
      <c r="Q25"/>
      <c r="R25"/>
      <c r="S25"/>
    </row>
    <row r="26" spans="3:19" x14ac:dyDescent="0.2">
      <c r="C26" s="123" t="s">
        <v>147</v>
      </c>
      <c r="D26" s="123" t="s">
        <v>152</v>
      </c>
      <c r="E26" s="7">
        <v>6</v>
      </c>
      <c r="F26" s="7">
        <v>185</v>
      </c>
      <c r="G26" s="123" t="s">
        <v>1177</v>
      </c>
      <c r="H26" s="8">
        <v>9.4</v>
      </c>
      <c r="I26" s="9">
        <v>53730</v>
      </c>
      <c r="K26" s="284" t="s">
        <v>1174</v>
      </c>
      <c r="L26" s="115">
        <v>12.1</v>
      </c>
      <c r="M26" s="115"/>
      <c r="N26" s="115">
        <v>16.5</v>
      </c>
      <c r="O26"/>
      <c r="P26"/>
      <c r="Q26"/>
      <c r="R26"/>
      <c r="S26"/>
    </row>
    <row r="27" spans="3:19" x14ac:dyDescent="0.2">
      <c r="C27" s="123" t="s">
        <v>147</v>
      </c>
      <c r="D27" s="123" t="s">
        <v>153</v>
      </c>
      <c r="E27" s="7">
        <v>6</v>
      </c>
      <c r="F27" s="7">
        <v>220</v>
      </c>
      <c r="G27" s="123" t="s">
        <v>1178</v>
      </c>
      <c r="H27" s="8">
        <v>8.8000000000000007</v>
      </c>
      <c r="I27" s="9">
        <v>94170</v>
      </c>
      <c r="K27" s="284" t="s">
        <v>1175</v>
      </c>
      <c r="L27" s="115">
        <v>12.1</v>
      </c>
      <c r="M27" s="115"/>
      <c r="N27" s="115">
        <v>10.199999999999999</v>
      </c>
      <c r="O27"/>
      <c r="P27"/>
      <c r="Q27"/>
      <c r="R27"/>
      <c r="S27"/>
    </row>
    <row r="28" spans="3:19" x14ac:dyDescent="0.2">
      <c r="C28" s="123" t="s">
        <v>154</v>
      </c>
      <c r="D28" s="123" t="s">
        <v>155</v>
      </c>
      <c r="E28" s="7">
        <v>2</v>
      </c>
      <c r="F28" s="7">
        <v>115</v>
      </c>
      <c r="G28" s="123" t="s">
        <v>1177</v>
      </c>
      <c r="H28" s="8">
        <v>16.5</v>
      </c>
      <c r="I28" s="9">
        <v>11200</v>
      </c>
      <c r="K28" s="114" t="s">
        <v>162</v>
      </c>
      <c r="L28" s="115"/>
      <c r="M28" s="115"/>
      <c r="N28" s="115"/>
      <c r="O28"/>
      <c r="P28"/>
      <c r="Q28"/>
      <c r="R28"/>
      <c r="S28"/>
    </row>
    <row r="29" spans="3:19" x14ac:dyDescent="0.2">
      <c r="C29" s="123" t="s">
        <v>154</v>
      </c>
      <c r="D29" s="123" t="s">
        <v>156</v>
      </c>
      <c r="E29" s="7">
        <v>4</v>
      </c>
      <c r="F29" s="7">
        <v>124</v>
      </c>
      <c r="G29" s="123" t="s">
        <v>1177</v>
      </c>
      <c r="H29" s="8">
        <v>15.1</v>
      </c>
      <c r="I29" s="9">
        <v>14250</v>
      </c>
      <c r="K29" s="284" t="s">
        <v>1174</v>
      </c>
      <c r="L29" s="115">
        <v>17.8</v>
      </c>
      <c r="M29" s="115">
        <v>16.5</v>
      </c>
      <c r="N29" s="115"/>
      <c r="O29"/>
      <c r="P29"/>
      <c r="Q29"/>
      <c r="R29"/>
      <c r="S29"/>
    </row>
    <row r="30" spans="3:19" x14ac:dyDescent="0.2">
      <c r="C30" s="123" t="s">
        <v>154</v>
      </c>
      <c r="D30" s="123" t="s">
        <v>157</v>
      </c>
      <c r="E30" s="7">
        <v>4</v>
      </c>
      <c r="F30" s="7">
        <v>150</v>
      </c>
      <c r="G30" s="123" t="s">
        <v>1177</v>
      </c>
      <c r="H30" s="8">
        <v>12.1</v>
      </c>
      <c r="I30" s="9">
        <v>12650</v>
      </c>
      <c r="K30" s="284" t="s">
        <v>1175</v>
      </c>
      <c r="L30" s="115">
        <v>17.8</v>
      </c>
      <c r="M30" s="115">
        <v>14</v>
      </c>
      <c r="N30" s="115"/>
      <c r="O30"/>
      <c r="P30"/>
      <c r="Q30"/>
      <c r="R30"/>
      <c r="S30"/>
    </row>
    <row r="31" spans="3:19" x14ac:dyDescent="0.2">
      <c r="C31" s="123" t="s">
        <v>154</v>
      </c>
      <c r="D31" s="123" t="s">
        <v>158</v>
      </c>
      <c r="E31" s="7">
        <v>4</v>
      </c>
      <c r="F31" s="7">
        <v>155</v>
      </c>
      <c r="G31" s="123" t="s">
        <v>1177</v>
      </c>
      <c r="H31" s="8">
        <v>14.2</v>
      </c>
      <c r="I31" s="9">
        <v>21500</v>
      </c>
      <c r="K31" s="114" t="s">
        <v>167</v>
      </c>
      <c r="L31" s="115"/>
      <c r="M31" s="115"/>
      <c r="N31" s="115"/>
      <c r="O31"/>
      <c r="P31"/>
      <c r="Q31"/>
      <c r="R31"/>
      <c r="S31"/>
    </row>
    <row r="32" spans="3:19" x14ac:dyDescent="0.2">
      <c r="C32" s="123" t="s">
        <v>154</v>
      </c>
      <c r="D32" s="123" t="s">
        <v>159</v>
      </c>
      <c r="E32" s="7">
        <v>4</v>
      </c>
      <c r="F32" s="7">
        <v>176</v>
      </c>
      <c r="G32" s="123" t="s">
        <v>1177</v>
      </c>
      <c r="H32" s="8">
        <v>10.199999999999999</v>
      </c>
      <c r="I32" s="9">
        <v>37600</v>
      </c>
      <c r="K32" s="284" t="s">
        <v>1174</v>
      </c>
      <c r="L32" s="115">
        <v>18.600000000000001</v>
      </c>
      <c r="M32" s="115"/>
      <c r="N32" s="115">
        <v>16.3</v>
      </c>
      <c r="O32"/>
      <c r="P32"/>
      <c r="Q32"/>
      <c r="R32"/>
      <c r="S32"/>
    </row>
    <row r="33" spans="3:19" x14ac:dyDescent="0.2">
      <c r="C33" s="123" t="s">
        <v>154</v>
      </c>
      <c r="D33" s="123" t="s">
        <v>160</v>
      </c>
      <c r="E33" s="7">
        <v>4</v>
      </c>
      <c r="F33" s="7">
        <v>186</v>
      </c>
      <c r="G33" s="123" t="s">
        <v>1177</v>
      </c>
      <c r="H33" s="8">
        <v>10.4</v>
      </c>
      <c r="I33" s="9">
        <v>44700</v>
      </c>
      <c r="K33" s="284" t="s">
        <v>1175</v>
      </c>
      <c r="L33" s="115">
        <v>13.6</v>
      </c>
      <c r="M33" s="115"/>
      <c r="N33" s="115">
        <v>13.4</v>
      </c>
      <c r="O33"/>
      <c r="P33"/>
      <c r="Q33"/>
      <c r="R33"/>
      <c r="S33"/>
    </row>
    <row r="34" spans="3:19" x14ac:dyDescent="0.2">
      <c r="C34" s="123" t="s">
        <v>154</v>
      </c>
      <c r="D34" s="123" t="s">
        <v>161</v>
      </c>
      <c r="E34" s="7">
        <v>4</v>
      </c>
      <c r="F34" s="7">
        <v>149</v>
      </c>
      <c r="G34" s="123" t="s">
        <v>1176</v>
      </c>
      <c r="H34" s="8">
        <v>12.1</v>
      </c>
      <c r="I34" s="9">
        <v>45625</v>
      </c>
      <c r="K34" s="114" t="s">
        <v>177</v>
      </c>
      <c r="L34" s="115"/>
      <c r="M34" s="115"/>
      <c r="N34" s="115"/>
      <c r="O34"/>
      <c r="P34"/>
      <c r="Q34"/>
      <c r="R34"/>
      <c r="S34"/>
    </row>
    <row r="35" spans="3:19" x14ac:dyDescent="0.2">
      <c r="C35" s="123" t="s">
        <v>162</v>
      </c>
      <c r="D35" s="123" t="s">
        <v>163</v>
      </c>
      <c r="E35" s="7">
        <v>3</v>
      </c>
      <c r="F35" s="7">
        <v>135</v>
      </c>
      <c r="G35" s="123" t="s">
        <v>1178</v>
      </c>
      <c r="H35" s="8">
        <v>16.5</v>
      </c>
      <c r="I35" s="9">
        <v>12999</v>
      </c>
      <c r="K35" s="284" t="s">
        <v>1174</v>
      </c>
      <c r="L35" s="115">
        <v>18.3</v>
      </c>
      <c r="M35" s="115"/>
      <c r="N35" s="115">
        <v>14.7</v>
      </c>
      <c r="O35"/>
      <c r="P35"/>
      <c r="Q35"/>
      <c r="R35"/>
      <c r="S35"/>
    </row>
    <row r="36" spans="3:19" x14ac:dyDescent="0.2">
      <c r="C36" s="123" t="s">
        <v>162</v>
      </c>
      <c r="D36" s="123" t="s">
        <v>164</v>
      </c>
      <c r="E36" s="7">
        <v>3</v>
      </c>
      <c r="F36" s="7">
        <v>140</v>
      </c>
      <c r="G36" s="123" t="s">
        <v>1178</v>
      </c>
      <c r="H36" s="8">
        <v>14.9</v>
      </c>
      <c r="I36" s="9">
        <v>14899</v>
      </c>
      <c r="K36" s="284" t="s">
        <v>1175</v>
      </c>
      <c r="L36" s="115">
        <v>12.8</v>
      </c>
      <c r="M36" s="115"/>
      <c r="N36" s="115">
        <v>10.6</v>
      </c>
      <c r="O36"/>
      <c r="P36"/>
      <c r="Q36"/>
      <c r="R36"/>
      <c r="S36"/>
    </row>
    <row r="37" spans="3:19" x14ac:dyDescent="0.2">
      <c r="C37" s="123" t="s">
        <v>162</v>
      </c>
      <c r="D37" s="123" t="s">
        <v>165</v>
      </c>
      <c r="E37" s="7">
        <v>3</v>
      </c>
      <c r="F37" s="7">
        <v>125</v>
      </c>
      <c r="G37" s="123" t="s">
        <v>1176</v>
      </c>
      <c r="H37" s="8">
        <v>17.8</v>
      </c>
      <c r="I37" s="9">
        <v>18649</v>
      </c>
      <c r="K37" s="114" t="s">
        <v>188</v>
      </c>
      <c r="L37" s="115"/>
      <c r="M37" s="115"/>
      <c r="N37" s="115"/>
      <c r="O37"/>
      <c r="P37"/>
      <c r="Q37"/>
      <c r="R37"/>
      <c r="S37"/>
    </row>
    <row r="38" spans="3:19" x14ac:dyDescent="0.2">
      <c r="C38" s="123" t="s">
        <v>162</v>
      </c>
      <c r="D38" s="123" t="s">
        <v>166</v>
      </c>
      <c r="E38" s="7">
        <v>4</v>
      </c>
      <c r="F38" s="7">
        <v>150</v>
      </c>
      <c r="G38" s="123" t="s">
        <v>1178</v>
      </c>
      <c r="H38" s="8">
        <v>14</v>
      </c>
      <c r="I38" s="9">
        <v>19499</v>
      </c>
      <c r="K38" s="284" t="s">
        <v>1174</v>
      </c>
      <c r="L38" s="115"/>
      <c r="M38" s="115"/>
      <c r="N38" s="115">
        <v>9.6999999999999993</v>
      </c>
      <c r="O38"/>
      <c r="P38"/>
      <c r="Q38"/>
      <c r="R38"/>
      <c r="S38"/>
    </row>
    <row r="39" spans="3:19" x14ac:dyDescent="0.2">
      <c r="C39" s="123" t="s">
        <v>167</v>
      </c>
      <c r="D39" s="123" t="s">
        <v>168</v>
      </c>
      <c r="E39" s="7">
        <v>4</v>
      </c>
      <c r="F39" s="7">
        <v>125</v>
      </c>
      <c r="G39" s="123" t="s">
        <v>1177</v>
      </c>
      <c r="H39" s="8">
        <v>16.100000000000001</v>
      </c>
      <c r="I39" s="9">
        <v>12690</v>
      </c>
      <c r="K39" s="284" t="s">
        <v>1175</v>
      </c>
      <c r="L39" s="115"/>
      <c r="M39" s="115"/>
      <c r="N39" s="115">
        <v>9.6999999999999993</v>
      </c>
      <c r="O39"/>
      <c r="P39"/>
      <c r="Q39"/>
      <c r="R39"/>
      <c r="S39"/>
    </row>
    <row r="40" spans="3:19" x14ac:dyDescent="0.2">
      <c r="C40" s="123" t="s">
        <v>167</v>
      </c>
      <c r="D40" s="123" t="s">
        <v>169</v>
      </c>
      <c r="E40" s="7">
        <v>4</v>
      </c>
      <c r="F40" s="7">
        <v>145</v>
      </c>
      <c r="G40" s="123" t="s">
        <v>1177</v>
      </c>
      <c r="H40" s="8">
        <v>16.3</v>
      </c>
      <c r="I40" s="9">
        <v>15990</v>
      </c>
      <c r="K40" s="114" t="s">
        <v>190</v>
      </c>
      <c r="L40" s="115"/>
      <c r="M40" s="115"/>
      <c r="N40" s="115"/>
      <c r="O40"/>
      <c r="P40"/>
      <c r="Q40"/>
      <c r="R40"/>
      <c r="S40"/>
    </row>
    <row r="41" spans="3:19" x14ac:dyDescent="0.2">
      <c r="C41" s="123" t="s">
        <v>167</v>
      </c>
      <c r="D41" s="123" t="s">
        <v>170</v>
      </c>
      <c r="E41" s="7">
        <v>4</v>
      </c>
      <c r="F41" s="7">
        <v>155</v>
      </c>
      <c r="G41" s="123" t="s">
        <v>1176</v>
      </c>
      <c r="H41" s="8">
        <v>18.600000000000001</v>
      </c>
      <c r="I41" s="9">
        <v>21690</v>
      </c>
      <c r="K41" s="284" t="s">
        <v>1174</v>
      </c>
      <c r="L41" s="115"/>
      <c r="M41" s="115">
        <v>14.4</v>
      </c>
      <c r="N41" s="115">
        <v>12.1</v>
      </c>
      <c r="O41"/>
      <c r="P41"/>
      <c r="Q41"/>
      <c r="R41"/>
      <c r="S41"/>
    </row>
    <row r="42" spans="3:19" x14ac:dyDescent="0.2">
      <c r="C42" s="123" t="s">
        <v>167</v>
      </c>
      <c r="D42" s="123" t="s">
        <v>171</v>
      </c>
      <c r="E42" s="7">
        <v>4</v>
      </c>
      <c r="F42" s="7">
        <v>150</v>
      </c>
      <c r="G42" s="123" t="s">
        <v>1177</v>
      </c>
      <c r="H42" s="8">
        <v>13.4</v>
      </c>
      <c r="I42" s="9">
        <v>17250</v>
      </c>
      <c r="K42" s="284" t="s">
        <v>1175</v>
      </c>
      <c r="L42" s="115"/>
      <c r="M42" s="115">
        <v>13.4</v>
      </c>
      <c r="N42" s="115">
        <v>12.1</v>
      </c>
      <c r="O42"/>
      <c r="P42"/>
      <c r="Q42"/>
      <c r="R42"/>
      <c r="S42"/>
    </row>
    <row r="43" spans="3:19" x14ac:dyDescent="0.2">
      <c r="C43" s="123" t="s">
        <v>167</v>
      </c>
      <c r="D43" s="123" t="s">
        <v>172</v>
      </c>
      <c r="E43" s="7">
        <v>4</v>
      </c>
      <c r="F43" s="7">
        <v>150</v>
      </c>
      <c r="G43" s="123" t="s">
        <v>1176</v>
      </c>
      <c r="H43" s="8">
        <v>15.2</v>
      </c>
      <c r="I43" s="9">
        <v>22350</v>
      </c>
      <c r="K43" s="114" t="s">
        <v>195</v>
      </c>
      <c r="L43" s="115"/>
      <c r="M43" s="115"/>
      <c r="N43" s="115"/>
      <c r="O43"/>
      <c r="P43"/>
      <c r="Q43"/>
      <c r="R43"/>
      <c r="S43"/>
    </row>
    <row r="44" spans="3:19" x14ac:dyDescent="0.2">
      <c r="C44" s="123" t="s">
        <v>167</v>
      </c>
      <c r="D44" s="123" t="s">
        <v>173</v>
      </c>
      <c r="E44" s="7">
        <v>4</v>
      </c>
      <c r="F44" s="7">
        <v>155</v>
      </c>
      <c r="G44" s="123" t="s">
        <v>1177</v>
      </c>
      <c r="H44" s="8">
        <v>13.4</v>
      </c>
      <c r="I44" s="9">
        <v>22890</v>
      </c>
      <c r="K44" s="284" t="s">
        <v>1174</v>
      </c>
      <c r="L44" s="115"/>
      <c r="M44" s="115">
        <v>12.1</v>
      </c>
      <c r="N44" s="115"/>
      <c r="O44"/>
      <c r="P44"/>
      <c r="Q44"/>
      <c r="R44"/>
      <c r="S44"/>
    </row>
    <row r="45" spans="3:19" x14ac:dyDescent="0.2">
      <c r="C45" s="123" t="s">
        <v>167</v>
      </c>
      <c r="D45" s="123" t="s">
        <v>174</v>
      </c>
      <c r="E45" s="7">
        <v>4</v>
      </c>
      <c r="F45" s="7">
        <v>150</v>
      </c>
      <c r="G45" s="123" t="s">
        <v>1176</v>
      </c>
      <c r="H45" s="8">
        <v>13.6</v>
      </c>
      <c r="I45" s="9">
        <v>27490</v>
      </c>
      <c r="K45" s="284" t="s">
        <v>1175</v>
      </c>
      <c r="L45" s="115"/>
      <c r="M45" s="115">
        <v>10.6</v>
      </c>
      <c r="N45" s="115"/>
      <c r="O45"/>
      <c r="P45"/>
      <c r="Q45"/>
      <c r="R45"/>
      <c r="S45"/>
    </row>
    <row r="46" spans="3:19" x14ac:dyDescent="0.2">
      <c r="C46" s="123" t="s">
        <v>167</v>
      </c>
      <c r="D46" s="123" t="s">
        <v>175</v>
      </c>
      <c r="E46" s="7">
        <v>4</v>
      </c>
      <c r="F46" s="7">
        <v>180</v>
      </c>
      <c r="G46" s="123" t="s">
        <v>1177</v>
      </c>
      <c r="H46" s="8">
        <v>13.7</v>
      </c>
      <c r="I46" s="9">
        <v>35690</v>
      </c>
      <c r="K46" s="114" t="s">
        <v>198</v>
      </c>
      <c r="L46" s="115"/>
      <c r="M46" s="115"/>
      <c r="N46" s="115"/>
      <c r="O46"/>
    </row>
    <row r="47" spans="3:19" x14ac:dyDescent="0.2">
      <c r="C47" s="123" t="s">
        <v>167</v>
      </c>
      <c r="D47" s="123" t="s">
        <v>176</v>
      </c>
      <c r="E47" s="7">
        <v>4</v>
      </c>
      <c r="F47" s="7">
        <v>185</v>
      </c>
      <c r="G47" s="123" t="s">
        <v>1176</v>
      </c>
      <c r="H47" s="8">
        <v>14.1</v>
      </c>
      <c r="I47" s="9">
        <v>39990</v>
      </c>
      <c r="K47" s="284" t="s">
        <v>1174</v>
      </c>
      <c r="L47" s="115"/>
      <c r="M47" s="115"/>
      <c r="N47" s="115">
        <v>8.4</v>
      </c>
      <c r="O47"/>
    </row>
    <row r="48" spans="3:19" x14ac:dyDescent="0.2">
      <c r="C48" s="123" t="s">
        <v>177</v>
      </c>
      <c r="D48" s="123" t="s">
        <v>178</v>
      </c>
      <c r="E48" s="7">
        <v>4</v>
      </c>
      <c r="F48" s="7">
        <v>136</v>
      </c>
      <c r="G48" s="123" t="s">
        <v>1177</v>
      </c>
      <c r="H48" s="8">
        <v>13.6</v>
      </c>
      <c r="I48" s="9">
        <v>16988</v>
      </c>
      <c r="K48" s="284" t="s">
        <v>1175</v>
      </c>
      <c r="L48" s="115"/>
      <c r="M48" s="115"/>
      <c r="N48" s="115">
        <v>8.4</v>
      </c>
      <c r="O48"/>
    </row>
    <row r="49" spans="3:15" x14ac:dyDescent="0.2">
      <c r="C49" s="123" t="s">
        <v>177</v>
      </c>
      <c r="D49" s="123" t="s">
        <v>179</v>
      </c>
      <c r="E49" s="7">
        <v>4</v>
      </c>
      <c r="F49" s="7">
        <v>148</v>
      </c>
      <c r="G49" s="123" t="s">
        <v>1176</v>
      </c>
      <c r="H49" s="8">
        <v>15.9</v>
      </c>
      <c r="I49" s="9">
        <v>22564</v>
      </c>
      <c r="K49" s="114" t="s">
        <v>200</v>
      </c>
      <c r="L49" s="115"/>
      <c r="M49" s="115"/>
      <c r="N49" s="115"/>
      <c r="O49"/>
    </row>
    <row r="50" spans="3:15" x14ac:dyDescent="0.2">
      <c r="C50" s="123" t="s">
        <v>177</v>
      </c>
      <c r="D50" s="123" t="s">
        <v>180</v>
      </c>
      <c r="E50" s="7">
        <v>4</v>
      </c>
      <c r="F50" s="7">
        <v>144</v>
      </c>
      <c r="G50" s="123" t="s">
        <v>1177</v>
      </c>
      <c r="H50" s="8">
        <v>14.1</v>
      </c>
      <c r="I50" s="9">
        <v>20660</v>
      </c>
      <c r="K50" s="284" t="s">
        <v>1174</v>
      </c>
      <c r="L50" s="115"/>
      <c r="M50" s="115">
        <v>13.7</v>
      </c>
      <c r="N50" s="115">
        <v>11</v>
      </c>
      <c r="O50"/>
    </row>
    <row r="51" spans="3:15" x14ac:dyDescent="0.2">
      <c r="C51" s="123" t="s">
        <v>177</v>
      </c>
      <c r="D51" s="123" t="s">
        <v>181</v>
      </c>
      <c r="E51" s="7">
        <v>4</v>
      </c>
      <c r="F51" s="7">
        <v>150</v>
      </c>
      <c r="G51" s="123" t="s">
        <v>1176</v>
      </c>
      <c r="H51" s="8">
        <v>16.899999999999999</v>
      </c>
      <c r="I51" s="9">
        <v>25781</v>
      </c>
      <c r="K51" s="284" t="s">
        <v>1175</v>
      </c>
      <c r="L51" s="115"/>
      <c r="M51" s="115">
        <v>10.9</v>
      </c>
      <c r="N51" s="115">
        <v>11</v>
      </c>
      <c r="O51"/>
    </row>
    <row r="52" spans="3:15" x14ac:dyDescent="0.2">
      <c r="C52" s="123" t="s">
        <v>177</v>
      </c>
      <c r="D52" s="123" t="s">
        <v>182</v>
      </c>
      <c r="E52" s="7">
        <v>4</v>
      </c>
      <c r="F52" s="7">
        <v>167</v>
      </c>
      <c r="G52" s="123" t="s">
        <v>1177</v>
      </c>
      <c r="H52" s="8">
        <v>14.7</v>
      </c>
      <c r="I52" s="9">
        <v>24444</v>
      </c>
      <c r="K52" s="114" t="s">
        <v>203</v>
      </c>
      <c r="L52" s="115"/>
      <c r="M52" s="115"/>
      <c r="N52" s="115"/>
      <c r="O52"/>
    </row>
    <row r="53" spans="3:15" x14ac:dyDescent="0.2">
      <c r="C53" s="123" t="s">
        <v>177</v>
      </c>
      <c r="D53" s="123" t="s">
        <v>183</v>
      </c>
      <c r="E53" s="7">
        <v>4</v>
      </c>
      <c r="F53" s="7">
        <v>165</v>
      </c>
      <c r="G53" s="123" t="s">
        <v>1176</v>
      </c>
      <c r="H53" s="8">
        <v>18.3</v>
      </c>
      <c r="I53" s="9">
        <v>27968</v>
      </c>
      <c r="K53" s="284" t="s">
        <v>1174</v>
      </c>
      <c r="L53" s="115">
        <v>16.399999999999999</v>
      </c>
      <c r="M53" s="115"/>
      <c r="N53" s="115">
        <v>17.8</v>
      </c>
      <c r="O53"/>
    </row>
    <row r="54" spans="3:15" x14ac:dyDescent="0.2">
      <c r="C54" s="123" t="s">
        <v>177</v>
      </c>
      <c r="D54" s="123" t="s">
        <v>184</v>
      </c>
      <c r="E54" s="7">
        <v>4</v>
      </c>
      <c r="F54" s="7">
        <v>165</v>
      </c>
      <c r="G54" s="123" t="s">
        <v>1177</v>
      </c>
      <c r="H54" s="8">
        <v>10.6</v>
      </c>
      <c r="I54" s="9">
        <v>25901</v>
      </c>
      <c r="K54" s="284" t="s">
        <v>1175</v>
      </c>
      <c r="L54" s="115">
        <v>14</v>
      </c>
      <c r="M54" s="115"/>
      <c r="N54" s="115">
        <v>10.7</v>
      </c>
      <c r="O54"/>
    </row>
    <row r="55" spans="3:15" x14ac:dyDescent="0.2">
      <c r="C55" s="123" t="s">
        <v>177</v>
      </c>
      <c r="D55" s="123" t="s">
        <v>185</v>
      </c>
      <c r="E55" s="7">
        <v>4</v>
      </c>
      <c r="F55" s="7">
        <v>155</v>
      </c>
      <c r="G55" s="123" t="s">
        <v>1176</v>
      </c>
      <c r="H55" s="8">
        <v>12.9</v>
      </c>
      <c r="I55" s="9">
        <v>31519</v>
      </c>
      <c r="K55" s="114" t="s">
        <v>209</v>
      </c>
      <c r="L55" s="115"/>
      <c r="M55" s="115"/>
      <c r="N55" s="115"/>
      <c r="O55"/>
    </row>
    <row r="56" spans="3:15" x14ac:dyDescent="0.2">
      <c r="C56" s="123" t="s">
        <v>177</v>
      </c>
      <c r="D56" s="123" t="s">
        <v>186</v>
      </c>
      <c r="E56" s="7">
        <v>4</v>
      </c>
      <c r="F56" s="7">
        <v>179</v>
      </c>
      <c r="G56" s="123" t="s">
        <v>1177</v>
      </c>
      <c r="H56" s="8">
        <v>11.1</v>
      </c>
      <c r="I56" s="9">
        <v>37078</v>
      </c>
      <c r="K56" s="284" t="s">
        <v>1174</v>
      </c>
      <c r="L56" s="115">
        <v>15.1</v>
      </c>
      <c r="M56" s="115">
        <v>14</v>
      </c>
      <c r="N56" s="115"/>
      <c r="O56"/>
    </row>
    <row r="57" spans="3:15" x14ac:dyDescent="0.2">
      <c r="C57" s="123" t="s">
        <v>177</v>
      </c>
      <c r="D57" s="123" t="s">
        <v>187</v>
      </c>
      <c r="E57" s="7">
        <v>4</v>
      </c>
      <c r="F57" s="7">
        <v>158</v>
      </c>
      <c r="G57" s="123" t="s">
        <v>1176</v>
      </c>
      <c r="H57" s="8">
        <v>12.8</v>
      </c>
      <c r="I57" s="9">
        <v>43928</v>
      </c>
      <c r="K57" s="284" t="s">
        <v>1175</v>
      </c>
      <c r="L57" s="115">
        <v>15.1</v>
      </c>
      <c r="M57" s="115">
        <v>11.3</v>
      </c>
      <c r="N57" s="115"/>
      <c r="O57"/>
    </row>
    <row r="58" spans="3:15" x14ac:dyDescent="0.2">
      <c r="C58" s="123" t="s">
        <v>188</v>
      </c>
      <c r="D58" s="123" t="s">
        <v>189</v>
      </c>
      <c r="E58" s="7">
        <v>4</v>
      </c>
      <c r="F58" s="7">
        <v>155</v>
      </c>
      <c r="G58" s="123" t="s">
        <v>1177</v>
      </c>
      <c r="H58" s="8">
        <v>9.6999999999999993</v>
      </c>
      <c r="I58" s="9">
        <v>14195</v>
      </c>
      <c r="K58" s="114" t="s">
        <v>214</v>
      </c>
      <c r="L58" s="115"/>
      <c r="M58" s="115"/>
      <c r="N58" s="115"/>
      <c r="O58"/>
    </row>
    <row r="59" spans="3:15" x14ac:dyDescent="0.2">
      <c r="C59" s="123" t="s">
        <v>190</v>
      </c>
      <c r="D59" s="123" t="s">
        <v>191</v>
      </c>
      <c r="E59" s="7">
        <v>4</v>
      </c>
      <c r="F59" s="7">
        <v>145</v>
      </c>
      <c r="G59" s="123" t="s">
        <v>1178</v>
      </c>
      <c r="H59" s="8">
        <v>14.4</v>
      </c>
      <c r="I59" s="9">
        <v>18490</v>
      </c>
      <c r="K59" s="284" t="s">
        <v>1174</v>
      </c>
      <c r="L59" s="115">
        <v>14.7</v>
      </c>
      <c r="M59" s="115"/>
      <c r="N59" s="115">
        <v>11.5</v>
      </c>
      <c r="O59"/>
    </row>
    <row r="60" spans="3:15" x14ac:dyDescent="0.2">
      <c r="C60" s="123" t="s">
        <v>190</v>
      </c>
      <c r="D60" s="123" t="s">
        <v>192</v>
      </c>
      <c r="E60" s="7">
        <v>4</v>
      </c>
      <c r="F60" s="7">
        <v>168</v>
      </c>
      <c r="G60" s="123" t="s">
        <v>1178</v>
      </c>
      <c r="H60" s="8">
        <v>13.4</v>
      </c>
      <c r="I60" s="9">
        <v>27290</v>
      </c>
      <c r="K60" s="284" t="s">
        <v>1175</v>
      </c>
      <c r="L60" s="115">
        <v>12.6</v>
      </c>
      <c r="M60" s="115"/>
      <c r="N60" s="115">
        <v>11.3</v>
      </c>
      <c r="O60"/>
    </row>
    <row r="61" spans="3:15" x14ac:dyDescent="0.2">
      <c r="C61" s="123" t="s">
        <v>190</v>
      </c>
      <c r="D61" s="123" t="s">
        <v>193</v>
      </c>
      <c r="E61" s="7">
        <v>4</v>
      </c>
      <c r="F61" s="7">
        <v>176</v>
      </c>
      <c r="G61" s="123" t="s">
        <v>1178</v>
      </c>
      <c r="H61" s="8">
        <v>13.7</v>
      </c>
      <c r="I61" s="9">
        <v>29590</v>
      </c>
      <c r="K61" s="114" t="s">
        <v>220</v>
      </c>
      <c r="L61" s="115"/>
      <c r="M61" s="115"/>
      <c r="N61" s="115"/>
      <c r="O61"/>
    </row>
    <row r="62" spans="3:15" x14ac:dyDescent="0.2">
      <c r="C62" s="123" t="s">
        <v>190</v>
      </c>
      <c r="D62" s="123" t="s">
        <v>194</v>
      </c>
      <c r="E62" s="7">
        <v>4</v>
      </c>
      <c r="F62" s="7">
        <v>185</v>
      </c>
      <c r="G62" s="123" t="s">
        <v>1177</v>
      </c>
      <c r="H62" s="8">
        <v>12.1</v>
      </c>
      <c r="I62" s="9">
        <v>36790</v>
      </c>
      <c r="K62" s="284" t="s">
        <v>1174</v>
      </c>
      <c r="L62" s="115">
        <v>15.3</v>
      </c>
      <c r="M62" s="115">
        <v>13.9</v>
      </c>
      <c r="N62" s="115"/>
      <c r="O62"/>
    </row>
    <row r="63" spans="3:15" x14ac:dyDescent="0.2">
      <c r="C63" s="123" t="s">
        <v>195</v>
      </c>
      <c r="D63" s="123" t="s">
        <v>196</v>
      </c>
      <c r="E63" s="7">
        <v>4</v>
      </c>
      <c r="F63" s="7">
        <v>155</v>
      </c>
      <c r="G63" s="123" t="s">
        <v>1178</v>
      </c>
      <c r="H63" s="8">
        <v>12.1</v>
      </c>
      <c r="I63" s="9">
        <v>16495</v>
      </c>
      <c r="K63" s="284" t="s">
        <v>1175</v>
      </c>
      <c r="L63" s="115">
        <v>14</v>
      </c>
      <c r="M63" s="115">
        <v>10.1</v>
      </c>
      <c r="N63" s="115"/>
      <c r="O63"/>
    </row>
    <row r="64" spans="3:15" x14ac:dyDescent="0.2">
      <c r="C64" s="123" t="s">
        <v>195</v>
      </c>
      <c r="D64" s="123" t="s">
        <v>197</v>
      </c>
      <c r="E64" s="7">
        <v>4</v>
      </c>
      <c r="F64" s="7">
        <v>160</v>
      </c>
      <c r="G64" s="123" t="s">
        <v>1178</v>
      </c>
      <c r="H64" s="8">
        <v>10.6</v>
      </c>
      <c r="I64" s="9">
        <v>19995</v>
      </c>
      <c r="K64" s="114" t="s">
        <v>227</v>
      </c>
      <c r="L64" s="115"/>
      <c r="M64" s="115"/>
      <c r="N64" s="115"/>
      <c r="O64"/>
    </row>
    <row r="65" spans="3:15" x14ac:dyDescent="0.2">
      <c r="C65" s="123" t="s">
        <v>198</v>
      </c>
      <c r="D65" s="123" t="s">
        <v>199</v>
      </c>
      <c r="E65" s="7">
        <v>6</v>
      </c>
      <c r="F65" s="7">
        <v>196</v>
      </c>
      <c r="G65" s="123" t="s">
        <v>1177</v>
      </c>
      <c r="H65" s="8">
        <v>8.4</v>
      </c>
      <c r="I65" s="9">
        <v>90440</v>
      </c>
      <c r="K65" s="284" t="s">
        <v>1174</v>
      </c>
      <c r="L65" s="115">
        <v>15.9</v>
      </c>
      <c r="M65" s="115">
        <v>13.1</v>
      </c>
      <c r="N65" s="115">
        <v>10.6</v>
      </c>
      <c r="O65"/>
    </row>
    <row r="66" spans="3:15" x14ac:dyDescent="0.2">
      <c r="C66" s="123" t="s">
        <v>200</v>
      </c>
      <c r="D66" s="123" t="s">
        <v>201</v>
      </c>
      <c r="E66" s="7">
        <v>4</v>
      </c>
      <c r="F66" s="7">
        <v>140</v>
      </c>
      <c r="G66" s="123" t="s">
        <v>1178</v>
      </c>
      <c r="H66" s="8">
        <v>10.9</v>
      </c>
      <c r="I66" s="9">
        <v>10395</v>
      </c>
      <c r="K66" s="284" t="s">
        <v>1175</v>
      </c>
      <c r="L66" s="115">
        <v>12.1</v>
      </c>
      <c r="M66" s="115">
        <v>12</v>
      </c>
      <c r="N66" s="115">
        <v>9.9</v>
      </c>
      <c r="O66"/>
    </row>
    <row r="67" spans="3:15" x14ac:dyDescent="0.2">
      <c r="C67" s="123" t="s">
        <v>200</v>
      </c>
      <c r="D67" s="123">
        <v>2107</v>
      </c>
      <c r="E67" s="7">
        <v>4</v>
      </c>
      <c r="F67" s="7">
        <v>155</v>
      </c>
      <c r="G67" s="123" t="s">
        <v>1177</v>
      </c>
      <c r="H67" s="8">
        <v>11</v>
      </c>
      <c r="I67" s="9">
        <v>13995</v>
      </c>
      <c r="K67" s="114" t="s">
        <v>235</v>
      </c>
      <c r="L67" s="115"/>
      <c r="M67" s="115"/>
      <c r="N67" s="115"/>
      <c r="O67"/>
    </row>
    <row r="68" spans="3:15" x14ac:dyDescent="0.2">
      <c r="C68" s="123" t="s">
        <v>200</v>
      </c>
      <c r="D68" s="123" t="s">
        <v>202</v>
      </c>
      <c r="E68" s="7">
        <v>4</v>
      </c>
      <c r="F68" s="7">
        <v>148</v>
      </c>
      <c r="G68" s="123" t="s">
        <v>1178</v>
      </c>
      <c r="H68" s="8">
        <v>13.7</v>
      </c>
      <c r="I68" s="9">
        <v>15925</v>
      </c>
      <c r="K68" s="284" t="s">
        <v>1174</v>
      </c>
      <c r="L68" s="115">
        <v>15.2</v>
      </c>
      <c r="M68" s="115">
        <v>13.9</v>
      </c>
      <c r="N68" s="115">
        <v>13.6</v>
      </c>
      <c r="O68"/>
    </row>
    <row r="69" spans="3:15" x14ac:dyDescent="0.2">
      <c r="C69" s="123" t="s">
        <v>203</v>
      </c>
      <c r="D69" s="123" t="s">
        <v>204</v>
      </c>
      <c r="E69" s="7">
        <v>3</v>
      </c>
      <c r="F69" s="7">
        <v>145</v>
      </c>
      <c r="G69" s="123" t="s">
        <v>1177</v>
      </c>
      <c r="H69" s="8">
        <v>17.8</v>
      </c>
      <c r="I69" s="9">
        <v>16990</v>
      </c>
      <c r="K69" s="284" t="s">
        <v>1175</v>
      </c>
      <c r="L69" s="115">
        <v>14.1</v>
      </c>
      <c r="M69" s="115">
        <v>13.9</v>
      </c>
      <c r="N69" s="115">
        <v>8.9</v>
      </c>
      <c r="O69"/>
    </row>
    <row r="70" spans="3:15" x14ac:dyDescent="0.2">
      <c r="C70" s="123" t="s">
        <v>203</v>
      </c>
      <c r="D70" s="123" t="s">
        <v>205</v>
      </c>
      <c r="E70" s="7">
        <v>4</v>
      </c>
      <c r="F70" s="7">
        <v>160</v>
      </c>
      <c r="G70" s="123" t="s">
        <v>1177</v>
      </c>
      <c r="H70" s="8">
        <v>13</v>
      </c>
      <c r="I70" s="9">
        <v>26850</v>
      </c>
      <c r="K70" s="114" t="s">
        <v>244</v>
      </c>
      <c r="L70" s="115"/>
      <c r="M70" s="115"/>
      <c r="N70" s="115"/>
      <c r="O70"/>
    </row>
    <row r="71" spans="3:15" x14ac:dyDescent="0.2">
      <c r="C71" s="123" t="s">
        <v>203</v>
      </c>
      <c r="D71" s="123" t="s">
        <v>206</v>
      </c>
      <c r="E71" s="7">
        <v>4</v>
      </c>
      <c r="F71" s="7">
        <v>170</v>
      </c>
      <c r="G71" s="123" t="s">
        <v>1176</v>
      </c>
      <c r="H71" s="8">
        <v>16.399999999999999</v>
      </c>
      <c r="I71" s="9">
        <v>38870</v>
      </c>
      <c r="K71" s="284" t="s">
        <v>1174</v>
      </c>
      <c r="L71" s="115">
        <v>18.2</v>
      </c>
      <c r="M71" s="115"/>
      <c r="N71" s="115">
        <v>15</v>
      </c>
      <c r="O71"/>
    </row>
    <row r="72" spans="3:15" x14ac:dyDescent="0.2">
      <c r="C72" s="123" t="s">
        <v>203</v>
      </c>
      <c r="D72" s="123" t="s">
        <v>207</v>
      </c>
      <c r="E72" s="7">
        <v>4</v>
      </c>
      <c r="F72" s="7">
        <v>195</v>
      </c>
      <c r="G72" s="123" t="s">
        <v>1177</v>
      </c>
      <c r="H72" s="8">
        <v>10.7</v>
      </c>
      <c r="I72" s="9">
        <v>47070</v>
      </c>
      <c r="K72" s="284" t="s">
        <v>1175</v>
      </c>
      <c r="L72" s="115">
        <v>12.5</v>
      </c>
      <c r="M72" s="115"/>
      <c r="N72" s="115">
        <v>10.199999999999999</v>
      </c>
      <c r="O72"/>
    </row>
    <row r="73" spans="3:15" x14ac:dyDescent="0.2">
      <c r="C73" s="123" t="s">
        <v>203</v>
      </c>
      <c r="D73" s="123" t="s">
        <v>208</v>
      </c>
      <c r="E73" s="7">
        <v>4</v>
      </c>
      <c r="F73" s="7">
        <v>185</v>
      </c>
      <c r="G73" s="123" t="s">
        <v>1176</v>
      </c>
      <c r="H73" s="8">
        <v>14</v>
      </c>
      <c r="I73" s="9">
        <v>54960</v>
      </c>
      <c r="K73" s="114" t="s">
        <v>253</v>
      </c>
      <c r="L73" s="115"/>
      <c r="M73" s="115"/>
      <c r="N73" s="115"/>
      <c r="O73"/>
    </row>
    <row r="74" spans="3:15" x14ac:dyDescent="0.2">
      <c r="C74" s="123" t="s">
        <v>209</v>
      </c>
      <c r="D74" s="123" t="s">
        <v>210</v>
      </c>
      <c r="E74" s="7">
        <v>4</v>
      </c>
      <c r="F74" s="7">
        <v>140</v>
      </c>
      <c r="G74" s="123" t="s">
        <v>1178</v>
      </c>
      <c r="H74" s="8">
        <v>14</v>
      </c>
      <c r="I74" s="9">
        <v>17795</v>
      </c>
      <c r="K74" s="284" t="s">
        <v>1174</v>
      </c>
      <c r="L74" s="115"/>
      <c r="M74" s="115">
        <v>8.9</v>
      </c>
      <c r="N74" s="115"/>
      <c r="O74"/>
    </row>
    <row r="75" spans="3:15" x14ac:dyDescent="0.2">
      <c r="C75" s="123" t="s">
        <v>209</v>
      </c>
      <c r="D75" s="123" t="s">
        <v>211</v>
      </c>
      <c r="E75" s="7">
        <v>4</v>
      </c>
      <c r="F75" s="7">
        <v>142</v>
      </c>
      <c r="G75" s="123" t="s">
        <v>1176</v>
      </c>
      <c r="H75" s="8">
        <v>15.1</v>
      </c>
      <c r="I75" s="9">
        <v>24440</v>
      </c>
      <c r="K75" s="284" t="s">
        <v>1175</v>
      </c>
      <c r="L75" s="115"/>
      <c r="M75" s="115">
        <v>8.9</v>
      </c>
      <c r="N75" s="115"/>
      <c r="O75"/>
    </row>
    <row r="76" spans="3:15" x14ac:dyDescent="0.2">
      <c r="C76" s="123" t="s">
        <v>209</v>
      </c>
      <c r="D76" s="123" t="s">
        <v>212</v>
      </c>
      <c r="E76" s="7">
        <v>4</v>
      </c>
      <c r="F76" s="7">
        <v>165</v>
      </c>
      <c r="G76" s="123" t="s">
        <v>1178</v>
      </c>
      <c r="H76" s="8">
        <v>12.7</v>
      </c>
      <c r="I76" s="9">
        <v>23395</v>
      </c>
      <c r="K76" s="114" t="s">
        <v>255</v>
      </c>
      <c r="L76" s="115"/>
      <c r="M76" s="115"/>
      <c r="N76" s="115"/>
      <c r="O76"/>
    </row>
    <row r="77" spans="3:15" x14ac:dyDescent="0.2">
      <c r="C77" s="123" t="s">
        <v>209</v>
      </c>
      <c r="D77" s="123" t="s">
        <v>213</v>
      </c>
      <c r="E77" s="7">
        <v>4</v>
      </c>
      <c r="F77" s="7">
        <v>170</v>
      </c>
      <c r="G77" s="123" t="s">
        <v>1178</v>
      </c>
      <c r="H77" s="8">
        <v>11.3</v>
      </c>
      <c r="I77" s="9">
        <v>32485</v>
      </c>
      <c r="K77" s="284" t="s">
        <v>1174</v>
      </c>
      <c r="L77" s="115">
        <v>16.899999999999999</v>
      </c>
      <c r="M77" s="115"/>
      <c r="N77" s="115">
        <v>17.2</v>
      </c>
      <c r="O77"/>
    </row>
    <row r="78" spans="3:15" x14ac:dyDescent="0.2">
      <c r="C78" s="123" t="s">
        <v>214</v>
      </c>
      <c r="D78" s="123">
        <v>190</v>
      </c>
      <c r="E78" s="7">
        <v>4</v>
      </c>
      <c r="F78" s="7">
        <v>175</v>
      </c>
      <c r="G78" s="123" t="s">
        <v>1177</v>
      </c>
      <c r="H78" s="8">
        <v>11.4</v>
      </c>
      <c r="I78" s="9">
        <v>50720</v>
      </c>
      <c r="K78" s="284" t="s">
        <v>1175</v>
      </c>
      <c r="L78" s="115">
        <v>14</v>
      </c>
      <c r="M78" s="115"/>
      <c r="N78" s="115">
        <v>12.7</v>
      </c>
      <c r="O78"/>
    </row>
    <row r="79" spans="3:15" x14ac:dyDescent="0.2">
      <c r="C79" s="123" t="s">
        <v>214</v>
      </c>
      <c r="D79" s="123" t="s">
        <v>215</v>
      </c>
      <c r="E79" s="7">
        <v>4</v>
      </c>
      <c r="F79" s="7">
        <v>160</v>
      </c>
      <c r="G79" s="123" t="s">
        <v>1176</v>
      </c>
      <c r="H79" s="8">
        <v>14.3</v>
      </c>
      <c r="I79" s="9">
        <v>52490</v>
      </c>
      <c r="K79" s="114" t="s">
        <v>265</v>
      </c>
      <c r="L79" s="115"/>
      <c r="M79" s="115"/>
      <c r="N79" s="115"/>
      <c r="O79"/>
    </row>
    <row r="80" spans="3:15" x14ac:dyDescent="0.2">
      <c r="C80" s="123" t="s">
        <v>214</v>
      </c>
      <c r="D80" s="123">
        <v>200</v>
      </c>
      <c r="E80" s="7">
        <v>4</v>
      </c>
      <c r="F80" s="7">
        <v>187</v>
      </c>
      <c r="G80" s="123" t="s">
        <v>1177</v>
      </c>
      <c r="H80" s="8">
        <v>11.5</v>
      </c>
      <c r="I80" s="9">
        <v>57200</v>
      </c>
      <c r="K80" s="284" t="s">
        <v>1174</v>
      </c>
      <c r="L80" s="115"/>
      <c r="M80" s="115">
        <v>13.3</v>
      </c>
      <c r="N80" s="115">
        <v>11.4</v>
      </c>
      <c r="O80"/>
    </row>
    <row r="81" spans="3:15" x14ac:dyDescent="0.2">
      <c r="C81" s="123" t="s">
        <v>214</v>
      </c>
      <c r="D81" s="123" t="s">
        <v>216</v>
      </c>
      <c r="E81" s="7">
        <v>4</v>
      </c>
      <c r="F81" s="7">
        <v>160</v>
      </c>
      <c r="G81" s="123" t="s">
        <v>1176</v>
      </c>
      <c r="H81" s="8">
        <v>14.2</v>
      </c>
      <c r="I81" s="9">
        <v>59010</v>
      </c>
      <c r="K81" s="284" t="s">
        <v>1175</v>
      </c>
      <c r="L81" s="115"/>
      <c r="M81" s="115">
        <v>13.3</v>
      </c>
      <c r="N81" s="115">
        <v>11.4</v>
      </c>
      <c r="O81"/>
    </row>
    <row r="82" spans="3:15" x14ac:dyDescent="0.2">
      <c r="C82" s="123" t="s">
        <v>214</v>
      </c>
      <c r="D82" s="123" t="s">
        <v>217</v>
      </c>
      <c r="E82" s="7">
        <v>5</v>
      </c>
      <c r="F82" s="7">
        <v>175</v>
      </c>
      <c r="G82" s="123" t="s">
        <v>1176</v>
      </c>
      <c r="H82" s="8">
        <v>14.7</v>
      </c>
      <c r="I82" s="9">
        <v>65990</v>
      </c>
      <c r="K82" s="114" t="s">
        <v>268</v>
      </c>
      <c r="L82" s="115"/>
      <c r="M82" s="115"/>
      <c r="N82" s="115"/>
      <c r="O82"/>
    </row>
    <row r="83" spans="3:15" x14ac:dyDescent="0.2">
      <c r="C83" s="123" t="s">
        <v>214</v>
      </c>
      <c r="D83" s="123" t="s">
        <v>218</v>
      </c>
      <c r="E83" s="7">
        <v>6</v>
      </c>
      <c r="F83" s="7">
        <v>190</v>
      </c>
      <c r="G83" s="123" t="s">
        <v>1176</v>
      </c>
      <c r="H83" s="8">
        <v>12.6</v>
      </c>
      <c r="I83" s="9">
        <v>76110</v>
      </c>
      <c r="K83" s="284" t="s">
        <v>1174</v>
      </c>
      <c r="L83" s="115"/>
      <c r="M83" s="115">
        <v>10.6</v>
      </c>
      <c r="N83" s="115"/>
      <c r="O83"/>
    </row>
    <row r="84" spans="3:15" x14ac:dyDescent="0.2">
      <c r="C84" s="123" t="s">
        <v>214</v>
      </c>
      <c r="D84" s="123" t="s">
        <v>219</v>
      </c>
      <c r="E84" s="7">
        <v>6</v>
      </c>
      <c r="F84" s="7">
        <v>230</v>
      </c>
      <c r="G84" s="123" t="s">
        <v>1177</v>
      </c>
      <c r="H84" s="8">
        <v>11.3</v>
      </c>
      <c r="I84" s="9">
        <v>85435</v>
      </c>
      <c r="K84" s="284" t="s">
        <v>1175</v>
      </c>
      <c r="L84" s="115"/>
      <c r="M84" s="115">
        <v>9.6999999999999993</v>
      </c>
      <c r="N84" s="115"/>
      <c r="O84"/>
    </row>
    <row r="85" spans="3:15" x14ac:dyDescent="0.2">
      <c r="C85" s="123" t="s">
        <v>220</v>
      </c>
      <c r="D85" s="123" t="s">
        <v>221</v>
      </c>
      <c r="E85" s="7">
        <v>4</v>
      </c>
      <c r="F85" s="7">
        <v>150</v>
      </c>
      <c r="G85" s="123" t="s">
        <v>1178</v>
      </c>
      <c r="H85" s="8">
        <v>13.9</v>
      </c>
      <c r="I85" s="9">
        <v>17345</v>
      </c>
      <c r="K85" s="114" t="s">
        <v>270</v>
      </c>
      <c r="L85" s="115"/>
      <c r="M85" s="115"/>
      <c r="N85" s="115"/>
      <c r="O85"/>
    </row>
    <row r="86" spans="3:15" x14ac:dyDescent="0.2">
      <c r="C86" s="123" t="s">
        <v>220</v>
      </c>
      <c r="D86" s="123" t="s">
        <v>222</v>
      </c>
      <c r="E86" s="7">
        <v>4</v>
      </c>
      <c r="F86" s="7">
        <v>145</v>
      </c>
      <c r="G86" s="123" t="s">
        <v>1176</v>
      </c>
      <c r="H86" s="8">
        <v>15.3</v>
      </c>
      <c r="I86" s="9">
        <v>22595</v>
      </c>
      <c r="K86" s="284" t="s">
        <v>1174</v>
      </c>
      <c r="L86" s="115">
        <v>15.2</v>
      </c>
      <c r="M86" s="115">
        <v>15.8</v>
      </c>
      <c r="N86" s="115"/>
      <c r="O86"/>
    </row>
    <row r="87" spans="3:15" x14ac:dyDescent="0.2">
      <c r="C87" s="123" t="s">
        <v>220</v>
      </c>
      <c r="D87" s="123" t="s">
        <v>223</v>
      </c>
      <c r="E87" s="7">
        <v>4</v>
      </c>
      <c r="F87" s="7">
        <v>150</v>
      </c>
      <c r="G87" s="123" t="s">
        <v>1178</v>
      </c>
      <c r="H87" s="8">
        <v>10.1</v>
      </c>
      <c r="I87" s="9">
        <v>19545</v>
      </c>
      <c r="K87" s="284" t="s">
        <v>1175</v>
      </c>
      <c r="L87" s="115">
        <v>14</v>
      </c>
      <c r="M87" s="115">
        <v>12.8</v>
      </c>
      <c r="N87" s="115"/>
      <c r="O87"/>
    </row>
    <row r="88" spans="3:15" x14ac:dyDescent="0.2">
      <c r="C88" s="123" t="s">
        <v>220</v>
      </c>
      <c r="D88" s="123" t="s">
        <v>224</v>
      </c>
      <c r="E88" s="7">
        <v>4</v>
      </c>
      <c r="F88" s="7">
        <v>145</v>
      </c>
      <c r="G88" s="123" t="s">
        <v>1176</v>
      </c>
      <c r="H88" s="8">
        <v>15</v>
      </c>
      <c r="I88" s="9">
        <v>24795</v>
      </c>
      <c r="K88" s="114" t="s">
        <v>278</v>
      </c>
      <c r="L88" s="115"/>
      <c r="M88" s="115"/>
      <c r="N88" s="115"/>
      <c r="O88"/>
    </row>
    <row r="89" spans="3:15" x14ac:dyDescent="0.2">
      <c r="C89" s="123" t="s">
        <v>220</v>
      </c>
      <c r="D89" s="123" t="s">
        <v>225</v>
      </c>
      <c r="E89" s="7">
        <v>4</v>
      </c>
      <c r="F89" s="7">
        <v>160</v>
      </c>
      <c r="G89" s="123" t="s">
        <v>1178</v>
      </c>
      <c r="H89" s="8">
        <v>12.4</v>
      </c>
      <c r="I89" s="9">
        <v>23995</v>
      </c>
      <c r="K89" s="284" t="s">
        <v>1174</v>
      </c>
      <c r="L89" s="115"/>
      <c r="M89" s="115">
        <v>12.1</v>
      </c>
      <c r="N89" s="115"/>
      <c r="O89"/>
    </row>
    <row r="90" spans="3:15" x14ac:dyDescent="0.2">
      <c r="C90" s="123" t="s">
        <v>220</v>
      </c>
      <c r="D90" s="123" t="s">
        <v>226</v>
      </c>
      <c r="E90" s="7">
        <v>4</v>
      </c>
      <c r="F90" s="7">
        <v>166</v>
      </c>
      <c r="G90" s="123" t="s">
        <v>1176</v>
      </c>
      <c r="H90" s="8">
        <v>14</v>
      </c>
      <c r="I90" s="9">
        <v>33095</v>
      </c>
      <c r="K90" s="284" t="s">
        <v>1175</v>
      </c>
      <c r="L90" s="115"/>
      <c r="M90" s="115">
        <v>12.1</v>
      </c>
      <c r="N90" s="115"/>
      <c r="O90"/>
    </row>
    <row r="91" spans="3:15" x14ac:dyDescent="0.2">
      <c r="C91" s="123" t="s">
        <v>227</v>
      </c>
      <c r="D91" s="123" t="s">
        <v>228</v>
      </c>
      <c r="E91" s="7">
        <v>4</v>
      </c>
      <c r="F91" s="7">
        <v>155</v>
      </c>
      <c r="G91" s="123" t="s">
        <v>1178</v>
      </c>
      <c r="H91" s="8">
        <v>13.1</v>
      </c>
      <c r="I91" s="9">
        <v>18670</v>
      </c>
      <c r="K91" s="114" t="s">
        <v>279</v>
      </c>
      <c r="L91" s="115"/>
      <c r="M91" s="115"/>
      <c r="N91" s="115"/>
      <c r="O91"/>
    </row>
    <row r="92" spans="3:15" x14ac:dyDescent="0.2">
      <c r="C92" s="123" t="s">
        <v>227</v>
      </c>
      <c r="D92" s="123" t="s">
        <v>229</v>
      </c>
      <c r="E92" s="7">
        <v>4</v>
      </c>
      <c r="F92" s="7">
        <v>145</v>
      </c>
      <c r="G92" s="123" t="s">
        <v>1176</v>
      </c>
      <c r="H92" s="8">
        <v>15.9</v>
      </c>
      <c r="I92" s="9">
        <v>23915</v>
      </c>
      <c r="K92" s="284" t="s">
        <v>1174</v>
      </c>
      <c r="L92" s="115"/>
      <c r="M92" s="115">
        <v>17.100000000000001</v>
      </c>
      <c r="N92" s="115">
        <v>9.4</v>
      </c>
      <c r="O92"/>
    </row>
    <row r="93" spans="3:15" x14ac:dyDescent="0.2">
      <c r="C93" s="123" t="s">
        <v>227</v>
      </c>
      <c r="D93" s="123" t="s">
        <v>230</v>
      </c>
      <c r="E93" s="7">
        <v>4</v>
      </c>
      <c r="F93" s="7">
        <v>160</v>
      </c>
      <c r="G93" s="123" t="s">
        <v>1178</v>
      </c>
      <c r="H93" s="8">
        <v>12</v>
      </c>
      <c r="I93" s="9">
        <v>25170</v>
      </c>
      <c r="K93" s="284" t="s">
        <v>1175</v>
      </c>
      <c r="L93" s="115"/>
      <c r="M93" s="115">
        <v>13.1</v>
      </c>
      <c r="N93" s="115">
        <v>9.4</v>
      </c>
      <c r="O93"/>
    </row>
    <row r="94" spans="3:15" x14ac:dyDescent="0.2">
      <c r="C94" s="123" t="s">
        <v>227</v>
      </c>
      <c r="D94" s="123" t="s">
        <v>231</v>
      </c>
      <c r="E94" s="7">
        <v>4</v>
      </c>
      <c r="F94" s="7">
        <v>145</v>
      </c>
      <c r="G94" s="123" t="s">
        <v>1176</v>
      </c>
      <c r="H94" s="8">
        <v>13.7</v>
      </c>
      <c r="I94" s="9">
        <v>31855</v>
      </c>
      <c r="K94" s="114" t="s">
        <v>284</v>
      </c>
      <c r="L94" s="115"/>
      <c r="M94" s="115"/>
      <c r="N94" s="115"/>
      <c r="O94"/>
    </row>
    <row r="95" spans="3:15" x14ac:dyDescent="0.2">
      <c r="C95" s="123" t="s">
        <v>227</v>
      </c>
      <c r="D95" s="123" t="s">
        <v>232</v>
      </c>
      <c r="E95" s="7">
        <v>6</v>
      </c>
      <c r="F95" s="7">
        <v>195</v>
      </c>
      <c r="G95" s="123" t="s">
        <v>1177</v>
      </c>
      <c r="H95" s="8">
        <v>9.9</v>
      </c>
      <c r="I95" s="9">
        <v>37605</v>
      </c>
      <c r="K95" s="284" t="s">
        <v>1174</v>
      </c>
      <c r="L95" s="115"/>
      <c r="M95" s="115">
        <v>15.2</v>
      </c>
      <c r="N95" s="115"/>
      <c r="O95"/>
    </row>
    <row r="96" spans="3:15" x14ac:dyDescent="0.2">
      <c r="C96" s="123" t="s">
        <v>227</v>
      </c>
      <c r="D96" s="123" t="s">
        <v>233</v>
      </c>
      <c r="E96" s="7">
        <v>6</v>
      </c>
      <c r="F96" s="7">
        <v>165</v>
      </c>
      <c r="G96" s="123" t="s">
        <v>1176</v>
      </c>
      <c r="H96" s="8">
        <v>12.1</v>
      </c>
      <c r="I96" s="9">
        <v>39765</v>
      </c>
      <c r="K96" s="284" t="s">
        <v>1175</v>
      </c>
      <c r="L96" s="115"/>
      <c r="M96" s="115">
        <v>14.9</v>
      </c>
      <c r="N96" s="115"/>
      <c r="O96"/>
    </row>
    <row r="97" spans="3:15" x14ac:dyDescent="0.2">
      <c r="C97" s="123" t="s">
        <v>227</v>
      </c>
      <c r="D97" s="123" t="s">
        <v>234</v>
      </c>
      <c r="E97" s="7">
        <v>4</v>
      </c>
      <c r="F97" s="7">
        <v>205</v>
      </c>
      <c r="G97" s="123" t="s">
        <v>1177</v>
      </c>
      <c r="H97" s="8">
        <v>10.6</v>
      </c>
      <c r="I97" s="9">
        <v>47525</v>
      </c>
      <c r="K97" s="114" t="s">
        <v>287</v>
      </c>
      <c r="L97" s="115"/>
      <c r="M97" s="115"/>
      <c r="N97" s="115"/>
      <c r="O97"/>
    </row>
    <row r="98" spans="3:15" x14ac:dyDescent="0.2">
      <c r="C98" s="123" t="s">
        <v>235</v>
      </c>
      <c r="D98" s="123" t="s">
        <v>236</v>
      </c>
      <c r="E98" s="7">
        <v>4</v>
      </c>
      <c r="F98" s="7">
        <v>140</v>
      </c>
      <c r="G98" s="123" t="s">
        <v>1178</v>
      </c>
      <c r="H98" s="8">
        <v>13.9</v>
      </c>
      <c r="I98" s="9">
        <v>17237</v>
      </c>
      <c r="K98" s="284" t="s">
        <v>1174</v>
      </c>
      <c r="L98" s="115">
        <v>15.1</v>
      </c>
      <c r="M98" s="115">
        <v>13</v>
      </c>
      <c r="N98" s="115">
        <v>12.4</v>
      </c>
      <c r="O98"/>
    </row>
    <row r="99" spans="3:15" x14ac:dyDescent="0.2">
      <c r="C99" s="123" t="s">
        <v>235</v>
      </c>
      <c r="D99" s="123" t="s">
        <v>237</v>
      </c>
      <c r="E99" s="7">
        <v>4</v>
      </c>
      <c r="F99" s="7">
        <v>155</v>
      </c>
      <c r="G99" s="123" t="s">
        <v>1177</v>
      </c>
      <c r="H99" s="8">
        <v>13.6</v>
      </c>
      <c r="I99" s="9">
        <v>20632</v>
      </c>
      <c r="K99" s="284" t="s">
        <v>1175</v>
      </c>
      <c r="L99" s="115">
        <v>15</v>
      </c>
      <c r="M99" s="115">
        <v>12.9</v>
      </c>
      <c r="N99" s="115">
        <v>10.3</v>
      </c>
      <c r="O99"/>
    </row>
    <row r="100" spans="3:15" x14ac:dyDescent="0.2">
      <c r="C100" s="123" t="s">
        <v>235</v>
      </c>
      <c r="D100" s="123" t="s">
        <v>238</v>
      </c>
      <c r="E100" s="7">
        <v>4</v>
      </c>
      <c r="F100" s="7">
        <v>152</v>
      </c>
      <c r="G100" s="123" t="s">
        <v>1176</v>
      </c>
      <c r="H100" s="8">
        <v>15.2</v>
      </c>
      <c r="I100" s="9">
        <v>25573</v>
      </c>
      <c r="K100" s="114" t="s">
        <v>297</v>
      </c>
      <c r="L100" s="115"/>
      <c r="M100" s="115"/>
      <c r="N100" s="115"/>
      <c r="O100"/>
    </row>
    <row r="101" spans="3:15" x14ac:dyDescent="0.2">
      <c r="C101" s="123" t="s">
        <v>235</v>
      </c>
      <c r="D101" s="123" t="s">
        <v>239</v>
      </c>
      <c r="E101" s="7">
        <v>4</v>
      </c>
      <c r="F101" s="7">
        <v>160</v>
      </c>
      <c r="G101" s="123" t="s">
        <v>1177</v>
      </c>
      <c r="H101" s="8">
        <v>12.3</v>
      </c>
      <c r="I101" s="9">
        <v>24899</v>
      </c>
      <c r="K101" s="284" t="s">
        <v>1174</v>
      </c>
      <c r="L101" s="115">
        <v>16.3</v>
      </c>
      <c r="M101" s="115">
        <v>13.6</v>
      </c>
      <c r="N101" s="115"/>
      <c r="O101"/>
    </row>
    <row r="102" spans="3:15" x14ac:dyDescent="0.2">
      <c r="C102" s="123" t="s">
        <v>235</v>
      </c>
      <c r="D102" s="123" t="s">
        <v>240</v>
      </c>
      <c r="E102" s="7">
        <v>4</v>
      </c>
      <c r="F102" s="7">
        <v>141</v>
      </c>
      <c r="G102" s="123" t="s">
        <v>1176</v>
      </c>
      <c r="H102" s="8">
        <v>15.2</v>
      </c>
      <c r="I102" s="9">
        <v>30710</v>
      </c>
      <c r="K102" s="284" t="s">
        <v>1175</v>
      </c>
      <c r="L102" s="115">
        <v>15.3</v>
      </c>
      <c r="M102" s="115">
        <v>11.7</v>
      </c>
      <c r="N102" s="115"/>
      <c r="O102"/>
    </row>
    <row r="103" spans="3:15" x14ac:dyDescent="0.2">
      <c r="C103" s="123" t="s">
        <v>235</v>
      </c>
      <c r="D103" s="123" t="s">
        <v>241</v>
      </c>
      <c r="E103" s="7">
        <v>4</v>
      </c>
      <c r="F103" s="7">
        <v>183</v>
      </c>
      <c r="G103" s="123" t="s">
        <v>1177</v>
      </c>
      <c r="H103" s="8">
        <v>12.8</v>
      </c>
      <c r="I103" s="9">
        <v>33540</v>
      </c>
      <c r="K103" s="114" t="s">
        <v>307</v>
      </c>
      <c r="L103" s="115"/>
      <c r="M103" s="115"/>
      <c r="N103" s="115"/>
      <c r="O103"/>
    </row>
    <row r="104" spans="3:15" x14ac:dyDescent="0.2">
      <c r="C104" s="123" t="s">
        <v>235</v>
      </c>
      <c r="D104" s="123" t="s">
        <v>242</v>
      </c>
      <c r="E104" s="7">
        <v>4</v>
      </c>
      <c r="F104" s="7">
        <v>163</v>
      </c>
      <c r="G104" s="123" t="s">
        <v>1176</v>
      </c>
      <c r="H104" s="8">
        <v>14.1</v>
      </c>
      <c r="I104" s="9">
        <v>39670</v>
      </c>
      <c r="K104" s="284" t="s">
        <v>1174</v>
      </c>
      <c r="L104" s="115">
        <v>14.7</v>
      </c>
      <c r="M104" s="115">
        <v>11</v>
      </c>
      <c r="N104" s="115">
        <v>12.5</v>
      </c>
      <c r="O104"/>
    </row>
    <row r="105" spans="3:15" x14ac:dyDescent="0.2">
      <c r="C105" s="123" t="s">
        <v>235</v>
      </c>
      <c r="D105" s="123" t="s">
        <v>243</v>
      </c>
      <c r="E105" s="7">
        <v>4</v>
      </c>
      <c r="F105" s="7">
        <v>205</v>
      </c>
      <c r="G105" s="123" t="s">
        <v>1177</v>
      </c>
      <c r="H105" s="8">
        <v>8.9</v>
      </c>
      <c r="I105" s="9">
        <v>46208</v>
      </c>
      <c r="K105" s="284" t="s">
        <v>1175</v>
      </c>
      <c r="L105" s="115">
        <v>10.4</v>
      </c>
      <c r="M105" s="115">
        <v>11</v>
      </c>
      <c r="N105" s="115">
        <v>9</v>
      </c>
      <c r="O105"/>
    </row>
    <row r="106" spans="3:15" x14ac:dyDescent="0.2">
      <c r="C106" s="123" t="s">
        <v>244</v>
      </c>
      <c r="D106" s="123" t="s">
        <v>245</v>
      </c>
      <c r="E106" s="7">
        <v>4</v>
      </c>
      <c r="F106" s="7">
        <v>134</v>
      </c>
      <c r="G106" s="123" t="s">
        <v>1177</v>
      </c>
      <c r="H106" s="8">
        <v>14.6</v>
      </c>
      <c r="I106" s="9">
        <v>16360</v>
      </c>
      <c r="K106"/>
      <c r="L106"/>
      <c r="M106"/>
      <c r="N106"/>
      <c r="O106"/>
    </row>
    <row r="107" spans="3:15" x14ac:dyDescent="0.2">
      <c r="C107" s="123" t="s">
        <v>244</v>
      </c>
      <c r="D107" s="123" t="s">
        <v>246</v>
      </c>
      <c r="E107" s="7">
        <v>4</v>
      </c>
      <c r="F107" s="7">
        <v>155</v>
      </c>
      <c r="G107" s="123" t="s">
        <v>1176</v>
      </c>
      <c r="H107" s="8">
        <v>18.2</v>
      </c>
      <c r="I107" s="9">
        <v>23435</v>
      </c>
      <c r="K107"/>
      <c r="L107"/>
      <c r="M107"/>
      <c r="N107"/>
      <c r="O107"/>
    </row>
    <row r="108" spans="3:15" x14ac:dyDescent="0.2">
      <c r="C108" s="123" t="s">
        <v>244</v>
      </c>
      <c r="D108" s="123" t="s">
        <v>247</v>
      </c>
      <c r="E108" s="7">
        <v>4</v>
      </c>
      <c r="F108" s="7">
        <v>152</v>
      </c>
      <c r="G108" s="123" t="s">
        <v>1177</v>
      </c>
      <c r="H108" s="8">
        <v>13.1</v>
      </c>
      <c r="I108" s="9">
        <v>23630</v>
      </c>
    </row>
    <row r="109" spans="3:15" x14ac:dyDescent="0.2">
      <c r="C109" s="123" t="s">
        <v>244</v>
      </c>
      <c r="D109" s="123" t="s">
        <v>248</v>
      </c>
      <c r="E109" s="7">
        <v>4</v>
      </c>
      <c r="F109" s="7">
        <v>152</v>
      </c>
      <c r="G109" s="123" t="s">
        <v>1176</v>
      </c>
      <c r="H109" s="8">
        <v>16.7</v>
      </c>
      <c r="I109" s="9">
        <v>29980</v>
      </c>
    </row>
    <row r="110" spans="3:15" x14ac:dyDescent="0.2">
      <c r="C110" s="123" t="s">
        <v>244</v>
      </c>
      <c r="D110" s="123" t="s">
        <v>249</v>
      </c>
      <c r="E110" s="7">
        <v>4</v>
      </c>
      <c r="F110" s="7">
        <v>150</v>
      </c>
      <c r="G110" s="123" t="s">
        <v>1177</v>
      </c>
      <c r="H110" s="8">
        <v>15</v>
      </c>
      <c r="I110" s="9">
        <v>20455</v>
      </c>
    </row>
    <row r="111" spans="3:15" x14ac:dyDescent="0.2">
      <c r="C111" s="123" t="s">
        <v>244</v>
      </c>
      <c r="D111" s="123" t="s">
        <v>250</v>
      </c>
      <c r="E111" s="7">
        <v>4</v>
      </c>
      <c r="F111" s="7">
        <v>160</v>
      </c>
      <c r="G111" s="123" t="s">
        <v>1176</v>
      </c>
      <c r="H111" s="8">
        <v>16.899999999999999</v>
      </c>
      <c r="I111" s="9">
        <v>26745</v>
      </c>
    </row>
    <row r="112" spans="3:15" x14ac:dyDescent="0.2">
      <c r="C112" s="123" t="s">
        <v>244</v>
      </c>
      <c r="D112" s="123" t="s">
        <v>251</v>
      </c>
      <c r="E112" s="7">
        <v>4</v>
      </c>
      <c r="F112" s="7">
        <v>165</v>
      </c>
      <c r="G112" s="123" t="s">
        <v>1177</v>
      </c>
      <c r="H112" s="8">
        <v>10.199999999999999</v>
      </c>
      <c r="I112" s="9">
        <v>30595</v>
      </c>
    </row>
    <row r="113" spans="3:9" x14ac:dyDescent="0.2">
      <c r="C113" s="123" t="s">
        <v>244</v>
      </c>
      <c r="D113" s="123" t="s">
        <v>252</v>
      </c>
      <c r="E113" s="7">
        <v>4</v>
      </c>
      <c r="F113" s="7">
        <v>160</v>
      </c>
      <c r="G113" s="123" t="s">
        <v>1176</v>
      </c>
      <c r="H113" s="8">
        <v>12.5</v>
      </c>
      <c r="I113" s="9">
        <v>37980</v>
      </c>
    </row>
    <row r="114" spans="3:9" x14ac:dyDescent="0.2">
      <c r="C114" s="123" t="s">
        <v>253</v>
      </c>
      <c r="D114" s="123" t="s">
        <v>254</v>
      </c>
      <c r="E114" s="7">
        <v>4</v>
      </c>
      <c r="F114" s="7">
        <v>215</v>
      </c>
      <c r="G114" s="123" t="s">
        <v>1178</v>
      </c>
      <c r="H114" s="8">
        <v>8.9</v>
      </c>
      <c r="I114" s="9">
        <v>77300</v>
      </c>
    </row>
    <row r="115" spans="3:9" x14ac:dyDescent="0.2">
      <c r="C115" s="123" t="s">
        <v>255</v>
      </c>
      <c r="D115" s="123" t="s">
        <v>256</v>
      </c>
      <c r="E115" s="7">
        <v>4</v>
      </c>
      <c r="F115" s="7">
        <v>143</v>
      </c>
      <c r="G115" s="123" t="s">
        <v>1177</v>
      </c>
      <c r="H115" s="8">
        <v>17.2</v>
      </c>
      <c r="I115" s="9">
        <v>16575</v>
      </c>
    </row>
    <row r="116" spans="3:9" x14ac:dyDescent="0.2">
      <c r="C116" s="123" t="s">
        <v>255</v>
      </c>
      <c r="D116" s="123" t="s">
        <v>257</v>
      </c>
      <c r="E116" s="7">
        <v>4</v>
      </c>
      <c r="F116" s="7">
        <v>146</v>
      </c>
      <c r="G116" s="123" t="s">
        <v>1177</v>
      </c>
      <c r="H116" s="8">
        <v>14.3</v>
      </c>
      <c r="I116" s="9">
        <v>19720</v>
      </c>
    </row>
    <row r="117" spans="3:9" x14ac:dyDescent="0.2">
      <c r="C117" s="123" t="s">
        <v>255</v>
      </c>
      <c r="D117" s="123" t="s">
        <v>258</v>
      </c>
      <c r="E117" s="7">
        <v>4</v>
      </c>
      <c r="F117" s="7">
        <v>146</v>
      </c>
      <c r="G117" s="123" t="s">
        <v>1176</v>
      </c>
      <c r="H117" s="8">
        <v>15.9</v>
      </c>
      <c r="I117" s="9">
        <v>24450</v>
      </c>
    </row>
    <row r="118" spans="3:9" x14ac:dyDescent="0.2">
      <c r="C118" s="123" t="s">
        <v>255</v>
      </c>
      <c r="D118" s="123" t="s">
        <v>259</v>
      </c>
      <c r="E118" s="7">
        <v>4</v>
      </c>
      <c r="F118" s="7">
        <v>146</v>
      </c>
      <c r="G118" s="123" t="s">
        <v>1177</v>
      </c>
      <c r="H118" s="8">
        <v>14.3</v>
      </c>
      <c r="I118" s="9">
        <v>20360</v>
      </c>
    </row>
    <row r="119" spans="3:9" x14ac:dyDescent="0.2">
      <c r="C119" s="123" t="s">
        <v>255</v>
      </c>
      <c r="D119" s="123" t="s">
        <v>260</v>
      </c>
      <c r="E119" s="7">
        <v>4</v>
      </c>
      <c r="F119" s="7">
        <v>148</v>
      </c>
      <c r="G119" s="123" t="s">
        <v>1176</v>
      </c>
      <c r="H119" s="8">
        <v>16.899999999999999</v>
      </c>
      <c r="I119" s="9">
        <v>25175</v>
      </c>
    </row>
    <row r="120" spans="3:9" x14ac:dyDescent="0.2">
      <c r="C120" s="123" t="s">
        <v>255</v>
      </c>
      <c r="D120" s="123" t="s">
        <v>261</v>
      </c>
      <c r="E120" s="7">
        <v>4</v>
      </c>
      <c r="F120" s="7">
        <v>173</v>
      </c>
      <c r="G120" s="123" t="s">
        <v>1177</v>
      </c>
      <c r="H120" s="8">
        <v>14.9</v>
      </c>
      <c r="I120" s="9">
        <v>27495</v>
      </c>
    </row>
    <row r="121" spans="3:9" x14ac:dyDescent="0.2">
      <c r="C121" s="123" t="s">
        <v>255</v>
      </c>
      <c r="D121" s="123" t="s">
        <v>262</v>
      </c>
      <c r="E121" s="7">
        <v>4</v>
      </c>
      <c r="F121" s="7">
        <v>164</v>
      </c>
      <c r="G121" s="123" t="s">
        <v>1176</v>
      </c>
      <c r="H121" s="8">
        <v>16</v>
      </c>
      <c r="I121" s="9">
        <v>33595</v>
      </c>
    </row>
    <row r="122" spans="3:9" x14ac:dyDescent="0.2">
      <c r="C122" s="123" t="s">
        <v>255</v>
      </c>
      <c r="D122" s="123" t="s">
        <v>263</v>
      </c>
      <c r="E122" s="7">
        <v>4</v>
      </c>
      <c r="F122" s="7">
        <v>182</v>
      </c>
      <c r="G122" s="123" t="s">
        <v>1177</v>
      </c>
      <c r="H122" s="8">
        <v>12.7</v>
      </c>
      <c r="I122" s="9">
        <v>37465</v>
      </c>
    </row>
    <row r="123" spans="3:9" x14ac:dyDescent="0.2">
      <c r="C123" s="123" t="s">
        <v>255</v>
      </c>
      <c r="D123" s="123" t="s">
        <v>264</v>
      </c>
      <c r="E123" s="7">
        <v>4</v>
      </c>
      <c r="F123" s="7">
        <v>155</v>
      </c>
      <c r="G123" s="123" t="s">
        <v>1176</v>
      </c>
      <c r="H123" s="8">
        <v>14</v>
      </c>
      <c r="I123" s="9">
        <v>40745</v>
      </c>
    </row>
    <row r="124" spans="3:9" x14ac:dyDescent="0.2">
      <c r="C124" s="123" t="s">
        <v>265</v>
      </c>
      <c r="D124" s="123" t="s">
        <v>266</v>
      </c>
      <c r="E124" s="7">
        <v>4</v>
      </c>
      <c r="F124" s="7">
        <v>155</v>
      </c>
      <c r="G124" s="123" t="s">
        <v>1178</v>
      </c>
      <c r="H124" s="8">
        <v>13.3</v>
      </c>
      <c r="I124" s="9">
        <v>24995</v>
      </c>
    </row>
    <row r="125" spans="3:9" x14ac:dyDescent="0.2">
      <c r="C125" s="123" t="s">
        <v>265</v>
      </c>
      <c r="D125" s="123" t="s">
        <v>267</v>
      </c>
      <c r="E125" s="7">
        <v>4</v>
      </c>
      <c r="F125" s="7">
        <v>203</v>
      </c>
      <c r="G125" s="123" t="s">
        <v>1177</v>
      </c>
      <c r="H125" s="8">
        <v>11.4</v>
      </c>
      <c r="I125" s="9">
        <v>44900</v>
      </c>
    </row>
    <row r="126" spans="3:9" x14ac:dyDescent="0.2">
      <c r="C126" s="123" t="s">
        <v>268</v>
      </c>
      <c r="D126" s="123">
        <v>90</v>
      </c>
      <c r="E126" s="7">
        <v>4</v>
      </c>
      <c r="F126" s="7">
        <v>165</v>
      </c>
      <c r="G126" s="123" t="s">
        <v>1178</v>
      </c>
      <c r="H126" s="8">
        <v>10.6</v>
      </c>
      <c r="I126" s="9">
        <v>37050</v>
      </c>
    </row>
    <row r="127" spans="3:9" x14ac:dyDescent="0.2">
      <c r="C127" s="123" t="s">
        <v>268</v>
      </c>
      <c r="D127" s="123">
        <v>900</v>
      </c>
      <c r="E127" s="7">
        <v>4</v>
      </c>
      <c r="F127" s="7">
        <v>165</v>
      </c>
      <c r="G127" s="123" t="s">
        <v>1178</v>
      </c>
      <c r="H127" s="8">
        <v>10.199999999999999</v>
      </c>
      <c r="I127" s="9">
        <v>39050</v>
      </c>
    </row>
    <row r="128" spans="3:9" x14ac:dyDescent="0.2">
      <c r="C128" s="123" t="s">
        <v>268</v>
      </c>
      <c r="D128" s="123" t="s">
        <v>269</v>
      </c>
      <c r="E128" s="7">
        <v>4</v>
      </c>
      <c r="F128" s="7">
        <v>190</v>
      </c>
      <c r="G128" s="123" t="s">
        <v>1178</v>
      </c>
      <c r="H128" s="8">
        <v>9.6999999999999993</v>
      </c>
      <c r="I128" s="9">
        <v>60950</v>
      </c>
    </row>
    <row r="129" spans="3:9" x14ac:dyDescent="0.2">
      <c r="C129" s="123" t="s">
        <v>270</v>
      </c>
      <c r="D129" s="123" t="s">
        <v>271</v>
      </c>
      <c r="E129" s="7">
        <v>4</v>
      </c>
      <c r="F129" s="7">
        <v>133</v>
      </c>
      <c r="G129" s="123" t="s">
        <v>1178</v>
      </c>
      <c r="H129" s="8">
        <v>15.8</v>
      </c>
      <c r="I129" s="9">
        <v>11995</v>
      </c>
    </row>
    <row r="130" spans="3:9" x14ac:dyDescent="0.2">
      <c r="C130" s="123" t="s">
        <v>270</v>
      </c>
      <c r="D130" s="123" t="s">
        <v>272</v>
      </c>
      <c r="E130" s="7">
        <v>4</v>
      </c>
      <c r="F130" s="7">
        <v>148</v>
      </c>
      <c r="G130" s="123" t="s">
        <v>1178</v>
      </c>
      <c r="H130" s="8">
        <v>12.9</v>
      </c>
      <c r="I130" s="9">
        <v>16195</v>
      </c>
    </row>
    <row r="131" spans="3:9" x14ac:dyDescent="0.2">
      <c r="C131" s="123" t="s">
        <v>270</v>
      </c>
      <c r="D131" s="123" t="s">
        <v>273</v>
      </c>
      <c r="E131" s="7">
        <v>4</v>
      </c>
      <c r="F131" s="7">
        <v>140</v>
      </c>
      <c r="G131" s="123" t="s">
        <v>1176</v>
      </c>
      <c r="H131" s="8">
        <v>15.2</v>
      </c>
      <c r="I131" s="9">
        <v>22995</v>
      </c>
    </row>
    <row r="132" spans="3:9" x14ac:dyDescent="0.2">
      <c r="C132" s="123" t="s">
        <v>270</v>
      </c>
      <c r="D132" s="123" t="s">
        <v>274</v>
      </c>
      <c r="E132" s="7">
        <v>4</v>
      </c>
      <c r="F132" s="7">
        <v>129</v>
      </c>
      <c r="G132" s="123" t="s">
        <v>1178</v>
      </c>
      <c r="H132" s="8">
        <v>12.8</v>
      </c>
      <c r="I132" s="9">
        <v>14995</v>
      </c>
    </row>
    <row r="133" spans="3:9" x14ac:dyDescent="0.2">
      <c r="C133" s="123" t="s">
        <v>270</v>
      </c>
      <c r="D133" s="123" t="s">
        <v>275</v>
      </c>
      <c r="E133" s="7">
        <v>4</v>
      </c>
      <c r="F133" s="7">
        <v>150</v>
      </c>
      <c r="G133" s="123" t="s">
        <v>1176</v>
      </c>
      <c r="H133" s="8">
        <v>14</v>
      </c>
      <c r="I133" s="9">
        <v>20895</v>
      </c>
    </row>
    <row r="134" spans="3:9" x14ac:dyDescent="0.2">
      <c r="C134" s="123" t="s">
        <v>270</v>
      </c>
      <c r="D134" s="123" t="s">
        <v>276</v>
      </c>
      <c r="E134" s="7">
        <v>4</v>
      </c>
      <c r="F134" s="7">
        <v>150</v>
      </c>
      <c r="G134" s="123" t="s">
        <v>1178</v>
      </c>
      <c r="H134" s="8">
        <v>13.1</v>
      </c>
      <c r="I134" s="9">
        <v>18595</v>
      </c>
    </row>
    <row r="135" spans="3:9" x14ac:dyDescent="0.2">
      <c r="C135" s="123" t="s">
        <v>270</v>
      </c>
      <c r="D135" s="123" t="s">
        <v>277</v>
      </c>
      <c r="E135" s="7">
        <v>4</v>
      </c>
      <c r="F135" s="7">
        <v>145</v>
      </c>
      <c r="G135" s="123" t="s">
        <v>1176</v>
      </c>
      <c r="H135" s="8">
        <v>14</v>
      </c>
      <c r="I135" s="9">
        <v>24495</v>
      </c>
    </row>
    <row r="136" spans="3:9" x14ac:dyDescent="0.2">
      <c r="C136" s="123" t="s">
        <v>278</v>
      </c>
      <c r="D136" s="123">
        <v>105</v>
      </c>
      <c r="E136" s="7">
        <v>4</v>
      </c>
      <c r="F136" s="7">
        <v>130</v>
      </c>
      <c r="G136" s="123" t="s">
        <v>1178</v>
      </c>
      <c r="H136" s="8">
        <v>12.1</v>
      </c>
      <c r="I136" s="9">
        <v>10295</v>
      </c>
    </row>
    <row r="137" spans="3:9" x14ac:dyDescent="0.2">
      <c r="C137" s="123" t="s">
        <v>279</v>
      </c>
      <c r="D137" s="123" t="s">
        <v>280</v>
      </c>
      <c r="E137" s="7">
        <v>2</v>
      </c>
      <c r="F137" s="7">
        <v>125</v>
      </c>
      <c r="G137" s="123" t="s">
        <v>1178</v>
      </c>
      <c r="H137" s="8">
        <v>17.100000000000001</v>
      </c>
      <c r="I137" s="9">
        <v>11495</v>
      </c>
    </row>
    <row r="138" spans="3:9" x14ac:dyDescent="0.2">
      <c r="C138" s="123" t="s">
        <v>279</v>
      </c>
      <c r="D138" s="123" t="s">
        <v>281</v>
      </c>
      <c r="E138" s="7">
        <v>3</v>
      </c>
      <c r="F138" s="7">
        <v>150</v>
      </c>
      <c r="G138" s="123" t="s">
        <v>1178</v>
      </c>
      <c r="H138" s="8">
        <v>13.7</v>
      </c>
      <c r="I138" s="9">
        <v>14495</v>
      </c>
    </row>
    <row r="139" spans="3:9" x14ac:dyDescent="0.2">
      <c r="C139" s="123" t="s">
        <v>279</v>
      </c>
      <c r="D139" s="123" t="s">
        <v>282</v>
      </c>
      <c r="E139" s="7">
        <v>4</v>
      </c>
      <c r="F139" s="7">
        <v>160</v>
      </c>
      <c r="G139" s="123" t="s">
        <v>1178</v>
      </c>
      <c r="H139" s="8">
        <v>13.1</v>
      </c>
      <c r="I139" s="9">
        <v>22495</v>
      </c>
    </row>
    <row r="140" spans="3:9" x14ac:dyDescent="0.2">
      <c r="C140" s="123" t="s">
        <v>279</v>
      </c>
      <c r="D140" s="123" t="s">
        <v>283</v>
      </c>
      <c r="E140" s="7">
        <v>4</v>
      </c>
      <c r="F140" s="7">
        <v>200</v>
      </c>
      <c r="G140" s="123" t="s">
        <v>1177</v>
      </c>
      <c r="H140" s="8">
        <v>9.4</v>
      </c>
      <c r="I140" s="9">
        <v>53995</v>
      </c>
    </row>
    <row r="141" spans="3:9" x14ac:dyDescent="0.2">
      <c r="C141" s="123" t="s">
        <v>284</v>
      </c>
      <c r="D141" s="123" t="s">
        <v>285</v>
      </c>
      <c r="E141" s="7">
        <v>3</v>
      </c>
      <c r="F141" s="7">
        <v>125</v>
      </c>
      <c r="G141" s="123" t="s">
        <v>1178</v>
      </c>
      <c r="H141" s="8">
        <v>15.2</v>
      </c>
      <c r="I141" s="9">
        <v>11695</v>
      </c>
    </row>
    <row r="142" spans="3:9" x14ac:dyDescent="0.2">
      <c r="C142" s="123" t="s">
        <v>284</v>
      </c>
      <c r="D142" s="123" t="s">
        <v>286</v>
      </c>
      <c r="E142" s="7">
        <v>3</v>
      </c>
      <c r="F142" s="7">
        <v>145</v>
      </c>
      <c r="G142" s="123" t="s">
        <v>1178</v>
      </c>
      <c r="H142" s="8">
        <v>14.9</v>
      </c>
      <c r="I142" s="9">
        <v>14995</v>
      </c>
    </row>
    <row r="143" spans="3:9" x14ac:dyDescent="0.2">
      <c r="C143" s="123" t="s">
        <v>287</v>
      </c>
      <c r="D143" s="123" t="s">
        <v>288</v>
      </c>
      <c r="E143" s="7">
        <v>4</v>
      </c>
      <c r="F143" s="7">
        <v>141</v>
      </c>
      <c r="G143" s="123" t="s">
        <v>1177</v>
      </c>
      <c r="H143" s="8">
        <v>12.1</v>
      </c>
      <c r="I143" s="9">
        <v>14995</v>
      </c>
    </row>
    <row r="144" spans="3:9" x14ac:dyDescent="0.2">
      <c r="C144" s="123" t="s">
        <v>287</v>
      </c>
      <c r="D144" s="123" t="s">
        <v>289</v>
      </c>
      <c r="E144" s="7">
        <v>4</v>
      </c>
      <c r="F144" s="7">
        <v>160</v>
      </c>
      <c r="G144" s="123" t="s">
        <v>1178</v>
      </c>
      <c r="H144" s="8">
        <v>13</v>
      </c>
      <c r="I144" s="9">
        <v>18595</v>
      </c>
    </row>
    <row r="145" spans="3:9" x14ac:dyDescent="0.2">
      <c r="C145" s="123" t="s">
        <v>287</v>
      </c>
      <c r="D145" s="123" t="s">
        <v>290</v>
      </c>
      <c r="E145" s="7">
        <v>4</v>
      </c>
      <c r="F145" s="7">
        <v>155</v>
      </c>
      <c r="G145" s="123" t="s">
        <v>1176</v>
      </c>
      <c r="H145" s="8">
        <v>15.1</v>
      </c>
      <c r="I145" s="9">
        <v>23545</v>
      </c>
    </row>
    <row r="146" spans="3:9" x14ac:dyDescent="0.2">
      <c r="C146" s="123" t="s">
        <v>287</v>
      </c>
      <c r="D146" s="123" t="s">
        <v>291</v>
      </c>
      <c r="E146" s="7">
        <v>4</v>
      </c>
      <c r="F146" s="7">
        <v>175</v>
      </c>
      <c r="G146" s="123" t="s">
        <v>1177</v>
      </c>
      <c r="H146" s="8">
        <v>12.1</v>
      </c>
      <c r="I146" s="9">
        <v>24995</v>
      </c>
    </row>
    <row r="147" spans="3:9" x14ac:dyDescent="0.2">
      <c r="C147" s="123" t="s">
        <v>287</v>
      </c>
      <c r="D147" s="123" t="s">
        <v>292</v>
      </c>
      <c r="E147" s="7">
        <v>4</v>
      </c>
      <c r="F147" s="7">
        <v>170</v>
      </c>
      <c r="G147" s="123" t="s">
        <v>1177</v>
      </c>
      <c r="H147" s="8">
        <v>11</v>
      </c>
      <c r="I147" s="9">
        <v>33395</v>
      </c>
    </row>
    <row r="148" spans="3:9" x14ac:dyDescent="0.2">
      <c r="C148" s="123" t="s">
        <v>287</v>
      </c>
      <c r="D148" s="123" t="s">
        <v>293</v>
      </c>
      <c r="E148" s="7">
        <v>4</v>
      </c>
      <c r="F148" s="7">
        <v>170</v>
      </c>
      <c r="G148" s="123" t="s">
        <v>1177</v>
      </c>
      <c r="H148" s="8">
        <v>12.4</v>
      </c>
      <c r="I148" s="9">
        <v>31595</v>
      </c>
    </row>
    <row r="149" spans="3:9" x14ac:dyDescent="0.2">
      <c r="C149" s="123" t="s">
        <v>287</v>
      </c>
      <c r="D149" s="123" t="s">
        <v>294</v>
      </c>
      <c r="E149" s="7">
        <v>4</v>
      </c>
      <c r="F149" s="7">
        <v>170</v>
      </c>
      <c r="G149" s="123" t="s">
        <v>1176</v>
      </c>
      <c r="H149" s="8">
        <v>15</v>
      </c>
      <c r="I149" s="9">
        <v>38495</v>
      </c>
    </row>
    <row r="150" spans="3:9" x14ac:dyDescent="0.2">
      <c r="C150" s="123" t="s">
        <v>287</v>
      </c>
      <c r="D150" s="123" t="s">
        <v>295</v>
      </c>
      <c r="E150" s="7">
        <v>4</v>
      </c>
      <c r="F150" s="7">
        <v>200</v>
      </c>
      <c r="G150" s="123" t="s">
        <v>1178</v>
      </c>
      <c r="H150" s="8">
        <v>12.9</v>
      </c>
      <c r="I150" s="9">
        <v>47345</v>
      </c>
    </row>
    <row r="151" spans="3:9" x14ac:dyDescent="0.2">
      <c r="C151" s="123" t="s">
        <v>287</v>
      </c>
      <c r="D151" s="123" t="s">
        <v>296</v>
      </c>
      <c r="E151" s="7">
        <v>6</v>
      </c>
      <c r="F151" s="7">
        <v>190</v>
      </c>
      <c r="G151" s="123" t="s">
        <v>1177</v>
      </c>
      <c r="H151" s="8">
        <v>10.3</v>
      </c>
      <c r="I151" s="9">
        <v>48545</v>
      </c>
    </row>
    <row r="152" spans="3:9" x14ac:dyDescent="0.2">
      <c r="C152" s="123" t="s">
        <v>297</v>
      </c>
      <c r="D152" s="123" t="s">
        <v>298</v>
      </c>
      <c r="E152" s="7">
        <v>4</v>
      </c>
      <c r="F152" s="7">
        <v>142</v>
      </c>
      <c r="G152" s="123" t="s">
        <v>1178</v>
      </c>
      <c r="H152" s="8">
        <v>11.7</v>
      </c>
      <c r="I152" s="9">
        <v>16390</v>
      </c>
    </row>
    <row r="153" spans="3:9" x14ac:dyDescent="0.2">
      <c r="C153" s="123" t="s">
        <v>297</v>
      </c>
      <c r="D153" s="123" t="s">
        <v>299</v>
      </c>
      <c r="E153" s="7">
        <v>4</v>
      </c>
      <c r="F153" s="7">
        <v>140</v>
      </c>
      <c r="G153" s="123" t="s">
        <v>1176</v>
      </c>
      <c r="H153" s="8">
        <v>15.9</v>
      </c>
      <c r="I153" s="9">
        <v>22590</v>
      </c>
    </row>
    <row r="154" spans="3:9" x14ac:dyDescent="0.2">
      <c r="C154" s="123" t="s">
        <v>297</v>
      </c>
      <c r="D154" s="123" t="s">
        <v>300</v>
      </c>
      <c r="E154" s="7">
        <v>4</v>
      </c>
      <c r="F154" s="7">
        <v>151</v>
      </c>
      <c r="G154" s="123" t="s">
        <v>1178</v>
      </c>
      <c r="H154" s="8">
        <v>13.2</v>
      </c>
      <c r="I154" s="9">
        <v>21995</v>
      </c>
    </row>
    <row r="155" spans="3:9" x14ac:dyDescent="0.2">
      <c r="C155" s="123" t="s">
        <v>297</v>
      </c>
      <c r="D155" s="123" t="s">
        <v>301</v>
      </c>
      <c r="E155" s="7">
        <v>4</v>
      </c>
      <c r="F155" s="7">
        <v>148</v>
      </c>
      <c r="G155" s="123" t="s">
        <v>1176</v>
      </c>
      <c r="H155" s="8">
        <v>16.100000000000001</v>
      </c>
      <c r="I155" s="9">
        <v>27230</v>
      </c>
    </row>
    <row r="156" spans="3:9" x14ac:dyDescent="0.2">
      <c r="C156" s="123" t="s">
        <v>297</v>
      </c>
      <c r="D156" s="123" t="s">
        <v>302</v>
      </c>
      <c r="E156" s="7">
        <v>4</v>
      </c>
      <c r="F156" s="7">
        <v>148</v>
      </c>
      <c r="G156" s="123" t="s">
        <v>1178</v>
      </c>
      <c r="H156" s="8">
        <v>13.6</v>
      </c>
      <c r="I156" s="9">
        <v>22800</v>
      </c>
    </row>
    <row r="157" spans="3:9" x14ac:dyDescent="0.2">
      <c r="C157" s="123" t="s">
        <v>297</v>
      </c>
      <c r="D157" s="123" t="s">
        <v>303</v>
      </c>
      <c r="E157" s="7">
        <v>4</v>
      </c>
      <c r="F157" s="7">
        <v>146</v>
      </c>
      <c r="G157" s="123" t="s">
        <v>1176</v>
      </c>
      <c r="H157" s="8">
        <v>16.3</v>
      </c>
      <c r="I157" s="9">
        <v>28035</v>
      </c>
    </row>
    <row r="158" spans="3:9" x14ac:dyDescent="0.2">
      <c r="C158" s="123" t="s">
        <v>297</v>
      </c>
      <c r="D158" s="123" t="s">
        <v>304</v>
      </c>
      <c r="E158" s="7">
        <v>4</v>
      </c>
      <c r="F158" s="7">
        <v>181</v>
      </c>
      <c r="G158" s="123" t="s">
        <v>1178</v>
      </c>
      <c r="H158" s="8">
        <v>13.6</v>
      </c>
      <c r="I158" s="9">
        <v>38665</v>
      </c>
    </row>
    <row r="159" spans="3:9" x14ac:dyDescent="0.2">
      <c r="C159" s="123" t="s">
        <v>297</v>
      </c>
      <c r="D159" s="123" t="s">
        <v>305</v>
      </c>
      <c r="E159" s="7">
        <v>4</v>
      </c>
      <c r="F159" s="7">
        <v>162</v>
      </c>
      <c r="G159" s="123" t="s">
        <v>1178</v>
      </c>
      <c r="H159" s="8">
        <v>11.7</v>
      </c>
      <c r="I159" s="9">
        <v>28195</v>
      </c>
    </row>
    <row r="160" spans="3:9" x14ac:dyDescent="0.2">
      <c r="C160" s="123" t="s">
        <v>297</v>
      </c>
      <c r="D160" s="123" t="s">
        <v>306</v>
      </c>
      <c r="E160" s="7">
        <v>4</v>
      </c>
      <c r="F160" s="7">
        <v>143</v>
      </c>
      <c r="G160" s="123" t="s">
        <v>1176</v>
      </c>
      <c r="H160" s="8">
        <v>15.3</v>
      </c>
      <c r="I160" s="9">
        <v>32970</v>
      </c>
    </row>
    <row r="161" spans="3:9" x14ac:dyDescent="0.2">
      <c r="C161" s="123" t="s">
        <v>307</v>
      </c>
      <c r="D161" s="123" t="s">
        <v>308</v>
      </c>
      <c r="E161" s="7">
        <v>4</v>
      </c>
      <c r="F161" s="7">
        <v>155</v>
      </c>
      <c r="G161" s="123" t="s">
        <v>1177</v>
      </c>
      <c r="H161" s="8">
        <v>12.5</v>
      </c>
      <c r="I161" s="9">
        <v>20485</v>
      </c>
    </row>
    <row r="162" spans="3:9" x14ac:dyDescent="0.2">
      <c r="C162" s="123" t="s">
        <v>307</v>
      </c>
      <c r="D162" s="123" t="s">
        <v>309</v>
      </c>
      <c r="E162" s="7">
        <v>4</v>
      </c>
      <c r="F162" s="7">
        <v>140</v>
      </c>
      <c r="G162" s="123" t="s">
        <v>1176</v>
      </c>
      <c r="H162" s="8">
        <v>14.7</v>
      </c>
      <c r="I162" s="9">
        <v>26245</v>
      </c>
    </row>
    <row r="163" spans="3:9" x14ac:dyDescent="0.2">
      <c r="C163" s="123" t="s">
        <v>307</v>
      </c>
      <c r="D163" s="123" t="s">
        <v>310</v>
      </c>
      <c r="E163" s="7">
        <v>4</v>
      </c>
      <c r="F163" s="7">
        <v>180</v>
      </c>
      <c r="G163" s="123" t="s">
        <v>1178</v>
      </c>
      <c r="H163" s="8">
        <v>11</v>
      </c>
      <c r="I163" s="9">
        <v>27545</v>
      </c>
    </row>
    <row r="164" spans="3:9" x14ac:dyDescent="0.2">
      <c r="C164" s="123" t="s">
        <v>307</v>
      </c>
      <c r="D164" s="123">
        <v>240</v>
      </c>
      <c r="E164" s="7">
        <v>4</v>
      </c>
      <c r="F164" s="7">
        <v>165</v>
      </c>
      <c r="G164" s="123" t="s">
        <v>1177</v>
      </c>
      <c r="H164" s="8">
        <v>10.199999999999999</v>
      </c>
      <c r="I164" s="9">
        <v>37695</v>
      </c>
    </row>
    <row r="165" spans="3:9" x14ac:dyDescent="0.2">
      <c r="C165" s="123" t="s">
        <v>307</v>
      </c>
      <c r="D165" s="123" t="s">
        <v>311</v>
      </c>
      <c r="E165" s="7">
        <v>6</v>
      </c>
      <c r="F165" s="7">
        <v>145</v>
      </c>
      <c r="G165" s="123" t="s">
        <v>1176</v>
      </c>
      <c r="H165" s="8">
        <v>10.4</v>
      </c>
      <c r="I165" s="9">
        <v>48895</v>
      </c>
    </row>
    <row r="166" spans="3:9" x14ac:dyDescent="0.2">
      <c r="C166" s="123" t="s">
        <v>307</v>
      </c>
      <c r="D166" s="123" t="s">
        <v>312</v>
      </c>
      <c r="E166" s="7">
        <v>4</v>
      </c>
      <c r="F166" s="7">
        <v>190</v>
      </c>
      <c r="G166" s="123" t="s">
        <v>1177</v>
      </c>
      <c r="H166" s="8">
        <v>12.3</v>
      </c>
      <c r="I166" s="9">
        <v>45655</v>
      </c>
    </row>
    <row r="167" spans="3:9" x14ac:dyDescent="0.2">
      <c r="C167" s="123" t="s">
        <v>307</v>
      </c>
      <c r="D167" s="123" t="s">
        <v>313</v>
      </c>
      <c r="E167" s="7">
        <v>4</v>
      </c>
      <c r="F167" s="7">
        <v>175</v>
      </c>
      <c r="G167" s="123" t="s">
        <v>1177</v>
      </c>
      <c r="H167" s="8">
        <v>9</v>
      </c>
      <c r="I167" s="9">
        <v>47995</v>
      </c>
    </row>
    <row r="168" spans="3:9" x14ac:dyDescent="0.2">
      <c r="C168" s="123" t="s">
        <v>307</v>
      </c>
      <c r="D168" s="123" t="s">
        <v>314</v>
      </c>
      <c r="E168" s="7">
        <v>6</v>
      </c>
      <c r="F168" s="7">
        <v>155</v>
      </c>
      <c r="G168" s="123" t="s">
        <v>1176</v>
      </c>
      <c r="H168" s="8">
        <v>11.8</v>
      </c>
      <c r="I168" s="9">
        <v>55395</v>
      </c>
    </row>
  </sheetData>
  <mergeCells count="5">
    <mergeCell ref="B6:E6"/>
    <mergeCell ref="B2:C2"/>
    <mergeCell ref="B3:C3"/>
    <mergeCell ref="B4:C4"/>
    <mergeCell ref="B1:C1"/>
  </mergeCells>
  <hyperlinks>
    <hyperlink ref="B6:D6" location="sjabloon!A1" display="Ga naar Inhoudsopgave" xr:uid="{00000000-0004-0000-3300-000000000000}"/>
    <hyperlink ref="B6:E6" location="Inhoud!A1" display="Ga naar Inhoudsopgave" xr:uid="{00000000-0004-0000-3300-000001000000}"/>
  </hyperlinks>
  <pageMargins left="0.7" right="0.7" top="0.75" bottom="0.75" header="0.3" footer="0.3"/>
  <pageSetup paperSize="9" orientation="landscape"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Blad40"/>
  <dimension ref="B1:R5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9" style="4" customWidth="1"/>
    <col min="5" max="5" width="7.85546875" style="4" bestFit="1" customWidth="1"/>
    <col min="6" max="6" width="12.7109375" style="4" bestFit="1" customWidth="1"/>
    <col min="7" max="7" width="11.5703125" style="4" bestFit="1" customWidth="1"/>
    <col min="8" max="8" width="6.7109375" style="4" bestFit="1" customWidth="1"/>
    <col min="9" max="9" width="5" style="4" bestFit="1" customWidth="1"/>
    <col min="10" max="10" width="5" style="4" customWidth="1"/>
    <col min="11" max="11" width="9.140625" style="4"/>
    <col min="12" max="12" width="12.7109375" style="4" customWidth="1"/>
    <col min="13" max="14" width="3.28515625" style="4" customWidth="1"/>
    <col min="15" max="15" width="10.28515625" style="4" bestFit="1" customWidth="1"/>
    <col min="16" max="16384" width="9.140625" style="4"/>
  </cols>
  <sheetData>
    <row r="1" spans="2:18" x14ac:dyDescent="0.2">
      <c r="B1" s="355" t="s">
        <v>1253</v>
      </c>
      <c r="C1" s="355"/>
      <c r="D1" s="316" t="s">
        <v>850</v>
      </c>
    </row>
    <row r="2" spans="2:18" x14ac:dyDescent="0.2">
      <c r="B2" s="355" t="s">
        <v>1085</v>
      </c>
      <c r="C2" s="355"/>
      <c r="D2" s="332" t="str">
        <f>VLOOKUP(D$1,TabelContent[],COLUMN(TabelContent[Titel-NL]))</f>
        <v>Hobbyclub</v>
      </c>
      <c r="M2" s="115"/>
      <c r="N2" s="115"/>
      <c r="O2" s="115"/>
    </row>
    <row r="3" spans="2:18" x14ac:dyDescent="0.2">
      <c r="B3" s="355" t="s">
        <v>1086</v>
      </c>
      <c r="C3" s="355"/>
      <c r="D3" s="332" t="str">
        <f>VLOOKUP(D$1,TabelContent[],COLUMN(TabelContent[Cat-NL]))</f>
        <v>Draaitabel</v>
      </c>
      <c r="M3" s="115"/>
      <c r="N3" s="115"/>
      <c r="O3" s="115"/>
    </row>
    <row r="4" spans="2:18" x14ac:dyDescent="0.2">
      <c r="B4" s="355" t="s">
        <v>1087</v>
      </c>
      <c r="C4" s="355" t="s">
        <v>1077</v>
      </c>
      <c r="D4" s="332">
        <f>VLOOKUP(D$1,TabelContent[],COLUMN(TabelContent[Niveau]))</f>
        <v>3</v>
      </c>
      <c r="M4" s="115"/>
      <c r="N4" s="115"/>
      <c r="O4" s="115"/>
    </row>
    <row r="5" spans="2:18" x14ac:dyDescent="0.2">
      <c r="B5" s="16"/>
      <c r="C5" s="16"/>
      <c r="D5" s="16"/>
      <c r="E5" s="16"/>
    </row>
    <row r="6" spans="2:18" x14ac:dyDescent="0.2">
      <c r="B6" s="356" t="s">
        <v>47</v>
      </c>
      <c r="C6" s="356"/>
      <c r="D6" s="356"/>
      <c r="E6" s="356"/>
    </row>
    <row r="7" spans="2:18" x14ac:dyDescent="0.2">
      <c r="B7" s="16"/>
      <c r="C7" s="16"/>
      <c r="D7" s="16"/>
      <c r="E7" s="16"/>
    </row>
    <row r="8" spans="2:18" x14ac:dyDescent="0.2">
      <c r="B8" s="16"/>
      <c r="D8" s="124" t="s">
        <v>675</v>
      </c>
      <c r="E8" s="124" t="s">
        <v>769</v>
      </c>
      <c r="F8" s="124" t="s">
        <v>851</v>
      </c>
      <c r="G8" s="124" t="s">
        <v>852</v>
      </c>
      <c r="H8" s="124" t="s">
        <v>853</v>
      </c>
      <c r="I8" s="124">
        <v>2009</v>
      </c>
      <c r="J8" s="124">
        <v>2010</v>
      </c>
      <c r="L8" s="126" t="s">
        <v>878</v>
      </c>
    </row>
    <row r="9" spans="2:18" x14ac:dyDescent="0.2">
      <c r="B9" s="16"/>
      <c r="D9" s="114" t="s">
        <v>445</v>
      </c>
      <c r="E9" s="3" t="s">
        <v>854</v>
      </c>
      <c r="F9" s="125">
        <v>34713</v>
      </c>
      <c r="G9" s="114" t="s">
        <v>855</v>
      </c>
      <c r="H9" s="114" t="s">
        <v>856</v>
      </c>
      <c r="I9" s="114">
        <v>44</v>
      </c>
      <c r="J9" s="114">
        <v>42</v>
      </c>
    </row>
    <row r="10" spans="2:18" x14ac:dyDescent="0.2">
      <c r="B10" s="16"/>
      <c r="D10" s="114" t="s">
        <v>534</v>
      </c>
      <c r="E10" s="3" t="s">
        <v>854</v>
      </c>
      <c r="F10" s="125">
        <v>36373</v>
      </c>
      <c r="G10" s="114" t="s">
        <v>857</v>
      </c>
      <c r="H10" s="114" t="s">
        <v>858</v>
      </c>
      <c r="I10" s="114">
        <v>24</v>
      </c>
      <c r="J10" s="114">
        <v>46</v>
      </c>
    </row>
    <row r="11" spans="2:18" x14ac:dyDescent="0.2">
      <c r="B11" s="16"/>
      <c r="D11" s="114" t="s">
        <v>859</v>
      </c>
      <c r="E11" s="3" t="s">
        <v>860</v>
      </c>
      <c r="F11" s="125">
        <v>36248</v>
      </c>
      <c r="G11" s="114" t="s">
        <v>855</v>
      </c>
      <c r="H11" s="114" t="s">
        <v>856</v>
      </c>
      <c r="I11" s="114">
        <v>23</v>
      </c>
      <c r="J11" s="114">
        <v>35</v>
      </c>
      <c r="L11" s="111" t="s">
        <v>880</v>
      </c>
      <c r="M11"/>
      <c r="N11"/>
      <c r="O11"/>
      <c r="P11"/>
      <c r="Q11"/>
      <c r="R11"/>
    </row>
    <row r="12" spans="2:18" x14ac:dyDescent="0.2">
      <c r="B12" s="16"/>
      <c r="D12" s="114" t="s">
        <v>861</v>
      </c>
      <c r="E12" s="3" t="s">
        <v>854</v>
      </c>
      <c r="F12" s="125">
        <v>36565</v>
      </c>
      <c r="G12" s="114" t="s">
        <v>857</v>
      </c>
      <c r="H12" s="114" t="s">
        <v>856</v>
      </c>
      <c r="I12" s="114">
        <v>21</v>
      </c>
      <c r="J12" s="114">
        <v>27</v>
      </c>
      <c r="L12"/>
      <c r="M12" s="4" t="s">
        <v>854</v>
      </c>
      <c r="N12" s="4" t="s">
        <v>860</v>
      </c>
      <c r="O12" s="4" t="s">
        <v>613</v>
      </c>
      <c r="P12"/>
      <c r="Q12"/>
      <c r="R12"/>
    </row>
    <row r="13" spans="2:18" x14ac:dyDescent="0.2">
      <c r="B13" s="16"/>
      <c r="D13" s="114" t="s">
        <v>456</v>
      </c>
      <c r="E13" s="3" t="s">
        <v>854</v>
      </c>
      <c r="F13" s="125">
        <v>36612</v>
      </c>
      <c r="G13" s="114" t="s">
        <v>862</v>
      </c>
      <c r="H13" s="114" t="s">
        <v>858</v>
      </c>
      <c r="I13" s="114">
        <v>13</v>
      </c>
      <c r="J13" s="114">
        <v>38</v>
      </c>
      <c r="L13" s="4" t="s">
        <v>867</v>
      </c>
      <c r="M13" s="115">
        <v>1</v>
      </c>
      <c r="N13" s="115">
        <v>2</v>
      </c>
      <c r="O13" s="115">
        <v>3</v>
      </c>
      <c r="P13"/>
      <c r="Q13"/>
      <c r="R13"/>
    </row>
    <row r="14" spans="2:18" x14ac:dyDescent="0.2">
      <c r="B14" s="16"/>
      <c r="D14" s="114" t="s">
        <v>863</v>
      </c>
      <c r="E14" s="3" t="s">
        <v>854</v>
      </c>
      <c r="F14" s="125">
        <v>36608</v>
      </c>
      <c r="G14" s="114" t="s">
        <v>857</v>
      </c>
      <c r="H14" s="114" t="s">
        <v>856</v>
      </c>
      <c r="I14" s="114">
        <v>19</v>
      </c>
      <c r="J14" s="114">
        <v>45</v>
      </c>
      <c r="L14" s="4" t="s">
        <v>877</v>
      </c>
      <c r="M14" s="115">
        <v>1</v>
      </c>
      <c r="N14" s="115">
        <v>2</v>
      </c>
      <c r="O14" s="115">
        <v>3</v>
      </c>
      <c r="P14"/>
      <c r="Q14"/>
      <c r="R14"/>
    </row>
    <row r="15" spans="2:18" x14ac:dyDescent="0.2">
      <c r="B15" s="16"/>
      <c r="D15" s="114" t="s">
        <v>864</v>
      </c>
      <c r="E15" s="3" t="s">
        <v>860</v>
      </c>
      <c r="F15" s="125">
        <v>37083</v>
      </c>
      <c r="G15" s="114" t="s">
        <v>855</v>
      </c>
      <c r="H15" s="114" t="s">
        <v>865</v>
      </c>
      <c r="I15" s="114">
        <v>24</v>
      </c>
      <c r="J15" s="114">
        <v>33</v>
      </c>
      <c r="L15" s="4" t="s">
        <v>862</v>
      </c>
      <c r="M15" s="115">
        <v>2</v>
      </c>
      <c r="N15" s="115">
        <v>1</v>
      </c>
      <c r="O15" s="115">
        <v>3</v>
      </c>
      <c r="P15"/>
      <c r="Q15"/>
      <c r="R15"/>
    </row>
    <row r="16" spans="2:18" x14ac:dyDescent="0.2">
      <c r="D16" s="114" t="s">
        <v>866</v>
      </c>
      <c r="E16" s="3" t="s">
        <v>854</v>
      </c>
      <c r="F16" s="125">
        <v>37110</v>
      </c>
      <c r="G16" s="114" t="s">
        <v>857</v>
      </c>
      <c r="H16" s="114" t="s">
        <v>858</v>
      </c>
      <c r="I16" s="114">
        <v>36</v>
      </c>
      <c r="J16" s="114">
        <v>34</v>
      </c>
      <c r="L16" s="4" t="s">
        <v>855</v>
      </c>
      <c r="M16" s="115">
        <v>3</v>
      </c>
      <c r="N16" s="115">
        <v>3</v>
      </c>
      <c r="O16" s="115">
        <v>6</v>
      </c>
      <c r="P16"/>
      <c r="Q16"/>
      <c r="R16"/>
    </row>
    <row r="17" spans="4:18" x14ac:dyDescent="0.2">
      <c r="D17" s="114" t="s">
        <v>609</v>
      </c>
      <c r="E17" s="3" t="s">
        <v>854</v>
      </c>
      <c r="F17" s="125">
        <v>37015</v>
      </c>
      <c r="G17" s="114" t="s">
        <v>862</v>
      </c>
      <c r="H17" s="114" t="s">
        <v>865</v>
      </c>
      <c r="I17" s="114">
        <v>40</v>
      </c>
      <c r="J17" s="114">
        <v>26</v>
      </c>
      <c r="L17" s="4" t="s">
        <v>857</v>
      </c>
      <c r="M17" s="115">
        <v>4</v>
      </c>
      <c r="N17" s="115">
        <v>1</v>
      </c>
      <c r="O17" s="115">
        <v>5</v>
      </c>
      <c r="P17"/>
      <c r="Q17"/>
      <c r="R17"/>
    </row>
    <row r="18" spans="4:18" x14ac:dyDescent="0.2">
      <c r="D18" s="114" t="s">
        <v>452</v>
      </c>
      <c r="E18" s="3" t="s">
        <v>860</v>
      </c>
      <c r="F18" s="125">
        <v>37047</v>
      </c>
      <c r="G18" s="114" t="s">
        <v>867</v>
      </c>
      <c r="H18" s="114" t="s">
        <v>868</v>
      </c>
      <c r="I18" s="114">
        <v>14</v>
      </c>
      <c r="J18" s="114">
        <v>26</v>
      </c>
      <c r="L18" s="4" t="s">
        <v>613</v>
      </c>
      <c r="M18" s="115">
        <v>11</v>
      </c>
      <c r="N18" s="115">
        <v>9</v>
      </c>
      <c r="O18" s="115">
        <v>20</v>
      </c>
      <c r="P18"/>
      <c r="Q18"/>
      <c r="R18"/>
    </row>
    <row r="19" spans="4:18" x14ac:dyDescent="0.2">
      <c r="D19" s="114" t="s">
        <v>869</v>
      </c>
      <c r="E19" s="3" t="s">
        <v>860</v>
      </c>
      <c r="F19" s="125">
        <v>37040</v>
      </c>
      <c r="G19" s="114" t="s">
        <v>862</v>
      </c>
      <c r="H19" s="114" t="s">
        <v>858</v>
      </c>
      <c r="I19" s="114">
        <v>37</v>
      </c>
      <c r="J19" s="114">
        <v>39</v>
      </c>
      <c r="L19"/>
      <c r="M19"/>
      <c r="N19"/>
      <c r="O19"/>
      <c r="P19"/>
      <c r="Q19"/>
      <c r="R19"/>
    </row>
    <row r="20" spans="4:18" x14ac:dyDescent="0.2">
      <c r="D20" s="114" t="s">
        <v>870</v>
      </c>
      <c r="E20" s="3" t="s">
        <v>860</v>
      </c>
      <c r="F20" s="125">
        <v>37269</v>
      </c>
      <c r="G20" s="114" t="s">
        <v>855</v>
      </c>
      <c r="H20" s="114" t="s">
        <v>858</v>
      </c>
      <c r="I20" s="114">
        <v>35</v>
      </c>
      <c r="J20" s="114">
        <v>28</v>
      </c>
      <c r="L20"/>
      <c r="M20"/>
      <c r="N20"/>
      <c r="O20"/>
      <c r="P20"/>
      <c r="Q20"/>
      <c r="R20"/>
    </row>
    <row r="21" spans="4:18" x14ac:dyDescent="0.2">
      <c r="D21" s="114" t="s">
        <v>403</v>
      </c>
      <c r="E21" s="3" t="s">
        <v>860</v>
      </c>
      <c r="F21" s="125">
        <v>37481</v>
      </c>
      <c r="G21" s="114" t="s">
        <v>877</v>
      </c>
      <c r="H21" s="114" t="s">
        <v>856</v>
      </c>
      <c r="I21" s="114">
        <v>10</v>
      </c>
      <c r="J21" s="114">
        <v>43</v>
      </c>
      <c r="L21" s="126" t="s">
        <v>881</v>
      </c>
      <c r="M21"/>
      <c r="N21"/>
      <c r="O21"/>
      <c r="P21"/>
      <c r="Q21"/>
      <c r="R21"/>
    </row>
    <row r="22" spans="4:18" x14ac:dyDescent="0.2">
      <c r="D22" s="114" t="s">
        <v>871</v>
      </c>
      <c r="E22" s="3" t="s">
        <v>854</v>
      </c>
      <c r="F22" s="125">
        <v>37293</v>
      </c>
      <c r="G22" s="114" t="s">
        <v>867</v>
      </c>
      <c r="H22" s="114" t="s">
        <v>856</v>
      </c>
      <c r="I22" s="114">
        <v>18</v>
      </c>
      <c r="J22" s="114">
        <v>42</v>
      </c>
      <c r="L22"/>
      <c r="M22"/>
      <c r="N22"/>
      <c r="O22"/>
      <c r="P22"/>
      <c r="Q22"/>
      <c r="R22"/>
    </row>
    <row r="23" spans="4:18" x14ac:dyDescent="0.2">
      <c r="D23" s="114" t="s">
        <v>872</v>
      </c>
      <c r="E23" s="3" t="s">
        <v>854</v>
      </c>
      <c r="F23" s="125">
        <v>37734</v>
      </c>
      <c r="G23" s="114" t="s">
        <v>855</v>
      </c>
      <c r="H23" s="114" t="s">
        <v>873</v>
      </c>
      <c r="I23" s="114">
        <v>31</v>
      </c>
      <c r="J23" s="114">
        <v>25</v>
      </c>
      <c r="L23"/>
      <c r="M23"/>
      <c r="N23"/>
      <c r="O23"/>
      <c r="P23"/>
      <c r="Q23"/>
      <c r="R23"/>
    </row>
    <row r="24" spans="4:18" x14ac:dyDescent="0.2">
      <c r="D24" s="114" t="s">
        <v>874</v>
      </c>
      <c r="E24" s="3" t="s">
        <v>860</v>
      </c>
      <c r="F24" s="125">
        <v>37694</v>
      </c>
      <c r="G24" s="114" t="s">
        <v>877</v>
      </c>
      <c r="H24" s="114" t="s">
        <v>868</v>
      </c>
      <c r="I24" s="114">
        <v>10</v>
      </c>
      <c r="J24" s="114">
        <v>32</v>
      </c>
      <c r="L24" s="111" t="s">
        <v>879</v>
      </c>
      <c r="M24"/>
      <c r="N24"/>
      <c r="O24"/>
      <c r="P24"/>
      <c r="Q24"/>
      <c r="R24"/>
    </row>
    <row r="25" spans="4:18" x14ac:dyDescent="0.2">
      <c r="D25" s="114" t="s">
        <v>478</v>
      </c>
      <c r="E25" s="3" t="s">
        <v>860</v>
      </c>
      <c r="F25" s="125">
        <v>37645</v>
      </c>
      <c r="G25" s="114" t="s">
        <v>867</v>
      </c>
      <c r="H25" s="114" t="s">
        <v>856</v>
      </c>
      <c r="I25" s="114">
        <v>41</v>
      </c>
      <c r="J25" s="114">
        <v>47</v>
      </c>
      <c r="L25"/>
      <c r="M25" s="4" t="s">
        <v>854</v>
      </c>
      <c r="N25" s="4" t="s">
        <v>860</v>
      </c>
      <c r="O25" s="4" t="s">
        <v>613</v>
      </c>
      <c r="P25"/>
      <c r="Q25"/>
      <c r="R25"/>
    </row>
    <row r="26" spans="4:18" x14ac:dyDescent="0.2">
      <c r="D26" s="114" t="s">
        <v>434</v>
      </c>
      <c r="E26" s="3" t="s">
        <v>854</v>
      </c>
      <c r="F26" s="125">
        <v>38153</v>
      </c>
      <c r="G26" s="114" t="s">
        <v>877</v>
      </c>
      <c r="H26" s="114" t="s">
        <v>865</v>
      </c>
      <c r="I26" s="114">
        <v>39</v>
      </c>
      <c r="J26" s="114">
        <v>36</v>
      </c>
      <c r="L26" s="4" t="s">
        <v>873</v>
      </c>
      <c r="M26" s="107">
        <v>0.1</v>
      </c>
      <c r="N26" s="107">
        <v>0.05</v>
      </c>
      <c r="O26" s="107">
        <v>0.15</v>
      </c>
      <c r="P26"/>
      <c r="Q26"/>
      <c r="R26"/>
    </row>
    <row r="27" spans="4:18" x14ac:dyDescent="0.2">
      <c r="D27" s="114" t="s">
        <v>875</v>
      </c>
      <c r="E27" s="3" t="s">
        <v>860</v>
      </c>
      <c r="F27" s="125">
        <v>38531</v>
      </c>
      <c r="G27" s="114" t="s">
        <v>857</v>
      </c>
      <c r="H27" s="114" t="s">
        <v>873</v>
      </c>
      <c r="I27" s="114">
        <v>45</v>
      </c>
      <c r="J27" s="114">
        <v>32</v>
      </c>
      <c r="L27" s="4" t="s">
        <v>858</v>
      </c>
      <c r="M27" s="107">
        <v>0.15</v>
      </c>
      <c r="N27" s="107">
        <v>0.1</v>
      </c>
      <c r="O27" s="107">
        <v>0.25</v>
      </c>
      <c r="P27"/>
      <c r="Q27"/>
      <c r="R27"/>
    </row>
    <row r="28" spans="4:18" x14ac:dyDescent="0.2">
      <c r="D28" s="114" t="s">
        <v>876</v>
      </c>
      <c r="E28" s="3" t="s">
        <v>854</v>
      </c>
      <c r="F28" s="125">
        <v>38615</v>
      </c>
      <c r="G28" s="114" t="s">
        <v>855</v>
      </c>
      <c r="H28" s="114" t="s">
        <v>873</v>
      </c>
      <c r="I28" s="114">
        <v>14</v>
      </c>
      <c r="J28" s="114">
        <v>42</v>
      </c>
      <c r="L28" s="4" t="s">
        <v>865</v>
      </c>
      <c r="M28" s="107">
        <v>0.1</v>
      </c>
      <c r="N28" s="107">
        <v>0.05</v>
      </c>
      <c r="O28" s="107">
        <v>0.15</v>
      </c>
      <c r="P28"/>
      <c r="Q28"/>
      <c r="R28"/>
    </row>
    <row r="29" spans="4:18" x14ac:dyDescent="0.2">
      <c r="L29" s="4" t="s">
        <v>856</v>
      </c>
      <c r="M29" s="107">
        <v>0.2</v>
      </c>
      <c r="N29" s="107">
        <v>0.15</v>
      </c>
      <c r="O29" s="107">
        <v>0.35</v>
      </c>
      <c r="P29"/>
      <c r="Q29"/>
      <c r="R29"/>
    </row>
    <row r="30" spans="4:18" x14ac:dyDescent="0.2">
      <c r="L30" s="4" t="s">
        <v>868</v>
      </c>
      <c r="M30" s="107">
        <v>0</v>
      </c>
      <c r="N30" s="107">
        <v>0.1</v>
      </c>
      <c r="O30" s="107">
        <v>0.1</v>
      </c>
      <c r="P30"/>
      <c r="Q30"/>
      <c r="R30"/>
    </row>
    <row r="31" spans="4:18" x14ac:dyDescent="0.2">
      <c r="L31" s="4" t="s">
        <v>613</v>
      </c>
      <c r="M31" s="107">
        <v>0.55000000000000004</v>
      </c>
      <c r="N31" s="107">
        <v>0.45</v>
      </c>
      <c r="O31" s="107">
        <v>1</v>
      </c>
      <c r="P31"/>
      <c r="Q31"/>
      <c r="R31"/>
    </row>
    <row r="32" spans="4:18" x14ac:dyDescent="0.2">
      <c r="L32"/>
      <c r="M32"/>
      <c r="N32"/>
      <c r="O32"/>
      <c r="P32"/>
      <c r="Q32"/>
      <c r="R32"/>
    </row>
    <row r="33" spans="12:18" x14ac:dyDescent="0.2">
      <c r="L33"/>
      <c r="M33"/>
      <c r="N33"/>
      <c r="O33"/>
      <c r="P33"/>
      <c r="Q33"/>
      <c r="R33"/>
    </row>
    <row r="34" spans="12:18" x14ac:dyDescent="0.2">
      <c r="L34" s="126" t="s">
        <v>886</v>
      </c>
      <c r="M34"/>
      <c r="N34"/>
      <c r="O34"/>
      <c r="P34"/>
      <c r="Q34"/>
      <c r="R34"/>
    </row>
    <row r="35" spans="12:18" x14ac:dyDescent="0.2">
      <c r="L35"/>
      <c r="M35"/>
      <c r="N35"/>
      <c r="O35"/>
      <c r="P35"/>
      <c r="Q35"/>
      <c r="R35"/>
    </row>
    <row r="36" spans="12:18" x14ac:dyDescent="0.2">
      <c r="L36"/>
      <c r="M36"/>
      <c r="N36"/>
      <c r="O36"/>
      <c r="P36"/>
      <c r="Q36"/>
      <c r="R36"/>
    </row>
    <row r="37" spans="12:18" x14ac:dyDescent="0.2">
      <c r="L37" s="111" t="s">
        <v>885</v>
      </c>
      <c r="M37"/>
      <c r="N37"/>
      <c r="O37"/>
      <c r="P37"/>
      <c r="Q37"/>
      <c r="R37"/>
    </row>
    <row r="38" spans="12:18" x14ac:dyDescent="0.2">
      <c r="L38"/>
      <c r="M38" s="4" t="s">
        <v>854</v>
      </c>
      <c r="N38" s="4" t="s">
        <v>860</v>
      </c>
      <c r="O38" s="4" t="s">
        <v>613</v>
      </c>
      <c r="P38"/>
      <c r="Q38"/>
      <c r="R38"/>
    </row>
    <row r="39" spans="12:18" x14ac:dyDescent="0.2">
      <c r="L39" s="4" t="s">
        <v>882</v>
      </c>
      <c r="M39" s="115">
        <v>3</v>
      </c>
      <c r="N39" s="115">
        <v>2</v>
      </c>
      <c r="O39" s="115">
        <v>5</v>
      </c>
      <c r="P39"/>
      <c r="Q39"/>
      <c r="R39"/>
    </row>
    <row r="40" spans="12:18" x14ac:dyDescent="0.2">
      <c r="L40" s="4" t="s">
        <v>883</v>
      </c>
      <c r="M40" s="115">
        <v>3</v>
      </c>
      <c r="N40" s="115">
        <v>5</v>
      </c>
      <c r="O40" s="115">
        <v>8</v>
      </c>
      <c r="P40"/>
      <c r="Q40"/>
      <c r="R40"/>
    </row>
    <row r="41" spans="12:18" x14ac:dyDescent="0.2">
      <c r="L41" s="4" t="s">
        <v>884</v>
      </c>
      <c r="M41" s="115">
        <v>5</v>
      </c>
      <c r="N41" s="115">
        <v>2</v>
      </c>
      <c r="O41" s="115">
        <v>7</v>
      </c>
      <c r="P41"/>
      <c r="Q41"/>
      <c r="R41"/>
    </row>
    <row r="42" spans="12:18" x14ac:dyDescent="0.2">
      <c r="L42" s="4" t="s">
        <v>613</v>
      </c>
      <c r="M42" s="115">
        <v>11</v>
      </c>
      <c r="N42" s="115">
        <v>9</v>
      </c>
      <c r="O42" s="115">
        <v>20</v>
      </c>
      <c r="P42"/>
      <c r="Q42"/>
      <c r="R42"/>
    </row>
    <row r="43" spans="12:18" x14ac:dyDescent="0.2">
      <c r="L43"/>
      <c r="M43"/>
      <c r="N43"/>
      <c r="O43"/>
      <c r="P43"/>
      <c r="Q43"/>
      <c r="R43"/>
    </row>
    <row r="44" spans="12:18" x14ac:dyDescent="0.2">
      <c r="L44"/>
      <c r="M44"/>
      <c r="N44"/>
      <c r="O44"/>
      <c r="P44"/>
      <c r="Q44"/>
      <c r="R44"/>
    </row>
    <row r="45" spans="12:18" x14ac:dyDescent="0.2">
      <c r="L45"/>
      <c r="M45"/>
      <c r="N45"/>
      <c r="O45"/>
      <c r="P45"/>
      <c r="Q45"/>
      <c r="R45"/>
    </row>
    <row r="46" spans="12:18" x14ac:dyDescent="0.2">
      <c r="L46"/>
      <c r="M46"/>
      <c r="N46"/>
      <c r="O46"/>
      <c r="P46"/>
      <c r="Q46"/>
      <c r="R46"/>
    </row>
    <row r="47" spans="12:18" x14ac:dyDescent="0.2">
      <c r="L47"/>
      <c r="M47"/>
      <c r="N47"/>
      <c r="O47"/>
      <c r="P47"/>
      <c r="Q47"/>
      <c r="R47"/>
    </row>
    <row r="48" spans="12:18" x14ac:dyDescent="0.2">
      <c r="L48"/>
      <c r="M48"/>
      <c r="N48"/>
      <c r="O48"/>
      <c r="P48"/>
      <c r="Q48"/>
      <c r="R48"/>
    </row>
    <row r="49" spans="12:18" x14ac:dyDescent="0.2">
      <c r="L49"/>
      <c r="M49"/>
      <c r="N49"/>
      <c r="O49"/>
      <c r="P49"/>
      <c r="Q49"/>
      <c r="R49"/>
    </row>
    <row r="50" spans="12:18" x14ac:dyDescent="0.2">
      <c r="L50"/>
      <c r="M50"/>
      <c r="N50"/>
      <c r="O50"/>
      <c r="P50"/>
      <c r="Q50"/>
      <c r="R50"/>
    </row>
    <row r="51" spans="12:18" x14ac:dyDescent="0.2">
      <c r="L51"/>
      <c r="M51"/>
      <c r="N51"/>
      <c r="O51"/>
    </row>
    <row r="52" spans="12:18" x14ac:dyDescent="0.2">
      <c r="L52"/>
      <c r="M52"/>
      <c r="N52"/>
      <c r="O52"/>
    </row>
    <row r="53" spans="12:18" x14ac:dyDescent="0.2">
      <c r="L53"/>
      <c r="M53"/>
      <c r="N53"/>
      <c r="O53"/>
    </row>
    <row r="54" spans="12:18" x14ac:dyDescent="0.2">
      <c r="L54"/>
      <c r="M54"/>
      <c r="N54"/>
      <c r="O54"/>
    </row>
    <row r="55" spans="12:18" x14ac:dyDescent="0.2">
      <c r="L55"/>
      <c r="M55"/>
      <c r="N55"/>
      <c r="O55"/>
    </row>
  </sheetData>
  <mergeCells count="5">
    <mergeCell ref="B6:E6"/>
    <mergeCell ref="B2:C2"/>
    <mergeCell ref="B3:C3"/>
    <mergeCell ref="B4:C4"/>
    <mergeCell ref="B1:C1"/>
  </mergeCells>
  <hyperlinks>
    <hyperlink ref="B6:D6" location="sjabloon!A1" display="Ga naar Inhoudsopgave" xr:uid="{00000000-0004-0000-3400-000000000000}"/>
    <hyperlink ref="B6:E6" location="Inhoud!A1" display="Ga naar Inhoudsopgave" xr:uid="{00000000-0004-0000-3400-000001000000}"/>
  </hyperlinks>
  <pageMargins left="0.7" right="0.7" top="0.75" bottom="0.75" header="0.3" footer="0.3"/>
  <pageSetup paperSize="9" orientation="landscape" r:id="rId4"/>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Blad41"/>
  <dimension ref="B1:I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0.7109375" style="4" customWidth="1"/>
    <col min="5" max="5" width="11.42578125" style="4" bestFit="1" customWidth="1"/>
    <col min="6" max="6" width="9.28515625" style="4" bestFit="1" customWidth="1"/>
    <col min="7" max="7" width="12.7109375" style="4" bestFit="1" customWidth="1"/>
    <col min="8" max="8" width="9.28515625" style="4" bestFit="1" customWidth="1"/>
    <col min="9" max="9" width="12.7109375" style="4" bestFit="1" customWidth="1"/>
    <col min="10" max="16384" width="9.140625" style="4"/>
  </cols>
  <sheetData>
    <row r="1" spans="2:9" x14ac:dyDescent="0.2">
      <c r="B1" s="355" t="s">
        <v>1253</v>
      </c>
      <c r="C1" s="355"/>
      <c r="D1" s="316" t="s">
        <v>621</v>
      </c>
    </row>
    <row r="2" spans="2:9" x14ac:dyDescent="0.2">
      <c r="B2" s="355" t="s">
        <v>1085</v>
      </c>
      <c r="C2" s="355"/>
      <c r="D2" s="332" t="str">
        <f>VLOOKUP(D$1,TabelContent[],COLUMN(TabelContent[Titel-NL]))</f>
        <v>Winstmarge en Verkoopprijs</v>
      </c>
    </row>
    <row r="3" spans="2:9" x14ac:dyDescent="0.2">
      <c r="B3" s="355" t="s">
        <v>1086</v>
      </c>
      <c r="C3" s="355"/>
      <c r="D3" s="332" t="str">
        <f>VLOOKUP(D$1,TabelContent[],COLUMN(TabelContent[Cat-NL]))</f>
        <v>Scenario</v>
      </c>
    </row>
    <row r="4" spans="2:9" x14ac:dyDescent="0.2">
      <c r="B4" s="355" t="s">
        <v>1087</v>
      </c>
      <c r="C4" s="355" t="s">
        <v>1077</v>
      </c>
      <c r="D4" s="332">
        <f>VLOOKUP(D$1,TabelContent[],COLUMN(TabelContent[Niveau]))</f>
        <v>2</v>
      </c>
    </row>
    <row r="5" spans="2:9" x14ac:dyDescent="0.2">
      <c r="B5" s="16"/>
      <c r="C5" s="16"/>
      <c r="D5" s="16"/>
      <c r="E5" s="16"/>
      <c r="F5" s="16"/>
    </row>
    <row r="6" spans="2:9" x14ac:dyDescent="0.2">
      <c r="B6" s="356" t="s">
        <v>47</v>
      </c>
      <c r="C6" s="356"/>
      <c r="D6" s="356"/>
      <c r="E6" s="356"/>
      <c r="F6" s="356"/>
    </row>
    <row r="7" spans="2:9" x14ac:dyDescent="0.2">
      <c r="B7" s="16"/>
      <c r="C7" s="16"/>
      <c r="D7" s="16"/>
      <c r="E7" s="16"/>
      <c r="F7" s="16"/>
    </row>
    <row r="8" spans="2:9" x14ac:dyDescent="0.2">
      <c r="B8" s="16"/>
      <c r="D8" s="16" t="s">
        <v>1006</v>
      </c>
      <c r="E8" s="29">
        <v>0.3</v>
      </c>
      <c r="F8" s="29"/>
      <c r="G8" s="16"/>
    </row>
    <row r="9" spans="2:9" x14ac:dyDescent="0.2">
      <c r="B9" s="16"/>
      <c r="D9" s="16" t="s">
        <v>1007</v>
      </c>
      <c r="E9" s="29">
        <v>0.21</v>
      </c>
      <c r="F9" s="29"/>
      <c r="G9" s="16"/>
    </row>
    <row r="10" spans="2:9" x14ac:dyDescent="0.2">
      <c r="B10" s="16"/>
      <c r="D10" s="16"/>
      <c r="E10" s="16"/>
      <c r="F10" s="16"/>
      <c r="G10" s="16"/>
    </row>
    <row r="11" spans="2:9" ht="25.5" x14ac:dyDescent="0.2">
      <c r="B11" s="16"/>
      <c r="D11" s="23" t="s">
        <v>835</v>
      </c>
      <c r="E11" s="28" t="s">
        <v>1008</v>
      </c>
      <c r="F11" s="23" t="s">
        <v>1011</v>
      </c>
      <c r="G11" s="28" t="s">
        <v>1009</v>
      </c>
      <c r="H11" s="1" t="s">
        <v>1007</v>
      </c>
      <c r="I11" s="121" t="s">
        <v>1010</v>
      </c>
    </row>
    <row r="12" spans="2:9" x14ac:dyDescent="0.2">
      <c r="B12" s="16"/>
      <c r="D12" s="16" t="s">
        <v>1012</v>
      </c>
      <c r="E12" s="37">
        <v>1189</v>
      </c>
      <c r="F12" s="254">
        <f>ROUND($E$8*E12,2)</f>
        <v>356.7</v>
      </c>
      <c r="G12" s="253">
        <f>E12+F12</f>
        <v>1545.7</v>
      </c>
      <c r="H12" s="253">
        <f>ROUND($E$9*G12,2)</f>
        <v>324.60000000000002</v>
      </c>
      <c r="I12" s="253">
        <f>G12+H12</f>
        <v>1870.3000000000002</v>
      </c>
    </row>
    <row r="13" spans="2:9" x14ac:dyDescent="0.2">
      <c r="B13" s="16"/>
      <c r="D13" s="16" t="s">
        <v>1013</v>
      </c>
      <c r="E13" s="37">
        <v>2389</v>
      </c>
      <c r="F13" s="254">
        <f>ROUND($E$8*E13,2)</f>
        <v>716.7</v>
      </c>
      <c r="G13" s="253">
        <f t="shared" ref="G13:G14" si="0">E13+F13</f>
        <v>3105.7</v>
      </c>
      <c r="H13" s="253">
        <f>ROUND($E$9*G13,2)</f>
        <v>652.20000000000005</v>
      </c>
      <c r="I13" s="253">
        <f t="shared" ref="I13:I14" si="1">G13+H13</f>
        <v>3757.8999999999996</v>
      </c>
    </row>
    <row r="14" spans="2:9" x14ac:dyDescent="0.2">
      <c r="B14" s="16"/>
      <c r="D14" s="16" t="s">
        <v>1014</v>
      </c>
      <c r="E14" s="37">
        <v>1699</v>
      </c>
      <c r="F14" s="254">
        <f>ROUND($E$8*E14,2)</f>
        <v>509.7</v>
      </c>
      <c r="G14" s="253">
        <f t="shared" si="0"/>
        <v>2208.6999999999998</v>
      </c>
      <c r="H14" s="253">
        <f>ROUND($E$9*G14,2)</f>
        <v>463.83</v>
      </c>
      <c r="I14" s="253">
        <f t="shared" si="1"/>
        <v>2672.5299999999997</v>
      </c>
    </row>
    <row r="15" spans="2:9" x14ac:dyDescent="0.2">
      <c r="B15" s="16"/>
      <c r="D15" s="16"/>
      <c r="E15" s="16"/>
      <c r="F15" s="16"/>
      <c r="G15" s="16"/>
    </row>
  </sheetData>
  <scenarios current="0" sqref="I12:I14">
    <scenario name="Winst 15%" locked="1" count="1" user="Author">
      <inputCells r="E8" val="0,15" numFmtId="9"/>
    </scenario>
    <scenario name="Winst 20%" locked="1" count="1" user="Author" comment="Gemaakt door Auteur op 10-3-2011">
      <inputCells r="E8" val="0,2" numFmtId="9"/>
    </scenario>
    <scenario name="Winst 25%" locked="1" count="1" user="Author" comment="Gemaakt door Auteur op 10-3-2011">
      <inputCells r="E8" val="0,25" numFmtId="9"/>
    </scenario>
  </scenarios>
  <mergeCells count="5">
    <mergeCell ref="B6:F6"/>
    <mergeCell ref="B2:C2"/>
    <mergeCell ref="B3:C3"/>
    <mergeCell ref="B4:C4"/>
    <mergeCell ref="B1:C1"/>
  </mergeCells>
  <hyperlinks>
    <hyperlink ref="B6:D6" location="sjabloon!A1" display="Ga naar Inhoudsopgave" xr:uid="{00000000-0004-0000-3500-000000000000}"/>
    <hyperlink ref="B6:F6" location="Inhoud!A1" display="Ga naar Inhoudsopgave" xr:uid="{00000000-0004-0000-3500-000001000000}"/>
  </hyperlinks>
  <pageMargins left="0.7" right="0.7" top="0.75" bottom="0.75" header="0.3" footer="0.3"/>
  <pageSetup paperSize="9" orientation="landscape" r:id="rId1"/>
  <drawing r:id="rId2"/>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Blad42"/>
  <dimension ref="B1:E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28515625" style="4" customWidth="1"/>
    <col min="5" max="16384" width="9.140625" style="4"/>
  </cols>
  <sheetData>
    <row r="1" spans="2:5" x14ac:dyDescent="0.2">
      <c r="B1" s="355" t="s">
        <v>1253</v>
      </c>
      <c r="C1" s="355"/>
      <c r="D1" s="316" t="s">
        <v>1026</v>
      </c>
    </row>
    <row r="2" spans="2:5" x14ac:dyDescent="0.2">
      <c r="B2" s="355" t="s">
        <v>1085</v>
      </c>
      <c r="C2" s="355"/>
      <c r="D2" s="332" t="str">
        <f>VLOOKUP(D$1,TabelContent[],COLUMN(TabelContent[Titel-NL]))</f>
        <v>Begroting club</v>
      </c>
    </row>
    <row r="3" spans="2:5" x14ac:dyDescent="0.2">
      <c r="B3" s="355" t="s">
        <v>1086</v>
      </c>
      <c r="C3" s="355"/>
      <c r="D3" s="332" t="str">
        <f>VLOOKUP(D$1,TabelContent[],COLUMN(TabelContent[Cat-NL]))</f>
        <v>Scenario</v>
      </c>
    </row>
    <row r="4" spans="2:5" x14ac:dyDescent="0.2">
      <c r="B4" s="355" t="s">
        <v>1087</v>
      </c>
      <c r="C4" s="355" t="s">
        <v>1077</v>
      </c>
      <c r="D4" s="332">
        <f>VLOOKUP(D$1,TabelContent[],COLUMN(TabelContent[Niveau]))</f>
        <v>2</v>
      </c>
    </row>
    <row r="5" spans="2:5" x14ac:dyDescent="0.2">
      <c r="B5" s="16"/>
      <c r="C5" s="16"/>
      <c r="D5" s="16"/>
      <c r="E5" s="16"/>
    </row>
    <row r="6" spans="2:5" x14ac:dyDescent="0.2">
      <c r="B6" s="356" t="s">
        <v>47</v>
      </c>
      <c r="C6" s="356"/>
      <c r="D6" s="356"/>
      <c r="E6" s="356"/>
    </row>
    <row r="7" spans="2:5" x14ac:dyDescent="0.2">
      <c r="B7" s="16"/>
      <c r="C7" s="16"/>
      <c r="D7" s="16"/>
      <c r="E7" s="16"/>
    </row>
    <row r="8" spans="2:5" x14ac:dyDescent="0.2">
      <c r="B8" s="16"/>
      <c r="D8" s="23" t="s">
        <v>1024</v>
      </c>
      <c r="E8" s="23">
        <v>2011</v>
      </c>
    </row>
    <row r="9" spans="2:5" x14ac:dyDescent="0.2">
      <c r="B9" s="16"/>
      <c r="D9" s="16"/>
      <c r="E9" s="16"/>
    </row>
    <row r="10" spans="2:5" x14ac:dyDescent="0.2">
      <c r="B10" s="16"/>
      <c r="D10" s="23" t="s">
        <v>1016</v>
      </c>
      <c r="E10" s="16"/>
    </row>
    <row r="11" spans="2:5" x14ac:dyDescent="0.2">
      <c r="B11" s="16"/>
      <c r="D11" s="16" t="s">
        <v>1017</v>
      </c>
      <c r="E11" s="22">
        <v>2100</v>
      </c>
    </row>
    <row r="12" spans="2:5" x14ac:dyDescent="0.2">
      <c r="B12" s="16"/>
      <c r="D12" s="16" t="s">
        <v>1018</v>
      </c>
      <c r="E12" s="22">
        <v>700</v>
      </c>
    </row>
    <row r="13" spans="2:5" x14ac:dyDescent="0.2">
      <c r="B13" s="16"/>
      <c r="D13" s="16" t="s">
        <v>123</v>
      </c>
      <c r="E13" s="22">
        <f>SUM(E11:E12)</f>
        <v>2800</v>
      </c>
    </row>
    <row r="14" spans="2:5" x14ac:dyDescent="0.2">
      <c r="B14" s="16"/>
      <c r="D14" s="16"/>
      <c r="E14" s="16"/>
    </row>
    <row r="15" spans="2:5" x14ac:dyDescent="0.2">
      <c r="B15" s="16"/>
      <c r="D15" s="23" t="s">
        <v>1019</v>
      </c>
      <c r="E15" s="16"/>
    </row>
    <row r="16" spans="2:5" x14ac:dyDescent="0.2">
      <c r="D16" s="4" t="s">
        <v>1020</v>
      </c>
      <c r="E16" s="101">
        <v>650</v>
      </c>
    </row>
    <row r="17" spans="4:5" x14ac:dyDescent="0.2">
      <c r="D17" s="4" t="s">
        <v>1021</v>
      </c>
      <c r="E17" s="101">
        <v>600</v>
      </c>
    </row>
    <row r="18" spans="4:5" x14ac:dyDescent="0.2">
      <c r="D18" s="4" t="s">
        <v>1022</v>
      </c>
      <c r="E18" s="101">
        <v>550</v>
      </c>
    </row>
    <row r="19" spans="4:5" x14ac:dyDescent="0.2">
      <c r="D19" s="4" t="s">
        <v>123</v>
      </c>
      <c r="E19" s="101">
        <f>SUM(E16:E18)</f>
        <v>1800</v>
      </c>
    </row>
    <row r="21" spans="4:5" x14ac:dyDescent="0.2">
      <c r="D21" s="1" t="s">
        <v>1023</v>
      </c>
      <c r="E21" s="101">
        <f>E13-E19</f>
        <v>1000</v>
      </c>
    </row>
  </sheetData>
  <scenarios current="1" sqref="E20">
    <scenario name="Meest positief" locked="1" count="4" user="Author">
      <inputCells r="E11" val="2400" numFmtId="164"/>
      <inputCells r="E12" val="800" numFmtId="164"/>
      <inputCells r="E16" val="500" numFmtId="164"/>
      <inputCells r="E18" val="400" numFmtId="164"/>
    </scenario>
    <scenario name="Meest negatief" locked="1" count="4" user="Author">
      <inputCells r="E11" val="1800" numFmtId="164"/>
      <inputCells r="E12" val="600" numFmtId="164"/>
      <inputCells r="E16" val="800" numFmtId="164"/>
      <inputCells r="E18" val="700" numFmtId="164"/>
    </scenario>
  </scenarios>
  <mergeCells count="5">
    <mergeCell ref="B6:E6"/>
    <mergeCell ref="B2:C2"/>
    <mergeCell ref="B3:C3"/>
    <mergeCell ref="B4:C4"/>
    <mergeCell ref="B1:C1"/>
  </mergeCells>
  <hyperlinks>
    <hyperlink ref="B6:D6" location="sjabloon!A1" display="Ga naar Inhoudsopgave" xr:uid="{00000000-0004-0000-3600-000000000000}"/>
    <hyperlink ref="B6:E6" location="Inhoud!A1" display="Ga naar Inhoudsopgave" xr:uid="{00000000-0004-0000-3600-000001000000}"/>
  </hyperlinks>
  <pageMargins left="0.7" right="0.7" top="0.75" bottom="0.75" header="0.3" footer="0.3"/>
  <pageSetup paperSize="9" orientation="landscape" r:id="rId1"/>
  <drawing r:id="rId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Blad43"/>
  <dimension ref="B1:L2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9.7109375" style="4" customWidth="1"/>
    <col min="5" max="5" width="13.140625" style="4" bestFit="1" customWidth="1"/>
    <col min="6" max="7" width="11.85546875" style="4" bestFit="1" customWidth="1"/>
    <col min="8" max="9" width="9.140625" style="4"/>
    <col min="10" max="10" width="12.140625" style="4" bestFit="1" customWidth="1"/>
    <col min="11" max="11" width="11.7109375" style="4" bestFit="1" customWidth="1"/>
    <col min="12" max="12" width="16.140625" style="4" bestFit="1" customWidth="1"/>
    <col min="13" max="16384" width="9.140625" style="4"/>
  </cols>
  <sheetData>
    <row r="1" spans="2:12" x14ac:dyDescent="0.2">
      <c r="B1" s="355" t="s">
        <v>1253</v>
      </c>
      <c r="C1" s="355"/>
      <c r="D1" s="316" t="s">
        <v>1075</v>
      </c>
    </row>
    <row r="2" spans="2:12" x14ac:dyDescent="0.2">
      <c r="B2" s="355" t="s">
        <v>1085</v>
      </c>
      <c r="C2" s="355"/>
      <c r="D2" s="332" t="str">
        <f>VLOOKUP(D$1,TabelContent[],COLUMN(TabelContent[Titel-NL]))</f>
        <v>Scenario's bedrijfswinst</v>
      </c>
    </row>
    <row r="3" spans="2:12" x14ac:dyDescent="0.2">
      <c r="B3" s="355" t="s">
        <v>1086</v>
      </c>
      <c r="C3" s="355"/>
      <c r="D3" s="332" t="str">
        <f>VLOOKUP(D$1,TabelContent[],COLUMN(TabelContent[Cat-NL]))</f>
        <v>Scenario</v>
      </c>
    </row>
    <row r="4" spans="2:12" x14ac:dyDescent="0.2">
      <c r="B4" s="355" t="s">
        <v>1087</v>
      </c>
      <c r="C4" s="355" t="s">
        <v>1077</v>
      </c>
      <c r="D4" s="332">
        <f>VLOOKUP(D$1,TabelContent[],COLUMN(TabelContent[Niveau]))</f>
        <v>2</v>
      </c>
    </row>
    <row r="5" spans="2:12" x14ac:dyDescent="0.2">
      <c r="B5" s="16"/>
      <c r="C5" s="16"/>
      <c r="D5" s="16"/>
      <c r="E5" s="16"/>
    </row>
    <row r="6" spans="2:12" x14ac:dyDescent="0.2">
      <c r="B6" s="356" t="s">
        <v>47</v>
      </c>
      <c r="C6" s="356"/>
      <c r="D6" s="356"/>
      <c r="E6" s="356"/>
    </row>
    <row r="7" spans="2:12" ht="13.5" thickBot="1" x14ac:dyDescent="0.25">
      <c r="B7" s="16"/>
      <c r="C7" s="16"/>
      <c r="D7" s="16"/>
      <c r="E7" s="16"/>
    </row>
    <row r="8" spans="2:12" ht="13.5" thickBot="1" x14ac:dyDescent="0.25">
      <c r="B8" s="16"/>
      <c r="D8" s="23" t="s">
        <v>1041</v>
      </c>
      <c r="E8" s="16"/>
      <c r="F8" s="16"/>
      <c r="J8" s="257" t="s">
        <v>1046</v>
      </c>
      <c r="K8" s="257" t="s">
        <v>1050</v>
      </c>
      <c r="L8" s="257" t="s">
        <v>1051</v>
      </c>
    </row>
    <row r="9" spans="2:12" x14ac:dyDescent="0.2">
      <c r="B9" s="16"/>
      <c r="D9" s="16" t="s">
        <v>1042</v>
      </c>
      <c r="E9" s="37">
        <v>68</v>
      </c>
      <c r="F9" s="16" t="s">
        <v>1040</v>
      </c>
      <c r="J9" s="4" t="s">
        <v>1047</v>
      </c>
      <c r="K9" s="255">
        <v>60</v>
      </c>
      <c r="L9" s="255">
        <v>114</v>
      </c>
    </row>
    <row r="10" spans="2:12" x14ac:dyDescent="0.2">
      <c r="B10" s="16"/>
      <c r="D10" s="16" t="s">
        <v>1027</v>
      </c>
      <c r="E10" s="37">
        <v>118</v>
      </c>
      <c r="F10" s="16" t="s">
        <v>1039</v>
      </c>
      <c r="J10" s="4" t="s">
        <v>1048</v>
      </c>
      <c r="K10" s="255">
        <v>76</v>
      </c>
      <c r="L10" s="255">
        <v>124</v>
      </c>
    </row>
    <row r="11" spans="2:12" x14ac:dyDescent="0.2">
      <c r="B11" s="16"/>
      <c r="D11" s="16"/>
      <c r="E11" s="37"/>
      <c r="F11" s="16"/>
      <c r="J11" s="4" t="s">
        <v>1049</v>
      </c>
      <c r="K11" s="255">
        <v>68</v>
      </c>
      <c r="L11" s="255">
        <v>118</v>
      </c>
    </row>
    <row r="12" spans="2:12" x14ac:dyDescent="0.2">
      <c r="B12" s="16"/>
      <c r="D12" s="23" t="s">
        <v>1043</v>
      </c>
      <c r="E12" s="16"/>
      <c r="F12" s="16"/>
    </row>
    <row r="13" spans="2:12" x14ac:dyDescent="0.2">
      <c r="B13" s="16"/>
      <c r="D13" s="16"/>
      <c r="E13" s="35" t="s">
        <v>1028</v>
      </c>
      <c r="F13" s="35" t="s">
        <v>1029</v>
      </c>
      <c r="G13" s="99" t="s">
        <v>1030</v>
      </c>
    </row>
    <row r="14" spans="2:12" x14ac:dyDescent="0.2">
      <c r="B14" s="16"/>
      <c r="D14" s="16" t="s">
        <v>1031</v>
      </c>
      <c r="E14" s="16">
        <v>12</v>
      </c>
      <c r="F14" s="16">
        <v>14</v>
      </c>
      <c r="G14" s="4">
        <v>24</v>
      </c>
    </row>
    <row r="15" spans="2:12" x14ac:dyDescent="0.2">
      <c r="B15" s="16"/>
      <c r="D15" s="16" t="s">
        <v>1032</v>
      </c>
      <c r="E15" s="16">
        <v>6</v>
      </c>
      <c r="F15" s="16">
        <v>9</v>
      </c>
      <c r="G15" s="4">
        <v>14</v>
      </c>
    </row>
    <row r="16" spans="2:12" x14ac:dyDescent="0.2">
      <c r="B16" s="16"/>
      <c r="D16" s="16"/>
      <c r="E16" s="16"/>
      <c r="F16" s="16"/>
    </row>
    <row r="17" spans="2:7" x14ac:dyDescent="0.2">
      <c r="B17" s="16"/>
      <c r="D17" s="23" t="s">
        <v>1044</v>
      </c>
      <c r="E17" s="16"/>
      <c r="F17" s="16"/>
    </row>
    <row r="18" spans="2:7" x14ac:dyDescent="0.2">
      <c r="B18" s="16"/>
      <c r="D18" s="16" t="s">
        <v>1033</v>
      </c>
      <c r="E18" s="253">
        <f>E14*$E$9+E15*$E$10</f>
        <v>1524</v>
      </c>
      <c r="F18" s="253">
        <f>F14*$E$9+F15*$E$10</f>
        <v>2014</v>
      </c>
      <c r="G18" s="253">
        <f>G14*$E$9+G15*$E$10</f>
        <v>3284</v>
      </c>
    </row>
    <row r="19" spans="2:7" x14ac:dyDescent="0.2">
      <c r="D19" s="4" t="s">
        <v>1034</v>
      </c>
      <c r="E19" s="255">
        <v>1849</v>
      </c>
      <c r="F19" s="255">
        <v>2590</v>
      </c>
      <c r="G19" s="255">
        <v>4390</v>
      </c>
    </row>
    <row r="20" spans="2:7" x14ac:dyDescent="0.2">
      <c r="D20" s="4" t="s">
        <v>1035</v>
      </c>
      <c r="E20" s="255">
        <f>E19-E18</f>
        <v>325</v>
      </c>
      <c r="F20" s="255">
        <f>F19-F18</f>
        <v>576</v>
      </c>
      <c r="G20" s="255">
        <f>G19-G18</f>
        <v>1106</v>
      </c>
    </row>
    <row r="21" spans="2:7" x14ac:dyDescent="0.2">
      <c r="E21" s="255"/>
      <c r="F21" s="255"/>
      <c r="G21" s="255"/>
    </row>
    <row r="22" spans="2:7" x14ac:dyDescent="0.2">
      <c r="D22" s="1" t="s">
        <v>1045</v>
      </c>
    </row>
    <row r="23" spans="2:7" x14ac:dyDescent="0.2">
      <c r="D23" s="4" t="s">
        <v>1036</v>
      </c>
      <c r="E23" s="4">
        <v>30</v>
      </c>
      <c r="F23" s="4">
        <v>18</v>
      </c>
      <c r="G23" s="4">
        <v>12</v>
      </c>
    </row>
    <row r="24" spans="2:7" x14ac:dyDescent="0.2">
      <c r="D24" s="4" t="s">
        <v>1037</v>
      </c>
      <c r="E24" s="253">
        <f>E23*E20</f>
        <v>9750</v>
      </c>
      <c r="F24" s="253">
        <f>F23*F20</f>
        <v>10368</v>
      </c>
      <c r="G24" s="253">
        <f>G23*G20</f>
        <v>13272</v>
      </c>
    </row>
    <row r="25" spans="2:7" x14ac:dyDescent="0.2">
      <c r="D25" s="126" t="s">
        <v>1038</v>
      </c>
      <c r="E25" s="256">
        <f>E24+F24+G24</f>
        <v>33390</v>
      </c>
    </row>
  </sheetData>
  <scenarios current="1" sqref="E24">
    <scenario name="gunstig" locked="1" count="2" user="Author">
      <inputCells r="E9" val="60" numFmtId="44"/>
      <inputCells r="E10" val="114" numFmtId="44"/>
    </scenario>
    <scenario name="slecht" locked="1" count="2" user="Author">
      <inputCells r="E9" val="76" numFmtId="44"/>
      <inputCells r="E10" val="124" numFmtId="44"/>
    </scenario>
  </scenarios>
  <mergeCells count="5">
    <mergeCell ref="B6:E6"/>
    <mergeCell ref="B2:C2"/>
    <mergeCell ref="B3:C3"/>
    <mergeCell ref="B4:C4"/>
    <mergeCell ref="B1:C1"/>
  </mergeCells>
  <hyperlinks>
    <hyperlink ref="B6:D6" location="sjabloon!A1" display="Ga naar Inhoudsopgave" xr:uid="{00000000-0004-0000-3700-000000000000}"/>
    <hyperlink ref="B6:E6" location="Inhoud!A1" display="Ga naar Inhoudsopgave" xr:uid="{00000000-0004-0000-3700-000001000000}"/>
  </hyperlinks>
  <pageMargins left="0.7" right="0.7" top="0.75" bottom="0.75" header="0.3" footer="0.3"/>
  <pageSetup paperSize="9" orientation="landscape" r:id="rId1"/>
  <drawing r:id="rId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Blad44"/>
  <dimension ref="B1:L32"/>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5703125" style="4" customWidth="1"/>
    <col min="5" max="6" width="11.85546875" style="4" bestFit="1" customWidth="1"/>
    <col min="7" max="7" width="11.85546875" style="4" customWidth="1"/>
    <col min="8" max="16384" width="9.140625" style="4"/>
  </cols>
  <sheetData>
    <row r="1" spans="2:12" x14ac:dyDescent="0.2">
      <c r="B1" s="355" t="s">
        <v>1253</v>
      </c>
      <c r="C1" s="355"/>
      <c r="D1" s="316" t="s">
        <v>1076</v>
      </c>
    </row>
    <row r="2" spans="2:12" x14ac:dyDescent="0.2">
      <c r="B2" s="355" t="s">
        <v>1085</v>
      </c>
      <c r="C2" s="355"/>
      <c r="D2" s="332" t="str">
        <f>VLOOKUP(D$1,TabelContent[],COLUMN(TabelContent[Titel-NL]))</f>
        <v>Winst computerbedrijf</v>
      </c>
    </row>
    <row r="3" spans="2:12" x14ac:dyDescent="0.2">
      <c r="B3" s="355" t="s">
        <v>1086</v>
      </c>
      <c r="C3" s="355"/>
      <c r="D3" s="332" t="str">
        <f>VLOOKUP(D$1,TabelContent[],COLUMN(TabelContent[Cat-NL]))</f>
        <v>Scenario</v>
      </c>
    </row>
    <row r="4" spans="2:12" x14ac:dyDescent="0.2">
      <c r="B4" s="355" t="s">
        <v>1087</v>
      </c>
      <c r="C4" s="355" t="s">
        <v>1077</v>
      </c>
      <c r="D4" s="332">
        <f>VLOOKUP(D$1,TabelContent[],COLUMN(TabelContent[Niveau]))</f>
        <v>3</v>
      </c>
    </row>
    <row r="5" spans="2:12" x14ac:dyDescent="0.2">
      <c r="B5" s="16"/>
      <c r="C5" s="16"/>
      <c r="D5" s="16"/>
      <c r="E5" s="16"/>
    </row>
    <row r="6" spans="2:12" x14ac:dyDescent="0.2">
      <c r="B6" s="356" t="s">
        <v>47</v>
      </c>
      <c r="C6" s="356"/>
      <c r="D6" s="356"/>
      <c r="E6" s="356"/>
    </row>
    <row r="7" spans="2:12" x14ac:dyDescent="0.2">
      <c r="B7" s="16"/>
      <c r="C7" s="16"/>
      <c r="D7" s="16"/>
      <c r="E7" s="16"/>
    </row>
    <row r="8" spans="2:12" ht="13.5" thickBot="1" x14ac:dyDescent="0.25">
      <c r="B8" s="16"/>
      <c r="D8" s="23" t="s">
        <v>1055</v>
      </c>
      <c r="E8" s="261">
        <v>0.1</v>
      </c>
      <c r="F8" s="16"/>
      <c r="I8" s="263" t="s">
        <v>1046</v>
      </c>
      <c r="J8" s="262" t="s">
        <v>1053</v>
      </c>
      <c r="K8" s="262" t="s">
        <v>1047</v>
      </c>
      <c r="L8" s="262" t="s">
        <v>1071</v>
      </c>
    </row>
    <row r="9" spans="2:12" x14ac:dyDescent="0.2">
      <c r="B9" s="16"/>
      <c r="D9" s="23" t="s">
        <v>1054</v>
      </c>
      <c r="E9" s="261">
        <v>0.03</v>
      </c>
      <c r="F9" s="16"/>
      <c r="I9" s="264" t="s">
        <v>1072</v>
      </c>
      <c r="J9" s="107">
        <v>0.1</v>
      </c>
      <c r="K9" s="107">
        <v>0.2</v>
      </c>
      <c r="L9" s="107">
        <v>7.0000000000000007E-2</v>
      </c>
    </row>
    <row r="10" spans="2:12" x14ac:dyDescent="0.2">
      <c r="B10" s="16"/>
      <c r="D10" s="23" t="s">
        <v>1056</v>
      </c>
      <c r="E10" s="261">
        <v>0.08</v>
      </c>
      <c r="F10" s="16"/>
      <c r="I10" s="264" t="s">
        <v>1073</v>
      </c>
      <c r="J10" s="107">
        <v>0.03</v>
      </c>
      <c r="K10" s="107">
        <v>0.02</v>
      </c>
      <c r="L10" s="107">
        <v>0.05</v>
      </c>
    </row>
    <row r="11" spans="2:12" x14ac:dyDescent="0.2">
      <c r="B11" s="16"/>
      <c r="D11" s="23" t="s">
        <v>1057</v>
      </c>
      <c r="E11" s="261">
        <v>0.35</v>
      </c>
      <c r="F11" s="16"/>
      <c r="I11" s="264" t="s">
        <v>1066</v>
      </c>
      <c r="J11" s="107">
        <v>0.08</v>
      </c>
      <c r="K11" s="107">
        <v>0.05</v>
      </c>
      <c r="L11" s="107">
        <v>0.1</v>
      </c>
    </row>
    <row r="12" spans="2:12" x14ac:dyDescent="0.2">
      <c r="B12" s="16"/>
      <c r="D12" s="16"/>
      <c r="E12" s="16"/>
      <c r="F12" s="16"/>
      <c r="I12" s="264" t="s">
        <v>1069</v>
      </c>
      <c r="J12" s="107">
        <v>0.35</v>
      </c>
      <c r="K12" s="107">
        <v>0.3</v>
      </c>
      <c r="L12" s="107">
        <v>0.37</v>
      </c>
    </row>
    <row r="13" spans="2:12" x14ac:dyDescent="0.2">
      <c r="B13" s="16"/>
      <c r="D13" s="23" t="s">
        <v>53</v>
      </c>
      <c r="E13" s="23">
        <v>2010</v>
      </c>
      <c r="F13" s="23">
        <v>2011</v>
      </c>
      <c r="G13" s="1">
        <v>2012</v>
      </c>
    </row>
    <row r="14" spans="2:12" x14ac:dyDescent="0.2">
      <c r="B14" s="16"/>
      <c r="D14" s="16"/>
      <c r="E14" s="16"/>
      <c r="F14" s="16"/>
    </row>
    <row r="15" spans="2:12" ht="13.5" thickBot="1" x14ac:dyDescent="0.25">
      <c r="D15" s="1" t="s">
        <v>1016</v>
      </c>
    </row>
    <row r="16" spans="2:12" x14ac:dyDescent="0.2">
      <c r="D16" s="259" t="s">
        <v>7</v>
      </c>
      <c r="E16" s="260">
        <v>850000</v>
      </c>
      <c r="F16" s="260">
        <f t="shared" ref="F16:G19" si="0">E16*(1+$E$8)</f>
        <v>935000.00000000012</v>
      </c>
      <c r="G16" s="260">
        <f t="shared" si="0"/>
        <v>1028500.0000000002</v>
      </c>
    </row>
    <row r="17" spans="4:7" x14ac:dyDescent="0.2">
      <c r="D17" s="4" t="s">
        <v>1058</v>
      </c>
      <c r="E17" s="101">
        <v>680000</v>
      </c>
      <c r="F17" s="101">
        <f t="shared" si="0"/>
        <v>748000.00000000012</v>
      </c>
      <c r="G17" s="101">
        <f t="shared" si="0"/>
        <v>822800.00000000023</v>
      </c>
    </row>
    <row r="18" spans="4:7" x14ac:dyDescent="0.2">
      <c r="D18" s="4" t="s">
        <v>1059</v>
      </c>
      <c r="E18" s="101">
        <v>270000</v>
      </c>
      <c r="F18" s="101">
        <f t="shared" si="0"/>
        <v>297000</v>
      </c>
      <c r="G18" s="101">
        <f t="shared" si="0"/>
        <v>326700</v>
      </c>
    </row>
    <row r="19" spans="4:7" ht="13.5" thickBot="1" x14ac:dyDescent="0.25">
      <c r="D19" s="4" t="s">
        <v>1060</v>
      </c>
      <c r="E19" s="101">
        <v>84400</v>
      </c>
      <c r="F19" s="101">
        <f t="shared" si="0"/>
        <v>92840.000000000015</v>
      </c>
      <c r="G19" s="101">
        <f t="shared" si="0"/>
        <v>102124.00000000003</v>
      </c>
    </row>
    <row r="20" spans="4:7" ht="13.5" thickBot="1" x14ac:dyDescent="0.25">
      <c r="D20" s="258" t="s">
        <v>1061</v>
      </c>
      <c r="E20" s="252">
        <f>SUM(E16:E19)</f>
        <v>1884400</v>
      </c>
      <c r="F20" s="252">
        <f>SUM(F16:F19)</f>
        <v>2072840.0000000002</v>
      </c>
      <c r="G20" s="252">
        <f>SUM(G16:G19)</f>
        <v>2280124.0000000005</v>
      </c>
    </row>
    <row r="22" spans="4:7" ht="13.5" thickBot="1" x14ac:dyDescent="0.25">
      <c r="D22" s="1" t="s">
        <v>1019</v>
      </c>
    </row>
    <row r="23" spans="4:7" x14ac:dyDescent="0.2">
      <c r="D23" s="259" t="s">
        <v>1062</v>
      </c>
      <c r="E23" s="260">
        <v>241700</v>
      </c>
      <c r="F23" s="260">
        <f t="shared" ref="F23:G26" si="1">E23*(1+$E$9)</f>
        <v>248951</v>
      </c>
      <c r="G23" s="260">
        <f t="shared" si="1"/>
        <v>256419.53</v>
      </c>
    </row>
    <row r="24" spans="4:7" x14ac:dyDescent="0.2">
      <c r="D24" s="4" t="s">
        <v>1063</v>
      </c>
      <c r="E24" s="101">
        <v>17400</v>
      </c>
      <c r="F24" s="101">
        <f t="shared" si="1"/>
        <v>17922</v>
      </c>
      <c r="G24" s="101">
        <f t="shared" si="1"/>
        <v>18459.66</v>
      </c>
    </row>
    <row r="25" spans="4:7" x14ac:dyDescent="0.2">
      <c r="D25" s="4" t="s">
        <v>1064</v>
      </c>
      <c r="E25" s="101">
        <v>6400</v>
      </c>
      <c r="F25" s="101">
        <f t="shared" si="1"/>
        <v>6592</v>
      </c>
      <c r="G25" s="101">
        <f t="shared" si="1"/>
        <v>6789.76</v>
      </c>
    </row>
    <row r="26" spans="4:7" x14ac:dyDescent="0.2">
      <c r="D26" s="4" t="s">
        <v>1065</v>
      </c>
      <c r="E26" s="101">
        <v>12670</v>
      </c>
      <c r="F26" s="101">
        <f t="shared" si="1"/>
        <v>13050.1</v>
      </c>
      <c r="G26" s="101">
        <f t="shared" si="1"/>
        <v>13441.603000000001</v>
      </c>
    </row>
    <row r="27" spans="4:7" ht="13.5" thickBot="1" x14ac:dyDescent="0.25">
      <c r="D27" s="4" t="s">
        <v>1066</v>
      </c>
      <c r="E27" s="101">
        <v>188440</v>
      </c>
      <c r="F27" s="101">
        <f>E27*(1+$E$10)</f>
        <v>203515.2</v>
      </c>
      <c r="G27" s="101">
        <f>F27*(1+$E$10)</f>
        <v>219796.41600000003</v>
      </c>
    </row>
    <row r="28" spans="4:7" ht="13.5" thickBot="1" x14ac:dyDescent="0.25">
      <c r="D28" s="258" t="s">
        <v>1067</v>
      </c>
      <c r="E28" s="252">
        <f>SUM(E23:E27)</f>
        <v>466610</v>
      </c>
      <c r="F28" s="252">
        <f t="shared" ref="F28:G28" si="2">SUM(F23:F27)</f>
        <v>490030.3</v>
      </c>
      <c r="G28" s="252">
        <f t="shared" si="2"/>
        <v>514906.96900000004</v>
      </c>
    </row>
    <row r="30" spans="4:7" x14ac:dyDescent="0.2">
      <c r="D30" s="1" t="s">
        <v>1068</v>
      </c>
      <c r="E30" s="251">
        <f>E20-E28</f>
        <v>1417790</v>
      </c>
      <c r="F30" s="251">
        <f t="shared" ref="F30:G30" si="3">F20-F28</f>
        <v>1582809.7000000002</v>
      </c>
      <c r="G30" s="251">
        <f t="shared" si="3"/>
        <v>1765217.0310000004</v>
      </c>
    </row>
    <row r="31" spans="4:7" x14ac:dyDescent="0.2">
      <c r="D31" s="1" t="s">
        <v>1069</v>
      </c>
      <c r="E31" s="101">
        <f>$E$11*E30</f>
        <v>496226.49999999994</v>
      </c>
      <c r="F31" s="101">
        <f>$E$11*F30</f>
        <v>553983.39500000002</v>
      </c>
      <c r="G31" s="101">
        <f>$E$11*G30</f>
        <v>617825.96085000015</v>
      </c>
    </row>
    <row r="32" spans="4:7" x14ac:dyDescent="0.2">
      <c r="D32" s="1" t="s">
        <v>1070</v>
      </c>
      <c r="E32" s="251">
        <f>E30-E31</f>
        <v>921563.5</v>
      </c>
      <c r="F32" s="251">
        <f t="shared" ref="F32:G32" si="4">F30-F31</f>
        <v>1028826.3050000002</v>
      </c>
      <c r="G32" s="251">
        <f t="shared" si="4"/>
        <v>1147391.0701500003</v>
      </c>
    </row>
  </sheetData>
  <scenarios current="0" sqref="F31:G31">
    <scenario name="gunstig" locked="1" count="4" user="Author">
      <inputCells r="E8" val="0,2" numFmtId="9"/>
      <inputCells r="E9" val="0,02" numFmtId="9"/>
      <inputCells r="E10" val="0,05" numFmtId="9"/>
      <inputCells r="E11" val="0,3" numFmtId="9"/>
    </scenario>
    <scenario name="ongunstig" locked="1" count="4" user="Author">
      <inputCells r="E8" val="0,07" numFmtId="9"/>
      <inputCells r="E9" val="0,05" numFmtId="9"/>
      <inputCells r="E10" val="0,1" numFmtId="9"/>
      <inputCells r="E11" val="0,37" numFmtId="9"/>
    </scenario>
  </scenarios>
  <mergeCells count="5">
    <mergeCell ref="B6:E6"/>
    <mergeCell ref="B2:C2"/>
    <mergeCell ref="B3:C3"/>
    <mergeCell ref="B4:C4"/>
    <mergeCell ref="B1:C1"/>
  </mergeCells>
  <hyperlinks>
    <hyperlink ref="B6:D6" location="sjabloon!A1" display="Ga naar Inhoudsopgave" xr:uid="{00000000-0004-0000-3800-000000000000}"/>
    <hyperlink ref="B6:E6" location="Inhoud!A1" display="Ga naar Inhoudsopgave" xr:uid="{00000000-0004-0000-3800-000001000000}"/>
  </hyperlinks>
  <pageMargins left="0.7" right="0.7" top="0.75" bottom="0.75" header="0.3" footer="0.3"/>
  <pageSetup paperSize="9" orientation="landscape" r:id="rId1"/>
  <drawing r:id="rId2"/>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Blad45"/>
  <dimension ref="B1:K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9.140625" style="4" bestFit="1" customWidth="1"/>
    <col min="5" max="16384" width="9.140625" style="4"/>
  </cols>
  <sheetData>
    <row r="1" spans="2:11" x14ac:dyDescent="0.2">
      <c r="B1" s="355" t="s">
        <v>1253</v>
      </c>
      <c r="C1" s="355"/>
      <c r="D1" s="316" t="s">
        <v>635</v>
      </c>
    </row>
    <row r="2" spans="2:11" x14ac:dyDescent="0.2">
      <c r="B2" s="355" t="s">
        <v>1085</v>
      </c>
      <c r="C2" s="355"/>
      <c r="D2" s="332" t="str">
        <f>VLOOKUP(D$1,TabelContent[],COLUMN(TabelContent[Titel-NL]))</f>
        <v>Bonbondoos</v>
      </c>
    </row>
    <row r="3" spans="2:11" x14ac:dyDescent="0.2">
      <c r="B3" s="355" t="s">
        <v>1086</v>
      </c>
      <c r="C3" s="355"/>
      <c r="D3" s="332" t="str">
        <f>VLOOKUP(D$1,TabelContent[],COLUMN(TabelContent[Cat-NL]))</f>
        <v>Oplosser</v>
      </c>
    </row>
    <row r="4" spans="2:11" x14ac:dyDescent="0.2">
      <c r="B4" s="355" t="s">
        <v>1087</v>
      </c>
      <c r="C4" s="355" t="s">
        <v>1077</v>
      </c>
      <c r="D4" s="332">
        <f>VLOOKUP(D$1,TabelContent[],COLUMN(TabelContent[Niveau]))</f>
        <v>2</v>
      </c>
    </row>
    <row r="5" spans="2:11" x14ac:dyDescent="0.2">
      <c r="B5" s="16"/>
      <c r="C5" s="16"/>
      <c r="D5" s="16"/>
      <c r="E5" s="16"/>
      <c r="F5" s="16"/>
      <c r="G5" s="16"/>
      <c r="H5" s="16"/>
      <c r="I5" s="16"/>
      <c r="J5" s="16"/>
    </row>
    <row r="6" spans="2:11" x14ac:dyDescent="0.2">
      <c r="B6" s="357" t="s">
        <v>47</v>
      </c>
      <c r="C6" s="357"/>
      <c r="D6" s="357"/>
      <c r="E6" s="358"/>
      <c r="F6" s="16"/>
      <c r="G6" s="16"/>
      <c r="H6" s="16"/>
      <c r="I6" s="16"/>
      <c r="J6" s="16"/>
    </row>
    <row r="7" spans="2:11" x14ac:dyDescent="0.2">
      <c r="B7" s="16"/>
      <c r="C7" s="16"/>
      <c r="D7" s="16"/>
      <c r="E7" s="16"/>
      <c r="F7" s="16"/>
      <c r="G7" s="16"/>
      <c r="H7" s="16"/>
      <c r="I7" s="16"/>
      <c r="J7" s="16"/>
    </row>
    <row r="8" spans="2:11" x14ac:dyDescent="0.2">
      <c r="B8" s="16"/>
      <c r="C8" s="16"/>
      <c r="D8" s="16"/>
      <c r="E8" s="16"/>
      <c r="F8" s="16"/>
      <c r="G8" s="16"/>
      <c r="H8" s="16"/>
      <c r="I8" s="16"/>
      <c r="J8" s="16"/>
    </row>
    <row r="9" spans="2:11" x14ac:dyDescent="0.2">
      <c r="B9" s="16"/>
      <c r="D9" s="16"/>
      <c r="E9" s="365" t="s">
        <v>622</v>
      </c>
      <c r="F9" s="366"/>
      <c r="G9" s="367" t="s">
        <v>623</v>
      </c>
      <c r="H9" s="365" t="s">
        <v>623</v>
      </c>
      <c r="I9" s="366"/>
      <c r="J9" s="366"/>
      <c r="K9" s="367"/>
    </row>
    <row r="10" spans="2:11" x14ac:dyDescent="0.2">
      <c r="B10" s="16"/>
      <c r="D10" s="85" t="s">
        <v>624</v>
      </c>
      <c r="E10" s="86" t="s">
        <v>625</v>
      </c>
      <c r="F10" s="87" t="s">
        <v>626</v>
      </c>
      <c r="G10" s="87" t="s">
        <v>627</v>
      </c>
      <c r="H10" s="87" t="s">
        <v>628</v>
      </c>
      <c r="I10" s="87" t="s">
        <v>625</v>
      </c>
      <c r="J10" s="87" t="s">
        <v>626</v>
      </c>
      <c r="K10" s="87" t="s">
        <v>627</v>
      </c>
    </row>
    <row r="11" spans="2:11" x14ac:dyDescent="0.2">
      <c r="B11" s="16"/>
      <c r="D11" s="16" t="s">
        <v>629</v>
      </c>
      <c r="E11" s="88">
        <v>16</v>
      </c>
      <c r="F11" s="89">
        <v>2</v>
      </c>
      <c r="G11" s="89">
        <v>28</v>
      </c>
      <c r="H11" s="286">
        <v>10</v>
      </c>
      <c r="I11" s="89">
        <f>aantal_kers*E11</f>
        <v>160</v>
      </c>
      <c r="J11" s="89">
        <f>aantal_kers*F11</f>
        <v>20</v>
      </c>
      <c r="K11" s="89">
        <f>aantal_kers*G11</f>
        <v>280</v>
      </c>
    </row>
    <row r="12" spans="2:11" x14ac:dyDescent="0.2">
      <c r="B12" s="16"/>
      <c r="D12" s="85" t="s">
        <v>630</v>
      </c>
      <c r="E12" s="90">
        <v>8</v>
      </c>
      <c r="F12" s="90">
        <v>1</v>
      </c>
      <c r="G12" s="89">
        <v>20</v>
      </c>
      <c r="H12" s="287">
        <v>10</v>
      </c>
      <c r="I12" s="89">
        <f>aantal_hazelnoot*E12</f>
        <v>80</v>
      </c>
      <c r="J12" s="89">
        <f>aantal_hazelnoot*F12</f>
        <v>10</v>
      </c>
      <c r="K12" s="89">
        <f>aantal_hazelnoot*G12</f>
        <v>200</v>
      </c>
    </row>
    <row r="13" spans="2:11" x14ac:dyDescent="0.2">
      <c r="B13" s="16"/>
      <c r="D13" s="16"/>
      <c r="E13" s="16"/>
      <c r="F13" s="16"/>
      <c r="G13" s="91" t="s">
        <v>59</v>
      </c>
      <c r="H13" s="92">
        <f>SUM(H11:H12)</f>
        <v>20</v>
      </c>
      <c r="I13" s="92">
        <f t="shared" ref="I13:K13" si="0">SUM(I11:I12)</f>
        <v>240</v>
      </c>
      <c r="J13" s="92">
        <f t="shared" si="0"/>
        <v>30</v>
      </c>
      <c r="K13" s="92">
        <f t="shared" si="0"/>
        <v>480</v>
      </c>
    </row>
    <row r="14" spans="2:11" x14ac:dyDescent="0.2">
      <c r="B14" s="16"/>
      <c r="D14" s="16"/>
      <c r="E14" s="16"/>
      <c r="F14" s="16"/>
      <c r="G14" s="16"/>
      <c r="H14" s="16"/>
      <c r="I14" s="16"/>
      <c r="J14" s="16"/>
      <c r="K14" s="16"/>
    </row>
    <row r="15" spans="2:11" x14ac:dyDescent="0.2">
      <c r="B15" s="16"/>
      <c r="D15" s="23" t="s">
        <v>631</v>
      </c>
      <c r="E15" s="16"/>
      <c r="F15" s="16"/>
      <c r="G15" s="16"/>
      <c r="H15" s="16"/>
      <c r="I15" s="16"/>
      <c r="J15" s="16"/>
      <c r="K15" s="16"/>
    </row>
    <row r="16" spans="2:11" x14ac:dyDescent="0.2">
      <c r="B16" s="16"/>
      <c r="D16" s="16" t="s">
        <v>1268</v>
      </c>
      <c r="E16" s="16">
        <v>320</v>
      </c>
      <c r="F16" s="39" t="s">
        <v>632</v>
      </c>
      <c r="G16" s="16"/>
      <c r="H16" s="16"/>
      <c r="I16" s="16"/>
      <c r="J16" s="16"/>
      <c r="K16" s="16"/>
    </row>
    <row r="17" spans="2:11" x14ac:dyDescent="0.2">
      <c r="B17" s="16"/>
      <c r="D17" s="16" t="s">
        <v>1269</v>
      </c>
      <c r="E17" s="16">
        <v>40</v>
      </c>
      <c r="F17" s="39" t="s">
        <v>632</v>
      </c>
      <c r="G17" s="16"/>
      <c r="H17" s="16"/>
      <c r="I17" s="16"/>
      <c r="J17" s="16"/>
      <c r="K17" s="16"/>
    </row>
    <row r="18" spans="2:11" x14ac:dyDescent="0.2">
      <c r="B18" s="16"/>
      <c r="D18" s="16" t="s">
        <v>1270</v>
      </c>
      <c r="E18" s="16">
        <v>60</v>
      </c>
      <c r="F18" s="39" t="s">
        <v>633</v>
      </c>
      <c r="G18" s="16"/>
      <c r="H18" s="16"/>
      <c r="I18" s="16"/>
      <c r="J18" s="16"/>
      <c r="K18" s="16"/>
    </row>
    <row r="19" spans="2:11" x14ac:dyDescent="0.2">
      <c r="B19" s="16"/>
      <c r="D19" s="16" t="s">
        <v>1271</v>
      </c>
      <c r="E19" s="16">
        <v>10</v>
      </c>
      <c r="F19" s="39" t="s">
        <v>632</v>
      </c>
      <c r="G19" s="16"/>
      <c r="H19" s="16"/>
      <c r="I19" s="16"/>
      <c r="J19" s="16"/>
      <c r="K19" s="16"/>
    </row>
    <row r="20" spans="2:11" x14ac:dyDescent="0.2">
      <c r="B20" s="16"/>
      <c r="D20" s="16" t="s">
        <v>1272</v>
      </c>
      <c r="E20" s="16">
        <v>1</v>
      </c>
      <c r="F20" s="39" t="s">
        <v>632</v>
      </c>
      <c r="G20" s="16"/>
      <c r="H20" s="16"/>
      <c r="I20" s="16"/>
      <c r="J20" s="16"/>
      <c r="K20" s="16"/>
    </row>
    <row r="21" spans="2:11" x14ac:dyDescent="0.2">
      <c r="B21" s="16"/>
      <c r="D21" s="16" t="s">
        <v>1273</v>
      </c>
      <c r="E21" s="16">
        <v>35</v>
      </c>
      <c r="F21" s="39" t="s">
        <v>632</v>
      </c>
      <c r="G21" s="16"/>
      <c r="H21" s="16"/>
      <c r="I21" s="16"/>
      <c r="J21" s="16"/>
      <c r="K21" s="16"/>
    </row>
  </sheetData>
  <mergeCells count="7">
    <mergeCell ref="B1:C1"/>
    <mergeCell ref="H9:K9"/>
    <mergeCell ref="B6:E6"/>
    <mergeCell ref="B2:C2"/>
    <mergeCell ref="B3:C3"/>
    <mergeCell ref="B4:C4"/>
    <mergeCell ref="E9:G9"/>
  </mergeCells>
  <hyperlinks>
    <hyperlink ref="B6:D6" location="Inhoud!A1" display="Ga naar Inhoudsopgave" xr:uid="{00000000-0004-0000-3900-000000000000}"/>
  </hyperlinks>
  <pageMargins left="0.7" right="0.7" top="0.75" bottom="0.75" header="0.3" footer="0.3"/>
  <pageSetup paperSize="9" orientation="landscape"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Blad46"/>
  <dimension ref="B1:H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5" width="13.28515625" style="4" bestFit="1" customWidth="1"/>
    <col min="6" max="6" width="6.85546875" style="4" bestFit="1" customWidth="1"/>
    <col min="7" max="7" width="9.140625" style="4"/>
    <col min="8" max="8" width="10.85546875" style="4" bestFit="1" customWidth="1"/>
    <col min="9" max="16384" width="9.140625" style="4"/>
  </cols>
  <sheetData>
    <row r="1" spans="2:8" x14ac:dyDescent="0.2">
      <c r="B1" s="355" t="s">
        <v>1253</v>
      </c>
      <c r="C1" s="355"/>
      <c r="D1" s="316" t="s">
        <v>910</v>
      </c>
    </row>
    <row r="2" spans="2:8" x14ac:dyDescent="0.2">
      <c r="B2" s="355" t="s">
        <v>1085</v>
      </c>
      <c r="C2" s="355"/>
      <c r="D2" s="332" t="str">
        <f>VLOOKUP(D$1,TabelContent[],COLUMN(TabelContent[Titel-NL]))</f>
        <v>Aantal supermarkten</v>
      </c>
    </row>
    <row r="3" spans="2:8" x14ac:dyDescent="0.2">
      <c r="B3" s="355" t="s">
        <v>1086</v>
      </c>
      <c r="C3" s="355"/>
      <c r="D3" s="332" t="str">
        <f>VLOOKUP(D$1,TabelContent[],COLUMN(TabelContent[Cat-NL]))</f>
        <v>Oplosser</v>
      </c>
    </row>
    <row r="4" spans="2:8" x14ac:dyDescent="0.2">
      <c r="B4" s="355" t="s">
        <v>1087</v>
      </c>
      <c r="C4" s="355" t="s">
        <v>1077</v>
      </c>
      <c r="D4" s="332">
        <f>VLOOKUP(D$1,TabelContent[],COLUMN(TabelContent[Niveau]))</f>
        <v>2</v>
      </c>
    </row>
    <row r="5" spans="2:8" x14ac:dyDescent="0.2">
      <c r="B5" s="16"/>
      <c r="C5" s="16"/>
      <c r="D5" s="16"/>
      <c r="E5" s="16"/>
    </row>
    <row r="6" spans="2:8" x14ac:dyDescent="0.2">
      <c r="B6" s="356" t="s">
        <v>47</v>
      </c>
      <c r="C6" s="356"/>
      <c r="D6" s="356"/>
      <c r="E6" s="356"/>
    </row>
    <row r="7" spans="2:8" x14ac:dyDescent="0.2">
      <c r="B7" s="16"/>
      <c r="C7" s="16"/>
      <c r="D7" s="16"/>
      <c r="E7" s="16"/>
    </row>
    <row r="8" spans="2:8" ht="25.5" x14ac:dyDescent="0.2">
      <c r="B8" s="16"/>
      <c r="C8" s="23" t="s">
        <v>126</v>
      </c>
      <c r="D8" s="28" t="s">
        <v>890</v>
      </c>
      <c r="E8" s="28" t="s">
        <v>891</v>
      </c>
      <c r="F8" s="1" t="s">
        <v>628</v>
      </c>
      <c r="G8" s="1" t="s">
        <v>892</v>
      </c>
      <c r="H8" s="1" t="s">
        <v>893</v>
      </c>
    </row>
    <row r="9" spans="2:8" x14ac:dyDescent="0.2">
      <c r="B9" s="16"/>
      <c r="C9" s="16" t="s">
        <v>887</v>
      </c>
      <c r="D9" s="16">
        <v>4</v>
      </c>
      <c r="E9" s="16">
        <v>24</v>
      </c>
      <c r="F9" s="288">
        <v>2</v>
      </c>
      <c r="G9" s="4">
        <f>F9*D9</f>
        <v>8</v>
      </c>
      <c r="H9" s="4">
        <f>F9*E9</f>
        <v>48</v>
      </c>
    </row>
    <row r="10" spans="2:8" x14ac:dyDescent="0.2">
      <c r="B10" s="16"/>
      <c r="C10" s="16" t="s">
        <v>888</v>
      </c>
      <c r="D10" s="16">
        <v>3</v>
      </c>
      <c r="E10" s="16">
        <v>20</v>
      </c>
      <c r="F10" s="288">
        <v>2</v>
      </c>
      <c r="G10" s="4">
        <f t="shared" ref="G10:G12" si="0">F10*D10</f>
        <v>6</v>
      </c>
      <c r="H10" s="4">
        <f t="shared" ref="H10:H12" si="1">F10*E10</f>
        <v>40</v>
      </c>
    </row>
    <row r="11" spans="2:8" x14ac:dyDescent="0.2">
      <c r="B11" s="16"/>
      <c r="C11" s="16" t="s">
        <v>889</v>
      </c>
      <c r="D11" s="16">
        <v>2</v>
      </c>
      <c r="E11" s="16">
        <v>11</v>
      </c>
      <c r="F11" s="288">
        <v>2</v>
      </c>
      <c r="G11" s="4">
        <f t="shared" si="0"/>
        <v>4</v>
      </c>
      <c r="H11" s="4">
        <f t="shared" si="1"/>
        <v>22</v>
      </c>
    </row>
    <row r="12" spans="2:8" x14ac:dyDescent="0.2">
      <c r="B12" s="16"/>
      <c r="C12" s="16" t="s">
        <v>136</v>
      </c>
      <c r="D12" s="16">
        <v>1</v>
      </c>
      <c r="E12" s="16">
        <v>5</v>
      </c>
      <c r="F12" s="288">
        <v>2</v>
      </c>
      <c r="G12" s="4">
        <f t="shared" si="0"/>
        <v>2</v>
      </c>
      <c r="H12" s="4">
        <f t="shared" si="1"/>
        <v>10</v>
      </c>
    </row>
    <row r="13" spans="2:8" x14ac:dyDescent="0.2">
      <c r="B13" s="16"/>
      <c r="C13" s="16"/>
      <c r="D13" s="16"/>
      <c r="E13" s="16" t="s">
        <v>59</v>
      </c>
      <c r="G13" s="4">
        <f t="shared" ref="G13:H13" si="2">SUM(G9:G12)</f>
        <v>20</v>
      </c>
      <c r="H13" s="4">
        <f t="shared" si="2"/>
        <v>120</v>
      </c>
    </row>
    <row r="14" spans="2:8" x14ac:dyDescent="0.2">
      <c r="B14" s="16"/>
      <c r="E14" s="16" t="s">
        <v>894</v>
      </c>
      <c r="G14" s="4">
        <v>14</v>
      </c>
    </row>
    <row r="15" spans="2:8" x14ac:dyDescent="0.2">
      <c r="B15" s="16"/>
      <c r="C15" s="16"/>
      <c r="D15" s="16"/>
      <c r="E15" s="16"/>
    </row>
  </sheetData>
  <mergeCells count="5">
    <mergeCell ref="B6:E6"/>
    <mergeCell ref="B2:C2"/>
    <mergeCell ref="B3:C3"/>
    <mergeCell ref="B4:C4"/>
    <mergeCell ref="B1:C1"/>
  </mergeCells>
  <hyperlinks>
    <hyperlink ref="B6:D6" location="sjabloon!A1" display="Ga naar Inhoudsopgave" xr:uid="{00000000-0004-0000-3A00-000000000000}"/>
    <hyperlink ref="B6:E6" location="Inhoud!A1" display="Ga naar Inhoudsopgave" xr:uid="{00000000-0004-0000-3A00-000001000000}"/>
  </hyperlinks>
  <pageMargins left="0.7" right="0.7" top="0.75" bottom="0.75" header="0.3" footer="0.3"/>
  <pageSetup paperSize="9" orientation="landscape"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Blad47"/>
  <dimension ref="B1:K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9.5703125" style="4" customWidth="1"/>
    <col min="5" max="5" width="11.42578125" style="4" bestFit="1" customWidth="1"/>
    <col min="6" max="6" width="10.140625" style="4" bestFit="1" customWidth="1"/>
    <col min="7" max="7" width="5.5703125" style="4" bestFit="1" customWidth="1"/>
    <col min="8" max="8" width="6.140625" style="4" bestFit="1" customWidth="1"/>
    <col min="9" max="9" width="11.42578125" style="4" bestFit="1" customWidth="1"/>
    <col min="10" max="10" width="10.140625" style="4" bestFit="1" customWidth="1"/>
    <col min="11" max="11" width="6.28515625" style="4" bestFit="1" customWidth="1"/>
    <col min="12" max="16384" width="9.140625" style="4"/>
  </cols>
  <sheetData>
    <row r="1" spans="2:11" x14ac:dyDescent="0.2">
      <c r="B1" s="355" t="s">
        <v>1253</v>
      </c>
      <c r="C1" s="355"/>
      <c r="D1" s="316" t="s">
        <v>911</v>
      </c>
    </row>
    <row r="2" spans="2:11" x14ac:dyDescent="0.2">
      <c r="B2" s="355" t="s">
        <v>1085</v>
      </c>
      <c r="C2" s="355"/>
      <c r="D2" s="332" t="str">
        <f>VLOOKUP(D$1,TabelContent[],COLUMN(TabelContent[Titel-NL]))</f>
        <v>Hardloopschoenen</v>
      </c>
    </row>
    <row r="3" spans="2:11" x14ac:dyDescent="0.2">
      <c r="B3" s="355" t="s">
        <v>1086</v>
      </c>
      <c r="C3" s="355"/>
      <c r="D3" s="332" t="str">
        <f>VLOOKUP(D$1,TabelContent[],COLUMN(TabelContent[Cat-NL]))</f>
        <v>Oplosser</v>
      </c>
    </row>
    <row r="4" spans="2:11" x14ac:dyDescent="0.2">
      <c r="B4" s="355" t="s">
        <v>1087</v>
      </c>
      <c r="C4" s="355" t="s">
        <v>1077</v>
      </c>
      <c r="D4" s="332">
        <f>VLOOKUP(D$1,TabelContent[],COLUMN(TabelContent[Niveau]))</f>
        <v>2</v>
      </c>
    </row>
    <row r="5" spans="2:11" x14ac:dyDescent="0.2">
      <c r="B5" s="16"/>
      <c r="C5" s="16"/>
      <c r="D5" s="16"/>
      <c r="E5" s="16"/>
    </row>
    <row r="6" spans="2:11" x14ac:dyDescent="0.2">
      <c r="B6" s="356" t="s">
        <v>47</v>
      </c>
      <c r="C6" s="356"/>
      <c r="D6" s="356"/>
      <c r="E6" s="356"/>
    </row>
    <row r="7" spans="2:11" x14ac:dyDescent="0.2">
      <c r="B7" s="16"/>
      <c r="C7" s="16"/>
      <c r="D7" s="16"/>
      <c r="E7" s="16"/>
    </row>
    <row r="8" spans="2:11" x14ac:dyDescent="0.2">
      <c r="B8" s="127"/>
      <c r="C8" s="127"/>
      <c r="D8" s="127"/>
      <c r="E8" s="127"/>
      <c r="F8" s="128"/>
      <c r="G8" s="128"/>
      <c r="H8" s="128"/>
      <c r="I8" s="128"/>
      <c r="J8" s="128"/>
      <c r="K8" s="128"/>
    </row>
    <row r="9" spans="2:11" x14ac:dyDescent="0.2">
      <c r="B9" s="127"/>
      <c r="D9" s="289"/>
      <c r="E9" s="369" t="s">
        <v>906</v>
      </c>
      <c r="F9" s="366"/>
      <c r="G9" s="367"/>
      <c r="H9" s="368" t="s">
        <v>907</v>
      </c>
      <c r="I9" s="366" t="s">
        <v>907</v>
      </c>
      <c r="J9" s="366"/>
      <c r="K9" s="367"/>
    </row>
    <row r="10" spans="2:11" ht="21.75" x14ac:dyDescent="0.2">
      <c r="B10" s="127"/>
      <c r="D10" s="130" t="s">
        <v>896</v>
      </c>
      <c r="E10" s="131" t="s">
        <v>897</v>
      </c>
      <c r="F10" s="132" t="s">
        <v>898</v>
      </c>
      <c r="G10" s="133" t="s">
        <v>899</v>
      </c>
      <c r="H10" s="134" t="s">
        <v>628</v>
      </c>
      <c r="I10" s="131" t="s">
        <v>897</v>
      </c>
      <c r="J10" s="132" t="s">
        <v>898</v>
      </c>
      <c r="K10" s="133" t="s">
        <v>899</v>
      </c>
    </row>
    <row r="11" spans="2:11" x14ac:dyDescent="0.2">
      <c r="B11" s="127"/>
      <c r="D11" s="290" t="s">
        <v>900</v>
      </c>
      <c r="E11" s="291">
        <v>0.31</v>
      </c>
      <c r="F11" s="292">
        <v>16</v>
      </c>
      <c r="G11" s="293">
        <v>6</v>
      </c>
      <c r="H11" s="294">
        <v>100</v>
      </c>
      <c r="I11" s="295">
        <f t="shared" ref="I11:K13" si="0">$H11*E11</f>
        <v>31</v>
      </c>
      <c r="J11" s="296">
        <f t="shared" si="0"/>
        <v>1600</v>
      </c>
      <c r="K11" s="297">
        <f t="shared" si="0"/>
        <v>600</v>
      </c>
    </row>
    <row r="12" spans="2:11" x14ac:dyDescent="0.2">
      <c r="B12" s="127"/>
      <c r="D12" s="177" t="s">
        <v>901</v>
      </c>
      <c r="E12" s="298">
        <v>0.2</v>
      </c>
      <c r="F12" s="292">
        <v>12</v>
      </c>
      <c r="G12" s="293">
        <v>5</v>
      </c>
      <c r="H12" s="294">
        <v>100</v>
      </c>
      <c r="I12" s="299">
        <f t="shared" si="0"/>
        <v>20</v>
      </c>
      <c r="J12" s="300">
        <f t="shared" si="0"/>
        <v>1200</v>
      </c>
      <c r="K12" s="301">
        <f t="shared" si="0"/>
        <v>500</v>
      </c>
    </row>
    <row r="13" spans="2:11" x14ac:dyDescent="0.2">
      <c r="B13" s="127"/>
      <c r="D13" s="178" t="s">
        <v>902</v>
      </c>
      <c r="E13" s="302">
        <v>0.25</v>
      </c>
      <c r="F13" s="303">
        <v>10</v>
      </c>
      <c r="G13" s="304">
        <v>4</v>
      </c>
      <c r="H13" s="305">
        <v>100</v>
      </c>
      <c r="I13" s="306">
        <f t="shared" si="0"/>
        <v>25</v>
      </c>
      <c r="J13" s="307">
        <f t="shared" si="0"/>
        <v>1000</v>
      </c>
      <c r="K13" s="301">
        <f t="shared" si="0"/>
        <v>400</v>
      </c>
    </row>
    <row r="14" spans="2:11" x14ac:dyDescent="0.2">
      <c r="B14" s="127"/>
      <c r="D14" s="289"/>
      <c r="E14" s="289"/>
      <c r="F14" s="289"/>
      <c r="G14" s="308" t="s">
        <v>59</v>
      </c>
      <c r="H14" s="309">
        <f>SUM(H11:H13)</f>
        <v>300</v>
      </c>
      <c r="I14" s="310">
        <f>SUM(I11:I13)</f>
        <v>76</v>
      </c>
      <c r="J14" s="311">
        <f t="shared" ref="J14:K14" si="1">SUM(J11:J13)</f>
        <v>3800</v>
      </c>
      <c r="K14" s="312">
        <f t="shared" si="1"/>
        <v>1500</v>
      </c>
    </row>
    <row r="15" spans="2:11" x14ac:dyDescent="0.2">
      <c r="B15" s="127"/>
      <c r="D15" s="135" t="s">
        <v>908</v>
      </c>
      <c r="E15" s="136" t="s">
        <v>903</v>
      </c>
      <c r="F15" s="127"/>
      <c r="G15" s="128"/>
      <c r="H15" s="128"/>
      <c r="I15" s="128"/>
      <c r="J15" s="128"/>
      <c r="K15" s="128"/>
    </row>
    <row r="16" spans="2:11" x14ac:dyDescent="0.2">
      <c r="B16" s="128"/>
      <c r="D16" s="128" t="s">
        <v>904</v>
      </c>
      <c r="E16" s="128">
        <v>150</v>
      </c>
      <c r="F16" s="128" t="s">
        <v>633</v>
      </c>
      <c r="G16" s="128"/>
      <c r="H16" s="128"/>
      <c r="I16" s="128"/>
      <c r="J16" s="128"/>
      <c r="K16" s="128"/>
    </row>
    <row r="17" spans="2:11" x14ac:dyDescent="0.2">
      <c r="B17" s="128"/>
      <c r="D17" s="128" t="s">
        <v>905</v>
      </c>
      <c r="E17" s="128">
        <v>8000</v>
      </c>
      <c r="F17" s="128" t="s">
        <v>633</v>
      </c>
      <c r="G17" s="128"/>
      <c r="H17" s="128"/>
      <c r="I17" s="128"/>
      <c r="J17" s="128"/>
      <c r="K17" s="128"/>
    </row>
    <row r="18" spans="2:11" x14ac:dyDescent="0.2">
      <c r="B18" s="128"/>
      <c r="D18" s="128" t="s">
        <v>900</v>
      </c>
      <c r="E18" s="128">
        <v>300</v>
      </c>
      <c r="F18" s="128" t="s">
        <v>633</v>
      </c>
      <c r="G18" s="128"/>
      <c r="H18" s="128"/>
      <c r="I18" s="128"/>
      <c r="J18" s="128"/>
      <c r="K18" s="128"/>
    </row>
    <row r="19" spans="2:11" x14ac:dyDescent="0.2">
      <c r="B19" s="128"/>
      <c r="D19" s="128" t="s">
        <v>901</v>
      </c>
      <c r="E19" s="128">
        <v>400</v>
      </c>
      <c r="F19" s="128" t="s">
        <v>633</v>
      </c>
      <c r="G19" s="128"/>
      <c r="H19" s="128"/>
      <c r="I19" s="128"/>
      <c r="J19" s="128"/>
      <c r="K19" s="128"/>
    </row>
    <row r="20" spans="2:11" x14ac:dyDescent="0.2">
      <c r="B20" s="128"/>
      <c r="D20" s="128" t="s">
        <v>902</v>
      </c>
      <c r="E20" s="128">
        <v>400</v>
      </c>
      <c r="F20" s="128" t="s">
        <v>633</v>
      </c>
      <c r="G20" s="128"/>
      <c r="H20" s="128"/>
      <c r="I20" s="128"/>
      <c r="J20" s="128"/>
      <c r="K20" s="128"/>
    </row>
    <row r="21" spans="2:11" x14ac:dyDescent="0.2">
      <c r="B21" s="128"/>
      <c r="C21" s="128"/>
      <c r="D21" s="128"/>
      <c r="E21" s="128"/>
      <c r="F21" s="128"/>
      <c r="G21" s="128"/>
      <c r="H21" s="128"/>
      <c r="I21" s="128"/>
      <c r="J21" s="128"/>
      <c r="K21" s="128"/>
    </row>
  </sheetData>
  <mergeCells count="7">
    <mergeCell ref="B1:C1"/>
    <mergeCell ref="H9:K9"/>
    <mergeCell ref="E9:G9"/>
    <mergeCell ref="B6:E6"/>
    <mergeCell ref="B2:C2"/>
    <mergeCell ref="B3:C3"/>
    <mergeCell ref="B4:C4"/>
  </mergeCells>
  <hyperlinks>
    <hyperlink ref="B6:D6" location="sjabloon!A1" display="Ga naar Inhoudsopgave" xr:uid="{00000000-0004-0000-3B00-000000000000}"/>
    <hyperlink ref="B6:E6" location="Inhoud!A1" display="Ga naar Inhoudsopgave" xr:uid="{00000000-0004-0000-3B00-000001000000}"/>
  </hyperlinks>
  <pageMargins left="0.7" right="0.7" top="0.75" bottom="0.75" header="0.3" footer="0.3"/>
  <pageSetup paperSize="9" orientation="landscape" r:id="rId1"/>
  <drawing r:id="rId2"/>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Blad48"/>
  <dimension ref="B1:L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5.85546875" style="4" bestFit="1" customWidth="1"/>
    <col min="5" max="5" width="10.7109375" style="4" bestFit="1" customWidth="1"/>
    <col min="6" max="6" width="9" style="4" customWidth="1"/>
    <col min="7" max="8" width="6.7109375" style="4" customWidth="1"/>
    <col min="9" max="9" width="5.85546875" style="4" bestFit="1" customWidth="1"/>
    <col min="10" max="10" width="10.7109375" style="4" bestFit="1" customWidth="1"/>
    <col min="11" max="11" width="9" style="4" customWidth="1"/>
    <col min="12" max="12" width="6.7109375" style="4" customWidth="1"/>
    <col min="13" max="16384" width="9.140625" style="4"/>
  </cols>
  <sheetData>
    <row r="1" spans="2:12" x14ac:dyDescent="0.2">
      <c r="B1" s="355" t="s">
        <v>1253</v>
      </c>
      <c r="C1" s="355"/>
      <c r="D1" s="316" t="s">
        <v>921</v>
      </c>
    </row>
    <row r="2" spans="2:12" x14ac:dyDescent="0.2">
      <c r="B2" s="355" t="s">
        <v>1085</v>
      </c>
      <c r="C2" s="355"/>
      <c r="D2" s="332" t="str">
        <f>VLOOKUP(D$1,TabelContent[],COLUMN(TabelContent[Titel-NL]))</f>
        <v>Productie aluminium ladders</v>
      </c>
    </row>
    <row r="3" spans="2:12" x14ac:dyDescent="0.2">
      <c r="B3" s="355" t="s">
        <v>1086</v>
      </c>
      <c r="C3" s="355"/>
      <c r="D3" s="332" t="str">
        <f>VLOOKUP(D$1,TabelContent[],COLUMN(TabelContent[Cat-NL]))</f>
        <v>Oplosser</v>
      </c>
    </row>
    <row r="4" spans="2:12" x14ac:dyDescent="0.2">
      <c r="B4" s="355" t="s">
        <v>1087</v>
      </c>
      <c r="C4" s="355" t="s">
        <v>1077</v>
      </c>
      <c r="D4" s="332">
        <f>VLOOKUP(D$1,TabelContent[],COLUMN(TabelContent[Niveau]))</f>
        <v>2</v>
      </c>
    </row>
    <row r="5" spans="2:12" x14ac:dyDescent="0.2">
      <c r="B5" s="16"/>
      <c r="C5" s="16"/>
      <c r="D5" s="16"/>
      <c r="E5" s="16"/>
    </row>
    <row r="6" spans="2:12" x14ac:dyDescent="0.2">
      <c r="B6" s="356" t="s">
        <v>47</v>
      </c>
      <c r="C6" s="356"/>
      <c r="D6" s="356"/>
      <c r="E6" s="356"/>
    </row>
    <row r="7" spans="2:12" x14ac:dyDescent="0.2">
      <c r="B7" s="16"/>
      <c r="C7" s="16"/>
      <c r="D7" s="16"/>
      <c r="E7" s="16"/>
    </row>
    <row r="8" spans="2:12" x14ac:dyDescent="0.2">
      <c r="B8" s="16"/>
      <c r="C8" s="137"/>
      <c r="D8" s="370" t="s">
        <v>622</v>
      </c>
      <c r="E8" s="371"/>
      <c r="F8" s="371"/>
      <c r="G8" s="368"/>
      <c r="H8" s="138"/>
      <c r="I8" s="372" t="s">
        <v>912</v>
      </c>
      <c r="J8" s="371"/>
      <c r="K8" s="371"/>
      <c r="L8" s="371"/>
    </row>
    <row r="9" spans="2:12" x14ac:dyDescent="0.2">
      <c r="B9" s="16"/>
      <c r="C9" s="139"/>
      <c r="D9" s="148" t="s">
        <v>913</v>
      </c>
      <c r="E9" s="148" t="s">
        <v>914</v>
      </c>
      <c r="F9" s="129" t="s">
        <v>915</v>
      </c>
      <c r="G9" s="129" t="s">
        <v>627</v>
      </c>
      <c r="H9" s="144" t="s">
        <v>628</v>
      </c>
      <c r="I9" s="155" t="s">
        <v>913</v>
      </c>
      <c r="J9" s="156" t="s">
        <v>914</v>
      </c>
      <c r="K9" s="156" t="s">
        <v>915</v>
      </c>
      <c r="L9" s="157" t="s">
        <v>627</v>
      </c>
    </row>
    <row r="10" spans="2:12" x14ac:dyDescent="0.2">
      <c r="B10" s="16"/>
      <c r="C10" s="140" t="s">
        <v>916</v>
      </c>
      <c r="D10" s="149">
        <v>4</v>
      </c>
      <c r="E10" s="149">
        <v>5</v>
      </c>
      <c r="F10" s="150">
        <v>6</v>
      </c>
      <c r="G10" s="151">
        <v>50</v>
      </c>
      <c r="H10" s="145">
        <v>0</v>
      </c>
      <c r="I10" s="158">
        <f>$H10*D10</f>
        <v>0</v>
      </c>
      <c r="J10" s="159">
        <f t="shared" ref="J10:L12" si="0">$H10*E10</f>
        <v>0</v>
      </c>
      <c r="K10" s="159">
        <f t="shared" si="0"/>
        <v>0</v>
      </c>
      <c r="L10" s="160">
        <f t="shared" si="0"/>
        <v>0</v>
      </c>
    </row>
    <row r="11" spans="2:12" x14ac:dyDescent="0.2">
      <c r="B11" s="16"/>
      <c r="C11" s="140" t="s">
        <v>917</v>
      </c>
      <c r="D11" s="149">
        <v>5</v>
      </c>
      <c r="E11" s="149">
        <v>7</v>
      </c>
      <c r="F11" s="150">
        <v>9</v>
      </c>
      <c r="G11" s="151">
        <v>70</v>
      </c>
      <c r="H11" s="145">
        <v>3.9999999999999987</v>
      </c>
      <c r="I11" s="158">
        <f t="shared" ref="I11:I12" si="1">$H11*D11</f>
        <v>19.999999999999993</v>
      </c>
      <c r="J11" s="159">
        <f t="shared" si="0"/>
        <v>27.999999999999989</v>
      </c>
      <c r="K11" s="159">
        <f t="shared" si="0"/>
        <v>35.999999999999986</v>
      </c>
      <c r="L11" s="160">
        <f t="shared" si="0"/>
        <v>279.99999999999989</v>
      </c>
    </row>
    <row r="12" spans="2:12" x14ac:dyDescent="0.2">
      <c r="B12" s="16"/>
      <c r="C12" s="141" t="s">
        <v>918</v>
      </c>
      <c r="D12" s="152">
        <v>6</v>
      </c>
      <c r="E12" s="152">
        <v>7</v>
      </c>
      <c r="F12" s="153">
        <v>7</v>
      </c>
      <c r="G12" s="154">
        <v>80</v>
      </c>
      <c r="H12" s="146">
        <v>10</v>
      </c>
      <c r="I12" s="161">
        <f t="shared" si="1"/>
        <v>60</v>
      </c>
      <c r="J12" s="162">
        <f t="shared" si="0"/>
        <v>70</v>
      </c>
      <c r="K12" s="162">
        <f t="shared" si="0"/>
        <v>70</v>
      </c>
      <c r="L12" s="163">
        <f t="shared" si="0"/>
        <v>800</v>
      </c>
    </row>
    <row r="13" spans="2:12" x14ac:dyDescent="0.2">
      <c r="B13" s="16"/>
      <c r="C13" s="137"/>
      <c r="D13" s="137"/>
      <c r="E13" s="137"/>
      <c r="F13" s="142"/>
      <c r="G13" s="142"/>
      <c r="H13" s="147" t="s">
        <v>59</v>
      </c>
      <c r="I13" s="164">
        <f t="shared" ref="I13:K13" si="2">SUM(I10:I12)</f>
        <v>80</v>
      </c>
      <c r="J13" s="165">
        <f t="shared" si="2"/>
        <v>97.999999999999986</v>
      </c>
      <c r="K13" s="165">
        <f t="shared" si="2"/>
        <v>105.99999999999999</v>
      </c>
      <c r="L13" s="166">
        <f>SUM(L10:L12)</f>
        <v>1080</v>
      </c>
    </row>
    <row r="14" spans="2:12" x14ac:dyDescent="0.2">
      <c r="B14" s="16"/>
      <c r="C14" s="137"/>
      <c r="D14" s="137"/>
      <c r="E14" s="137"/>
      <c r="F14" s="142"/>
      <c r="G14" s="142"/>
      <c r="H14" s="142"/>
      <c r="I14" s="142"/>
      <c r="J14" s="142"/>
      <c r="K14" s="142"/>
      <c r="L14" s="142"/>
    </row>
    <row r="15" spans="2:12" x14ac:dyDescent="0.2">
      <c r="B15" s="16"/>
      <c r="C15" s="137"/>
      <c r="D15" s="137"/>
      <c r="E15" s="142"/>
      <c r="F15" s="135" t="s">
        <v>919</v>
      </c>
      <c r="G15" s="142"/>
      <c r="H15" s="142"/>
      <c r="I15" s="143">
        <v>80</v>
      </c>
      <c r="J15" s="143">
        <v>100</v>
      </c>
      <c r="K15" s="143">
        <v>120</v>
      </c>
      <c r="L15" s="142"/>
    </row>
  </sheetData>
  <mergeCells count="7">
    <mergeCell ref="B1:C1"/>
    <mergeCell ref="B6:E6"/>
    <mergeCell ref="D8:G8"/>
    <mergeCell ref="I8:L8"/>
    <mergeCell ref="B2:C2"/>
    <mergeCell ref="B3:C3"/>
    <mergeCell ref="B4:C4"/>
  </mergeCells>
  <hyperlinks>
    <hyperlink ref="B6:D6" location="sjabloon!A1" display="Ga naar Inhoudsopgave" xr:uid="{00000000-0004-0000-3C00-000000000000}"/>
    <hyperlink ref="B6:E6" location="Inhoud!A1" display="Ga naar Inhoudsopgave" xr:uid="{00000000-0004-0000-3C00-000001000000}"/>
  </hyperlinks>
  <pageMargins left="0.7" right="0.7" top="0.75" bottom="0.75" header="0.3" footer="0.3"/>
  <pageSetup paperSize="9" orientation="landscape" r:id="rId1"/>
  <drawing r:id="rId2"/>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Blad49"/>
  <dimension ref="B1:L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8.140625" style="4" bestFit="1" customWidth="1"/>
    <col min="5" max="5" width="4.85546875" style="4" bestFit="1" customWidth="1"/>
    <col min="6" max="6" width="3.7109375" style="4" bestFit="1" customWidth="1"/>
    <col min="7" max="7" width="6.5703125" style="4" bestFit="1" customWidth="1"/>
    <col min="8" max="8" width="6.140625" style="4" bestFit="1" customWidth="1"/>
    <col min="9" max="9" width="8.140625" style="4" bestFit="1" customWidth="1"/>
    <col min="10" max="10" width="4.85546875" style="4" bestFit="1" customWidth="1"/>
    <col min="11" max="11" width="3.7109375" style="4" bestFit="1" customWidth="1"/>
    <col min="12" max="12" width="6.5703125" style="4" bestFit="1" customWidth="1"/>
    <col min="13" max="16384" width="9.140625" style="4"/>
  </cols>
  <sheetData>
    <row r="1" spans="2:12" x14ac:dyDescent="0.2">
      <c r="B1" s="355" t="s">
        <v>1253</v>
      </c>
      <c r="C1" s="355"/>
      <c r="D1" s="316" t="s">
        <v>950</v>
      </c>
    </row>
    <row r="2" spans="2:12" x14ac:dyDescent="0.2">
      <c r="B2" s="355" t="s">
        <v>1085</v>
      </c>
      <c r="C2" s="355"/>
      <c r="D2" s="332" t="str">
        <f>VLOOKUP(D$1,TabelContent[],COLUMN(TabelContent[Titel-NL]))</f>
        <v>Productie hondenvoer</v>
      </c>
    </row>
    <row r="3" spans="2:12" x14ac:dyDescent="0.2">
      <c r="B3" s="355" t="s">
        <v>1086</v>
      </c>
      <c r="C3" s="355"/>
      <c r="D3" s="332" t="str">
        <f>VLOOKUP(D$1,TabelContent[],COLUMN(TabelContent[Cat-NL]))</f>
        <v>Oplosser</v>
      </c>
    </row>
    <row r="4" spans="2:12" x14ac:dyDescent="0.2">
      <c r="B4" s="355" t="s">
        <v>1087</v>
      </c>
      <c r="C4" s="355" t="s">
        <v>1077</v>
      </c>
      <c r="D4" s="332">
        <f>VLOOKUP(D$1,TabelContent[],COLUMN(TabelContent[Niveau]))</f>
        <v>2</v>
      </c>
    </row>
    <row r="5" spans="2:12" x14ac:dyDescent="0.2">
      <c r="B5" s="16"/>
      <c r="C5" s="16"/>
      <c r="D5" s="16"/>
      <c r="E5" s="16"/>
    </row>
    <row r="6" spans="2:12" x14ac:dyDescent="0.2">
      <c r="B6" s="356" t="s">
        <v>47</v>
      </c>
      <c r="C6" s="356"/>
      <c r="D6" s="356"/>
      <c r="E6" s="356"/>
    </row>
    <row r="7" spans="2:12" x14ac:dyDescent="0.2">
      <c r="B7" s="16"/>
      <c r="C7" s="16"/>
      <c r="D7" s="16"/>
      <c r="E7" s="16"/>
    </row>
    <row r="8" spans="2:12" x14ac:dyDescent="0.2">
      <c r="B8" s="16"/>
      <c r="C8" s="137"/>
      <c r="D8" s="370" t="s">
        <v>928</v>
      </c>
      <c r="E8" s="371"/>
      <c r="F8" s="371"/>
      <c r="G8" s="368"/>
      <c r="H8" s="138"/>
      <c r="I8" s="372" t="s">
        <v>929</v>
      </c>
      <c r="J8" s="371"/>
      <c r="K8" s="371"/>
      <c r="L8" s="371"/>
    </row>
    <row r="9" spans="2:12" x14ac:dyDescent="0.2">
      <c r="B9" s="16"/>
      <c r="C9" s="139"/>
      <c r="D9" s="148" t="s">
        <v>922</v>
      </c>
      <c r="E9" s="148" t="s">
        <v>923</v>
      </c>
      <c r="F9" s="129" t="s">
        <v>924</v>
      </c>
      <c r="G9" s="129" t="s">
        <v>925</v>
      </c>
      <c r="H9" s="144" t="s">
        <v>628</v>
      </c>
      <c r="I9" s="148" t="s">
        <v>922</v>
      </c>
      <c r="J9" s="148" t="s">
        <v>923</v>
      </c>
      <c r="K9" s="129" t="s">
        <v>924</v>
      </c>
      <c r="L9" s="129" t="s">
        <v>925</v>
      </c>
    </row>
    <row r="10" spans="2:12" x14ac:dyDescent="0.2">
      <c r="B10" s="16"/>
      <c r="C10" s="140" t="s">
        <v>926</v>
      </c>
      <c r="D10" s="149">
        <v>3</v>
      </c>
      <c r="E10" s="149">
        <v>2</v>
      </c>
      <c r="F10" s="150">
        <v>3</v>
      </c>
      <c r="G10" s="151">
        <v>8</v>
      </c>
      <c r="H10" s="145">
        <v>14</v>
      </c>
      <c r="I10" s="158">
        <f>$H10*D10</f>
        <v>42</v>
      </c>
      <c r="J10" s="159">
        <f t="shared" ref="J10:L11" si="0">$H10*E10</f>
        <v>28</v>
      </c>
      <c r="K10" s="159">
        <f t="shared" si="0"/>
        <v>42</v>
      </c>
      <c r="L10" s="160">
        <f t="shared" si="0"/>
        <v>112</v>
      </c>
    </row>
    <row r="11" spans="2:12" x14ac:dyDescent="0.2">
      <c r="B11" s="16"/>
      <c r="C11" s="141" t="s">
        <v>927</v>
      </c>
      <c r="D11" s="152">
        <v>8</v>
      </c>
      <c r="E11" s="152">
        <v>2</v>
      </c>
      <c r="F11" s="153">
        <v>1</v>
      </c>
      <c r="G11" s="154">
        <v>14</v>
      </c>
      <c r="H11" s="146">
        <v>4</v>
      </c>
      <c r="I11" s="161">
        <f t="shared" ref="I11" si="1">$H11*D11</f>
        <v>32</v>
      </c>
      <c r="J11" s="162">
        <f t="shared" si="0"/>
        <v>8</v>
      </c>
      <c r="K11" s="162">
        <f t="shared" si="0"/>
        <v>4</v>
      </c>
      <c r="L11" s="163">
        <f t="shared" si="0"/>
        <v>56</v>
      </c>
    </row>
    <row r="12" spans="2:12" x14ac:dyDescent="0.2">
      <c r="B12" s="16"/>
      <c r="C12" s="137"/>
      <c r="D12" s="137"/>
      <c r="E12" s="137"/>
      <c r="F12" s="142"/>
      <c r="G12" s="142"/>
      <c r="H12" s="147" t="s">
        <v>59</v>
      </c>
      <c r="I12" s="164">
        <f>SUM(I10:I11)</f>
        <v>74</v>
      </c>
      <c r="J12" s="165">
        <f>SUM(J10:J11)</f>
        <v>36</v>
      </c>
      <c r="K12" s="165">
        <f>SUM(K10:K11)</f>
        <v>46</v>
      </c>
      <c r="L12" s="166">
        <f>SUM(L10:L11)</f>
        <v>168</v>
      </c>
    </row>
    <row r="13" spans="2:12" x14ac:dyDescent="0.2">
      <c r="B13" s="16"/>
      <c r="C13" s="137"/>
      <c r="D13" s="137"/>
      <c r="E13" s="137"/>
      <c r="F13" s="142"/>
      <c r="G13" s="142"/>
      <c r="H13" s="142"/>
      <c r="I13" s="142"/>
      <c r="J13" s="142"/>
      <c r="K13" s="142"/>
      <c r="L13" s="142"/>
    </row>
    <row r="14" spans="2:12" x14ac:dyDescent="0.2">
      <c r="E14" s="1" t="s">
        <v>1169</v>
      </c>
      <c r="I14" s="4">
        <v>72</v>
      </c>
      <c r="J14" s="4">
        <v>36</v>
      </c>
      <c r="K14" s="4">
        <v>36</v>
      </c>
    </row>
  </sheetData>
  <mergeCells count="7">
    <mergeCell ref="B1:C1"/>
    <mergeCell ref="B6:E6"/>
    <mergeCell ref="D8:G8"/>
    <mergeCell ref="I8:L8"/>
    <mergeCell ref="B2:C2"/>
    <mergeCell ref="B3:C3"/>
    <mergeCell ref="B4:C4"/>
  </mergeCells>
  <hyperlinks>
    <hyperlink ref="B6:D6" location="sjabloon!A1" display="Ga naar Inhoudsopgave" xr:uid="{00000000-0004-0000-3D00-000000000000}"/>
    <hyperlink ref="B6:E6" location="Inhoud!A1" display="Ga naar Inhoudsopgave" xr:uid="{00000000-0004-0000-3D00-000001000000}"/>
  </hyperlinks>
  <pageMargins left="0.7" right="0.7" top="0.75" bottom="0.75" header="0.3" footer="0.3"/>
  <pageSetup paperSize="9" orientation="landscape" r:id="rId1"/>
  <drawing r:id="rId2"/>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Blad50"/>
  <dimension ref="B1:L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5.85546875" style="4" bestFit="1" customWidth="1"/>
    <col min="5" max="5" width="10.7109375" style="4" bestFit="1" customWidth="1"/>
    <col min="6" max="6" width="9" style="4" customWidth="1"/>
    <col min="7" max="8" width="6.7109375" style="4" customWidth="1"/>
    <col min="9" max="9" width="5.85546875" style="4" bestFit="1" customWidth="1"/>
    <col min="10" max="10" width="10.7109375" style="4" bestFit="1" customWidth="1"/>
    <col min="11" max="11" width="9" style="4" customWidth="1"/>
    <col min="12" max="12" width="6.7109375" style="4" customWidth="1"/>
    <col min="13" max="16384" width="9.140625" style="4"/>
  </cols>
  <sheetData>
    <row r="1" spans="2:12" x14ac:dyDescent="0.2">
      <c r="B1" s="355" t="s">
        <v>1253</v>
      </c>
      <c r="C1" s="355"/>
      <c r="D1" s="316" t="s">
        <v>951</v>
      </c>
    </row>
    <row r="2" spans="2:12" x14ac:dyDescent="0.2">
      <c r="B2" s="355" t="s">
        <v>1085</v>
      </c>
      <c r="C2" s="355"/>
      <c r="D2" s="332" t="str">
        <f>VLOOKUP(D$1,TabelContent[],COLUMN(TabelContent[Titel-NL]))</f>
        <v>Vitamines in veevoer</v>
      </c>
    </row>
    <row r="3" spans="2:12" x14ac:dyDescent="0.2">
      <c r="B3" s="355" t="s">
        <v>1086</v>
      </c>
      <c r="C3" s="355"/>
      <c r="D3" s="332" t="str">
        <f>VLOOKUP(D$1,TabelContent[],COLUMN(TabelContent[Cat-NL]))</f>
        <v>Oplosser</v>
      </c>
    </row>
    <row r="4" spans="2:12" x14ac:dyDescent="0.2">
      <c r="B4" s="355" t="s">
        <v>1087</v>
      </c>
      <c r="C4" s="355" t="s">
        <v>1077</v>
      </c>
      <c r="D4" s="332">
        <f>VLOOKUP(D$1,TabelContent[],COLUMN(TabelContent[Niveau]))</f>
        <v>3</v>
      </c>
    </row>
    <row r="5" spans="2:12" x14ac:dyDescent="0.2">
      <c r="B5" s="16"/>
      <c r="C5" s="16"/>
      <c r="D5" s="16"/>
      <c r="E5" s="16"/>
    </row>
    <row r="6" spans="2:12" x14ac:dyDescent="0.2">
      <c r="B6" s="356" t="s">
        <v>47</v>
      </c>
      <c r="C6" s="356"/>
      <c r="D6" s="356"/>
      <c r="E6" s="356"/>
    </row>
    <row r="7" spans="2:12" x14ac:dyDescent="0.2">
      <c r="B7" s="16"/>
      <c r="C7" s="16"/>
      <c r="D7" s="16"/>
      <c r="E7" s="16"/>
    </row>
    <row r="8" spans="2:12" x14ac:dyDescent="0.2">
      <c r="B8" s="16"/>
      <c r="C8" s="137"/>
      <c r="D8" s="370" t="s">
        <v>930</v>
      </c>
      <c r="E8" s="371"/>
      <c r="F8" s="371"/>
      <c r="G8" s="368"/>
      <c r="H8" s="138"/>
      <c r="I8" s="372" t="s">
        <v>912</v>
      </c>
      <c r="J8" s="371"/>
      <c r="K8" s="371"/>
      <c r="L8" s="371"/>
    </row>
    <row r="9" spans="2:12" ht="21.75" x14ac:dyDescent="0.2">
      <c r="B9" s="16"/>
      <c r="C9" s="169"/>
      <c r="D9" s="132" t="s">
        <v>931</v>
      </c>
      <c r="E9" s="132" t="s">
        <v>932</v>
      </c>
      <c r="F9" s="132" t="s">
        <v>933</v>
      </c>
      <c r="G9" s="134" t="s">
        <v>1</v>
      </c>
      <c r="H9" s="167" t="s">
        <v>934</v>
      </c>
      <c r="I9" s="132" t="s">
        <v>931</v>
      </c>
      <c r="J9" s="132" t="s">
        <v>932</v>
      </c>
      <c r="K9" s="132" t="s">
        <v>933</v>
      </c>
      <c r="L9" s="168" t="s">
        <v>1</v>
      </c>
    </row>
    <row r="10" spans="2:12" x14ac:dyDescent="0.2">
      <c r="B10" s="16"/>
      <c r="C10" s="140" t="s">
        <v>916</v>
      </c>
      <c r="D10" s="149">
        <v>16</v>
      </c>
      <c r="E10" s="149">
        <v>18</v>
      </c>
      <c r="F10" s="150">
        <v>2</v>
      </c>
      <c r="G10" s="170">
        <v>5.4</v>
      </c>
      <c r="H10" s="175">
        <v>7.5</v>
      </c>
      <c r="I10" s="158">
        <f>$H10*D10</f>
        <v>120</v>
      </c>
      <c r="J10" s="159">
        <f t="shared" ref="J10:L12" si="0">$H10*E10</f>
        <v>135</v>
      </c>
      <c r="K10" s="159">
        <f t="shared" si="0"/>
        <v>15</v>
      </c>
      <c r="L10" s="172">
        <f t="shared" si="0"/>
        <v>40.5</v>
      </c>
    </row>
    <row r="11" spans="2:12" x14ac:dyDescent="0.2">
      <c r="B11" s="16"/>
      <c r="C11" s="140" t="s">
        <v>917</v>
      </c>
      <c r="D11" s="149">
        <v>4</v>
      </c>
      <c r="E11" s="149">
        <v>22</v>
      </c>
      <c r="F11" s="150">
        <v>20</v>
      </c>
      <c r="G11" s="170">
        <v>12.6</v>
      </c>
      <c r="H11" s="175">
        <v>1.3970588235294112</v>
      </c>
      <c r="I11" s="158">
        <f t="shared" ref="I11:I12" si="1">$H11*D11</f>
        <v>5.588235294117645</v>
      </c>
      <c r="J11" s="159">
        <f t="shared" si="0"/>
        <v>30.735294117647047</v>
      </c>
      <c r="K11" s="159">
        <f t="shared" si="0"/>
        <v>27.941176470588225</v>
      </c>
      <c r="L11" s="172">
        <f t="shared" si="0"/>
        <v>17.60294117647058</v>
      </c>
    </row>
    <row r="12" spans="2:12" x14ac:dyDescent="0.2">
      <c r="B12" s="16"/>
      <c r="C12" s="141" t="s">
        <v>918</v>
      </c>
      <c r="D12" s="152">
        <v>40</v>
      </c>
      <c r="E12" s="152">
        <v>10</v>
      </c>
      <c r="F12" s="153">
        <v>40</v>
      </c>
      <c r="G12" s="171">
        <v>7.2</v>
      </c>
      <c r="H12" s="176">
        <v>1.4264705882352942</v>
      </c>
      <c r="I12" s="161">
        <f t="shared" si="1"/>
        <v>57.058823529411768</v>
      </c>
      <c r="J12" s="162">
        <f t="shared" si="0"/>
        <v>14.264705882352942</v>
      </c>
      <c r="K12" s="162">
        <f t="shared" si="0"/>
        <v>57.058823529411768</v>
      </c>
      <c r="L12" s="173">
        <f t="shared" si="0"/>
        <v>10.270588235294118</v>
      </c>
    </row>
    <row r="13" spans="2:12" x14ac:dyDescent="0.2">
      <c r="B13" s="16"/>
      <c r="C13" s="137"/>
      <c r="D13" s="137"/>
      <c r="E13" s="137"/>
      <c r="F13" s="142"/>
      <c r="G13" s="142"/>
      <c r="H13" s="147" t="s">
        <v>59</v>
      </c>
      <c r="I13" s="164">
        <f t="shared" ref="I13:K13" si="2">SUM(I10:I12)</f>
        <v>182.64705882352942</v>
      </c>
      <c r="J13" s="165">
        <f t="shared" si="2"/>
        <v>180</v>
      </c>
      <c r="K13" s="165">
        <f t="shared" si="2"/>
        <v>100</v>
      </c>
      <c r="L13" s="174">
        <f>SUM(L10:L12)</f>
        <v>68.373529411764693</v>
      </c>
    </row>
    <row r="14" spans="2:12" x14ac:dyDescent="0.2">
      <c r="B14" s="16"/>
      <c r="C14" s="137"/>
      <c r="D14" s="137"/>
      <c r="E14" s="137"/>
      <c r="F14" s="142"/>
      <c r="G14" s="142"/>
      <c r="H14" s="142"/>
      <c r="I14" s="142"/>
      <c r="J14" s="142"/>
      <c r="K14" s="142"/>
      <c r="L14" s="142"/>
    </row>
    <row r="15" spans="2:12" x14ac:dyDescent="0.2">
      <c r="C15" s="143" t="s">
        <v>941</v>
      </c>
      <c r="D15" s="142"/>
      <c r="E15" s="142"/>
    </row>
    <row r="16" spans="2:12" x14ac:dyDescent="0.2">
      <c r="C16" s="142" t="s">
        <v>935</v>
      </c>
      <c r="D16" s="142">
        <v>120</v>
      </c>
      <c r="E16" s="142" t="s">
        <v>632</v>
      </c>
    </row>
    <row r="17" spans="3:5" x14ac:dyDescent="0.2">
      <c r="C17" s="142" t="s">
        <v>936</v>
      </c>
      <c r="D17" s="142">
        <v>180</v>
      </c>
      <c r="E17" s="142" t="s">
        <v>632</v>
      </c>
    </row>
    <row r="18" spans="3:5" x14ac:dyDescent="0.2">
      <c r="C18" s="142" t="s">
        <v>937</v>
      </c>
      <c r="D18" s="142">
        <v>100</v>
      </c>
      <c r="E18" s="142" t="s">
        <v>632</v>
      </c>
    </row>
    <row r="19" spans="3:5" x14ac:dyDescent="0.2">
      <c r="C19" s="142" t="s">
        <v>938</v>
      </c>
      <c r="D19" s="142">
        <v>7.5</v>
      </c>
      <c r="E19" s="142" t="s">
        <v>633</v>
      </c>
    </row>
    <row r="20" spans="3:5" x14ac:dyDescent="0.2">
      <c r="C20" s="142" t="s">
        <v>939</v>
      </c>
      <c r="D20" s="142">
        <v>5</v>
      </c>
      <c r="E20" s="142" t="s">
        <v>633</v>
      </c>
    </row>
    <row r="21" spans="3:5" x14ac:dyDescent="0.2">
      <c r="C21" s="142" t="s">
        <v>940</v>
      </c>
      <c r="D21" s="142">
        <v>2.5</v>
      </c>
      <c r="E21" s="142" t="s">
        <v>633</v>
      </c>
    </row>
  </sheetData>
  <mergeCells count="7">
    <mergeCell ref="B1:C1"/>
    <mergeCell ref="B6:E6"/>
    <mergeCell ref="D8:G8"/>
    <mergeCell ref="I8:L8"/>
    <mergeCell ref="B2:C2"/>
    <mergeCell ref="B3:C3"/>
    <mergeCell ref="B4:C4"/>
  </mergeCells>
  <hyperlinks>
    <hyperlink ref="B6:D6" location="sjabloon!A1" display="Ga naar Inhoudsopgave" xr:uid="{00000000-0004-0000-3E00-000000000000}"/>
    <hyperlink ref="B6:E6" location="Inhoud!A1" display="Ga naar Inhoudsopgave" xr:uid="{00000000-0004-0000-3E00-000001000000}"/>
  </hyperlinks>
  <pageMargins left="0.7" right="0.7" top="0.75" bottom="0.75" header="0.3" footer="0.3"/>
  <pageSetup paperSize="9" orientation="landscape" r:id="rId1"/>
  <drawing r:id="rId2"/>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Blad51"/>
  <dimension ref="B1:J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5" width="6.42578125" style="4" bestFit="1" customWidth="1"/>
    <col min="6" max="6" width="6.5703125" style="4" bestFit="1" customWidth="1"/>
    <col min="7" max="7" width="6.140625" style="4" bestFit="1" customWidth="1"/>
    <col min="8" max="9" width="6.42578125" style="4" bestFit="1" customWidth="1"/>
    <col min="10" max="10" width="6.5703125" style="4" bestFit="1" customWidth="1"/>
    <col min="11" max="16384" width="9.140625" style="4"/>
  </cols>
  <sheetData>
    <row r="1" spans="2:10" x14ac:dyDescent="0.2">
      <c r="B1" s="355" t="s">
        <v>1253</v>
      </c>
      <c r="C1" s="355"/>
      <c r="D1" s="316" t="s">
        <v>952</v>
      </c>
    </row>
    <row r="2" spans="2:10" x14ac:dyDescent="0.2">
      <c r="B2" s="355" t="s">
        <v>1085</v>
      </c>
      <c r="C2" s="355"/>
      <c r="D2" s="332" t="str">
        <f>VLOOKUP(D$1,TabelContent[],COLUMN(TabelContent[Titel-NL]))</f>
        <v>Vitaminetabletten</v>
      </c>
    </row>
    <row r="3" spans="2:10" x14ac:dyDescent="0.2">
      <c r="B3" s="355" t="s">
        <v>1086</v>
      </c>
      <c r="C3" s="355"/>
      <c r="D3" s="332" t="str">
        <f>VLOOKUP(D$1,TabelContent[],COLUMN(TabelContent[Cat-NL]))</f>
        <v>Oplosser</v>
      </c>
    </row>
    <row r="4" spans="2:10" x14ac:dyDescent="0.2">
      <c r="B4" s="355" t="s">
        <v>1087</v>
      </c>
      <c r="C4" s="355" t="s">
        <v>1077</v>
      </c>
      <c r="D4" s="332">
        <f>VLOOKUP(D$1,TabelContent[],COLUMN(TabelContent[Niveau]))</f>
        <v>2</v>
      </c>
    </row>
    <row r="5" spans="2:10" x14ac:dyDescent="0.2">
      <c r="B5" s="16"/>
      <c r="C5" s="16"/>
      <c r="D5" s="16"/>
    </row>
    <row r="6" spans="2:10" x14ac:dyDescent="0.2">
      <c r="B6" s="356" t="s">
        <v>47</v>
      </c>
      <c r="C6" s="356"/>
      <c r="D6" s="356"/>
    </row>
    <row r="7" spans="2:10" x14ac:dyDescent="0.2">
      <c r="B7" s="16"/>
      <c r="C7" s="16"/>
      <c r="D7" s="16"/>
    </row>
    <row r="8" spans="2:10" x14ac:dyDescent="0.2">
      <c r="B8" s="16"/>
      <c r="C8" s="137"/>
      <c r="D8" s="370" t="s">
        <v>943</v>
      </c>
      <c r="E8" s="371"/>
      <c r="F8" s="368"/>
      <c r="G8" s="138"/>
      <c r="H8" s="372" t="s">
        <v>944</v>
      </c>
      <c r="I8" s="371"/>
      <c r="J8" s="371"/>
    </row>
    <row r="9" spans="2:10" ht="21.75" x14ac:dyDescent="0.2">
      <c r="B9" s="16"/>
      <c r="C9" s="169"/>
      <c r="D9" s="132" t="s">
        <v>947</v>
      </c>
      <c r="E9" s="132" t="s">
        <v>948</v>
      </c>
      <c r="F9" s="134" t="s">
        <v>1</v>
      </c>
      <c r="G9" s="167" t="s">
        <v>628</v>
      </c>
      <c r="H9" s="132" t="s">
        <v>947</v>
      </c>
      <c r="I9" s="132" t="s">
        <v>948</v>
      </c>
      <c r="J9" s="168" t="s">
        <v>1</v>
      </c>
    </row>
    <row r="10" spans="2:10" x14ac:dyDescent="0.2">
      <c r="B10" s="16"/>
      <c r="C10" s="177" t="s">
        <v>945</v>
      </c>
      <c r="D10" s="149">
        <v>75</v>
      </c>
      <c r="E10" s="150">
        <v>100</v>
      </c>
      <c r="F10" s="170">
        <v>0.1</v>
      </c>
      <c r="G10" s="179">
        <v>3.9999999999999996</v>
      </c>
      <c r="H10" s="158">
        <f t="shared" ref="H10:J11" si="0">$G10*D10</f>
        <v>299.99999999999994</v>
      </c>
      <c r="I10" s="159">
        <f t="shared" si="0"/>
        <v>399.99999999999994</v>
      </c>
      <c r="J10" s="172">
        <f t="shared" si="0"/>
        <v>0.39999999999999997</v>
      </c>
    </row>
    <row r="11" spans="2:10" x14ac:dyDescent="0.2">
      <c r="B11" s="16"/>
      <c r="C11" s="178" t="s">
        <v>946</v>
      </c>
      <c r="D11" s="152">
        <v>50</v>
      </c>
      <c r="E11" s="153">
        <v>200</v>
      </c>
      <c r="F11" s="171">
        <v>0.08</v>
      </c>
      <c r="G11" s="180">
        <v>1.9999999999999998</v>
      </c>
      <c r="H11" s="161">
        <f t="shared" si="0"/>
        <v>99.999999999999986</v>
      </c>
      <c r="I11" s="162">
        <f t="shared" si="0"/>
        <v>399.99999999999994</v>
      </c>
      <c r="J11" s="173">
        <f t="shared" si="0"/>
        <v>0.15999999999999998</v>
      </c>
    </row>
    <row r="12" spans="2:10" x14ac:dyDescent="0.2">
      <c r="B12" s="16"/>
      <c r="C12" s="137"/>
      <c r="D12" s="137"/>
      <c r="E12" s="142"/>
      <c r="F12" s="142"/>
      <c r="G12" s="147" t="s">
        <v>59</v>
      </c>
      <c r="H12" s="164">
        <f>SUM(H10:H11)</f>
        <v>399.99999999999994</v>
      </c>
      <c r="I12" s="165">
        <f>SUM(I10:I11)</f>
        <v>799.99999999999989</v>
      </c>
      <c r="J12" s="174">
        <f>SUM(J10:J11)</f>
        <v>0.55999999999999994</v>
      </c>
    </row>
    <row r="13" spans="2:10" x14ac:dyDescent="0.2">
      <c r="B13" s="16"/>
      <c r="C13" s="137"/>
      <c r="D13" s="137"/>
      <c r="E13" s="142"/>
      <c r="F13" s="142"/>
      <c r="G13" s="142"/>
      <c r="H13" s="142"/>
      <c r="I13" s="142"/>
      <c r="J13" s="142"/>
    </row>
    <row r="14" spans="2:10" x14ac:dyDescent="0.2">
      <c r="B14" s="16"/>
      <c r="D14" s="16" t="s">
        <v>949</v>
      </c>
      <c r="H14" s="4">
        <v>400</v>
      </c>
      <c r="I14" s="4">
        <v>800</v>
      </c>
    </row>
  </sheetData>
  <mergeCells count="7">
    <mergeCell ref="B1:C1"/>
    <mergeCell ref="B6:D6"/>
    <mergeCell ref="D8:F8"/>
    <mergeCell ref="H8:J8"/>
    <mergeCell ref="B2:C2"/>
    <mergeCell ref="B3:C3"/>
    <mergeCell ref="B4:C4"/>
  </mergeCells>
  <hyperlinks>
    <hyperlink ref="B6:D6" location="Inhoud!A1" display="Ga naar Inhoudsopgave" xr:uid="{00000000-0004-0000-3F00-000000000000}"/>
  </hyperlinks>
  <pageMargins left="0.7" right="0.7" top="0.75" bottom="0.75" header="0.3" footer="0.3"/>
  <pageSetup paperSize="9" orientation="landscape" r:id="rId1"/>
  <drawing r:id="rId2"/>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Blad52"/>
  <dimension ref="B1:J2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2.85546875" style="4" customWidth="1"/>
    <col min="5" max="5" width="11.140625" style="4" bestFit="1" customWidth="1"/>
    <col min="6" max="6" width="8.140625" style="4" bestFit="1" customWidth="1"/>
    <col min="7" max="7" width="9.7109375" style="4" bestFit="1" customWidth="1"/>
    <col min="8" max="8" width="9.140625" style="4"/>
    <col min="9" max="9" width="9.140625" style="4" bestFit="1" customWidth="1"/>
    <col min="10" max="10" width="5.140625" style="4" bestFit="1" customWidth="1"/>
    <col min="11" max="16384" width="9.140625" style="4"/>
  </cols>
  <sheetData>
    <row r="1" spans="2:10" x14ac:dyDescent="0.2">
      <c r="B1" s="355" t="s">
        <v>1253</v>
      </c>
      <c r="C1" s="355"/>
      <c r="D1" s="316" t="s">
        <v>1003</v>
      </c>
    </row>
    <row r="2" spans="2:10" x14ac:dyDescent="0.2">
      <c r="B2" s="355" t="s">
        <v>1085</v>
      </c>
      <c r="C2" s="355"/>
      <c r="D2" s="332" t="str">
        <f>VLOOKUP(D$1,TabelContent[],COLUMN(TabelContent[Titel-NL]))</f>
        <v>Transportkosten minimaliseren</v>
      </c>
    </row>
    <row r="3" spans="2:10" x14ac:dyDescent="0.2">
      <c r="B3" s="355" t="s">
        <v>1086</v>
      </c>
      <c r="C3" s="355"/>
      <c r="D3" s="332" t="str">
        <f>VLOOKUP(D$1,TabelContent[],COLUMN(TabelContent[Cat-NL]))</f>
        <v>Oplosser</v>
      </c>
    </row>
    <row r="4" spans="2:10" x14ac:dyDescent="0.2">
      <c r="B4" s="355" t="s">
        <v>1087</v>
      </c>
      <c r="C4" s="355" t="s">
        <v>1077</v>
      </c>
      <c r="D4" s="332">
        <f>VLOOKUP(D$1,TabelContent[],COLUMN(TabelContent[Niveau]))</f>
        <v>3</v>
      </c>
    </row>
    <row r="5" spans="2:10" x14ac:dyDescent="0.2">
      <c r="B5" s="16"/>
      <c r="C5" s="16"/>
      <c r="D5" s="16"/>
      <c r="E5" s="16"/>
    </row>
    <row r="6" spans="2:10" x14ac:dyDescent="0.2">
      <c r="B6" s="356" t="s">
        <v>47</v>
      </c>
      <c r="C6" s="356"/>
      <c r="D6" s="356"/>
      <c r="E6" s="356"/>
    </row>
    <row r="7" spans="2:10" x14ac:dyDescent="0.2">
      <c r="B7" s="16"/>
      <c r="C7" s="16"/>
      <c r="D7" s="16"/>
      <c r="E7" s="16"/>
    </row>
    <row r="8" spans="2:10" x14ac:dyDescent="0.2">
      <c r="B8" s="16"/>
      <c r="D8" s="182"/>
      <c r="E8" s="183"/>
      <c r="F8" s="184" t="s">
        <v>954</v>
      </c>
      <c r="G8" s="184" t="s">
        <v>955</v>
      </c>
      <c r="H8" s="185" t="s">
        <v>956</v>
      </c>
      <c r="I8" s="182"/>
      <c r="J8" s="182"/>
    </row>
    <row r="9" spans="2:10" x14ac:dyDescent="0.2">
      <c r="B9" s="16"/>
      <c r="D9" s="182"/>
      <c r="E9" s="186" t="s">
        <v>957</v>
      </c>
      <c r="F9" s="187">
        <v>100</v>
      </c>
      <c r="G9" s="187">
        <v>87</v>
      </c>
      <c r="H9" s="188">
        <v>46</v>
      </c>
      <c r="I9" s="182"/>
      <c r="J9" s="182"/>
    </row>
    <row r="10" spans="2:10" x14ac:dyDescent="0.2">
      <c r="B10" s="16"/>
      <c r="D10" s="182"/>
      <c r="E10" s="186" t="s">
        <v>958</v>
      </c>
      <c r="F10" s="187">
        <v>164</v>
      </c>
      <c r="G10" s="187">
        <v>62</v>
      </c>
      <c r="H10" s="188">
        <v>115</v>
      </c>
      <c r="I10" s="182"/>
      <c r="J10" s="182"/>
    </row>
    <row r="11" spans="2:10" x14ac:dyDescent="0.2">
      <c r="B11" s="16"/>
      <c r="D11" s="182"/>
      <c r="E11" s="186" t="s">
        <v>959</v>
      </c>
      <c r="F11" s="189">
        <v>38</v>
      </c>
      <c r="G11" s="189">
        <v>128</v>
      </c>
      <c r="H11" s="188">
        <v>28</v>
      </c>
      <c r="I11" s="182"/>
      <c r="J11" s="182"/>
    </row>
    <row r="12" spans="2:10" x14ac:dyDescent="0.2">
      <c r="B12" s="16"/>
      <c r="D12" s="182"/>
      <c r="E12" s="186" t="s">
        <v>960</v>
      </c>
      <c r="F12" s="187">
        <v>57</v>
      </c>
      <c r="G12" s="187">
        <v>121</v>
      </c>
      <c r="H12" s="188">
        <v>30</v>
      </c>
      <c r="I12" s="182"/>
      <c r="J12" s="182"/>
    </row>
    <row r="13" spans="2:10" x14ac:dyDescent="0.2">
      <c r="B13" s="16"/>
      <c r="D13" s="182"/>
      <c r="E13" s="186" t="s">
        <v>961</v>
      </c>
      <c r="F13" s="187">
        <v>108</v>
      </c>
      <c r="G13" s="187">
        <v>58</v>
      </c>
      <c r="H13" s="188">
        <v>47</v>
      </c>
      <c r="I13" s="182"/>
      <c r="J13" s="182"/>
    </row>
    <row r="14" spans="2:10" x14ac:dyDescent="0.2">
      <c r="B14" s="16"/>
      <c r="D14" s="182"/>
      <c r="E14" s="190" t="s">
        <v>962</v>
      </c>
      <c r="F14" s="191">
        <v>83</v>
      </c>
      <c r="G14" s="191">
        <v>149</v>
      </c>
      <c r="H14" s="192">
        <v>66</v>
      </c>
      <c r="I14" s="182"/>
      <c r="J14" s="182"/>
    </row>
    <row r="15" spans="2:10" x14ac:dyDescent="0.2">
      <c r="B15" s="16"/>
      <c r="D15" s="182"/>
      <c r="E15" s="182"/>
      <c r="F15" s="182"/>
      <c r="G15" s="182"/>
      <c r="H15" s="182"/>
      <c r="I15" s="182"/>
      <c r="J15" s="182"/>
    </row>
    <row r="16" spans="2:10" x14ac:dyDescent="0.2">
      <c r="D16" s="193"/>
      <c r="E16" s="194" t="s">
        <v>688</v>
      </c>
      <c r="F16" s="195" t="s">
        <v>963</v>
      </c>
      <c r="G16" s="196"/>
      <c r="H16" s="197"/>
      <c r="I16" s="198" t="s">
        <v>964</v>
      </c>
      <c r="J16" s="199"/>
    </row>
    <row r="17" spans="4:10" x14ac:dyDescent="0.2">
      <c r="D17" s="200" t="s">
        <v>965</v>
      </c>
      <c r="E17" s="201" t="s">
        <v>966</v>
      </c>
      <c r="F17" s="202" t="s">
        <v>954</v>
      </c>
      <c r="G17" s="203" t="s">
        <v>955</v>
      </c>
      <c r="H17" s="203" t="s">
        <v>956</v>
      </c>
      <c r="I17" s="204" t="s">
        <v>967</v>
      </c>
      <c r="J17" s="182"/>
    </row>
    <row r="18" spans="4:10" x14ac:dyDescent="0.2">
      <c r="D18" s="205" t="s">
        <v>957</v>
      </c>
      <c r="E18" s="206">
        <v>225</v>
      </c>
      <c r="F18" s="218">
        <v>0</v>
      </c>
      <c r="G18" s="219">
        <v>0</v>
      </c>
      <c r="H18" s="219">
        <v>225.000001</v>
      </c>
      <c r="I18" s="224">
        <f>SUM(F18:H18)</f>
        <v>225.000001</v>
      </c>
      <c r="J18" s="182"/>
    </row>
    <row r="19" spans="4:10" x14ac:dyDescent="0.2">
      <c r="D19" s="205" t="s">
        <v>958</v>
      </c>
      <c r="E19" s="206">
        <v>120</v>
      </c>
      <c r="F19" s="218">
        <v>0</v>
      </c>
      <c r="G19" s="219">
        <v>119.99999999999997</v>
      </c>
      <c r="H19" s="219">
        <v>0</v>
      </c>
      <c r="I19" s="224">
        <f t="shared" ref="I19:I22" si="0">SUM(F19:H19)</f>
        <v>119.99999999999997</v>
      </c>
      <c r="J19" s="182"/>
    </row>
    <row r="20" spans="4:10" x14ac:dyDescent="0.2">
      <c r="D20" s="205" t="s">
        <v>959</v>
      </c>
      <c r="E20" s="206">
        <v>150</v>
      </c>
      <c r="F20" s="218">
        <v>150</v>
      </c>
      <c r="G20" s="219">
        <v>0</v>
      </c>
      <c r="H20" s="219">
        <v>0</v>
      </c>
      <c r="I20" s="224">
        <f t="shared" si="0"/>
        <v>150</v>
      </c>
      <c r="J20" s="182"/>
    </row>
    <row r="21" spans="4:10" x14ac:dyDescent="0.2">
      <c r="D21" s="205" t="s">
        <v>960</v>
      </c>
      <c r="E21" s="206">
        <v>100</v>
      </c>
      <c r="F21" s="218">
        <v>0</v>
      </c>
      <c r="G21" s="219">
        <v>0</v>
      </c>
      <c r="H21" s="219">
        <v>100.00000000000006</v>
      </c>
      <c r="I21" s="224">
        <f t="shared" si="0"/>
        <v>100.00000000000006</v>
      </c>
      <c r="J21" s="182"/>
    </row>
    <row r="22" spans="4:10" x14ac:dyDescent="0.2">
      <c r="D22" s="205" t="s">
        <v>961</v>
      </c>
      <c r="E22" s="206">
        <v>150</v>
      </c>
      <c r="F22" s="218">
        <v>0</v>
      </c>
      <c r="G22" s="219">
        <v>150.00000000000003</v>
      </c>
      <c r="H22" s="219">
        <v>0</v>
      </c>
      <c r="I22" s="224">
        <f t="shared" si="0"/>
        <v>150.00000000000003</v>
      </c>
      <c r="J22" s="182"/>
    </row>
    <row r="23" spans="4:10" x14ac:dyDescent="0.2">
      <c r="D23" s="207" t="s">
        <v>962</v>
      </c>
      <c r="E23" s="208">
        <v>250</v>
      </c>
      <c r="F23" s="220">
        <v>225</v>
      </c>
      <c r="G23" s="221">
        <v>0</v>
      </c>
      <c r="H23" s="221">
        <v>24.999999065978603</v>
      </c>
      <c r="I23" s="225">
        <f>SUM(F23:H23)</f>
        <v>249.99999906597861</v>
      </c>
      <c r="J23" s="182"/>
    </row>
    <row r="24" spans="4:10" x14ac:dyDescent="0.2">
      <c r="D24" s="207" t="s">
        <v>123</v>
      </c>
      <c r="E24" s="208">
        <f>SUM(E18:E23)</f>
        <v>995</v>
      </c>
      <c r="F24" s="222">
        <f>SUM(F18:F23)</f>
        <v>375</v>
      </c>
      <c r="G24" s="223">
        <f>SUM(G18:G23)</f>
        <v>270</v>
      </c>
      <c r="H24" s="223">
        <f>SUM(H18:H23)</f>
        <v>350.00000006597867</v>
      </c>
      <c r="I24" s="225">
        <f>SUM(I18:I23)</f>
        <v>995.00000006597872</v>
      </c>
      <c r="J24" s="209"/>
    </row>
    <row r="25" spans="4:10" x14ac:dyDescent="0.2">
      <c r="D25" s="182"/>
      <c r="E25" s="182"/>
      <c r="F25" s="182"/>
      <c r="G25" s="182"/>
      <c r="H25" s="182"/>
      <c r="I25" s="182"/>
      <c r="J25" s="182"/>
    </row>
    <row r="26" spans="4:10" x14ac:dyDescent="0.2">
      <c r="D26" s="210" t="s">
        <v>968</v>
      </c>
      <c r="E26" s="211"/>
      <c r="F26" s="226">
        <v>500</v>
      </c>
      <c r="G26" s="226">
        <v>400</v>
      </c>
      <c r="H26" s="227">
        <v>350</v>
      </c>
      <c r="I26" s="209"/>
      <c r="J26" s="182"/>
    </row>
    <row r="27" spans="4:10" x14ac:dyDescent="0.2">
      <c r="D27" s="207" t="s">
        <v>969</v>
      </c>
      <c r="E27" s="212"/>
      <c r="F27" s="228">
        <f>F26-F24</f>
        <v>125</v>
      </c>
      <c r="G27" s="228">
        <f>G26-G24</f>
        <v>130</v>
      </c>
      <c r="H27" s="229">
        <f>H26-H24</f>
        <v>-6.597866786250961E-8</v>
      </c>
      <c r="I27" s="209"/>
      <c r="J27" s="213"/>
    </row>
    <row r="28" spans="4:10" x14ac:dyDescent="0.2">
      <c r="D28" s="182"/>
      <c r="E28" s="182"/>
      <c r="F28" s="182"/>
      <c r="G28" s="182"/>
      <c r="H28" s="182"/>
      <c r="I28" s="182"/>
      <c r="J28" s="182"/>
    </row>
    <row r="29" spans="4:10" x14ac:dyDescent="0.2">
      <c r="D29" s="214" t="s">
        <v>970</v>
      </c>
      <c r="E29" s="215"/>
      <c r="F29" s="216">
        <f>SUMPRODUCT(F9:F14,F18:F23)</f>
        <v>24375</v>
      </c>
      <c r="G29" s="216">
        <f t="shared" ref="G29:H29" si="1">SUMPRODUCT(G9:G14,G18:G23)</f>
        <v>16140</v>
      </c>
      <c r="H29" s="216">
        <f t="shared" si="1"/>
        <v>14999.999984354588</v>
      </c>
      <c r="I29" s="216">
        <f>SUM(F29:H29)</f>
        <v>55514.999984354588</v>
      </c>
      <c r="J29" s="217" t="s">
        <v>123</v>
      </c>
    </row>
  </sheetData>
  <mergeCells count="5">
    <mergeCell ref="B6:E6"/>
    <mergeCell ref="B2:C2"/>
    <mergeCell ref="B3:C3"/>
    <mergeCell ref="B4:C4"/>
    <mergeCell ref="B1:C1"/>
  </mergeCells>
  <hyperlinks>
    <hyperlink ref="B6:D6" location="sjabloon!A1" display="Ga naar Inhoudsopgave" xr:uid="{00000000-0004-0000-4000-000000000000}"/>
    <hyperlink ref="B6:E6" location="Inhoud!A1" display="Ga naar Inhoudsopgave" xr:uid="{00000000-0004-0000-4000-000001000000}"/>
  </hyperlinks>
  <pageMargins left="0.7" right="0.7" top="0.75" bottom="0.75" header="0.3" footer="0.3"/>
  <pageSetup paperSize="9" orientation="landscape" r:id="rId1"/>
  <drawing r:id="rId2"/>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Blad53"/>
  <dimension ref="B1:M1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2.28515625" style="4" customWidth="1"/>
    <col min="5" max="9" width="7.28515625" style="4" customWidth="1"/>
    <col min="10" max="10" width="10" style="4" bestFit="1" customWidth="1"/>
    <col min="11" max="11" width="12.7109375" style="4" bestFit="1" customWidth="1"/>
    <col min="12" max="12" width="9.28515625" style="4" bestFit="1" customWidth="1"/>
    <col min="13" max="13" width="12.28515625" style="4" bestFit="1" customWidth="1"/>
    <col min="14" max="16384" width="9.140625" style="4"/>
  </cols>
  <sheetData>
    <row r="1" spans="2:13" x14ac:dyDescent="0.2">
      <c r="B1" s="355" t="s">
        <v>1253</v>
      </c>
      <c r="C1" s="355"/>
      <c r="D1" s="316" t="s">
        <v>1004</v>
      </c>
    </row>
    <row r="2" spans="2:13" x14ac:dyDescent="0.2">
      <c r="B2" s="355" t="s">
        <v>1085</v>
      </c>
      <c r="C2" s="355"/>
      <c r="D2" s="332" t="str">
        <f>VLOOKUP(D$1,TabelContent[],COLUMN(TabelContent[Titel-NL]))</f>
        <v>Stelsel vergelijkingen oplossen</v>
      </c>
    </row>
    <row r="3" spans="2:13" x14ac:dyDescent="0.2">
      <c r="B3" s="355" t="s">
        <v>1086</v>
      </c>
      <c r="C3" s="355"/>
      <c r="D3" s="332" t="str">
        <f>VLOOKUP(D$1,TabelContent[],COLUMN(TabelContent[Cat-NL]))</f>
        <v>Oplosser</v>
      </c>
    </row>
    <row r="4" spans="2:13" x14ac:dyDescent="0.2">
      <c r="B4" s="355" t="s">
        <v>1087</v>
      </c>
      <c r="C4" s="355" t="s">
        <v>1077</v>
      </c>
      <c r="D4" s="332">
        <f>VLOOKUP(D$1,TabelContent[],COLUMN(TabelContent[Niveau]))</f>
        <v>3</v>
      </c>
    </row>
    <row r="5" spans="2:13" x14ac:dyDescent="0.2">
      <c r="B5" s="16"/>
      <c r="C5" s="16"/>
      <c r="D5" s="16"/>
      <c r="E5" s="16"/>
    </row>
    <row r="6" spans="2:13" x14ac:dyDescent="0.2">
      <c r="B6" s="356" t="s">
        <v>47</v>
      </c>
      <c r="C6" s="356"/>
      <c r="D6" s="356"/>
      <c r="E6" s="356"/>
    </row>
    <row r="7" spans="2:13" x14ac:dyDescent="0.2">
      <c r="B7" s="16"/>
      <c r="C7" s="16"/>
      <c r="D7" s="16"/>
      <c r="E7" s="16"/>
    </row>
    <row r="8" spans="2:13" ht="13.5" thickBot="1" x14ac:dyDescent="0.25">
      <c r="B8" s="16"/>
      <c r="D8" s="16"/>
      <c r="E8" s="373" t="s">
        <v>980</v>
      </c>
      <c r="F8" s="374"/>
      <c r="G8" s="374"/>
      <c r="H8" s="374"/>
      <c r="I8" s="375"/>
    </row>
    <row r="9" spans="2:13" ht="27" thickBot="1" x14ac:dyDescent="0.3">
      <c r="B9" s="16"/>
      <c r="D9" s="16"/>
      <c r="E9" s="233" t="s">
        <v>981</v>
      </c>
      <c r="F9" s="234" t="s">
        <v>982</v>
      </c>
      <c r="G9" s="234" t="s">
        <v>983</v>
      </c>
      <c r="H9" s="234" t="s">
        <v>984</v>
      </c>
      <c r="I9" s="235" t="s">
        <v>985</v>
      </c>
      <c r="J9" s="246" t="s">
        <v>987</v>
      </c>
      <c r="L9" s="237" t="s">
        <v>986</v>
      </c>
      <c r="M9" s="238" t="s">
        <v>329</v>
      </c>
    </row>
    <row r="10" spans="2:13" x14ac:dyDescent="0.2">
      <c r="B10" s="16"/>
      <c r="D10" s="16" t="s">
        <v>975</v>
      </c>
      <c r="E10" s="232">
        <v>6.1</v>
      </c>
      <c r="F10" s="39">
        <v>4.5</v>
      </c>
      <c r="G10" s="3">
        <v>0</v>
      </c>
      <c r="H10" s="3">
        <v>5.7</v>
      </c>
      <c r="I10" s="3">
        <v>7.5</v>
      </c>
      <c r="J10" s="230">
        <v>5.7</v>
      </c>
      <c r="L10" s="239">
        <f t="array" ref="L10">SUM(E10:I10*$E$17:$I$17)</f>
        <v>5.7000014311151634</v>
      </c>
      <c r="M10" s="240">
        <f>(J10-L10)^2</f>
        <v>2.0480906105241345E-12</v>
      </c>
    </row>
    <row r="11" spans="2:13" x14ac:dyDescent="0.2">
      <c r="B11" s="16"/>
      <c r="D11" s="16" t="s">
        <v>976</v>
      </c>
      <c r="E11" s="232">
        <v>2.4</v>
      </c>
      <c r="F11" s="39">
        <v>5.5</v>
      </c>
      <c r="G11" s="3">
        <v>-5.7</v>
      </c>
      <c r="H11" s="3">
        <v>4.7</v>
      </c>
      <c r="I11" s="3">
        <v>5.6</v>
      </c>
      <c r="J11" s="230">
        <v>5.6</v>
      </c>
      <c r="L11" s="239">
        <f t="array" ref="L11">SUM(E11:I11*$E$17:$I$17)</f>
        <v>5.6000007103345562</v>
      </c>
      <c r="M11" s="240">
        <f t="shared" ref="M11:M14" si="0">(J11-L11)^2</f>
        <v>5.0457518217010616E-13</v>
      </c>
    </row>
    <row r="12" spans="2:13" x14ac:dyDescent="0.2">
      <c r="B12" s="16"/>
      <c r="D12" s="16" t="s">
        <v>977</v>
      </c>
      <c r="E12" s="232">
        <v>2.4</v>
      </c>
      <c r="F12" s="39">
        <v>-5</v>
      </c>
      <c r="G12" s="3">
        <v>-4.5999999999999996</v>
      </c>
      <c r="H12" s="3">
        <v>3.6</v>
      </c>
      <c r="I12" s="3">
        <v>9.6999999999999993</v>
      </c>
      <c r="J12" s="230">
        <v>9.6999999999999993</v>
      </c>
      <c r="L12" s="239">
        <f t="array" ref="L12">SUM(E12:I12*$E$17:$I$17)</f>
        <v>9.7000003545468019</v>
      </c>
      <c r="M12" s="240">
        <f t="shared" si="0"/>
        <v>1.2570343522211224E-13</v>
      </c>
    </row>
    <row r="13" spans="2:13" x14ac:dyDescent="0.2">
      <c r="B13" s="16"/>
      <c r="D13" s="16" t="s">
        <v>978</v>
      </c>
      <c r="E13" s="232">
        <v>4.3</v>
      </c>
      <c r="F13" s="39">
        <v>-5.3</v>
      </c>
      <c r="G13" s="3">
        <v>3.4</v>
      </c>
      <c r="H13" s="3">
        <v>-8.4</v>
      </c>
      <c r="I13" s="3">
        <v>-5.6</v>
      </c>
      <c r="J13" s="230">
        <v>-5.6</v>
      </c>
      <c r="L13" s="239">
        <f t="array" ref="L13">SUM(E13:I13*$E$17:$I$17)</f>
        <v>-5.5999995616164941</v>
      </c>
      <c r="M13" s="240">
        <f t="shared" si="0"/>
        <v>1.9218009789151485E-13</v>
      </c>
    </row>
    <row r="14" spans="2:13" ht="13.5" thickBot="1" x14ac:dyDescent="0.25">
      <c r="B14" s="16"/>
      <c r="D14" s="16" t="s">
        <v>979</v>
      </c>
      <c r="E14" s="232">
        <v>1.1000000000000001</v>
      </c>
      <c r="F14" s="39">
        <v>-3</v>
      </c>
      <c r="G14" s="3">
        <v>2.4</v>
      </c>
      <c r="H14" s="3">
        <v>-13</v>
      </c>
      <c r="I14" s="3">
        <v>3.5</v>
      </c>
      <c r="J14" s="230">
        <v>3.5</v>
      </c>
      <c r="L14" s="241">
        <f t="array" ref="L14">SUM(E14:I14*$E$17:$I$17)</f>
        <v>3.4999986279738167</v>
      </c>
      <c r="M14" s="242">
        <f t="shared" si="0"/>
        <v>1.8824558477506714E-12</v>
      </c>
    </row>
    <row r="15" spans="2:13" x14ac:dyDescent="0.2">
      <c r="B15" s="16"/>
      <c r="D15" s="16"/>
      <c r="E15" s="16"/>
      <c r="F15" s="16"/>
      <c r="L15" s="243" t="s">
        <v>973</v>
      </c>
      <c r="M15" s="244">
        <f>SUM(M10:M14)</f>
        <v>4.7530051735585394E-12</v>
      </c>
    </row>
    <row r="16" spans="2:13" ht="15" thickBot="1" x14ac:dyDescent="0.3">
      <c r="B16" s="16"/>
      <c r="D16" s="16"/>
      <c r="E16" s="231" t="s">
        <v>981</v>
      </c>
      <c r="F16" s="231" t="s">
        <v>982</v>
      </c>
      <c r="G16" s="231" t="s">
        <v>983</v>
      </c>
      <c r="H16" s="231" t="s">
        <v>984</v>
      </c>
      <c r="I16" s="231" t="s">
        <v>985</v>
      </c>
    </row>
    <row r="17" spans="4:9" x14ac:dyDescent="0.2">
      <c r="D17" s="4" t="s">
        <v>974</v>
      </c>
      <c r="E17" s="245">
        <v>-0.10640677475475487</v>
      </c>
      <c r="F17" s="245">
        <v>-4.7643979509069082E-2</v>
      </c>
      <c r="G17" s="245">
        <v>-0.21810262173755113</v>
      </c>
      <c r="H17" s="245">
        <v>-5.9680893373071885E-2</v>
      </c>
      <c r="I17" s="245">
        <v>0.92048823428486515</v>
      </c>
    </row>
  </sheetData>
  <mergeCells count="6">
    <mergeCell ref="B1:C1"/>
    <mergeCell ref="E8:I8"/>
    <mergeCell ref="B6:E6"/>
    <mergeCell ref="B2:C2"/>
    <mergeCell ref="B3:C3"/>
    <mergeCell ref="B4:C4"/>
  </mergeCells>
  <hyperlinks>
    <hyperlink ref="B6:D6" location="sjabloon!A1" display="Ga naar Inhoudsopgave" xr:uid="{00000000-0004-0000-4100-000000000000}"/>
    <hyperlink ref="B6:E6" location="Inhoud!A1" display="Ga naar Inhoudsopgave" xr:uid="{00000000-0004-0000-4100-000001000000}"/>
  </hyperlinks>
  <pageMargins left="0.7" right="0.7" top="0.75" bottom="0.75" header="0.3" footer="0.3"/>
  <pageSetup paperSize="9" orientation="landscape" r:id="rId1"/>
  <drawing r:id="rId2"/>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Blad54"/>
  <dimension ref="B1:H2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4.28515625" style="4" customWidth="1"/>
    <col min="5" max="5" width="10.7109375" style="4" bestFit="1" customWidth="1"/>
    <col min="6" max="6" width="5.5703125" style="4" bestFit="1" customWidth="1"/>
    <col min="7" max="8" width="10.7109375" style="4" bestFit="1" customWidth="1"/>
    <col min="9" max="16384" width="9.140625" style="4"/>
  </cols>
  <sheetData>
    <row r="1" spans="2:8" x14ac:dyDescent="0.2">
      <c r="B1" s="355" t="s">
        <v>1253</v>
      </c>
      <c r="C1" s="355"/>
      <c r="D1" s="316" t="s">
        <v>1005</v>
      </c>
    </row>
    <row r="2" spans="2:8" x14ac:dyDescent="0.2">
      <c r="B2" s="355" t="s">
        <v>1085</v>
      </c>
      <c r="C2" s="355"/>
      <c r="D2" s="332" t="str">
        <f>VLOOKUP(D$1,TabelContent[],COLUMN(TabelContent[Titel-NL]))</f>
        <v>Spaarbank</v>
      </c>
    </row>
    <row r="3" spans="2:8" x14ac:dyDescent="0.2">
      <c r="B3" s="355" t="s">
        <v>1086</v>
      </c>
      <c r="C3" s="355"/>
      <c r="D3" s="332" t="str">
        <f>VLOOKUP(D$1,TabelContent[],COLUMN(TabelContent[Cat-NL]))</f>
        <v>Oplosser</v>
      </c>
    </row>
    <row r="4" spans="2:8" x14ac:dyDescent="0.2">
      <c r="B4" s="355" t="s">
        <v>1087</v>
      </c>
      <c r="C4" s="355" t="s">
        <v>1077</v>
      </c>
      <c r="D4" s="332">
        <f>VLOOKUP(D$1,TabelContent[],COLUMN(TabelContent[Niveau]))</f>
        <v>3</v>
      </c>
    </row>
    <row r="5" spans="2:8" x14ac:dyDescent="0.2">
      <c r="B5" s="16"/>
      <c r="C5" s="16"/>
      <c r="D5" s="16"/>
      <c r="E5" s="16"/>
      <c r="F5" s="16"/>
    </row>
    <row r="6" spans="2:8" x14ac:dyDescent="0.2">
      <c r="B6" s="356" t="s">
        <v>47</v>
      </c>
      <c r="C6" s="356"/>
      <c r="D6" s="356"/>
      <c r="E6" s="356"/>
      <c r="F6" s="356"/>
    </row>
    <row r="7" spans="2:8" ht="13.5" thickBot="1" x14ac:dyDescent="0.25">
      <c r="B7" s="16"/>
      <c r="C7" s="16"/>
      <c r="D7" s="16"/>
      <c r="E7" s="16"/>
      <c r="F7" s="16"/>
    </row>
    <row r="8" spans="2:8" ht="26.25" thickBot="1" x14ac:dyDescent="0.25">
      <c r="B8" s="16"/>
      <c r="D8" s="23" t="s">
        <v>988</v>
      </c>
      <c r="E8" s="181" t="s">
        <v>2</v>
      </c>
      <c r="F8" s="23"/>
      <c r="G8" s="250" t="s">
        <v>999</v>
      </c>
      <c r="H8" s="236" t="s">
        <v>1000</v>
      </c>
    </row>
    <row r="9" spans="2:8" x14ac:dyDescent="0.2">
      <c r="B9" s="16"/>
      <c r="D9" s="16" t="s">
        <v>989</v>
      </c>
      <c r="E9" s="49">
        <v>0.18</v>
      </c>
      <c r="F9" s="16"/>
      <c r="G9" s="22">
        <v>450.00000002588149</v>
      </c>
      <c r="H9" s="251">
        <f>E9*G9</f>
        <v>81.000000004658659</v>
      </c>
    </row>
    <row r="10" spans="2:8" x14ac:dyDescent="0.2">
      <c r="B10" s="16"/>
      <c r="D10" s="16" t="s">
        <v>990</v>
      </c>
      <c r="E10" s="49">
        <v>0.12</v>
      </c>
      <c r="F10" s="16"/>
      <c r="G10" s="22">
        <v>1124.9999999870593</v>
      </c>
      <c r="H10" s="251">
        <f>E10*G10</f>
        <v>134.99999999844709</v>
      </c>
    </row>
    <row r="11" spans="2:8" x14ac:dyDescent="0.2">
      <c r="B11" s="16"/>
      <c r="D11" s="16" t="s">
        <v>991</v>
      </c>
      <c r="E11" s="49">
        <v>0.14000000000000001</v>
      </c>
      <c r="F11" s="16"/>
      <c r="G11" s="22">
        <v>1124.9999999870595</v>
      </c>
      <c r="H11" s="251">
        <f>E11*G11</f>
        <v>157.49999999818834</v>
      </c>
    </row>
    <row r="12" spans="2:8" ht="13.5" thickBot="1" x14ac:dyDescent="0.25">
      <c r="B12" s="16"/>
      <c r="D12" s="16" t="s">
        <v>992</v>
      </c>
      <c r="E12" s="49">
        <v>0.16</v>
      </c>
      <c r="F12" s="16"/>
      <c r="G12" s="22">
        <v>300</v>
      </c>
      <c r="H12" s="251">
        <f>E12*G12</f>
        <v>48</v>
      </c>
    </row>
    <row r="13" spans="2:8" ht="13.5" thickBot="1" x14ac:dyDescent="0.25">
      <c r="B13" s="16"/>
      <c r="D13" s="16"/>
      <c r="F13" s="35" t="s">
        <v>59</v>
      </c>
      <c r="G13" s="249">
        <f>SUM(G9:G12)</f>
        <v>3000</v>
      </c>
      <c r="H13" s="252">
        <f>SUM(H9:H12)</f>
        <v>421.5000000012941</v>
      </c>
    </row>
    <row r="14" spans="2:8" x14ac:dyDescent="0.2">
      <c r="B14" s="16"/>
      <c r="D14" s="16"/>
      <c r="E14" s="16"/>
      <c r="F14" s="16"/>
      <c r="G14" s="16"/>
    </row>
    <row r="15" spans="2:8" x14ac:dyDescent="0.2">
      <c r="B15" s="16"/>
      <c r="D15" s="23" t="s">
        <v>941</v>
      </c>
      <c r="E15" s="93" t="s">
        <v>997</v>
      </c>
      <c r="F15" s="98"/>
      <c r="G15" s="98" t="s">
        <v>998</v>
      </c>
    </row>
    <row r="16" spans="2:8" x14ac:dyDescent="0.2">
      <c r="D16" s="4" t="s">
        <v>994</v>
      </c>
      <c r="E16" s="102">
        <f>SUM(G10:G11)/G13</f>
        <v>0.74999999999137279</v>
      </c>
      <c r="F16" s="3" t="s">
        <v>632</v>
      </c>
      <c r="G16" s="247">
        <v>0.3</v>
      </c>
    </row>
    <row r="17" spans="4:7" x14ac:dyDescent="0.2">
      <c r="D17" s="4" t="s">
        <v>995</v>
      </c>
      <c r="E17" s="248">
        <f>G10/SUM(G10:G11)</f>
        <v>0.5</v>
      </c>
      <c r="F17" s="3" t="s">
        <v>632</v>
      </c>
      <c r="G17" s="247">
        <v>0.5</v>
      </c>
    </row>
    <row r="18" spans="4:7" x14ac:dyDescent="0.2">
      <c r="D18" s="4" t="s">
        <v>996</v>
      </c>
      <c r="E18" s="248">
        <f>(G9+G12)/G13</f>
        <v>0.25000000000862715</v>
      </c>
      <c r="F18" s="3" t="s">
        <v>633</v>
      </c>
      <c r="G18" s="247">
        <v>0.25</v>
      </c>
    </row>
    <row r="19" spans="4:7" x14ac:dyDescent="0.2">
      <c r="D19" s="4" t="s">
        <v>993</v>
      </c>
      <c r="E19" s="102">
        <f>G9/G13</f>
        <v>0.15000000000862718</v>
      </c>
      <c r="F19" s="3" t="s">
        <v>633</v>
      </c>
      <c r="G19" s="247">
        <v>0.15</v>
      </c>
    </row>
    <row r="20" spans="4:7" x14ac:dyDescent="0.2">
      <c r="D20" s="4" t="s">
        <v>1001</v>
      </c>
      <c r="E20" s="251">
        <f>G13</f>
        <v>3000</v>
      </c>
      <c r="F20" s="3" t="s">
        <v>633</v>
      </c>
      <c r="G20" s="22">
        <v>3000</v>
      </c>
    </row>
  </sheetData>
  <mergeCells count="5">
    <mergeCell ref="B6:F6"/>
    <mergeCell ref="B2:C2"/>
    <mergeCell ref="B3:C3"/>
    <mergeCell ref="B4:C4"/>
    <mergeCell ref="B1:C1"/>
  </mergeCells>
  <hyperlinks>
    <hyperlink ref="B6:D6" location="sjabloon!A1" display="Ga naar Inhoudsopgave" xr:uid="{00000000-0004-0000-4200-000000000000}"/>
    <hyperlink ref="B6:F6" location="Inhoud!A1" display="Ga naar Inhoudsopgave" xr:uid="{00000000-0004-0000-4200-000001000000}"/>
  </hyperlinks>
  <pageMargins left="0.7" right="0.7" top="0.75" bottom="0.75" header="0.3" footer="0.3"/>
  <pageSetup paperSize="9" orientation="landscape" r:id="rId1"/>
  <drawing r:id="rId2"/>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Blad22"/>
  <dimension ref="B1:I93"/>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5" width="9.140625" style="4"/>
    <col min="6" max="6" width="7.42578125" style="4" bestFit="1" customWidth="1"/>
    <col min="7" max="7" width="5.28515625" style="4" customWidth="1"/>
    <col min="8" max="8" width="15.5703125" style="4" bestFit="1" customWidth="1"/>
    <col min="9" max="9" width="10.28515625" style="4" bestFit="1" customWidth="1"/>
    <col min="10" max="16384" width="9.140625" style="4"/>
  </cols>
  <sheetData>
    <row r="1" spans="2:9" x14ac:dyDescent="0.2">
      <c r="B1" s="355" t="s">
        <v>1253</v>
      </c>
      <c r="C1" s="355"/>
      <c r="D1" s="316" t="s">
        <v>361</v>
      </c>
    </row>
    <row r="2" spans="2:9" x14ac:dyDescent="0.2">
      <c r="B2" s="355" t="s">
        <v>1085</v>
      </c>
      <c r="C2" s="355"/>
      <c r="D2" s="332" t="str">
        <f>VLOOKUP(D$1,TabelContent[],COLUMN(TabelContent[Titel-NL]))</f>
        <v>Schoenmatenverdeling</v>
      </c>
      <c r="E2" s="16"/>
      <c r="F2" s="58"/>
      <c r="G2" s="16"/>
      <c r="H2" s="16"/>
      <c r="I2" s="16"/>
    </row>
    <row r="3" spans="2:9" x14ac:dyDescent="0.2">
      <c r="B3" s="355" t="s">
        <v>1086</v>
      </c>
      <c r="C3" s="355"/>
      <c r="D3" s="332" t="str">
        <f>VLOOKUP(D$1,TabelContent[],COLUMN(TabelContent[Cat-NL]))</f>
        <v>Statistiek</v>
      </c>
      <c r="E3" s="16"/>
      <c r="F3" s="58"/>
      <c r="G3" s="16"/>
      <c r="H3" s="16"/>
      <c r="I3" s="16"/>
    </row>
    <row r="4" spans="2:9" x14ac:dyDescent="0.2">
      <c r="B4" s="355" t="s">
        <v>1087</v>
      </c>
      <c r="C4" s="355" t="s">
        <v>1077</v>
      </c>
      <c r="D4" s="332">
        <f>VLOOKUP(D$1,TabelContent[],COLUMN(TabelContent[Niveau]))</f>
        <v>2</v>
      </c>
      <c r="E4" s="16"/>
      <c r="F4" s="58"/>
      <c r="G4" s="16"/>
      <c r="H4" s="16"/>
      <c r="I4" s="16"/>
    </row>
    <row r="5" spans="2:9" x14ac:dyDescent="0.2">
      <c r="B5" s="16"/>
      <c r="C5" s="16"/>
      <c r="D5" s="16"/>
      <c r="E5" s="16"/>
      <c r="F5" s="16"/>
      <c r="G5" s="16"/>
      <c r="H5" s="16"/>
      <c r="I5" s="16"/>
    </row>
    <row r="6" spans="2:9" x14ac:dyDescent="0.2">
      <c r="B6" s="357" t="s">
        <v>47</v>
      </c>
      <c r="C6" s="357"/>
      <c r="D6" s="357"/>
      <c r="E6" s="358"/>
      <c r="F6" s="16"/>
      <c r="G6" s="16"/>
      <c r="H6" s="16"/>
      <c r="I6" s="16"/>
    </row>
    <row r="7" spans="2:9" ht="13.5" thickBot="1" x14ac:dyDescent="0.25">
      <c r="B7" s="16"/>
      <c r="C7" s="16"/>
      <c r="D7" s="16"/>
      <c r="E7" s="16"/>
      <c r="F7" s="16"/>
      <c r="G7" s="16"/>
      <c r="H7" s="16"/>
      <c r="I7" s="16"/>
    </row>
    <row r="8" spans="2:9" x14ac:dyDescent="0.2">
      <c r="B8" s="16"/>
      <c r="C8" s="58" t="s">
        <v>348</v>
      </c>
      <c r="D8" s="58" t="s">
        <v>349</v>
      </c>
      <c r="E8" s="16"/>
      <c r="F8" s="58" t="s">
        <v>350</v>
      </c>
      <c r="G8" s="16"/>
      <c r="H8" s="14" t="s">
        <v>351</v>
      </c>
      <c r="I8" s="14" t="s">
        <v>353</v>
      </c>
    </row>
    <row r="9" spans="2:9" x14ac:dyDescent="0.2">
      <c r="B9" s="16"/>
      <c r="C9" s="58">
        <v>37</v>
      </c>
      <c r="D9" s="58">
        <f>1/7</f>
        <v>0.14285714285714285</v>
      </c>
      <c r="E9" s="16"/>
      <c r="F9" s="58">
        <v>41</v>
      </c>
      <c r="G9" s="16"/>
      <c r="H9" s="11">
        <v>37</v>
      </c>
      <c r="I9" s="12">
        <v>13</v>
      </c>
    </row>
    <row r="10" spans="2:9" x14ac:dyDescent="0.2">
      <c r="B10" s="16"/>
      <c r="C10" s="58">
        <v>38</v>
      </c>
      <c r="D10" s="58">
        <f t="shared" ref="D10:D15" si="0">1/7</f>
        <v>0.14285714285714285</v>
      </c>
      <c r="E10" s="16"/>
      <c r="F10" s="58">
        <v>40</v>
      </c>
      <c r="G10" s="16"/>
      <c r="H10" s="11">
        <v>38</v>
      </c>
      <c r="I10" s="12">
        <v>12</v>
      </c>
    </row>
    <row r="11" spans="2:9" x14ac:dyDescent="0.2">
      <c r="B11" s="16"/>
      <c r="C11" s="58">
        <v>39</v>
      </c>
      <c r="D11" s="58">
        <f t="shared" si="0"/>
        <v>0.14285714285714285</v>
      </c>
      <c r="E11" s="16"/>
      <c r="F11" s="58">
        <v>40</v>
      </c>
      <c r="G11" s="16"/>
      <c r="H11" s="11">
        <v>39</v>
      </c>
      <c r="I11" s="12">
        <v>10</v>
      </c>
    </row>
    <row r="12" spans="2:9" x14ac:dyDescent="0.2">
      <c r="B12" s="16"/>
      <c r="C12" s="58">
        <v>40</v>
      </c>
      <c r="D12" s="58">
        <f t="shared" si="0"/>
        <v>0.14285714285714285</v>
      </c>
      <c r="E12" s="16"/>
      <c r="F12" s="58">
        <v>40</v>
      </c>
      <c r="G12" s="16"/>
      <c r="H12" s="11">
        <v>40</v>
      </c>
      <c r="I12" s="12">
        <v>16</v>
      </c>
    </row>
    <row r="13" spans="2:9" x14ac:dyDescent="0.2">
      <c r="B13" s="16"/>
      <c r="C13" s="58">
        <v>41</v>
      </c>
      <c r="D13" s="58">
        <f t="shared" si="0"/>
        <v>0.14285714285714285</v>
      </c>
      <c r="E13" s="16"/>
      <c r="F13" s="58">
        <v>37</v>
      </c>
      <c r="G13" s="16"/>
      <c r="H13" s="11">
        <v>41</v>
      </c>
      <c r="I13" s="12">
        <v>9</v>
      </c>
    </row>
    <row r="14" spans="2:9" x14ac:dyDescent="0.2">
      <c r="B14" s="16"/>
      <c r="C14" s="58">
        <v>42</v>
      </c>
      <c r="D14" s="58">
        <f t="shared" si="0"/>
        <v>0.14285714285714285</v>
      </c>
      <c r="E14" s="16"/>
      <c r="F14" s="58">
        <v>38</v>
      </c>
      <c r="G14" s="16"/>
      <c r="H14" s="11">
        <v>42</v>
      </c>
      <c r="I14" s="12">
        <v>11</v>
      </c>
    </row>
    <row r="15" spans="2:9" x14ac:dyDescent="0.2">
      <c r="B15" s="16"/>
      <c r="C15" s="58">
        <v>43</v>
      </c>
      <c r="D15" s="58">
        <f t="shared" si="0"/>
        <v>0.14285714285714285</v>
      </c>
      <c r="E15" s="16"/>
      <c r="F15" s="58">
        <v>43</v>
      </c>
      <c r="G15" s="16"/>
      <c r="H15" s="11">
        <v>43</v>
      </c>
      <c r="I15" s="12">
        <v>14</v>
      </c>
    </row>
    <row r="16" spans="2:9" ht="13.5" thickBot="1" x14ac:dyDescent="0.25">
      <c r="B16" s="16"/>
      <c r="C16" s="16"/>
      <c r="D16" s="16"/>
      <c r="E16" s="16"/>
      <c r="F16" s="58">
        <v>41</v>
      </c>
      <c r="G16" s="16"/>
      <c r="H16" s="13" t="s">
        <v>352</v>
      </c>
      <c r="I16" s="13">
        <v>0</v>
      </c>
    </row>
    <row r="17" spans="2:9" x14ac:dyDescent="0.2">
      <c r="B17" s="16"/>
      <c r="C17" s="16" t="s">
        <v>350</v>
      </c>
      <c r="D17" s="16"/>
      <c r="E17" s="16"/>
      <c r="F17" s="58">
        <v>42</v>
      </c>
      <c r="G17" s="16"/>
      <c r="H17" s="16"/>
      <c r="I17" s="16"/>
    </row>
    <row r="18" spans="2:9" x14ac:dyDescent="0.2">
      <c r="B18" s="16"/>
      <c r="C18" s="16"/>
      <c r="D18" s="16"/>
      <c r="E18" s="16"/>
      <c r="F18" s="58">
        <v>39</v>
      </c>
      <c r="G18" s="16"/>
      <c r="H18" s="16"/>
      <c r="I18" s="16"/>
    </row>
    <row r="19" spans="2:9" x14ac:dyDescent="0.2">
      <c r="B19" s="16"/>
      <c r="C19" s="16"/>
      <c r="D19" s="16"/>
      <c r="E19" s="16"/>
      <c r="F19" s="58">
        <v>37</v>
      </c>
      <c r="G19" s="16"/>
      <c r="H19" s="16" t="s">
        <v>354</v>
      </c>
      <c r="I19" s="16">
        <f>AVERAGE($F$9:$F$93)</f>
        <v>40</v>
      </c>
    </row>
    <row r="20" spans="2:9" x14ac:dyDescent="0.2">
      <c r="B20" s="16"/>
      <c r="C20" s="16"/>
      <c r="D20" s="16"/>
      <c r="E20" s="16"/>
      <c r="F20" s="58">
        <v>43</v>
      </c>
      <c r="G20" s="16"/>
      <c r="H20" s="16" t="s">
        <v>355</v>
      </c>
      <c r="I20" s="16">
        <f>MEDIAN($F$9:$F$93)</f>
        <v>40</v>
      </c>
    </row>
    <row r="21" spans="2:9" x14ac:dyDescent="0.2">
      <c r="B21" s="16"/>
      <c r="C21" s="16"/>
      <c r="D21" s="16"/>
      <c r="E21" s="16"/>
      <c r="F21" s="58">
        <v>41</v>
      </c>
      <c r="G21" s="16"/>
      <c r="H21" s="16" t="s">
        <v>356</v>
      </c>
      <c r="I21" s="16">
        <f>MODE($F$9:$F$93)</f>
        <v>40</v>
      </c>
    </row>
    <row r="22" spans="2:9" x14ac:dyDescent="0.2">
      <c r="B22" s="16"/>
      <c r="C22" s="16"/>
      <c r="D22" s="16"/>
      <c r="E22" s="16"/>
      <c r="F22" s="58">
        <v>39</v>
      </c>
      <c r="G22" s="16"/>
      <c r="H22" s="16" t="s">
        <v>357</v>
      </c>
      <c r="I22" s="16">
        <f>VAR($F$9:$F$93)</f>
        <v>4.2142857142857144</v>
      </c>
    </row>
    <row r="23" spans="2:9" x14ac:dyDescent="0.2">
      <c r="B23" s="16"/>
      <c r="C23" s="16"/>
      <c r="D23" s="16"/>
      <c r="E23" s="16"/>
      <c r="F23" s="58">
        <v>41</v>
      </c>
      <c r="G23" s="16"/>
      <c r="H23" s="16" t="s">
        <v>358</v>
      </c>
      <c r="I23" s="16">
        <f>STDEV($F$9:$F$93)</f>
        <v>2.0528725518857018</v>
      </c>
    </row>
    <row r="24" spans="2:9" x14ac:dyDescent="0.2">
      <c r="B24" s="16"/>
      <c r="C24" s="16"/>
      <c r="D24" s="16"/>
      <c r="E24" s="16"/>
      <c r="F24" s="58">
        <v>37</v>
      </c>
      <c r="G24" s="16"/>
      <c r="H24" s="16"/>
      <c r="I24" s="16"/>
    </row>
    <row r="25" spans="2:9" x14ac:dyDescent="0.2">
      <c r="B25" s="16"/>
      <c r="C25" s="16"/>
      <c r="D25" s="16"/>
      <c r="E25" s="16"/>
      <c r="F25" s="58">
        <v>43</v>
      </c>
      <c r="G25" s="16"/>
      <c r="H25" s="16"/>
      <c r="I25" s="16"/>
    </row>
    <row r="26" spans="2:9" x14ac:dyDescent="0.2">
      <c r="B26" s="16"/>
      <c r="C26" s="16"/>
      <c r="D26" s="16"/>
      <c r="E26" s="16"/>
      <c r="F26" s="58">
        <v>37</v>
      </c>
      <c r="G26" s="16"/>
      <c r="H26" s="16"/>
      <c r="I26" s="16"/>
    </row>
    <row r="27" spans="2:9" x14ac:dyDescent="0.2">
      <c r="B27" s="16"/>
      <c r="C27" s="16"/>
      <c r="D27" s="16"/>
      <c r="E27" s="16"/>
      <c r="F27" s="58">
        <v>39</v>
      </c>
      <c r="G27" s="16"/>
      <c r="H27" s="16"/>
      <c r="I27" s="16"/>
    </row>
    <row r="28" spans="2:9" x14ac:dyDescent="0.2">
      <c r="B28" s="16"/>
      <c r="C28" s="16"/>
      <c r="D28" s="16"/>
      <c r="E28" s="16"/>
      <c r="F28" s="58">
        <v>43</v>
      </c>
      <c r="G28" s="16"/>
      <c r="H28" s="16"/>
      <c r="I28" s="16"/>
    </row>
    <row r="29" spans="2:9" x14ac:dyDescent="0.2">
      <c r="B29" s="16"/>
      <c r="C29" s="16"/>
      <c r="D29" s="16"/>
      <c r="E29" s="16"/>
      <c r="F29" s="58">
        <v>40</v>
      </c>
      <c r="G29" s="16"/>
      <c r="H29" s="16"/>
      <c r="I29" s="16"/>
    </row>
    <row r="30" spans="2:9" x14ac:dyDescent="0.2">
      <c r="B30" s="16"/>
      <c r="C30" s="16"/>
      <c r="D30" s="16"/>
      <c r="E30" s="16"/>
      <c r="F30" s="58">
        <v>40</v>
      </c>
      <c r="G30" s="16"/>
      <c r="H30" s="16"/>
      <c r="I30" s="16"/>
    </row>
    <row r="31" spans="2:9" x14ac:dyDescent="0.2">
      <c r="B31" s="16"/>
      <c r="C31" s="16"/>
      <c r="D31" s="16"/>
      <c r="E31" s="16"/>
      <c r="F31" s="58">
        <v>37</v>
      </c>
      <c r="G31" s="16"/>
      <c r="H31" s="16"/>
      <c r="I31" s="16"/>
    </row>
    <row r="32" spans="2:9" x14ac:dyDescent="0.2">
      <c r="B32" s="16"/>
      <c r="C32" s="16"/>
      <c r="D32" s="16"/>
      <c r="E32" s="16"/>
      <c r="F32" s="58">
        <v>39</v>
      </c>
      <c r="G32" s="16"/>
      <c r="H32" s="16"/>
      <c r="I32" s="16"/>
    </row>
    <row r="33" spans="2:9" x14ac:dyDescent="0.2">
      <c r="B33" s="16"/>
      <c r="C33" s="16"/>
      <c r="D33" s="16"/>
      <c r="E33" s="16"/>
      <c r="F33" s="58">
        <v>42</v>
      </c>
      <c r="G33" s="16"/>
      <c r="H33" s="16"/>
      <c r="I33" s="16"/>
    </row>
    <row r="34" spans="2:9" x14ac:dyDescent="0.2">
      <c r="B34" s="16"/>
      <c r="C34" s="16"/>
      <c r="D34" s="16"/>
      <c r="E34" s="16"/>
      <c r="F34" s="58">
        <v>43</v>
      </c>
      <c r="G34" s="16"/>
      <c r="H34" s="16"/>
      <c r="I34" s="16"/>
    </row>
    <row r="35" spans="2:9" x14ac:dyDescent="0.2">
      <c r="B35" s="16"/>
      <c r="C35" s="16"/>
      <c r="D35" s="16"/>
      <c r="E35" s="16"/>
      <c r="F35" s="58">
        <v>43</v>
      </c>
      <c r="G35" s="16"/>
      <c r="H35" s="16"/>
      <c r="I35" s="16"/>
    </row>
    <row r="36" spans="2:9" x14ac:dyDescent="0.2">
      <c r="B36" s="16"/>
      <c r="C36" s="16"/>
      <c r="D36" s="16"/>
      <c r="E36" s="16"/>
      <c r="F36" s="58">
        <v>39</v>
      </c>
      <c r="G36" s="16"/>
      <c r="H36" s="16"/>
      <c r="I36" s="16"/>
    </row>
    <row r="37" spans="2:9" x14ac:dyDescent="0.2">
      <c r="B37" s="16"/>
      <c r="C37" s="16"/>
      <c r="D37" s="16"/>
      <c r="E37" s="16"/>
      <c r="F37" s="58">
        <v>38</v>
      </c>
      <c r="G37" s="16"/>
      <c r="H37" s="16"/>
      <c r="I37" s="16"/>
    </row>
    <row r="38" spans="2:9" x14ac:dyDescent="0.2">
      <c r="B38" s="16"/>
      <c r="C38" s="16"/>
      <c r="D38" s="16"/>
      <c r="E38" s="16"/>
      <c r="F38" s="58">
        <v>38</v>
      </c>
      <c r="G38" s="16"/>
      <c r="H38" s="16"/>
      <c r="I38" s="16"/>
    </row>
    <row r="39" spans="2:9" x14ac:dyDescent="0.2">
      <c r="B39" s="16"/>
      <c r="C39" s="16"/>
      <c r="D39" s="16"/>
      <c r="E39" s="16"/>
      <c r="F39" s="58">
        <v>37</v>
      </c>
      <c r="G39" s="16"/>
      <c r="H39" s="16"/>
      <c r="I39" s="16"/>
    </row>
    <row r="40" spans="2:9" x14ac:dyDescent="0.2">
      <c r="B40" s="16"/>
      <c r="C40" s="16"/>
      <c r="D40" s="16"/>
      <c r="E40" s="16"/>
      <c r="F40" s="58">
        <v>40</v>
      </c>
      <c r="G40" s="16"/>
      <c r="H40" s="16"/>
      <c r="I40" s="16"/>
    </row>
    <row r="41" spans="2:9" x14ac:dyDescent="0.2">
      <c r="B41" s="16"/>
      <c r="C41" s="16"/>
      <c r="D41" s="16"/>
      <c r="E41" s="16"/>
      <c r="F41" s="58">
        <v>40</v>
      </c>
      <c r="G41" s="16"/>
      <c r="H41" s="16"/>
      <c r="I41" s="16"/>
    </row>
    <row r="42" spans="2:9" x14ac:dyDescent="0.2">
      <c r="B42" s="16"/>
      <c r="C42" s="16"/>
      <c r="D42" s="16"/>
      <c r="E42" s="16"/>
      <c r="F42" s="58">
        <v>37</v>
      </c>
      <c r="G42" s="16"/>
      <c r="H42" s="16"/>
      <c r="I42" s="16"/>
    </row>
    <row r="43" spans="2:9" x14ac:dyDescent="0.2">
      <c r="B43" s="16"/>
      <c r="C43" s="16"/>
      <c r="D43" s="16"/>
      <c r="E43" s="16"/>
      <c r="F43" s="58">
        <v>43</v>
      </c>
      <c r="G43" s="16"/>
      <c r="H43" s="16"/>
      <c r="I43" s="16"/>
    </row>
    <row r="44" spans="2:9" x14ac:dyDescent="0.2">
      <c r="B44" s="16"/>
      <c r="C44" s="16"/>
      <c r="D44" s="16"/>
      <c r="E44" s="16"/>
      <c r="F44" s="58">
        <v>43</v>
      </c>
      <c r="G44" s="16"/>
      <c r="H44" s="16"/>
      <c r="I44" s="16"/>
    </row>
    <row r="45" spans="2:9" x14ac:dyDescent="0.2">
      <c r="B45" s="16"/>
      <c r="C45" s="16"/>
      <c r="D45" s="16"/>
      <c r="E45" s="16"/>
      <c r="F45" s="58">
        <v>38</v>
      </c>
      <c r="G45" s="16"/>
      <c r="H45" s="16"/>
      <c r="I45" s="16"/>
    </row>
    <row r="46" spans="2:9" x14ac:dyDescent="0.2">
      <c r="B46" s="16"/>
      <c r="C46" s="16"/>
      <c r="D46" s="16"/>
      <c r="E46" s="16"/>
      <c r="F46" s="58">
        <v>38</v>
      </c>
      <c r="G46" s="16"/>
      <c r="H46" s="16"/>
      <c r="I46" s="16"/>
    </row>
    <row r="47" spans="2:9" x14ac:dyDescent="0.2">
      <c r="B47" s="16"/>
      <c r="C47" s="16"/>
      <c r="D47" s="16"/>
      <c r="E47" s="16"/>
      <c r="F47" s="58">
        <v>40</v>
      </c>
      <c r="G47" s="16"/>
      <c r="H47" s="16"/>
      <c r="I47" s="16"/>
    </row>
    <row r="48" spans="2:9" x14ac:dyDescent="0.2">
      <c r="B48" s="16"/>
      <c r="C48" s="16"/>
      <c r="D48" s="16"/>
      <c r="E48" s="16"/>
      <c r="F48" s="58">
        <v>39</v>
      </c>
      <c r="G48" s="16"/>
      <c r="H48" s="16"/>
      <c r="I48" s="16"/>
    </row>
    <row r="49" spans="2:9" x14ac:dyDescent="0.2">
      <c r="B49" s="16"/>
      <c r="C49" s="16"/>
      <c r="D49" s="16"/>
      <c r="E49" s="16"/>
      <c r="F49" s="58">
        <v>40</v>
      </c>
      <c r="G49" s="16"/>
      <c r="H49" s="16"/>
      <c r="I49" s="16"/>
    </row>
    <row r="50" spans="2:9" x14ac:dyDescent="0.2">
      <c r="B50" s="16"/>
      <c r="C50" s="16"/>
      <c r="D50" s="16"/>
      <c r="E50" s="16"/>
      <c r="F50" s="58">
        <v>41</v>
      </c>
      <c r="G50" s="16"/>
      <c r="H50" s="16"/>
      <c r="I50" s="16"/>
    </row>
    <row r="51" spans="2:9" x14ac:dyDescent="0.2">
      <c r="B51" s="16"/>
      <c r="C51" s="16"/>
      <c r="D51" s="16"/>
      <c r="E51" s="16"/>
      <c r="F51" s="58">
        <v>43</v>
      </c>
      <c r="G51" s="16"/>
      <c r="H51" s="16"/>
      <c r="I51" s="16"/>
    </row>
    <row r="52" spans="2:9" x14ac:dyDescent="0.2">
      <c r="B52" s="16"/>
      <c r="C52" s="16"/>
      <c r="D52" s="16"/>
      <c r="E52" s="16"/>
      <c r="F52" s="58">
        <v>43</v>
      </c>
      <c r="G52" s="16"/>
      <c r="H52" s="16"/>
      <c r="I52" s="16"/>
    </row>
    <row r="53" spans="2:9" x14ac:dyDescent="0.2">
      <c r="B53" s="16"/>
      <c r="C53" s="16"/>
      <c r="D53" s="16"/>
      <c r="E53" s="16"/>
      <c r="F53" s="58">
        <v>42</v>
      </c>
      <c r="G53" s="16"/>
      <c r="H53" s="16"/>
      <c r="I53" s="16"/>
    </row>
    <row r="54" spans="2:9" x14ac:dyDescent="0.2">
      <c r="B54" s="16"/>
      <c r="C54" s="16"/>
      <c r="D54" s="16"/>
      <c r="E54" s="16"/>
      <c r="F54" s="58">
        <v>43</v>
      </c>
      <c r="G54" s="16"/>
      <c r="H54" s="16"/>
      <c r="I54" s="16"/>
    </row>
    <row r="55" spans="2:9" x14ac:dyDescent="0.2">
      <c r="B55" s="16"/>
      <c r="C55" s="16"/>
      <c r="D55" s="16"/>
      <c r="E55" s="16"/>
      <c r="F55" s="58">
        <v>38</v>
      </c>
      <c r="G55" s="16"/>
      <c r="H55" s="16"/>
      <c r="I55" s="16"/>
    </row>
    <row r="56" spans="2:9" x14ac:dyDescent="0.2">
      <c r="B56" s="16"/>
      <c r="C56" s="16"/>
      <c r="D56" s="16"/>
      <c r="E56" s="16"/>
      <c r="F56" s="58">
        <v>40</v>
      </c>
      <c r="G56" s="16"/>
      <c r="H56" s="16"/>
      <c r="I56" s="16"/>
    </row>
    <row r="57" spans="2:9" x14ac:dyDescent="0.2">
      <c r="B57" s="16"/>
      <c r="C57" s="16"/>
      <c r="D57" s="16"/>
      <c r="E57" s="16"/>
      <c r="F57" s="58">
        <v>43</v>
      </c>
      <c r="G57" s="16"/>
      <c r="H57" s="16"/>
      <c r="I57" s="16"/>
    </row>
    <row r="58" spans="2:9" x14ac:dyDescent="0.2">
      <c r="B58" s="16"/>
      <c r="C58" s="16"/>
      <c r="D58" s="16"/>
      <c r="E58" s="16"/>
      <c r="F58" s="58">
        <v>37</v>
      </c>
      <c r="G58" s="16"/>
      <c r="H58" s="16"/>
      <c r="I58" s="16"/>
    </row>
    <row r="59" spans="2:9" x14ac:dyDescent="0.2">
      <c r="B59" s="16"/>
      <c r="C59" s="16"/>
      <c r="D59" s="16"/>
      <c r="E59" s="16"/>
      <c r="F59" s="58">
        <v>42</v>
      </c>
      <c r="G59" s="16"/>
      <c r="H59" s="16"/>
      <c r="I59" s="16"/>
    </row>
    <row r="60" spans="2:9" x14ac:dyDescent="0.2">
      <c r="B60" s="16"/>
      <c r="C60" s="16"/>
      <c r="D60" s="16"/>
      <c r="E60" s="16"/>
      <c r="F60" s="58">
        <v>42</v>
      </c>
      <c r="G60" s="16"/>
      <c r="H60" s="16"/>
      <c r="I60" s="16"/>
    </row>
    <row r="61" spans="2:9" x14ac:dyDescent="0.2">
      <c r="B61" s="16"/>
      <c r="C61" s="16"/>
      <c r="D61" s="16"/>
      <c r="E61" s="16"/>
      <c r="F61" s="58">
        <v>38</v>
      </c>
      <c r="G61" s="16"/>
      <c r="H61" s="16"/>
      <c r="I61" s="16"/>
    </row>
    <row r="62" spans="2:9" x14ac:dyDescent="0.2">
      <c r="B62" s="16"/>
      <c r="C62" s="16"/>
      <c r="D62" s="16"/>
      <c r="E62" s="16"/>
      <c r="F62" s="58">
        <v>38</v>
      </c>
      <c r="G62" s="16"/>
      <c r="H62" s="16"/>
      <c r="I62" s="16"/>
    </row>
    <row r="63" spans="2:9" x14ac:dyDescent="0.2">
      <c r="B63" s="16"/>
      <c r="C63" s="16"/>
      <c r="D63" s="16"/>
      <c r="E63" s="16"/>
      <c r="F63" s="58">
        <v>42</v>
      </c>
      <c r="G63" s="16"/>
      <c r="H63" s="16"/>
      <c r="I63" s="16"/>
    </row>
    <row r="64" spans="2:9" x14ac:dyDescent="0.2">
      <c r="B64" s="16"/>
      <c r="C64" s="16"/>
      <c r="D64" s="16"/>
      <c r="E64" s="16"/>
      <c r="F64" s="58">
        <v>37</v>
      </c>
      <c r="G64" s="16"/>
      <c r="H64" s="16"/>
      <c r="I64" s="16"/>
    </row>
    <row r="65" spans="2:9" x14ac:dyDescent="0.2">
      <c r="B65" s="16"/>
      <c r="C65" s="16"/>
      <c r="D65" s="16"/>
      <c r="E65" s="16"/>
      <c r="F65" s="58">
        <v>42</v>
      </c>
      <c r="G65" s="16"/>
      <c r="H65" s="16"/>
      <c r="I65" s="16"/>
    </row>
    <row r="66" spans="2:9" x14ac:dyDescent="0.2">
      <c r="B66" s="16"/>
      <c r="C66" s="16"/>
      <c r="D66" s="16"/>
      <c r="E66" s="16"/>
      <c r="F66" s="58">
        <v>39</v>
      </c>
      <c r="G66" s="16"/>
      <c r="H66" s="16"/>
      <c r="I66" s="16"/>
    </row>
    <row r="67" spans="2:9" x14ac:dyDescent="0.2">
      <c r="B67" s="16"/>
      <c r="C67" s="16"/>
      <c r="D67" s="16"/>
      <c r="E67" s="16"/>
      <c r="F67" s="58">
        <v>40</v>
      </c>
      <c r="G67" s="16"/>
      <c r="H67" s="16"/>
      <c r="I67" s="16"/>
    </row>
    <row r="68" spans="2:9" x14ac:dyDescent="0.2">
      <c r="B68" s="16"/>
      <c r="C68" s="16"/>
      <c r="D68" s="16"/>
      <c r="E68" s="16"/>
      <c r="F68" s="58">
        <v>38</v>
      </c>
      <c r="G68" s="16"/>
      <c r="H68" s="16"/>
      <c r="I68" s="16"/>
    </row>
    <row r="69" spans="2:9" x14ac:dyDescent="0.2">
      <c r="B69" s="16"/>
      <c r="C69" s="16"/>
      <c r="D69" s="16"/>
      <c r="E69" s="16"/>
      <c r="F69" s="58">
        <v>42</v>
      </c>
      <c r="G69" s="16"/>
      <c r="H69" s="16"/>
      <c r="I69" s="16"/>
    </row>
    <row r="70" spans="2:9" x14ac:dyDescent="0.2">
      <c r="B70" s="16"/>
      <c r="C70" s="16"/>
      <c r="D70" s="16"/>
      <c r="E70" s="16"/>
      <c r="F70" s="58">
        <v>37</v>
      </c>
      <c r="G70" s="16"/>
      <c r="H70" s="16"/>
      <c r="I70" s="16"/>
    </row>
    <row r="71" spans="2:9" x14ac:dyDescent="0.2">
      <c r="B71" s="16"/>
      <c r="C71" s="16"/>
      <c r="D71" s="16"/>
      <c r="E71" s="16"/>
      <c r="F71" s="58">
        <v>41</v>
      </c>
      <c r="G71" s="16"/>
      <c r="H71" s="16"/>
      <c r="I71" s="16"/>
    </row>
    <row r="72" spans="2:9" x14ac:dyDescent="0.2">
      <c r="B72" s="16"/>
      <c r="C72" s="16"/>
      <c r="D72" s="16"/>
      <c r="E72" s="16"/>
      <c r="F72" s="58">
        <v>39</v>
      </c>
      <c r="G72" s="16"/>
      <c r="H72" s="16"/>
      <c r="I72" s="16"/>
    </row>
    <row r="73" spans="2:9" x14ac:dyDescent="0.2">
      <c r="B73" s="16"/>
      <c r="C73" s="16"/>
      <c r="D73" s="16"/>
      <c r="E73" s="16"/>
      <c r="F73" s="58">
        <v>40</v>
      </c>
      <c r="G73" s="16"/>
      <c r="H73" s="16"/>
      <c r="I73" s="16"/>
    </row>
    <row r="74" spans="2:9" x14ac:dyDescent="0.2">
      <c r="B74" s="16"/>
      <c r="C74" s="16"/>
      <c r="D74" s="16"/>
      <c r="E74" s="16"/>
      <c r="F74" s="58">
        <v>41</v>
      </c>
      <c r="G74" s="16"/>
      <c r="H74" s="16"/>
      <c r="I74" s="16"/>
    </row>
    <row r="75" spans="2:9" x14ac:dyDescent="0.2">
      <c r="B75" s="16"/>
      <c r="C75" s="16"/>
      <c r="D75" s="16"/>
      <c r="E75" s="16"/>
      <c r="F75" s="58">
        <v>40</v>
      </c>
      <c r="G75" s="16"/>
      <c r="H75" s="16"/>
      <c r="I75" s="16"/>
    </row>
    <row r="76" spans="2:9" x14ac:dyDescent="0.2">
      <c r="B76" s="16"/>
      <c r="C76" s="16"/>
      <c r="D76" s="16"/>
      <c r="E76" s="16"/>
      <c r="F76" s="58">
        <v>41</v>
      </c>
      <c r="G76" s="16"/>
      <c r="H76" s="16"/>
      <c r="I76" s="16"/>
    </row>
    <row r="77" spans="2:9" x14ac:dyDescent="0.2">
      <c r="B77" s="16"/>
      <c r="C77" s="16"/>
      <c r="D77" s="16"/>
      <c r="E77" s="16"/>
      <c r="F77" s="58">
        <v>42</v>
      </c>
      <c r="G77" s="16"/>
      <c r="H77" s="16"/>
      <c r="I77" s="16"/>
    </row>
    <row r="78" spans="2:9" x14ac:dyDescent="0.2">
      <c r="B78" s="16"/>
      <c r="C78" s="16"/>
      <c r="D78" s="16"/>
      <c r="E78" s="16"/>
      <c r="F78" s="58">
        <v>42</v>
      </c>
      <c r="G78" s="16"/>
      <c r="H78" s="16"/>
      <c r="I78" s="16"/>
    </row>
    <row r="79" spans="2:9" x14ac:dyDescent="0.2">
      <c r="B79" s="16"/>
      <c r="C79" s="16"/>
      <c r="D79" s="16"/>
      <c r="E79" s="16"/>
      <c r="F79" s="58">
        <v>41</v>
      </c>
      <c r="G79" s="16"/>
      <c r="H79" s="16"/>
      <c r="I79" s="16"/>
    </row>
    <row r="80" spans="2:9" x14ac:dyDescent="0.2">
      <c r="B80" s="16"/>
      <c r="C80" s="16"/>
      <c r="D80" s="16"/>
      <c r="E80" s="16"/>
      <c r="F80" s="58">
        <v>43</v>
      </c>
      <c r="G80" s="16"/>
      <c r="H80" s="16"/>
      <c r="I80" s="16"/>
    </row>
    <row r="81" spans="2:9" x14ac:dyDescent="0.2">
      <c r="B81" s="16"/>
      <c r="C81" s="16"/>
      <c r="D81" s="16"/>
      <c r="E81" s="16"/>
      <c r="F81" s="58">
        <v>40</v>
      </c>
      <c r="G81" s="16"/>
      <c r="H81" s="16"/>
      <c r="I81" s="16"/>
    </row>
    <row r="82" spans="2:9" x14ac:dyDescent="0.2">
      <c r="B82" s="16"/>
      <c r="C82" s="16"/>
      <c r="D82" s="16"/>
      <c r="E82" s="16"/>
      <c r="F82" s="58">
        <v>37</v>
      </c>
      <c r="G82" s="16"/>
      <c r="H82" s="16"/>
      <c r="I82" s="16"/>
    </row>
    <row r="83" spans="2:9" x14ac:dyDescent="0.2">
      <c r="B83" s="16"/>
      <c r="C83" s="16"/>
      <c r="D83" s="16"/>
      <c r="E83" s="16"/>
      <c r="F83" s="58">
        <v>39</v>
      </c>
      <c r="G83" s="16"/>
      <c r="H83" s="16"/>
      <c r="I83" s="16"/>
    </row>
    <row r="84" spans="2:9" x14ac:dyDescent="0.2">
      <c r="B84" s="16"/>
      <c r="C84" s="16"/>
      <c r="D84" s="16"/>
      <c r="E84" s="16"/>
      <c r="F84" s="58">
        <v>39</v>
      </c>
      <c r="G84" s="16"/>
      <c r="H84" s="16"/>
      <c r="I84" s="16"/>
    </row>
    <row r="85" spans="2:9" x14ac:dyDescent="0.2">
      <c r="B85" s="16"/>
      <c r="C85" s="16"/>
      <c r="D85" s="16"/>
      <c r="E85" s="16"/>
      <c r="F85" s="58">
        <v>42</v>
      </c>
      <c r="G85" s="16"/>
      <c r="H85" s="16"/>
      <c r="I85" s="16"/>
    </row>
    <row r="86" spans="2:9" x14ac:dyDescent="0.2">
      <c r="B86" s="16"/>
      <c r="C86" s="16"/>
      <c r="D86" s="16"/>
      <c r="E86" s="16"/>
      <c r="F86" s="58">
        <v>40</v>
      </c>
      <c r="G86" s="16"/>
      <c r="H86" s="16"/>
      <c r="I86" s="16"/>
    </row>
    <row r="87" spans="2:9" x14ac:dyDescent="0.2">
      <c r="B87" s="16"/>
      <c r="C87" s="16"/>
      <c r="D87" s="16"/>
      <c r="E87" s="16"/>
      <c r="F87" s="58">
        <v>40</v>
      </c>
      <c r="G87" s="16"/>
      <c r="H87" s="16"/>
      <c r="I87" s="16"/>
    </row>
    <row r="88" spans="2:9" x14ac:dyDescent="0.2">
      <c r="B88" s="16"/>
      <c r="C88" s="16"/>
      <c r="D88" s="16"/>
      <c r="E88" s="16"/>
      <c r="F88" s="58">
        <v>37</v>
      </c>
      <c r="G88" s="16"/>
      <c r="H88" s="16"/>
      <c r="I88" s="16"/>
    </row>
    <row r="89" spans="2:9" x14ac:dyDescent="0.2">
      <c r="B89" s="16"/>
      <c r="C89" s="16"/>
      <c r="D89" s="16"/>
      <c r="E89" s="16"/>
      <c r="F89" s="58">
        <v>37</v>
      </c>
      <c r="G89" s="16"/>
      <c r="H89" s="16"/>
      <c r="I89" s="16"/>
    </row>
    <row r="90" spans="2:9" x14ac:dyDescent="0.2">
      <c r="B90" s="16"/>
      <c r="C90" s="16"/>
      <c r="D90" s="16"/>
      <c r="E90" s="16"/>
      <c r="F90" s="58">
        <v>38</v>
      </c>
      <c r="G90" s="16"/>
      <c r="H90" s="16"/>
      <c r="I90" s="16"/>
    </row>
    <row r="91" spans="2:9" x14ac:dyDescent="0.2">
      <c r="B91" s="16"/>
      <c r="C91" s="16"/>
      <c r="D91" s="16"/>
      <c r="E91" s="16"/>
      <c r="F91" s="58">
        <v>38</v>
      </c>
      <c r="G91" s="16"/>
      <c r="H91" s="16"/>
      <c r="I91" s="16"/>
    </row>
    <row r="92" spans="2:9" x14ac:dyDescent="0.2">
      <c r="B92" s="16"/>
      <c r="C92" s="16"/>
      <c r="D92" s="16"/>
      <c r="E92" s="16"/>
      <c r="F92" s="58">
        <v>38</v>
      </c>
      <c r="G92" s="16"/>
      <c r="H92" s="16"/>
      <c r="I92" s="16"/>
    </row>
    <row r="93" spans="2:9" x14ac:dyDescent="0.2">
      <c r="B93" s="16"/>
      <c r="C93" s="16"/>
      <c r="D93" s="16"/>
      <c r="E93" s="16"/>
      <c r="F93" s="58">
        <v>43</v>
      </c>
      <c r="G93" s="16"/>
      <c r="H93" s="16"/>
      <c r="I93" s="16"/>
    </row>
  </sheetData>
  <mergeCells count="5">
    <mergeCell ref="B6:E6"/>
    <mergeCell ref="B2:C2"/>
    <mergeCell ref="B3:C3"/>
    <mergeCell ref="B4:C4"/>
    <mergeCell ref="B1:C1"/>
  </mergeCells>
  <hyperlinks>
    <hyperlink ref="B6:D6" location="Inhoud!A1" display="Ga naar Inhoudsopgave" xr:uid="{00000000-0004-0000-4300-000000000000}"/>
  </hyperlinks>
  <pageMargins left="0.7" right="0.7" top="0.75" bottom="0.75" header="0.3" footer="0.3"/>
  <pageSetup paperSize="9" orientation="landscape" r:id="rId1"/>
  <drawing r:id="rId2"/>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Blad55"/>
  <dimension ref="B1:E33"/>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9.7109375" style="4" customWidth="1"/>
    <col min="5" max="5" width="7.7109375" style="4" customWidth="1"/>
    <col min="6" max="6" width="4.7109375" style="4" customWidth="1"/>
    <col min="7" max="16384" width="9.140625" style="4"/>
  </cols>
  <sheetData>
    <row r="1" spans="2:5" x14ac:dyDescent="0.2">
      <c r="B1" s="355" t="s">
        <v>1253</v>
      </c>
      <c r="C1" s="355"/>
      <c r="D1" s="316" t="s">
        <v>693</v>
      </c>
    </row>
    <row r="2" spans="2:5" x14ac:dyDescent="0.2">
      <c r="B2" s="355" t="s">
        <v>1085</v>
      </c>
      <c r="C2" s="355"/>
      <c r="D2" s="332" t="str">
        <f>VLOOKUP(D$1,TabelContent[],COLUMN(TabelContent[Titel-NL]))</f>
        <v>Relatie studietijd-cijfer</v>
      </c>
    </row>
    <row r="3" spans="2:5" x14ac:dyDescent="0.2">
      <c r="B3" s="355" t="s">
        <v>1086</v>
      </c>
      <c r="C3" s="355"/>
      <c r="D3" s="332" t="str">
        <f>VLOOKUP(D$1,TabelContent[],COLUMN(TabelContent[Cat-NL]))</f>
        <v>Statistiek</v>
      </c>
    </row>
    <row r="4" spans="2:5" x14ac:dyDescent="0.2">
      <c r="B4" s="355" t="s">
        <v>1087</v>
      </c>
      <c r="C4" s="355" t="s">
        <v>1077</v>
      </c>
      <c r="D4" s="332">
        <f>VLOOKUP(D$1,TabelContent[],COLUMN(TabelContent[Niveau]))</f>
        <v>3</v>
      </c>
    </row>
    <row r="5" spans="2:5" x14ac:dyDescent="0.2">
      <c r="B5" s="16"/>
      <c r="C5" s="16"/>
      <c r="D5" s="16"/>
      <c r="E5" s="16"/>
    </row>
    <row r="6" spans="2:5" x14ac:dyDescent="0.2">
      <c r="B6" s="356" t="s">
        <v>47</v>
      </c>
      <c r="C6" s="356"/>
      <c r="D6" s="356"/>
      <c r="E6" s="356"/>
    </row>
    <row r="7" spans="2:5" x14ac:dyDescent="0.2">
      <c r="B7" s="16"/>
      <c r="C7" s="16"/>
      <c r="D7" s="16"/>
      <c r="E7" s="16"/>
    </row>
    <row r="8" spans="2:5" x14ac:dyDescent="0.2">
      <c r="B8" s="16"/>
      <c r="C8" s="23" t="s">
        <v>675</v>
      </c>
      <c r="D8" s="93" t="s">
        <v>682</v>
      </c>
      <c r="E8" s="93" t="s">
        <v>82</v>
      </c>
    </row>
    <row r="9" spans="2:5" x14ac:dyDescent="0.2">
      <c r="B9" s="16"/>
      <c r="C9" s="16" t="s">
        <v>670</v>
      </c>
      <c r="D9" s="35">
        <v>18</v>
      </c>
      <c r="E9" s="94">
        <v>6.3</v>
      </c>
    </row>
    <row r="10" spans="2:5" x14ac:dyDescent="0.2">
      <c r="B10" s="16"/>
      <c r="C10" s="16" t="s">
        <v>671</v>
      </c>
      <c r="D10" s="35">
        <v>20</v>
      </c>
      <c r="E10" s="94">
        <v>7.8</v>
      </c>
    </row>
    <row r="11" spans="2:5" x14ac:dyDescent="0.2">
      <c r="B11" s="16"/>
      <c r="C11" s="16" t="s">
        <v>672</v>
      </c>
      <c r="D11" s="35">
        <v>10</v>
      </c>
      <c r="E11" s="94">
        <v>4.5</v>
      </c>
    </row>
    <row r="12" spans="2:5" x14ac:dyDescent="0.2">
      <c r="B12" s="16"/>
      <c r="C12" s="16" t="s">
        <v>673</v>
      </c>
      <c r="D12" s="35">
        <v>12</v>
      </c>
      <c r="E12" s="94">
        <v>6</v>
      </c>
    </row>
    <row r="13" spans="2:5" x14ac:dyDescent="0.2">
      <c r="B13" s="16"/>
      <c r="C13" s="16" t="s">
        <v>684</v>
      </c>
      <c r="D13" s="35">
        <v>15</v>
      </c>
      <c r="E13" s="94">
        <v>7</v>
      </c>
    </row>
    <row r="14" spans="2:5" x14ac:dyDescent="0.2">
      <c r="B14" s="16"/>
      <c r="C14" s="16" t="s">
        <v>674</v>
      </c>
      <c r="D14" s="35">
        <v>9</v>
      </c>
      <c r="E14" s="94">
        <v>5.5</v>
      </c>
    </row>
    <row r="15" spans="2:5" x14ac:dyDescent="0.2">
      <c r="B15" s="16"/>
      <c r="C15" s="16" t="s">
        <v>676</v>
      </c>
      <c r="D15" s="16">
        <v>14</v>
      </c>
      <c r="E15" s="95">
        <v>5.8</v>
      </c>
    </row>
    <row r="16" spans="2:5" x14ac:dyDescent="0.2">
      <c r="B16" s="16"/>
      <c r="C16" s="16" t="s">
        <v>530</v>
      </c>
      <c r="D16" s="16">
        <v>8</v>
      </c>
      <c r="E16" s="95">
        <v>5</v>
      </c>
    </row>
    <row r="17" spans="2:5" x14ac:dyDescent="0.2">
      <c r="B17" s="16"/>
      <c r="C17" s="16" t="s">
        <v>683</v>
      </c>
      <c r="D17" s="35">
        <v>16</v>
      </c>
      <c r="E17" s="95">
        <v>7.3</v>
      </c>
    </row>
    <row r="18" spans="2:5" x14ac:dyDescent="0.2">
      <c r="B18" s="16"/>
      <c r="C18" s="16" t="s">
        <v>677</v>
      </c>
      <c r="D18" s="35">
        <v>11</v>
      </c>
      <c r="E18" s="95">
        <v>5.2</v>
      </c>
    </row>
    <row r="19" spans="2:5" x14ac:dyDescent="0.2">
      <c r="B19" s="16"/>
      <c r="C19" s="16" t="s">
        <v>678</v>
      </c>
      <c r="D19" s="35">
        <v>19</v>
      </c>
      <c r="E19" s="95">
        <v>7.5</v>
      </c>
    </row>
    <row r="20" spans="2:5" x14ac:dyDescent="0.2">
      <c r="B20" s="16"/>
      <c r="C20" s="16" t="s">
        <v>679</v>
      </c>
      <c r="D20" s="35">
        <v>16</v>
      </c>
      <c r="E20" s="95">
        <v>6.3</v>
      </c>
    </row>
    <row r="21" spans="2:5" x14ac:dyDescent="0.2">
      <c r="B21" s="16"/>
      <c r="C21" s="16" t="s">
        <v>680</v>
      </c>
      <c r="D21" s="35">
        <v>10</v>
      </c>
      <c r="E21" s="95">
        <v>5.9</v>
      </c>
    </row>
    <row r="22" spans="2:5" x14ac:dyDescent="0.2">
      <c r="B22" s="16"/>
      <c r="C22" s="16" t="s">
        <v>470</v>
      </c>
      <c r="D22" s="35">
        <v>13</v>
      </c>
      <c r="E22" s="95">
        <v>6</v>
      </c>
    </row>
    <row r="23" spans="2:5" x14ac:dyDescent="0.2">
      <c r="B23" s="16"/>
      <c r="C23" s="16" t="s">
        <v>681</v>
      </c>
      <c r="D23" s="35">
        <v>17</v>
      </c>
      <c r="E23" s="95">
        <v>6.7</v>
      </c>
    </row>
    <row r="24" spans="2:5" x14ac:dyDescent="0.2">
      <c r="B24" s="16"/>
      <c r="C24" s="16"/>
      <c r="D24" s="16"/>
      <c r="E24" s="16"/>
    </row>
    <row r="25" spans="2:5" x14ac:dyDescent="0.2">
      <c r="B25" s="16"/>
      <c r="C25" s="16"/>
      <c r="D25" s="16"/>
      <c r="E25" s="16"/>
    </row>
    <row r="26" spans="2:5" x14ac:dyDescent="0.2">
      <c r="B26" s="16"/>
      <c r="C26" s="23" t="s">
        <v>685</v>
      </c>
      <c r="D26" s="16"/>
      <c r="E26" s="16"/>
    </row>
    <row r="27" spans="2:5" x14ac:dyDescent="0.2">
      <c r="B27" s="16"/>
      <c r="C27" s="358" t="s">
        <v>688</v>
      </c>
      <c r="D27" s="358"/>
      <c r="E27" s="16">
        <f>COUNTA(C9:C23)</f>
        <v>15</v>
      </c>
    </row>
    <row r="28" spans="2:5" x14ac:dyDescent="0.2">
      <c r="B28" s="16"/>
      <c r="C28" s="358" t="s">
        <v>689</v>
      </c>
      <c r="D28" s="358"/>
      <c r="E28" s="16">
        <f>COUNTIF(E9:E23,"&lt;5,5")</f>
        <v>3</v>
      </c>
    </row>
    <row r="29" spans="2:5" x14ac:dyDescent="0.2">
      <c r="B29" s="16"/>
      <c r="C29" s="358" t="s">
        <v>686</v>
      </c>
      <c r="D29" s="358"/>
      <c r="E29" s="95">
        <f>AVERAGE(D9:D23)</f>
        <v>13.866666666666667</v>
      </c>
    </row>
    <row r="30" spans="2:5" x14ac:dyDescent="0.2">
      <c r="B30" s="16"/>
      <c r="C30" s="16" t="s">
        <v>690</v>
      </c>
      <c r="D30" s="16"/>
      <c r="E30" s="95">
        <f>STDEVP(D9:D23)</f>
        <v>3.6672726771933508</v>
      </c>
    </row>
    <row r="31" spans="2:5" x14ac:dyDescent="0.2">
      <c r="B31" s="16"/>
      <c r="C31" s="358" t="s">
        <v>687</v>
      </c>
      <c r="D31" s="358"/>
      <c r="E31" s="95">
        <f>AVERAGE(E9:E23)</f>
        <v>6.1866666666666674</v>
      </c>
    </row>
    <row r="32" spans="2:5" x14ac:dyDescent="0.2">
      <c r="B32" s="16"/>
      <c r="C32" s="358" t="s">
        <v>691</v>
      </c>
      <c r="D32" s="358"/>
      <c r="E32" s="95">
        <f>STDEVP(E9:E23)</f>
        <v>0.91350363375789689</v>
      </c>
    </row>
    <row r="33" spans="2:5" x14ac:dyDescent="0.2">
      <c r="B33" s="16"/>
      <c r="C33" s="358" t="s">
        <v>692</v>
      </c>
      <c r="D33" s="358"/>
      <c r="E33" s="96">
        <f>CORREL(D9:D23,E9:E23)</f>
        <v>0.86512368092219261</v>
      </c>
    </row>
  </sheetData>
  <mergeCells count="11">
    <mergeCell ref="B1:C1"/>
    <mergeCell ref="B2:C2"/>
    <mergeCell ref="B3:C3"/>
    <mergeCell ref="B4:C4"/>
    <mergeCell ref="C33:D33"/>
    <mergeCell ref="B6:E6"/>
    <mergeCell ref="C27:D27"/>
    <mergeCell ref="C28:D28"/>
    <mergeCell ref="C29:D29"/>
    <mergeCell ref="C31:D31"/>
    <mergeCell ref="C32:D32"/>
  </mergeCells>
  <hyperlinks>
    <hyperlink ref="B6:D6" location="sjabloon!A1" display="Ga naar Inhoudsopgave" xr:uid="{00000000-0004-0000-4400-000000000000}"/>
    <hyperlink ref="B6:E6" location="Inhoud!A1" display="Ga naar Inhoudsopgave" xr:uid="{00000000-0004-0000-4400-000001000000}"/>
  </hyperlinks>
  <pageMargins left="0.7" right="0.7" top="0.75" bottom="0.75" header="0.3" footer="0.3"/>
  <pageSetup paperSize="9" orientation="landscape" r:id="rId1"/>
  <drawing r:id="rId2"/>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Blad56"/>
  <dimension ref="B1:E2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6.7109375" style="4" customWidth="1"/>
    <col min="5" max="16384" width="9.140625" style="4"/>
  </cols>
  <sheetData>
    <row r="1" spans="2:5" x14ac:dyDescent="0.2">
      <c r="B1" s="355" t="s">
        <v>1253</v>
      </c>
      <c r="C1" s="355"/>
      <c r="D1" s="316" t="s">
        <v>700</v>
      </c>
    </row>
    <row r="2" spans="2:5" x14ac:dyDescent="0.2">
      <c r="B2" s="355" t="s">
        <v>1085</v>
      </c>
      <c r="C2" s="355"/>
      <c r="D2" s="332" t="str">
        <f>VLOOKUP(D$1,TabelContent[],COLUMN(TabelContent[Titel-NL]))</f>
        <v>Afzet voorspellen</v>
      </c>
    </row>
    <row r="3" spans="2:5" x14ac:dyDescent="0.2">
      <c r="B3" s="355" t="s">
        <v>1086</v>
      </c>
      <c r="C3" s="355"/>
      <c r="D3" s="332" t="str">
        <f>VLOOKUP(D$1,TabelContent[],COLUMN(TabelContent[Cat-NL]))</f>
        <v>Statistiek</v>
      </c>
    </row>
    <row r="4" spans="2:5" x14ac:dyDescent="0.2">
      <c r="B4" s="355" t="s">
        <v>1087</v>
      </c>
      <c r="C4" s="355" t="s">
        <v>1077</v>
      </c>
      <c r="D4" s="332">
        <f>VLOOKUP(D$1,TabelContent[],COLUMN(TabelContent[Niveau]))</f>
        <v>2</v>
      </c>
    </row>
    <row r="5" spans="2:5" x14ac:dyDescent="0.2">
      <c r="B5" s="16"/>
      <c r="C5" s="16"/>
      <c r="D5" s="16"/>
    </row>
    <row r="6" spans="2:5" x14ac:dyDescent="0.2">
      <c r="B6" s="357" t="s">
        <v>47</v>
      </c>
      <c r="C6" s="357"/>
      <c r="D6" s="357"/>
      <c r="E6" s="360"/>
    </row>
    <row r="7" spans="2:5" x14ac:dyDescent="0.2">
      <c r="B7" s="16"/>
      <c r="C7" s="16"/>
      <c r="D7" s="16"/>
    </row>
    <row r="8" spans="2:5" x14ac:dyDescent="0.2">
      <c r="B8" s="16"/>
      <c r="C8" s="93" t="s">
        <v>53</v>
      </c>
      <c r="D8" s="93" t="s">
        <v>696</v>
      </c>
    </row>
    <row r="9" spans="2:5" x14ac:dyDescent="0.2">
      <c r="B9" s="16"/>
      <c r="C9" s="35">
        <v>2001</v>
      </c>
      <c r="D9" s="35">
        <v>52</v>
      </c>
    </row>
    <row r="10" spans="2:5" x14ac:dyDescent="0.2">
      <c r="B10" s="16"/>
      <c r="C10" s="35">
        <v>2002</v>
      </c>
      <c r="D10" s="35">
        <v>85</v>
      </c>
    </row>
    <row r="11" spans="2:5" x14ac:dyDescent="0.2">
      <c r="B11" s="16"/>
      <c r="C11" s="35">
        <v>2003</v>
      </c>
      <c r="D11" s="35">
        <v>174</v>
      </c>
    </row>
    <row r="12" spans="2:5" x14ac:dyDescent="0.2">
      <c r="B12" s="16"/>
      <c r="C12" s="35">
        <v>2004</v>
      </c>
      <c r="D12" s="35">
        <v>249</v>
      </c>
    </row>
    <row r="13" spans="2:5" x14ac:dyDescent="0.2">
      <c r="B13" s="16"/>
      <c r="C13" s="35">
        <v>2005</v>
      </c>
      <c r="D13" s="35">
        <v>278</v>
      </c>
    </row>
    <row r="14" spans="2:5" x14ac:dyDescent="0.2">
      <c r="B14" s="16"/>
      <c r="C14" s="35">
        <v>2006</v>
      </c>
      <c r="D14" s="35">
        <v>320</v>
      </c>
    </row>
    <row r="15" spans="2:5" x14ac:dyDescent="0.2">
      <c r="B15" s="16"/>
      <c r="C15" s="35">
        <v>2007</v>
      </c>
      <c r="D15" s="35">
        <v>400</v>
      </c>
    </row>
    <row r="16" spans="2:5" x14ac:dyDescent="0.2">
      <c r="B16" s="16"/>
      <c r="C16" s="35">
        <v>2008</v>
      </c>
      <c r="D16" s="35">
        <v>520</v>
      </c>
    </row>
    <row r="17" spans="2:4" x14ac:dyDescent="0.2">
      <c r="B17" s="16"/>
      <c r="C17" s="35">
        <v>2009</v>
      </c>
      <c r="D17" s="35">
        <v>550</v>
      </c>
    </row>
    <row r="18" spans="2:4" x14ac:dyDescent="0.2">
      <c r="B18" s="16"/>
      <c r="C18" s="35">
        <v>2010</v>
      </c>
      <c r="D18" s="35">
        <v>620</v>
      </c>
    </row>
    <row r="19" spans="2:4" x14ac:dyDescent="0.2">
      <c r="B19" s="16"/>
      <c r="C19" s="16"/>
      <c r="D19" s="16"/>
    </row>
    <row r="20" spans="2:4" x14ac:dyDescent="0.2">
      <c r="B20" s="16"/>
      <c r="C20" s="23" t="s">
        <v>699</v>
      </c>
      <c r="D20" s="16"/>
    </row>
    <row r="21" spans="2:4" x14ac:dyDescent="0.2">
      <c r="B21" s="16"/>
      <c r="C21" s="35">
        <v>2011</v>
      </c>
      <c r="D21" s="94">
        <f>FORECAST(C21,$D$9:$D$18,$C$9:$C$18)</f>
        <v>677.86666666666861</v>
      </c>
    </row>
    <row r="22" spans="2:4" x14ac:dyDescent="0.2">
      <c r="B22" s="16"/>
      <c r="C22" s="35">
        <v>2012</v>
      </c>
      <c r="D22" s="94">
        <f t="shared" ref="D22:D25" si="0">FORECAST(C22,$D$9:$D$18,$C$9:$C$18)</f>
        <v>742.06060606060782</v>
      </c>
    </row>
    <row r="23" spans="2:4" x14ac:dyDescent="0.2">
      <c r="B23" s="16"/>
      <c r="C23" s="35">
        <v>2013</v>
      </c>
      <c r="D23" s="94">
        <f t="shared" si="0"/>
        <v>806.25454545454704</v>
      </c>
    </row>
    <row r="24" spans="2:4" x14ac:dyDescent="0.2">
      <c r="B24" s="16"/>
      <c r="C24" s="35">
        <v>2014</v>
      </c>
      <c r="D24" s="94">
        <f t="shared" si="0"/>
        <v>870.44848484848626</v>
      </c>
    </row>
    <row r="25" spans="2:4" x14ac:dyDescent="0.2">
      <c r="B25" s="16"/>
      <c r="C25" s="35">
        <v>2015</v>
      </c>
      <c r="D25" s="94">
        <f t="shared" si="0"/>
        <v>934.64242424242548</v>
      </c>
    </row>
  </sheetData>
  <mergeCells count="5">
    <mergeCell ref="B6:E6"/>
    <mergeCell ref="B2:C2"/>
    <mergeCell ref="B3:C3"/>
    <mergeCell ref="B4:C4"/>
    <mergeCell ref="B1:C1"/>
  </mergeCells>
  <hyperlinks>
    <hyperlink ref="B6:D6" location="Inhoud!A1" display="Ga naar Inhoudsopgave" xr:uid="{00000000-0004-0000-4500-000000000000}"/>
  </hyperlinks>
  <pageMargins left="0.7" right="0.7" top="0.75" bottom="0.75" header="0.3" footer="0.3"/>
  <pageSetup paperSize="9" orientation="landscape" r:id="rId1"/>
  <drawing r:id="rId2"/>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Blad57"/>
  <dimension ref="B1:E2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 style="4" bestFit="1" customWidth="1"/>
    <col min="5" max="16384" width="9.140625" style="4"/>
  </cols>
  <sheetData>
    <row r="1" spans="2:5" x14ac:dyDescent="0.2">
      <c r="B1" s="355" t="s">
        <v>1253</v>
      </c>
      <c r="C1" s="355"/>
      <c r="D1" s="316" t="s">
        <v>747</v>
      </c>
    </row>
    <row r="2" spans="2:5" x14ac:dyDescent="0.2">
      <c r="B2" s="355" t="s">
        <v>1085</v>
      </c>
      <c r="C2" s="355"/>
      <c r="D2" s="332" t="str">
        <f>VLOOKUP(D$1,TabelContent[],COLUMN(TabelContent[Titel-NL]))</f>
        <v>Servicegraad</v>
      </c>
    </row>
    <row r="3" spans="2:5" x14ac:dyDescent="0.2">
      <c r="B3" s="355" t="s">
        <v>1086</v>
      </c>
      <c r="C3" s="355"/>
      <c r="D3" s="332" t="str">
        <f>VLOOKUP(D$1,TabelContent[],COLUMN(TabelContent[Cat-NL]))</f>
        <v>Statistiek</v>
      </c>
    </row>
    <row r="4" spans="2:5" x14ac:dyDescent="0.2">
      <c r="B4" s="355" t="s">
        <v>1087</v>
      </c>
      <c r="C4" s="355" t="s">
        <v>1077</v>
      </c>
      <c r="D4" s="332">
        <f>VLOOKUP(D$1,TabelContent[],COLUMN(TabelContent[Niveau]))</f>
        <v>3</v>
      </c>
    </row>
    <row r="5" spans="2:5" x14ac:dyDescent="0.2">
      <c r="B5" s="16"/>
      <c r="C5" s="16"/>
      <c r="D5" s="16"/>
      <c r="E5" s="16"/>
    </row>
    <row r="6" spans="2:5" x14ac:dyDescent="0.2">
      <c r="B6" s="356" t="s">
        <v>47</v>
      </c>
      <c r="C6" s="356"/>
      <c r="D6" s="356"/>
      <c r="E6" s="356"/>
    </row>
    <row r="7" spans="2:5" x14ac:dyDescent="0.2">
      <c r="B7" s="16"/>
      <c r="C7" s="16"/>
      <c r="D7" s="16"/>
      <c r="E7" s="16"/>
    </row>
    <row r="8" spans="2:5" x14ac:dyDescent="0.2">
      <c r="B8" s="16"/>
      <c r="C8" s="16" t="s">
        <v>739</v>
      </c>
      <c r="D8" s="16">
        <v>400</v>
      </c>
      <c r="E8" s="16"/>
    </row>
    <row r="9" spans="2:5" x14ac:dyDescent="0.2">
      <c r="B9" s="16"/>
      <c r="C9" s="16" t="s">
        <v>740</v>
      </c>
      <c r="D9" s="16">
        <v>50</v>
      </c>
      <c r="E9" s="16"/>
    </row>
    <row r="10" spans="2:5" x14ac:dyDescent="0.2">
      <c r="B10" s="16"/>
      <c r="C10" s="16"/>
      <c r="D10" s="16"/>
      <c r="E10" s="16"/>
    </row>
    <row r="11" spans="2:5" x14ac:dyDescent="0.2">
      <c r="B11" s="16"/>
      <c r="C11" s="93" t="s">
        <v>745</v>
      </c>
      <c r="D11" s="93" t="s">
        <v>741</v>
      </c>
      <c r="E11" s="16"/>
    </row>
    <row r="12" spans="2:5" x14ac:dyDescent="0.2">
      <c r="B12" s="16"/>
      <c r="C12" s="16">
        <v>450</v>
      </c>
      <c r="D12" s="106">
        <f>NORMDIST(C12,$D$8,$D$9,TRUE)</f>
        <v>0.84134474606854304</v>
      </c>
      <c r="E12" s="16"/>
    </row>
    <row r="13" spans="2:5" x14ac:dyDescent="0.2">
      <c r="B13" s="16"/>
      <c r="C13" s="16">
        <v>460</v>
      </c>
      <c r="D13" s="106">
        <f t="shared" ref="D13:D22" si="0">NORMDIST(C13,$D$8,$D$9,TRUE)</f>
        <v>0.88493032977829178</v>
      </c>
      <c r="E13" s="16"/>
    </row>
    <row r="14" spans="2:5" x14ac:dyDescent="0.2">
      <c r="B14" s="16"/>
      <c r="C14" s="16">
        <v>470</v>
      </c>
      <c r="D14" s="106">
        <f t="shared" si="0"/>
        <v>0.91924334076622893</v>
      </c>
      <c r="E14" s="16"/>
    </row>
    <row r="15" spans="2:5" x14ac:dyDescent="0.2">
      <c r="B15" s="16"/>
      <c r="C15" s="16">
        <v>480</v>
      </c>
      <c r="D15" s="106">
        <f t="shared" si="0"/>
        <v>0.94520070830044201</v>
      </c>
      <c r="E15" s="16"/>
    </row>
    <row r="16" spans="2:5" x14ac:dyDescent="0.2">
      <c r="C16" s="4">
        <v>490</v>
      </c>
      <c r="D16" s="106">
        <f t="shared" si="0"/>
        <v>0.96406968088707423</v>
      </c>
    </row>
    <row r="17" spans="3:4" x14ac:dyDescent="0.2">
      <c r="C17" s="4">
        <v>500</v>
      </c>
      <c r="D17" s="106">
        <f t="shared" si="0"/>
        <v>0.97724986805182079</v>
      </c>
    </row>
    <row r="18" spans="3:4" x14ac:dyDescent="0.2">
      <c r="C18" s="4">
        <v>510</v>
      </c>
      <c r="D18" s="106">
        <f t="shared" si="0"/>
        <v>0.98609655248650141</v>
      </c>
    </row>
    <row r="19" spans="3:4" x14ac:dyDescent="0.2">
      <c r="C19" s="4">
        <v>520</v>
      </c>
      <c r="D19" s="106">
        <f t="shared" si="0"/>
        <v>0.99180246407540384</v>
      </c>
    </row>
    <row r="20" spans="3:4" x14ac:dyDescent="0.2">
      <c r="C20" s="4">
        <v>530</v>
      </c>
      <c r="D20" s="106">
        <f t="shared" si="0"/>
        <v>0.99533881197628127</v>
      </c>
    </row>
    <row r="21" spans="3:4" x14ac:dyDescent="0.2">
      <c r="C21" s="4">
        <v>540</v>
      </c>
      <c r="D21" s="106">
        <f t="shared" si="0"/>
        <v>0.99744486966957202</v>
      </c>
    </row>
    <row r="22" spans="3:4" x14ac:dyDescent="0.2">
      <c r="C22" s="4">
        <v>550</v>
      </c>
      <c r="D22" s="106">
        <f t="shared" si="0"/>
        <v>0.9986501019683699</v>
      </c>
    </row>
    <row r="26" spans="3:4" x14ac:dyDescent="0.2">
      <c r="C26" s="1" t="s">
        <v>742</v>
      </c>
    </row>
    <row r="27" spans="3:4" x14ac:dyDescent="0.2">
      <c r="C27" s="107">
        <v>0.95</v>
      </c>
      <c r="D27" s="4" t="s">
        <v>743</v>
      </c>
    </row>
    <row r="28" spans="3:4" x14ac:dyDescent="0.2">
      <c r="C28" s="104">
        <f>NORMSINV(C27)</f>
        <v>1.6448536269514715</v>
      </c>
      <c r="D28" s="4" t="s">
        <v>744</v>
      </c>
    </row>
    <row r="29" spans="3:4" x14ac:dyDescent="0.2">
      <c r="C29" s="108">
        <f>ROUNDUP(D8+D9*C28,0)</f>
        <v>483</v>
      </c>
      <c r="D29" s="4" t="s">
        <v>748</v>
      </c>
    </row>
  </sheetData>
  <mergeCells count="5">
    <mergeCell ref="B6:E6"/>
    <mergeCell ref="B2:C2"/>
    <mergeCell ref="B3:C3"/>
    <mergeCell ref="B4:C4"/>
    <mergeCell ref="B1:C1"/>
  </mergeCells>
  <hyperlinks>
    <hyperlink ref="B6:D6" location="sjabloon!A1" display="Ga naar Inhoudsopgave" xr:uid="{00000000-0004-0000-4600-000000000000}"/>
    <hyperlink ref="B6:E6" location="Inhoud!A1" display="Ga naar Inhoudsopgave" xr:uid="{00000000-0004-0000-4600-000001000000}"/>
  </hyperlinks>
  <pageMargins left="0.7" right="0.7" top="0.75" bottom="0.75" header="0.3" footer="0.3"/>
  <pageSetup paperSize="9" orientation="landscape" r:id="rId1"/>
  <drawing r:id="rId2"/>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B1:K3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5.5703125" style="4" bestFit="1" customWidth="1"/>
    <col min="5" max="5" width="11.85546875" style="4" bestFit="1" customWidth="1"/>
    <col min="6" max="16384" width="9.140625" style="4"/>
  </cols>
  <sheetData>
    <row r="1" spans="2:5" x14ac:dyDescent="0.2">
      <c r="B1" s="355" t="s">
        <v>1253</v>
      </c>
      <c r="C1" s="355"/>
      <c r="D1" s="321" t="s">
        <v>1280</v>
      </c>
    </row>
    <row r="2" spans="2:5" x14ac:dyDescent="0.2">
      <c r="B2" s="355" t="s">
        <v>1085</v>
      </c>
      <c r="C2" s="355"/>
      <c r="D2" s="332" t="str">
        <f>VLOOKUP(D$1,TabelContent[],COLUMN(TabelContent[Titel-NL]))</f>
        <v>Aflossing lening</v>
      </c>
    </row>
    <row r="3" spans="2:5" x14ac:dyDescent="0.2">
      <c r="B3" s="355" t="s">
        <v>1086</v>
      </c>
      <c r="C3" s="355"/>
      <c r="D3" s="332" t="str">
        <f>VLOOKUP(D$1,TabelContent[],COLUMN(TabelContent[Cat-NL]))</f>
        <v>Gegevenstabel</v>
      </c>
    </row>
    <row r="4" spans="2:5" x14ac:dyDescent="0.2">
      <c r="B4" s="355" t="s">
        <v>1087</v>
      </c>
      <c r="C4" s="355" t="s">
        <v>1077</v>
      </c>
      <c r="D4" s="332">
        <f>VLOOKUP(D$1,TabelContent[],COLUMN(TabelContent[Niveau]))</f>
        <v>2</v>
      </c>
    </row>
    <row r="5" spans="2:5" x14ac:dyDescent="0.2">
      <c r="B5" s="16"/>
      <c r="C5" s="16"/>
      <c r="D5" s="16"/>
    </row>
    <row r="6" spans="2:5" x14ac:dyDescent="0.2">
      <c r="B6" s="356" t="s">
        <v>47</v>
      </c>
      <c r="C6" s="356"/>
      <c r="D6" s="356"/>
    </row>
    <row r="7" spans="2:5" x14ac:dyDescent="0.2">
      <c r="B7" s="16"/>
      <c r="C7" s="16"/>
      <c r="D7" s="16"/>
    </row>
    <row r="8" spans="2:5" x14ac:dyDescent="0.2">
      <c r="B8" s="16"/>
      <c r="D8" s="4" t="s">
        <v>1283</v>
      </c>
      <c r="E8" s="255">
        <v>10000</v>
      </c>
    </row>
    <row r="9" spans="2:5" x14ac:dyDescent="0.2">
      <c r="B9" s="16"/>
      <c r="D9" s="4" t="s">
        <v>1284</v>
      </c>
      <c r="E9" s="102">
        <v>0.05</v>
      </c>
    </row>
    <row r="10" spans="2:5" x14ac:dyDescent="0.2">
      <c r="B10" s="16"/>
      <c r="D10" s="4" t="s">
        <v>1285</v>
      </c>
      <c r="E10" s="4">
        <v>36</v>
      </c>
    </row>
    <row r="11" spans="2:5" x14ac:dyDescent="0.2">
      <c r="D11" s="4" t="s">
        <v>1286</v>
      </c>
      <c r="E11" s="320">
        <f>-PMT(E9/12,E10,E8)</f>
        <v>299.70897104665477</v>
      </c>
    </row>
    <row r="13" spans="2:5" x14ac:dyDescent="0.2">
      <c r="E13" s="320"/>
    </row>
    <row r="14" spans="2:5" x14ac:dyDescent="0.2">
      <c r="D14" s="99" t="s">
        <v>1288</v>
      </c>
      <c r="E14" s="320">
        <f>E11</f>
        <v>299.70897104665477</v>
      </c>
    </row>
    <row r="15" spans="2:5" x14ac:dyDescent="0.2">
      <c r="D15" s="4">
        <v>12</v>
      </c>
      <c r="E15" s="320">
        <f t="dataTable" ref="E15:E25" dt2D="0" dtr="0" r1="E10"/>
        <v>856.07481788467135</v>
      </c>
    </row>
    <row r="16" spans="2:5" x14ac:dyDescent="0.2">
      <c r="D16" s="4">
        <v>18</v>
      </c>
      <c r="E16" s="320">
        <v>577.8053455865504</v>
      </c>
    </row>
    <row r="17" spans="4:11" x14ac:dyDescent="0.2">
      <c r="D17" s="4">
        <v>24</v>
      </c>
      <c r="E17" s="320">
        <v>438.71389734068447</v>
      </c>
    </row>
    <row r="18" spans="4:11" x14ac:dyDescent="0.2">
      <c r="D18" s="4">
        <v>30</v>
      </c>
      <c r="E18" s="320">
        <v>355.29364363376521</v>
      </c>
    </row>
    <row r="19" spans="4:11" x14ac:dyDescent="0.2">
      <c r="D19" s="4">
        <v>36</v>
      </c>
      <c r="E19" s="320">
        <v>299.70897104665477</v>
      </c>
    </row>
    <row r="20" spans="4:11" x14ac:dyDescent="0.2">
      <c r="D20" s="4">
        <v>42</v>
      </c>
      <c r="E20" s="320">
        <v>260.03032790755117</v>
      </c>
    </row>
    <row r="21" spans="4:11" x14ac:dyDescent="0.2">
      <c r="D21" s="4">
        <v>48</v>
      </c>
      <c r="E21" s="320">
        <v>230.29293570646519</v>
      </c>
    </row>
    <row r="22" spans="4:11" x14ac:dyDescent="0.2">
      <c r="D22" s="4">
        <v>54</v>
      </c>
      <c r="E22" s="320">
        <v>207.18302623442736</v>
      </c>
    </row>
    <row r="23" spans="4:11" x14ac:dyDescent="0.2">
      <c r="D23" s="4">
        <v>60</v>
      </c>
      <c r="E23" s="320">
        <v>188.71233644010937</v>
      </c>
    </row>
    <row r="24" spans="4:11" x14ac:dyDescent="0.2">
      <c r="D24" s="4">
        <v>66</v>
      </c>
      <c r="E24" s="320">
        <v>173.61560609277194</v>
      </c>
    </row>
    <row r="25" spans="4:11" x14ac:dyDescent="0.2">
      <c r="D25" s="4">
        <v>72</v>
      </c>
      <c r="E25" s="320">
        <v>161.04932661450931</v>
      </c>
    </row>
    <row r="28" spans="4:11" x14ac:dyDescent="0.2">
      <c r="D28" s="323">
        <f>E11</f>
        <v>299.70897104665477</v>
      </c>
      <c r="E28" s="102">
        <v>0.03</v>
      </c>
      <c r="F28" s="102">
        <v>3.5000000000000003E-2</v>
      </c>
      <c r="G28" s="102">
        <v>0.04</v>
      </c>
      <c r="H28" s="102">
        <v>4.4999999999999998E-2</v>
      </c>
      <c r="I28" s="102">
        <v>0.05</v>
      </c>
      <c r="J28" s="102">
        <v>5.5E-2</v>
      </c>
      <c r="K28" s="102">
        <v>0.06</v>
      </c>
    </row>
    <row r="29" spans="4:11" x14ac:dyDescent="0.2">
      <c r="D29" s="4">
        <v>12</v>
      </c>
      <c r="E29" s="320">
        <f t="dataTable" ref="E29:K39" dt2D="1" dtr="1" r1="E9" r2="E10" ca="1"/>
        <v>846.93698758488949</v>
      </c>
      <c r="F29" s="320">
        <v>849.21629844067763</v>
      </c>
      <c r="G29" s="320">
        <v>851.49904195557917</v>
      </c>
      <c r="H29" s="320">
        <v>853.78521586372062</v>
      </c>
      <c r="I29" s="320">
        <v>856.07481788467135</v>
      </c>
      <c r="J29" s="320">
        <v>858.36784572349575</v>
      </c>
      <c r="K29" s="320">
        <v>860.66429707080636</v>
      </c>
    </row>
    <row r="30" spans="4:11" x14ac:dyDescent="0.2">
      <c r="D30" s="4">
        <v>18</v>
      </c>
      <c r="E30" s="320">
        <v>568.84334086463321</v>
      </c>
      <c r="F30" s="320">
        <v>571.07609340977638</v>
      </c>
      <c r="G30" s="320">
        <v>573.31401415567905</v>
      </c>
      <c r="H30" s="320">
        <v>575.55709944991554</v>
      </c>
      <c r="I30" s="320">
        <v>577.8053455865504</v>
      </c>
      <c r="J30" s="320">
        <v>580.05874880632996</v>
      </c>
      <c r="K30" s="320">
        <v>582.31730529687786</v>
      </c>
    </row>
    <row r="31" spans="4:11" x14ac:dyDescent="0.2">
      <c r="D31" s="4">
        <v>24</v>
      </c>
      <c r="E31" s="320">
        <v>429.81211979556105</v>
      </c>
      <c r="F31" s="320">
        <v>432.02722135743511</v>
      </c>
      <c r="G31" s="320">
        <v>434.24922170774056</v>
      </c>
      <c r="H31" s="320">
        <v>436.47811552083442</v>
      </c>
      <c r="I31" s="320">
        <v>438.71389734068447</v>
      </c>
      <c r="J31" s="320">
        <v>440.95656158136609</v>
      </c>
      <c r="K31" s="320">
        <v>443.20610252756893</v>
      </c>
    </row>
    <row r="32" spans="4:11" x14ac:dyDescent="0.2">
      <c r="D32" s="4">
        <v>30</v>
      </c>
      <c r="E32" s="320">
        <v>346.40586702625524</v>
      </c>
      <c r="F32" s="320">
        <v>348.61487886678395</v>
      </c>
      <c r="G32" s="320">
        <v>350.83251721317339</v>
      </c>
      <c r="H32" s="320">
        <v>353.0587746823972</v>
      </c>
      <c r="I32" s="320">
        <v>355.29364363376521</v>
      </c>
      <c r="J32" s="320">
        <v>357.53711616999021</v>
      </c>
      <c r="K32" s="320">
        <v>359.78918413828023</v>
      </c>
    </row>
    <row r="33" spans="4:11" x14ac:dyDescent="0.2">
      <c r="D33" s="4">
        <v>36</v>
      </c>
      <c r="E33" s="320">
        <v>290.8120963065233</v>
      </c>
      <c r="F33" s="320">
        <v>293.02079726910807</v>
      </c>
      <c r="G33" s="320">
        <v>295.23985006843685</v>
      </c>
      <c r="H33" s="320">
        <v>297.46924478375576</v>
      </c>
      <c r="I33" s="320">
        <v>299.70897104665477</v>
      </c>
      <c r="J33" s="320">
        <v>301.95901804310284</v>
      </c>
      <c r="K33" s="320">
        <v>304.21937451555112</v>
      </c>
    </row>
    <row r="34" spans="4:11" x14ac:dyDescent="0.2">
      <c r="D34" s="4">
        <v>42</v>
      </c>
      <c r="E34" s="320">
        <v>251.11117027252612</v>
      </c>
      <c r="F34" s="320">
        <v>253.32286068160607</v>
      </c>
      <c r="G34" s="320">
        <v>255.5466258987629</v>
      </c>
      <c r="H34" s="320">
        <v>257.7824528896852</v>
      </c>
      <c r="I34" s="320">
        <v>260.03032790755117</v>
      </c>
      <c r="J34" s="320">
        <v>262.29023649661826</v>
      </c>
      <c r="K34" s="320">
        <v>264.56216349595832</v>
      </c>
    </row>
    <row r="35" spans="4:11" x14ac:dyDescent="0.2">
      <c r="D35" s="4">
        <v>48</v>
      </c>
      <c r="E35" s="320">
        <v>221.34326989311515</v>
      </c>
      <c r="F35" s="320">
        <v>223.56001051697018</v>
      </c>
      <c r="G35" s="320">
        <v>225.79054641689982</v>
      </c>
      <c r="H35" s="320">
        <v>228.03486077431256</v>
      </c>
      <c r="I35" s="320">
        <v>230.29293570646519</v>
      </c>
      <c r="J35" s="320">
        <v>232.56475227243195</v>
      </c>
      <c r="K35" s="320">
        <v>234.85029047935615</v>
      </c>
    </row>
    <row r="36" spans="4:11" x14ac:dyDescent="0.2">
      <c r="D36" s="4">
        <v>54</v>
      </c>
      <c r="E36" s="320">
        <v>198.19738428532798</v>
      </c>
      <c r="F36" s="320">
        <v>200.42054698670438</v>
      </c>
      <c r="G36" s="320">
        <v>202.65922270963705</v>
      </c>
      <c r="H36" s="320">
        <v>204.91339008625326</v>
      </c>
      <c r="I36" s="320">
        <v>207.18302623442736</v>
      </c>
      <c r="J36" s="320">
        <v>209.46810676725894</v>
      </c>
      <c r="K36" s="320">
        <v>211.76860580305825</v>
      </c>
    </row>
    <row r="37" spans="4:11" x14ac:dyDescent="0.2">
      <c r="D37" s="4">
        <v>60</v>
      </c>
      <c r="E37" s="320">
        <v>179.68690664063138</v>
      </c>
      <c r="F37" s="320">
        <v>181.917449702564</v>
      </c>
      <c r="G37" s="320">
        <v>184.1652205526635</v>
      </c>
      <c r="H37" s="320">
        <v>186.43019241516649</v>
      </c>
      <c r="I37" s="320">
        <v>188.71233644010937</v>
      </c>
      <c r="J37" s="320">
        <v>191.01162171782241</v>
      </c>
      <c r="K37" s="320">
        <v>193.32801529427914</v>
      </c>
    </row>
    <row r="38" spans="4:11" x14ac:dyDescent="0.2">
      <c r="D38" s="4">
        <v>66</v>
      </c>
      <c r="E38" s="320">
        <v>164.54763237325352</v>
      </c>
      <c r="F38" s="320">
        <v>166.78625067731099</v>
      </c>
      <c r="G38" s="320">
        <v>169.04380828118266</v>
      </c>
      <c r="H38" s="320">
        <v>171.32027204973392</v>
      </c>
      <c r="I38" s="320">
        <v>173.61560609277194</v>
      </c>
      <c r="J38" s="320">
        <v>175.9297717865204</v>
      </c>
      <c r="K38" s="320">
        <v>178.26272779646553</v>
      </c>
    </row>
    <row r="39" spans="4:11" x14ac:dyDescent="0.2">
      <c r="D39" s="4">
        <v>72</v>
      </c>
      <c r="E39" s="320">
        <v>151.93675819438741</v>
      </c>
      <c r="F39" s="320">
        <v>154.18397082518453</v>
      </c>
      <c r="G39" s="320">
        <v>156.45183072542503</v>
      </c>
      <c r="H39" s="320">
        <v>158.74029735706151</v>
      </c>
      <c r="I39" s="320">
        <v>161.04932661450931</v>
      </c>
      <c r="J39" s="320">
        <v>163.37887085561337</v>
      </c>
      <c r="K39" s="320">
        <v>165.72887893472202</v>
      </c>
    </row>
  </sheetData>
  <mergeCells count="5">
    <mergeCell ref="B1:C1"/>
    <mergeCell ref="B2:C2"/>
    <mergeCell ref="B3:C3"/>
    <mergeCell ref="B4:C4"/>
    <mergeCell ref="B6:D6"/>
  </mergeCells>
  <hyperlinks>
    <hyperlink ref="B6:D6" location="sjabloon!A1" display="Ga naar Inhoudsopgave" xr:uid="{00000000-0004-0000-4700-000000000000}"/>
    <hyperlink ref="B6:D6" location="Inhoud!A1" display="Ga naar Inhoudsopgave" xr:uid="{00000000-0004-0000-4700-000001000000}"/>
  </hyperlinks>
  <pageMargins left="0.7" right="0.7" top="0.75" bottom="0.75" header="0.3" footer="0.3"/>
  <pageSetup paperSize="9" orientation="landscape"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B1:E22"/>
  <sheetViews>
    <sheetView workbookViewId="0">
      <pane xSplit="1" ySplit="6" topLeftCell="B7" activePane="bottomRight" state="frozen"/>
      <selection pane="topRight" activeCell="B1" sqref="B1"/>
      <selection pane="bottomLeft" activeCell="A5" sqref="A5"/>
      <selection pane="bottomRight" activeCell="B6" sqref="B6:D6"/>
    </sheetView>
  </sheetViews>
  <sheetFormatPr defaultRowHeight="12.75" x14ac:dyDescent="0.2"/>
  <cols>
    <col min="1" max="2" width="3.7109375" style="4" customWidth="1"/>
    <col min="3" max="3" width="7.7109375" style="4" customWidth="1"/>
    <col min="4" max="4" width="20.42578125" style="4" bestFit="1" customWidth="1"/>
    <col min="5" max="6" width="10.28515625" style="4" bestFit="1" customWidth="1"/>
    <col min="7" max="16384" width="9.140625" style="4"/>
  </cols>
  <sheetData>
    <row r="1" spans="2:5" x14ac:dyDescent="0.2">
      <c r="B1" s="355" t="s">
        <v>1253</v>
      </c>
      <c r="C1" s="355"/>
      <c r="D1" s="322" t="s">
        <v>1290</v>
      </c>
    </row>
    <row r="2" spans="2:5" x14ac:dyDescent="0.2">
      <c r="B2" s="355" t="s">
        <v>1085</v>
      </c>
      <c r="C2" s="355"/>
      <c r="D2" s="332" t="str">
        <f>VLOOKUP(D$1,TabelContent[],COLUMN(TabelContent[Titel-NL]))</f>
        <v>Verkoopprognoses</v>
      </c>
    </row>
    <row r="3" spans="2:5" x14ac:dyDescent="0.2">
      <c r="B3" s="355" t="s">
        <v>1086</v>
      </c>
      <c r="C3" s="355"/>
      <c r="D3" s="332" t="str">
        <f>VLOOKUP(D$1,TabelContent[],COLUMN(TabelContent[Cat-NL]))</f>
        <v>Gegevenstabel</v>
      </c>
    </row>
    <row r="4" spans="2:5" x14ac:dyDescent="0.2">
      <c r="B4" s="355" t="s">
        <v>1087</v>
      </c>
      <c r="C4" s="355" t="s">
        <v>1077</v>
      </c>
      <c r="D4" s="332">
        <f>VLOOKUP(D$1,TabelContent[],COLUMN(TabelContent[Niveau]))</f>
        <v>3</v>
      </c>
    </row>
    <row r="5" spans="2:5" x14ac:dyDescent="0.2">
      <c r="B5" s="16"/>
      <c r="C5" s="16"/>
      <c r="D5" s="16"/>
    </row>
    <row r="6" spans="2:5" x14ac:dyDescent="0.2">
      <c r="B6" s="356" t="s">
        <v>47</v>
      </c>
      <c r="C6" s="356"/>
      <c r="D6" s="356"/>
    </row>
    <row r="7" spans="2:5" x14ac:dyDescent="0.2">
      <c r="B7" s="16"/>
      <c r="C7" s="16"/>
      <c r="D7" s="16"/>
    </row>
    <row r="8" spans="2:5" x14ac:dyDescent="0.2">
      <c r="B8" s="16"/>
      <c r="D8" s="4" t="s">
        <v>1292</v>
      </c>
      <c r="E8" s="101">
        <v>325000</v>
      </c>
    </row>
    <row r="9" spans="2:5" x14ac:dyDescent="0.2">
      <c r="B9" s="16"/>
      <c r="D9" s="4" t="s">
        <v>1293</v>
      </c>
      <c r="E9" s="107">
        <v>0.02</v>
      </c>
    </row>
    <row r="10" spans="2:5" x14ac:dyDescent="0.2">
      <c r="B10" s="16"/>
      <c r="D10" s="4" t="s">
        <v>1294</v>
      </c>
      <c r="E10" s="101">
        <f>E8*(1+E9)</f>
        <v>331500</v>
      </c>
    </row>
    <row r="12" spans="2:5" x14ac:dyDescent="0.2">
      <c r="E12" s="251">
        <f>E10</f>
        <v>331500</v>
      </c>
    </row>
    <row r="13" spans="2:5" x14ac:dyDescent="0.2">
      <c r="D13" s="107">
        <v>0.01</v>
      </c>
      <c r="E13" s="101">
        <f t="dataTable" ref="E13:E22" dt2D="0" dtr="0" r1="E9"/>
        <v>328250</v>
      </c>
    </row>
    <row r="14" spans="2:5" x14ac:dyDescent="0.2">
      <c r="D14" s="107">
        <v>0.02</v>
      </c>
      <c r="E14" s="101">
        <v>331500</v>
      </c>
    </row>
    <row r="15" spans="2:5" x14ac:dyDescent="0.2">
      <c r="D15" s="107">
        <v>0.03</v>
      </c>
      <c r="E15" s="101">
        <v>334750</v>
      </c>
    </row>
    <row r="16" spans="2:5" x14ac:dyDescent="0.2">
      <c r="D16" s="107">
        <v>0.04</v>
      </c>
      <c r="E16" s="101">
        <v>338000</v>
      </c>
    </row>
    <row r="17" spans="4:5" x14ac:dyDescent="0.2">
      <c r="D17" s="107">
        <v>0.05</v>
      </c>
      <c r="E17" s="101">
        <v>341250</v>
      </c>
    </row>
    <row r="18" spans="4:5" x14ac:dyDescent="0.2">
      <c r="D18" s="107">
        <v>0.06</v>
      </c>
      <c r="E18" s="101">
        <v>344500</v>
      </c>
    </row>
    <row r="19" spans="4:5" x14ac:dyDescent="0.2">
      <c r="D19" s="107">
        <v>7.0000000000000007E-2</v>
      </c>
      <c r="E19" s="101">
        <v>347750</v>
      </c>
    </row>
    <row r="20" spans="4:5" x14ac:dyDescent="0.2">
      <c r="D20" s="107">
        <v>0.08</v>
      </c>
      <c r="E20" s="101">
        <v>351000</v>
      </c>
    </row>
    <row r="21" spans="4:5" x14ac:dyDescent="0.2">
      <c r="D21" s="107">
        <v>0.09</v>
      </c>
      <c r="E21" s="101">
        <v>354250</v>
      </c>
    </row>
    <row r="22" spans="4:5" x14ac:dyDescent="0.2">
      <c r="D22" s="107">
        <v>0.1</v>
      </c>
      <c r="E22" s="101">
        <v>357500</v>
      </c>
    </row>
  </sheetData>
  <mergeCells count="5">
    <mergeCell ref="B1:C1"/>
    <mergeCell ref="B2:C2"/>
    <mergeCell ref="B3:C3"/>
    <mergeCell ref="B4:C4"/>
    <mergeCell ref="B6:D6"/>
  </mergeCells>
  <hyperlinks>
    <hyperlink ref="B6:D6" location="Inhoud!A1" display="Ga naar Inhoudsopgave" xr:uid="{00000000-0004-0000-4800-000000000000}"/>
  </hyperlinks>
  <pageMargins left="0.7" right="0.7" top="0.75" bottom="0.75" header="0.3" footer="0.3"/>
  <pageSetup paperSize="9" orientation="landscape"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25923-FE56-4924-83AF-2A6F2D8752CC}">
  <dimension ref="B1:L34"/>
  <sheetViews>
    <sheetView workbookViewId="0">
      <pane xSplit="1" ySplit="6" topLeftCell="B7" activePane="bottomRight" state="frozen"/>
      <selection pane="topRight" activeCell="B1" sqref="B1"/>
      <selection pane="bottomLeft" activeCell="A5" sqref="A5"/>
      <selection pane="bottomRight" activeCell="D20" sqref="D20"/>
    </sheetView>
  </sheetViews>
  <sheetFormatPr defaultRowHeight="12.75" x14ac:dyDescent="0.2"/>
  <cols>
    <col min="1" max="2" width="3.7109375" style="4" customWidth="1"/>
    <col min="3" max="3" width="7.7109375" style="4" customWidth="1"/>
    <col min="4" max="4" width="20.42578125" style="4" bestFit="1" customWidth="1"/>
    <col min="5" max="7" width="9.7109375" style="4" customWidth="1"/>
    <col min="8" max="9" width="9.140625" style="4"/>
    <col min="10" max="10" width="17.7109375" style="4" bestFit="1" customWidth="1"/>
    <col min="11" max="11" width="10.42578125" style="4" bestFit="1" customWidth="1"/>
    <col min="12" max="12" width="7.28515625" style="4" bestFit="1" customWidth="1"/>
    <col min="13" max="16384" width="9.140625" style="4"/>
  </cols>
  <sheetData>
    <row r="1" spans="2:12" x14ac:dyDescent="0.2">
      <c r="B1" s="355" t="s">
        <v>1253</v>
      </c>
      <c r="C1" s="355"/>
      <c r="D1" s="350" t="s">
        <v>1332</v>
      </c>
    </row>
    <row r="2" spans="2:12" x14ac:dyDescent="0.2">
      <c r="B2" s="355" t="s">
        <v>1085</v>
      </c>
      <c r="C2" s="355"/>
      <c r="D2" s="350" t="str">
        <f>VLOOKUP(D$1,TabelContent[],COLUMN(TabelContent[Titel-NL]))</f>
        <v>Prijzen koffiesoorten</v>
      </c>
    </row>
    <row r="3" spans="2:12" x14ac:dyDescent="0.2">
      <c r="B3" s="355" t="s">
        <v>1086</v>
      </c>
      <c r="C3" s="355"/>
      <c r="D3" s="350" t="str">
        <f>VLOOKUP(D$1,TabelContent[],COLUMN(TabelContent[Cat-NL]))</f>
        <v>Gestructureerde gegevens</v>
      </c>
    </row>
    <row r="4" spans="2:12" x14ac:dyDescent="0.2">
      <c r="B4" s="355" t="s">
        <v>1087</v>
      </c>
      <c r="C4" s="355" t="s">
        <v>1077</v>
      </c>
      <c r="D4" s="350">
        <f>VLOOKUP(D$1,TabelContent[],COLUMN(TabelContent[Niveau]))</f>
        <v>2</v>
      </c>
    </row>
    <row r="5" spans="2:12" x14ac:dyDescent="0.2">
      <c r="B5" s="16"/>
      <c r="C5" s="16"/>
      <c r="D5" s="16"/>
    </row>
    <row r="6" spans="2:12" x14ac:dyDescent="0.2">
      <c r="B6" s="356" t="s">
        <v>47</v>
      </c>
      <c r="C6" s="356"/>
      <c r="D6" s="356"/>
    </row>
    <row r="7" spans="2:12" x14ac:dyDescent="0.2">
      <c r="B7" s="16"/>
      <c r="C7" s="16"/>
      <c r="D7" s="16"/>
    </row>
    <row r="8" spans="2:12" x14ac:dyDescent="0.2">
      <c r="B8" s="16"/>
      <c r="D8" s="4" t="s">
        <v>1337</v>
      </c>
      <c r="E8" s="351" t="s">
        <v>1338</v>
      </c>
      <c r="F8" s="351" t="s">
        <v>1339</v>
      </c>
      <c r="G8" s="351" t="s">
        <v>1340</v>
      </c>
      <c r="J8" s="4" t="s">
        <v>1337</v>
      </c>
      <c r="K8" s="4" t="s">
        <v>603</v>
      </c>
      <c r="L8" s="4" t="s">
        <v>131</v>
      </c>
    </row>
    <row r="9" spans="2:12" x14ac:dyDescent="0.2">
      <c r="B9" s="16"/>
      <c r="D9" s="4" t="s">
        <v>1341</v>
      </c>
      <c r="E9" s="352">
        <v>3.15</v>
      </c>
      <c r="F9" s="352">
        <v>3.65</v>
      </c>
      <c r="G9" s="352">
        <v>4.1500000000000004</v>
      </c>
      <c r="J9" s="115" t="s">
        <v>1341</v>
      </c>
      <c r="K9" s="115" t="s">
        <v>1338</v>
      </c>
      <c r="L9" s="4">
        <v>3.15</v>
      </c>
    </row>
    <row r="10" spans="2:12" x14ac:dyDescent="0.2">
      <c r="B10" s="16"/>
      <c r="D10" s="4" t="s">
        <v>1342</v>
      </c>
      <c r="E10" s="352">
        <v>3.15</v>
      </c>
      <c r="F10" s="352">
        <v>3.65</v>
      </c>
      <c r="G10" s="352">
        <v>4.1500000000000004</v>
      </c>
      <c r="J10" s="115" t="s">
        <v>1341</v>
      </c>
      <c r="K10" s="115" t="s">
        <v>1339</v>
      </c>
      <c r="L10" s="4">
        <v>3.65</v>
      </c>
    </row>
    <row r="11" spans="2:12" x14ac:dyDescent="0.2">
      <c r="D11" s="4" t="s">
        <v>1343</v>
      </c>
      <c r="E11" s="352">
        <v>2.0499999999999998</v>
      </c>
      <c r="F11" s="352">
        <v>2.5499999999999998</v>
      </c>
      <c r="G11" s="352"/>
      <c r="J11" s="115" t="s">
        <v>1341</v>
      </c>
      <c r="K11" s="115" t="s">
        <v>1340</v>
      </c>
      <c r="L11" s="4">
        <v>4.1500000000000004</v>
      </c>
    </row>
    <row r="12" spans="2:12" x14ac:dyDescent="0.2">
      <c r="D12" s="4" t="s">
        <v>1344</v>
      </c>
      <c r="E12" s="352">
        <v>4.05</v>
      </c>
      <c r="F12" s="352">
        <v>4.55</v>
      </c>
      <c r="G12" s="352">
        <v>5.05</v>
      </c>
      <c r="J12" s="115" t="s">
        <v>1342</v>
      </c>
      <c r="K12" s="115" t="s">
        <v>1338</v>
      </c>
      <c r="L12" s="4">
        <v>3.15</v>
      </c>
    </row>
    <row r="13" spans="2:12" x14ac:dyDescent="0.2">
      <c r="D13" s="4" t="s">
        <v>1345</v>
      </c>
      <c r="E13" s="352">
        <v>4.05</v>
      </c>
      <c r="F13" s="352">
        <v>4.55</v>
      </c>
      <c r="G13" s="352">
        <v>5.05</v>
      </c>
      <c r="J13" s="115" t="s">
        <v>1342</v>
      </c>
      <c r="K13" s="115" t="s">
        <v>1339</v>
      </c>
      <c r="L13" s="4">
        <v>3.65</v>
      </c>
    </row>
    <row r="14" spans="2:12" x14ac:dyDescent="0.2">
      <c r="D14" s="4" t="s">
        <v>1346</v>
      </c>
      <c r="E14" s="352">
        <v>4.05</v>
      </c>
      <c r="F14" s="352">
        <v>4.55</v>
      </c>
      <c r="G14" s="352">
        <v>5.05</v>
      </c>
      <c r="J14" s="115" t="s">
        <v>1342</v>
      </c>
      <c r="K14" s="115" t="s">
        <v>1340</v>
      </c>
      <c r="L14" s="4">
        <v>4.1500000000000004</v>
      </c>
    </row>
    <row r="15" spans="2:12" x14ac:dyDescent="0.2">
      <c r="D15" s="4" t="s">
        <v>1347</v>
      </c>
      <c r="E15" s="352">
        <v>3.65</v>
      </c>
      <c r="F15" s="352">
        <v>4.1500000000000004</v>
      </c>
      <c r="G15" s="352">
        <v>4.6500000000000004</v>
      </c>
      <c r="J15" s="115" t="s">
        <v>1343</v>
      </c>
      <c r="K15" s="115" t="s">
        <v>1338</v>
      </c>
      <c r="L15" s="4">
        <v>2.0499999999999998</v>
      </c>
    </row>
    <row r="16" spans="2:12" x14ac:dyDescent="0.2">
      <c r="D16" s="4" t="s">
        <v>1348</v>
      </c>
      <c r="E16" s="352">
        <v>2.5499999999999998</v>
      </c>
      <c r="F16" s="352">
        <v>3.05</v>
      </c>
      <c r="G16" s="352">
        <v>3.55</v>
      </c>
      <c r="J16" s="115" t="s">
        <v>1343</v>
      </c>
      <c r="K16" s="115" t="s">
        <v>1339</v>
      </c>
      <c r="L16" s="4">
        <v>2.5499999999999998</v>
      </c>
    </row>
    <row r="17" spans="4:12" x14ac:dyDescent="0.2">
      <c r="D17" s="4" t="s">
        <v>1349</v>
      </c>
      <c r="E17" s="352">
        <v>2.25</v>
      </c>
      <c r="F17" s="352">
        <v>2.75</v>
      </c>
      <c r="G17" s="352">
        <v>3.05</v>
      </c>
      <c r="J17" s="115" t="s">
        <v>1344</v>
      </c>
      <c r="K17" s="115" t="s">
        <v>1338</v>
      </c>
      <c r="L17" s="4">
        <v>4.05</v>
      </c>
    </row>
    <row r="18" spans="4:12" x14ac:dyDescent="0.2">
      <c r="J18" s="115" t="s">
        <v>1344</v>
      </c>
      <c r="K18" s="115" t="s">
        <v>1339</v>
      </c>
      <c r="L18" s="4">
        <v>4.55</v>
      </c>
    </row>
    <row r="19" spans="4:12" x14ac:dyDescent="0.2">
      <c r="J19" s="115" t="s">
        <v>1344</v>
      </c>
      <c r="K19" s="115" t="s">
        <v>1340</v>
      </c>
      <c r="L19" s="4">
        <v>5.05</v>
      </c>
    </row>
    <row r="20" spans="4:12" x14ac:dyDescent="0.2">
      <c r="J20" s="115" t="s">
        <v>1345</v>
      </c>
      <c r="K20" s="115" t="s">
        <v>1338</v>
      </c>
      <c r="L20" s="4">
        <v>4.05</v>
      </c>
    </row>
    <row r="21" spans="4:12" x14ac:dyDescent="0.2">
      <c r="J21" s="115" t="s">
        <v>1345</v>
      </c>
      <c r="K21" s="115" t="s">
        <v>1339</v>
      </c>
      <c r="L21" s="4">
        <v>4.55</v>
      </c>
    </row>
    <row r="22" spans="4:12" x14ac:dyDescent="0.2">
      <c r="J22" s="115" t="s">
        <v>1345</v>
      </c>
      <c r="K22" s="115" t="s">
        <v>1340</v>
      </c>
      <c r="L22" s="4">
        <v>5.05</v>
      </c>
    </row>
    <row r="23" spans="4:12" x14ac:dyDescent="0.2">
      <c r="J23" s="115" t="s">
        <v>1346</v>
      </c>
      <c r="K23" s="115" t="s">
        <v>1338</v>
      </c>
      <c r="L23" s="4">
        <v>4.05</v>
      </c>
    </row>
    <row r="24" spans="4:12" x14ac:dyDescent="0.2">
      <c r="J24" s="115" t="s">
        <v>1346</v>
      </c>
      <c r="K24" s="115" t="s">
        <v>1339</v>
      </c>
      <c r="L24" s="4">
        <v>4.55</v>
      </c>
    </row>
    <row r="25" spans="4:12" x14ac:dyDescent="0.2">
      <c r="J25" s="115" t="s">
        <v>1346</v>
      </c>
      <c r="K25" s="115" t="s">
        <v>1340</v>
      </c>
      <c r="L25" s="4">
        <v>5.05</v>
      </c>
    </row>
    <row r="26" spans="4:12" x14ac:dyDescent="0.2">
      <c r="J26" s="115" t="s">
        <v>1347</v>
      </c>
      <c r="K26" s="115" t="s">
        <v>1338</v>
      </c>
      <c r="L26" s="4">
        <v>3.65</v>
      </c>
    </row>
    <row r="27" spans="4:12" x14ac:dyDescent="0.2">
      <c r="J27" s="115" t="s">
        <v>1347</v>
      </c>
      <c r="K27" s="115" t="s">
        <v>1339</v>
      </c>
      <c r="L27" s="4">
        <v>4.1500000000000004</v>
      </c>
    </row>
    <row r="28" spans="4:12" x14ac:dyDescent="0.2">
      <c r="J28" s="115" t="s">
        <v>1347</v>
      </c>
      <c r="K28" s="115" t="s">
        <v>1340</v>
      </c>
      <c r="L28" s="4">
        <v>4.6500000000000004</v>
      </c>
    </row>
    <row r="29" spans="4:12" x14ac:dyDescent="0.2">
      <c r="J29" s="115" t="s">
        <v>1348</v>
      </c>
      <c r="K29" s="115" t="s">
        <v>1338</v>
      </c>
      <c r="L29" s="4">
        <v>2.5499999999999998</v>
      </c>
    </row>
    <row r="30" spans="4:12" x14ac:dyDescent="0.2">
      <c r="J30" s="115" t="s">
        <v>1348</v>
      </c>
      <c r="K30" s="115" t="s">
        <v>1339</v>
      </c>
      <c r="L30" s="4">
        <v>3.05</v>
      </c>
    </row>
    <row r="31" spans="4:12" x14ac:dyDescent="0.2">
      <c r="J31" s="115" t="s">
        <v>1348</v>
      </c>
      <c r="K31" s="115" t="s">
        <v>1340</v>
      </c>
      <c r="L31" s="4">
        <v>3.55</v>
      </c>
    </row>
    <row r="32" spans="4:12" x14ac:dyDescent="0.2">
      <c r="J32" s="115" t="s">
        <v>1349</v>
      </c>
      <c r="K32" s="115" t="s">
        <v>1338</v>
      </c>
      <c r="L32" s="4">
        <v>2.25</v>
      </c>
    </row>
    <row r="33" spans="10:12" x14ac:dyDescent="0.2">
      <c r="J33" s="115" t="s">
        <v>1349</v>
      </c>
      <c r="K33" s="115" t="s">
        <v>1339</v>
      </c>
      <c r="L33" s="4">
        <v>2.75</v>
      </c>
    </row>
    <row r="34" spans="10:12" x14ac:dyDescent="0.2">
      <c r="J34" s="115" t="s">
        <v>1349</v>
      </c>
      <c r="K34" s="115" t="s">
        <v>1340</v>
      </c>
      <c r="L34" s="4">
        <v>3.05</v>
      </c>
    </row>
  </sheetData>
  <mergeCells count="5">
    <mergeCell ref="B1:C1"/>
    <mergeCell ref="B2:C2"/>
    <mergeCell ref="B3:C3"/>
    <mergeCell ref="B4:C4"/>
    <mergeCell ref="B6:D6"/>
  </mergeCells>
  <hyperlinks>
    <hyperlink ref="B6:D6" location="Inhoud!A1" display="Ga naar Inhoudsopgave" xr:uid="{B706B94E-C754-4E2A-B023-710AED25B7B6}"/>
  </hyperlinks>
  <pageMargins left="0.7" right="0.7" top="0.75" bottom="0.75" header="0.3" footer="0.3"/>
  <pageSetup paperSize="9" orientation="landscape" r:id="rId1"/>
  <tableParts count="2">
    <tablePart r:id="rId2"/>
    <tablePart r:id="rId3"/>
  </tableParts>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127B7-EC20-493B-9537-CD3D3F853C72}">
  <dimension ref="B1:S47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42578125" style="4" bestFit="1" customWidth="1"/>
    <col min="5" max="5" width="9.7109375" style="4" customWidth="1"/>
    <col min="6" max="6" width="9.85546875" style="4" customWidth="1"/>
    <col min="7" max="7" width="9.7109375" style="4" customWidth="1"/>
    <col min="8" max="10" width="9.140625" style="4"/>
    <col min="11" max="11" width="18.7109375" style="4" bestFit="1" customWidth="1"/>
    <col min="12" max="12" width="14.42578125" style="4" bestFit="1" customWidth="1"/>
    <col min="13" max="13" width="10.5703125" style="4" bestFit="1" customWidth="1"/>
    <col min="14" max="14" width="7.28515625" style="4" bestFit="1" customWidth="1"/>
    <col min="15" max="15" width="7.28515625" style="4" customWidth="1"/>
    <col min="16" max="16" width="9.140625" style="4"/>
    <col min="17" max="17" width="14.42578125" style="4" bestFit="1" customWidth="1"/>
    <col min="18" max="18" width="20.28515625" style="4" bestFit="1" customWidth="1"/>
    <col min="19" max="16384" width="9.140625" style="4"/>
  </cols>
  <sheetData>
    <row r="1" spans="2:19" x14ac:dyDescent="0.2">
      <c r="B1" s="355" t="s">
        <v>1253</v>
      </c>
      <c r="C1" s="355"/>
      <c r="D1" s="350" t="s">
        <v>1350</v>
      </c>
    </row>
    <row r="2" spans="2:19" x14ac:dyDescent="0.2">
      <c r="B2" s="355" t="s">
        <v>1085</v>
      </c>
      <c r="C2" s="355"/>
      <c r="D2" s="350" t="str">
        <f>VLOOKUP(D$1,TabelContent[],COLUMN(TabelContent[Titel-NL]))</f>
        <v>Kosten levensonderhoud</v>
      </c>
    </row>
    <row r="3" spans="2:19" x14ac:dyDescent="0.2">
      <c r="B3" s="355" t="s">
        <v>1086</v>
      </c>
      <c r="C3" s="355"/>
      <c r="D3" s="350" t="str">
        <f>VLOOKUP(D$1,TabelContent[],COLUMN(TabelContent[Cat-NL]))</f>
        <v>Gestructureerde gegevens</v>
      </c>
    </row>
    <row r="4" spans="2:19" x14ac:dyDescent="0.2">
      <c r="B4" s="355" t="s">
        <v>1087</v>
      </c>
      <c r="C4" s="355" t="s">
        <v>1077</v>
      </c>
      <c r="D4" s="350">
        <f>VLOOKUP(D$1,TabelContent[],COLUMN(TabelContent[Niveau]))</f>
        <v>3</v>
      </c>
    </row>
    <row r="5" spans="2:19" x14ac:dyDescent="0.2">
      <c r="B5" s="16"/>
      <c r="C5" s="16"/>
      <c r="D5" s="16"/>
    </row>
    <row r="6" spans="2:19" x14ac:dyDescent="0.2">
      <c r="B6" s="356" t="s">
        <v>47</v>
      </c>
      <c r="C6" s="356"/>
      <c r="D6" s="356"/>
    </row>
    <row r="7" spans="2:19" x14ac:dyDescent="0.2">
      <c r="B7" s="16"/>
      <c r="Q7" s="111" t="s">
        <v>835</v>
      </c>
      <c r="R7" s="4" t="s">
        <v>1357</v>
      </c>
    </row>
    <row r="8" spans="2:19" x14ac:dyDescent="0.2">
      <c r="B8" s="16"/>
      <c r="D8" s="4" t="s">
        <v>1353</v>
      </c>
      <c r="E8" s="4" t="s">
        <v>1354</v>
      </c>
      <c r="F8" s="4" t="s">
        <v>1355</v>
      </c>
      <c r="G8" s="4" t="s">
        <v>1356</v>
      </c>
      <c r="H8" s="4" t="s">
        <v>1357</v>
      </c>
      <c r="K8" s="4" t="s">
        <v>1478</v>
      </c>
      <c r="L8" s="4" t="s">
        <v>1479</v>
      </c>
      <c r="M8" s="4" t="s">
        <v>835</v>
      </c>
      <c r="N8" s="4" t="s">
        <v>131</v>
      </c>
    </row>
    <row r="9" spans="2:19" x14ac:dyDescent="0.2">
      <c r="B9" s="16"/>
      <c r="D9" s="4" t="s">
        <v>1358</v>
      </c>
      <c r="E9" s="105">
        <v>1.48</v>
      </c>
      <c r="F9" s="105">
        <v>9.06</v>
      </c>
      <c r="G9" s="105">
        <v>0.69</v>
      </c>
      <c r="H9" s="105">
        <v>2.21</v>
      </c>
      <c r="K9" s="115" t="s">
        <v>1480</v>
      </c>
      <c r="L9" s="115" t="s">
        <v>1481</v>
      </c>
      <c r="M9" s="115" t="s">
        <v>1354</v>
      </c>
      <c r="N9" s="4">
        <v>1.48</v>
      </c>
      <c r="Q9" s="111" t="s">
        <v>1629</v>
      </c>
      <c r="R9" t="s">
        <v>1630</v>
      </c>
      <c r="S9"/>
    </row>
    <row r="10" spans="2:19" x14ac:dyDescent="0.2">
      <c r="B10" s="16"/>
      <c r="D10" s="4" t="s">
        <v>1359</v>
      </c>
      <c r="E10" s="105">
        <v>1.41</v>
      </c>
      <c r="F10" s="105">
        <v>11.57</v>
      </c>
      <c r="G10" s="105">
        <v>1.08</v>
      </c>
      <c r="H10" s="105">
        <v>1.86</v>
      </c>
      <c r="K10" s="115" t="s">
        <v>1480</v>
      </c>
      <c r="L10" s="115" t="s">
        <v>1481</v>
      </c>
      <c r="M10" s="115" t="s">
        <v>1355</v>
      </c>
      <c r="N10" s="4">
        <v>9.06</v>
      </c>
      <c r="Q10" s="114" t="s">
        <v>1535</v>
      </c>
      <c r="R10" s="353">
        <v>0.78714285714285714</v>
      </c>
      <c r="S10"/>
    </row>
    <row r="11" spans="2:19" x14ac:dyDescent="0.2">
      <c r="D11" s="4" t="s">
        <v>1360</v>
      </c>
      <c r="E11" s="105">
        <v>1.64</v>
      </c>
      <c r="F11" s="105">
        <v>11.58</v>
      </c>
      <c r="G11" s="105">
        <v>0.96</v>
      </c>
      <c r="H11" s="105">
        <v>1.56</v>
      </c>
      <c r="K11" s="115" t="s">
        <v>1480</v>
      </c>
      <c r="L11" s="115" t="s">
        <v>1481</v>
      </c>
      <c r="M11" s="115" t="s">
        <v>1356</v>
      </c>
      <c r="N11" s="4">
        <v>0.69</v>
      </c>
      <c r="Q11" s="114" t="s">
        <v>1566</v>
      </c>
      <c r="R11" s="353">
        <v>0.88500000000000001</v>
      </c>
      <c r="S11"/>
    </row>
    <row r="12" spans="2:19" x14ac:dyDescent="0.2">
      <c r="D12" s="4" t="s">
        <v>1361</v>
      </c>
      <c r="E12" s="105">
        <v>2.06</v>
      </c>
      <c r="F12" s="105">
        <v>9.9700000000000006</v>
      </c>
      <c r="G12" s="105">
        <v>1.1399999999999999</v>
      </c>
      <c r="H12" s="105">
        <v>1.61</v>
      </c>
      <c r="K12" s="115" t="s">
        <v>1480</v>
      </c>
      <c r="L12" s="115" t="s">
        <v>1481</v>
      </c>
      <c r="M12" s="115" t="s">
        <v>1357</v>
      </c>
      <c r="N12" s="4">
        <v>2.21</v>
      </c>
      <c r="Q12" s="114" t="s">
        <v>1491</v>
      </c>
      <c r="R12" s="353">
        <v>0.93599999999999994</v>
      </c>
      <c r="S12"/>
    </row>
    <row r="13" spans="2:19" x14ac:dyDescent="0.2">
      <c r="D13" s="4" t="s">
        <v>1362</v>
      </c>
      <c r="E13" s="105">
        <v>0.78</v>
      </c>
      <c r="F13" s="105">
        <v>8.27</v>
      </c>
      <c r="G13" s="105">
        <v>1.23</v>
      </c>
      <c r="H13" s="105">
        <v>1.69</v>
      </c>
      <c r="K13" s="115" t="s">
        <v>1482</v>
      </c>
      <c r="L13" s="115" t="s">
        <v>1483</v>
      </c>
      <c r="M13" s="115" t="s">
        <v>1354</v>
      </c>
      <c r="N13" s="4">
        <v>1.41</v>
      </c>
      <c r="Q13" s="114" t="s">
        <v>1505</v>
      </c>
      <c r="R13" s="353">
        <v>0.99500000000000011</v>
      </c>
      <c r="S13"/>
    </row>
    <row r="14" spans="2:19" x14ac:dyDescent="0.2">
      <c r="D14" s="4" t="s">
        <v>1363</v>
      </c>
      <c r="E14" s="105">
        <v>0.97</v>
      </c>
      <c r="F14" s="105">
        <v>10.96</v>
      </c>
      <c r="G14" s="105">
        <v>0.84</v>
      </c>
      <c r="H14" s="105">
        <v>0.99</v>
      </c>
      <c r="K14" s="115" t="s">
        <v>1482</v>
      </c>
      <c r="L14" s="115" t="s">
        <v>1483</v>
      </c>
      <c r="M14" s="115" t="s">
        <v>1355</v>
      </c>
      <c r="N14" s="4">
        <v>11.57</v>
      </c>
      <c r="Q14" s="114" t="s">
        <v>1557</v>
      </c>
      <c r="R14" s="353">
        <v>1.0125000000000002</v>
      </c>
      <c r="S14"/>
    </row>
    <row r="15" spans="2:19" x14ac:dyDescent="0.2">
      <c r="D15" s="4" t="s">
        <v>1364</v>
      </c>
      <c r="E15" s="105">
        <v>2.52</v>
      </c>
      <c r="F15" s="105"/>
      <c r="G15" s="105">
        <v>1.47</v>
      </c>
      <c r="H15" s="105">
        <v>3.56</v>
      </c>
      <c r="K15" s="115" t="s">
        <v>1482</v>
      </c>
      <c r="L15" s="115" t="s">
        <v>1483</v>
      </c>
      <c r="M15" s="115" t="s">
        <v>1356</v>
      </c>
      <c r="N15" s="4">
        <v>1.08</v>
      </c>
      <c r="Q15" s="114" t="s">
        <v>1515</v>
      </c>
      <c r="R15" s="353">
        <v>1.02</v>
      </c>
      <c r="S15"/>
    </row>
    <row r="16" spans="2:19" x14ac:dyDescent="0.2">
      <c r="D16" s="4" t="s">
        <v>1365</v>
      </c>
      <c r="E16" s="105">
        <v>1.1200000000000001</v>
      </c>
      <c r="F16" s="105">
        <v>6.61</v>
      </c>
      <c r="G16" s="105">
        <v>1.01</v>
      </c>
      <c r="H16" s="105">
        <v>1.1200000000000001</v>
      </c>
      <c r="K16" s="115" t="s">
        <v>1482</v>
      </c>
      <c r="L16" s="115" t="s">
        <v>1483</v>
      </c>
      <c r="M16" s="115" t="s">
        <v>1357</v>
      </c>
      <c r="N16" s="4">
        <v>1.86</v>
      </c>
      <c r="Q16" s="114" t="s">
        <v>1507</v>
      </c>
      <c r="R16" s="353">
        <v>1.04</v>
      </c>
      <c r="S16"/>
    </row>
    <row r="17" spans="4:19" x14ac:dyDescent="0.2">
      <c r="D17" s="4" t="s">
        <v>1366</v>
      </c>
      <c r="E17" s="105">
        <v>0.42</v>
      </c>
      <c r="F17" s="105">
        <v>5.0999999999999996</v>
      </c>
      <c r="G17" s="105">
        <v>0.79</v>
      </c>
      <c r="H17" s="105">
        <v>1.07</v>
      </c>
      <c r="K17" s="115" t="s">
        <v>1484</v>
      </c>
      <c r="L17" s="115" t="s">
        <v>1485</v>
      </c>
      <c r="M17" s="115" t="s">
        <v>1354</v>
      </c>
      <c r="N17" s="4">
        <v>1.64</v>
      </c>
      <c r="Q17" s="114" t="s">
        <v>1497</v>
      </c>
      <c r="R17" s="353">
        <v>1.0550000000000002</v>
      </c>
      <c r="S17"/>
    </row>
    <row r="18" spans="4:19" x14ac:dyDescent="0.2">
      <c r="D18" s="4" t="s">
        <v>1367</v>
      </c>
      <c r="E18" s="105">
        <v>1.25</v>
      </c>
      <c r="F18" s="105">
        <v>8.66</v>
      </c>
      <c r="G18" s="105">
        <v>0.79</v>
      </c>
      <c r="H18" s="105">
        <v>1.69</v>
      </c>
      <c r="K18" s="115" t="s">
        <v>1484</v>
      </c>
      <c r="L18" s="115" t="s">
        <v>1485</v>
      </c>
      <c r="M18" s="115" t="s">
        <v>1355</v>
      </c>
      <c r="N18" s="4">
        <v>11.58</v>
      </c>
      <c r="Q18" s="114" t="s">
        <v>1593</v>
      </c>
      <c r="R18" s="353">
        <v>1.0733333333333335</v>
      </c>
      <c r="S18"/>
    </row>
    <row r="19" spans="4:19" x14ac:dyDescent="0.2">
      <c r="D19" s="4" t="s">
        <v>1368</v>
      </c>
      <c r="E19" s="105">
        <v>1.79</v>
      </c>
      <c r="F19" s="105">
        <v>21.45</v>
      </c>
      <c r="G19" s="105">
        <v>1.29</v>
      </c>
      <c r="H19" s="105"/>
      <c r="K19" s="115" t="s">
        <v>1484</v>
      </c>
      <c r="L19" s="115" t="s">
        <v>1485</v>
      </c>
      <c r="M19" s="115" t="s">
        <v>1356</v>
      </c>
      <c r="N19" s="4">
        <v>0.96</v>
      </c>
      <c r="Q19" s="114" t="s">
        <v>1495</v>
      </c>
      <c r="R19" s="353">
        <v>1.1784615384615382</v>
      </c>
      <c r="S19"/>
    </row>
    <row r="20" spans="4:19" x14ac:dyDescent="0.2">
      <c r="D20" s="4" t="s">
        <v>1369</v>
      </c>
      <c r="E20" s="105">
        <v>1.04</v>
      </c>
      <c r="F20" s="105">
        <v>6.05</v>
      </c>
      <c r="G20" s="105">
        <v>1.1000000000000001</v>
      </c>
      <c r="H20" s="105">
        <v>1.19</v>
      </c>
      <c r="K20" s="115" t="s">
        <v>1484</v>
      </c>
      <c r="L20" s="115" t="s">
        <v>1485</v>
      </c>
      <c r="M20" s="115" t="s">
        <v>1357</v>
      </c>
      <c r="N20" s="4">
        <v>1.56</v>
      </c>
      <c r="Q20" s="114" t="s">
        <v>1600</v>
      </c>
      <c r="R20" s="353">
        <v>1.35</v>
      </c>
      <c r="S20"/>
    </row>
    <row r="21" spans="4:19" x14ac:dyDescent="0.2">
      <c r="D21" s="4" t="s">
        <v>1370</v>
      </c>
      <c r="E21" s="105">
        <v>1.96</v>
      </c>
      <c r="F21" s="105">
        <v>16.12</v>
      </c>
      <c r="G21" s="105">
        <v>1.19</v>
      </c>
      <c r="H21" s="105">
        <v>1.85</v>
      </c>
      <c r="K21" s="115" t="s">
        <v>1486</v>
      </c>
      <c r="L21" s="115" t="s">
        <v>1487</v>
      </c>
      <c r="M21" s="115" t="s">
        <v>1354</v>
      </c>
      <c r="N21" s="4">
        <v>2.06</v>
      </c>
      <c r="Q21" s="114" t="s">
        <v>1612</v>
      </c>
      <c r="R21" s="353">
        <v>1.37</v>
      </c>
      <c r="S21"/>
    </row>
    <row r="22" spans="4:19" x14ac:dyDescent="0.2">
      <c r="D22" s="4" t="s">
        <v>1371</v>
      </c>
      <c r="E22" s="105">
        <v>1.29</v>
      </c>
      <c r="F22" s="105">
        <v>9.23</v>
      </c>
      <c r="G22" s="105">
        <v>0.68</v>
      </c>
      <c r="H22" s="105">
        <v>2.35</v>
      </c>
      <c r="K22" s="115" t="s">
        <v>1486</v>
      </c>
      <c r="L22" s="115" t="s">
        <v>1487</v>
      </c>
      <c r="M22" s="115" t="s">
        <v>1355</v>
      </c>
      <c r="N22" s="4">
        <v>9.9700000000000006</v>
      </c>
      <c r="Q22" s="114" t="s">
        <v>1511</v>
      </c>
      <c r="R22" s="353">
        <v>1.38</v>
      </c>
      <c r="S22"/>
    </row>
    <row r="23" spans="4:19" x14ac:dyDescent="0.2">
      <c r="D23" s="4" t="s">
        <v>1372</v>
      </c>
      <c r="E23" s="105">
        <v>0.57999999999999996</v>
      </c>
      <c r="F23" s="105">
        <v>5.78</v>
      </c>
      <c r="G23" s="105">
        <v>0.92</v>
      </c>
      <c r="H23" s="105">
        <v>1.07</v>
      </c>
      <c r="K23" s="115" t="s">
        <v>1486</v>
      </c>
      <c r="L23" s="115" t="s">
        <v>1487</v>
      </c>
      <c r="M23" s="115" t="s">
        <v>1356</v>
      </c>
      <c r="N23" s="4">
        <v>1.1399999999999999</v>
      </c>
      <c r="Q23" s="114" t="s">
        <v>1555</v>
      </c>
      <c r="R23" s="353">
        <v>1.42</v>
      </c>
      <c r="S23"/>
    </row>
    <row r="24" spans="4:19" x14ac:dyDescent="0.2">
      <c r="D24" s="4" t="s">
        <v>1373</v>
      </c>
      <c r="E24" s="105">
        <v>0.93</v>
      </c>
      <c r="F24" s="105">
        <v>7.33</v>
      </c>
      <c r="G24" s="105">
        <v>0.75</v>
      </c>
      <c r="H24" s="105">
        <v>1.1299999999999999</v>
      </c>
      <c r="K24" s="115" t="s">
        <v>1486</v>
      </c>
      <c r="L24" s="115" t="s">
        <v>1487</v>
      </c>
      <c r="M24" s="115" t="s">
        <v>1357</v>
      </c>
      <c r="N24" s="4">
        <v>1.61</v>
      </c>
      <c r="Q24" s="114" t="s">
        <v>1489</v>
      </c>
      <c r="R24" s="353">
        <v>1.4350000000000001</v>
      </c>
      <c r="S24"/>
    </row>
    <row r="25" spans="4:19" x14ac:dyDescent="0.2">
      <c r="D25" s="4" t="s">
        <v>1374</v>
      </c>
      <c r="E25" s="105">
        <v>1.49</v>
      </c>
      <c r="F25" s="105">
        <v>9.15</v>
      </c>
      <c r="G25" s="105">
        <v>0.67</v>
      </c>
      <c r="H25" s="105">
        <v>2.29</v>
      </c>
      <c r="K25" s="115" t="s">
        <v>1488</v>
      </c>
      <c r="L25" s="115" t="s">
        <v>1489</v>
      </c>
      <c r="M25" s="115" t="s">
        <v>1354</v>
      </c>
      <c r="N25" s="4">
        <v>0.78</v>
      </c>
      <c r="Q25" s="114" t="s">
        <v>1569</v>
      </c>
      <c r="R25" s="353">
        <v>1.49</v>
      </c>
      <c r="S25"/>
    </row>
    <row r="26" spans="4:19" x14ac:dyDescent="0.2">
      <c r="D26" s="4" t="s">
        <v>1375</v>
      </c>
      <c r="E26" s="105">
        <v>1.25</v>
      </c>
      <c r="F26" s="105">
        <v>5.92</v>
      </c>
      <c r="G26" s="105">
        <v>1.07</v>
      </c>
      <c r="H26" s="105">
        <v>1.19</v>
      </c>
      <c r="K26" s="115" t="s">
        <v>1488</v>
      </c>
      <c r="L26" s="115" t="s">
        <v>1489</v>
      </c>
      <c r="M26" s="115" t="s">
        <v>1355</v>
      </c>
      <c r="N26" s="4">
        <v>8.27</v>
      </c>
      <c r="Q26" s="114" t="s">
        <v>1602</v>
      </c>
      <c r="R26" s="353">
        <v>1.6066666666666667</v>
      </c>
      <c r="S26"/>
    </row>
    <row r="27" spans="4:19" x14ac:dyDescent="0.2">
      <c r="D27" s="4" t="s">
        <v>1376</v>
      </c>
      <c r="E27" s="105">
        <v>0.85</v>
      </c>
      <c r="F27" s="105">
        <v>7.12</v>
      </c>
      <c r="G27" s="105">
        <v>0.69</v>
      </c>
      <c r="H27" s="105">
        <v>1.32</v>
      </c>
      <c r="K27" s="115" t="s">
        <v>1488</v>
      </c>
      <c r="L27" s="115" t="s">
        <v>1489</v>
      </c>
      <c r="M27" s="115" t="s">
        <v>1356</v>
      </c>
      <c r="N27" s="4">
        <v>1.23</v>
      </c>
      <c r="Q27" s="114" t="s">
        <v>1574</v>
      </c>
      <c r="R27" s="353">
        <v>1.7033333333333334</v>
      </c>
    </row>
    <row r="28" spans="4:19" x14ac:dyDescent="0.2">
      <c r="D28" s="4" t="s">
        <v>1377</v>
      </c>
      <c r="E28" s="105">
        <v>1.64</v>
      </c>
      <c r="F28" s="105">
        <v>13.57</v>
      </c>
      <c r="G28" s="105">
        <v>1.04</v>
      </c>
      <c r="H28" s="105">
        <v>2.31</v>
      </c>
      <c r="K28" s="115" t="s">
        <v>1488</v>
      </c>
      <c r="L28" s="115" t="s">
        <v>1489</v>
      </c>
      <c r="M28" s="115" t="s">
        <v>1357</v>
      </c>
      <c r="N28" s="4">
        <v>1.69</v>
      </c>
      <c r="Q28" s="114" t="s">
        <v>1522</v>
      </c>
      <c r="R28" s="353">
        <v>1.7199999999999998</v>
      </c>
    </row>
    <row r="29" spans="4:19" x14ac:dyDescent="0.2">
      <c r="D29" s="4" t="s">
        <v>1378</v>
      </c>
      <c r="E29" s="105">
        <v>0.57999999999999996</v>
      </c>
      <c r="F29" s="105">
        <v>5.26</v>
      </c>
      <c r="G29" s="105">
        <v>1.01</v>
      </c>
      <c r="H29" s="105">
        <v>1.1000000000000001</v>
      </c>
      <c r="K29" s="115" t="s">
        <v>1490</v>
      </c>
      <c r="L29" s="115" t="s">
        <v>1491</v>
      </c>
      <c r="M29" s="115" t="s">
        <v>1354</v>
      </c>
      <c r="N29" s="4">
        <v>0.97</v>
      </c>
      <c r="Q29" s="114" t="s">
        <v>1487</v>
      </c>
      <c r="R29" s="353">
        <v>1.7250000000000001</v>
      </c>
    </row>
    <row r="30" spans="4:19" x14ac:dyDescent="0.2">
      <c r="D30" s="4" t="s">
        <v>1379</v>
      </c>
      <c r="E30" s="105">
        <v>0.71</v>
      </c>
      <c r="F30" s="105">
        <v>5.56</v>
      </c>
      <c r="G30" s="105">
        <v>0.71</v>
      </c>
      <c r="H30" s="105">
        <v>1.04</v>
      </c>
      <c r="K30" s="115" t="s">
        <v>1490</v>
      </c>
      <c r="L30" s="115" t="s">
        <v>1491</v>
      </c>
      <c r="M30" s="115" t="s">
        <v>1355</v>
      </c>
      <c r="N30" s="4">
        <v>10.96</v>
      </c>
      <c r="Q30" s="114" t="s">
        <v>1485</v>
      </c>
      <c r="R30" s="353">
        <v>1.7366666666666666</v>
      </c>
    </row>
    <row r="31" spans="4:19" x14ac:dyDescent="0.2">
      <c r="D31" s="4" t="s">
        <v>1380</v>
      </c>
      <c r="E31" s="105">
        <v>1.44</v>
      </c>
      <c r="F31" s="105">
        <v>8.01</v>
      </c>
      <c r="G31" s="105">
        <v>1.1200000000000001</v>
      </c>
      <c r="H31" s="105">
        <v>1.1599999999999999</v>
      </c>
      <c r="K31" s="115" t="s">
        <v>1490</v>
      </c>
      <c r="L31" s="115" t="s">
        <v>1491</v>
      </c>
      <c r="M31" s="115" t="s">
        <v>1356</v>
      </c>
      <c r="N31" s="4">
        <v>0.84</v>
      </c>
      <c r="Q31" s="114" t="s">
        <v>1542</v>
      </c>
      <c r="R31" s="353">
        <v>1.7566666666666668</v>
      </c>
    </row>
    <row r="32" spans="4:19" x14ac:dyDescent="0.2">
      <c r="D32" s="4" t="s">
        <v>1381</v>
      </c>
      <c r="E32" s="105">
        <v>0.64</v>
      </c>
      <c r="F32" s="105">
        <v>5.53</v>
      </c>
      <c r="G32" s="105">
        <v>0.98</v>
      </c>
      <c r="H32" s="105">
        <v>0.9</v>
      </c>
      <c r="K32" s="115" t="s">
        <v>1490</v>
      </c>
      <c r="L32" s="115" t="s">
        <v>1491</v>
      </c>
      <c r="M32" s="115" t="s">
        <v>1357</v>
      </c>
      <c r="N32" s="4">
        <v>0.99</v>
      </c>
      <c r="Q32" s="114" t="s">
        <v>1483</v>
      </c>
      <c r="R32" s="353">
        <v>1.8014285714285712</v>
      </c>
    </row>
    <row r="33" spans="4:18" x14ac:dyDescent="0.2">
      <c r="D33" s="4" t="s">
        <v>1382</v>
      </c>
      <c r="E33" s="105">
        <v>1.44</v>
      </c>
      <c r="F33" s="105">
        <v>8.35</v>
      </c>
      <c r="G33" s="105">
        <v>0.7</v>
      </c>
      <c r="H33" s="105">
        <v>2.2799999999999998</v>
      </c>
      <c r="K33" s="115" t="s">
        <v>1492</v>
      </c>
      <c r="L33" s="115" t="s">
        <v>1493</v>
      </c>
      <c r="M33" s="115" t="s">
        <v>1354</v>
      </c>
      <c r="N33" s="4">
        <v>2.52</v>
      </c>
      <c r="Q33" s="114" t="s">
        <v>1502</v>
      </c>
      <c r="R33" s="353">
        <v>1.9400000000000002</v>
      </c>
    </row>
    <row r="34" spans="4:18" x14ac:dyDescent="0.2">
      <c r="D34" s="4" t="s">
        <v>1383</v>
      </c>
      <c r="E34" s="105"/>
      <c r="F34" s="105">
        <v>5.0599999999999996</v>
      </c>
      <c r="G34" s="105">
        <v>1.06</v>
      </c>
      <c r="H34" s="105">
        <v>1.06</v>
      </c>
      <c r="K34" s="115" t="s">
        <v>1492</v>
      </c>
      <c r="L34" s="115" t="s">
        <v>1493</v>
      </c>
      <c r="M34" s="115" t="s">
        <v>1356</v>
      </c>
      <c r="N34" s="4">
        <v>1.47</v>
      </c>
      <c r="Q34" s="114" t="s">
        <v>1548</v>
      </c>
      <c r="R34" s="353">
        <v>1.96</v>
      </c>
    </row>
    <row r="35" spans="4:18" x14ac:dyDescent="0.2">
      <c r="D35" s="4" t="s">
        <v>1384</v>
      </c>
      <c r="E35" s="105">
        <v>2.7</v>
      </c>
      <c r="F35" s="105">
        <v>10.64</v>
      </c>
      <c r="G35" s="105">
        <v>1.19</v>
      </c>
      <c r="H35" s="105">
        <v>1.84</v>
      </c>
      <c r="K35" s="115" t="s">
        <v>1492</v>
      </c>
      <c r="L35" s="115" t="s">
        <v>1493</v>
      </c>
      <c r="M35" s="115" t="s">
        <v>1357</v>
      </c>
      <c r="N35" s="4">
        <v>3.56</v>
      </c>
      <c r="Q35" s="114" t="s">
        <v>1481</v>
      </c>
      <c r="R35" s="353">
        <v>2.1423529411764708</v>
      </c>
    </row>
    <row r="36" spans="4:18" x14ac:dyDescent="0.2">
      <c r="D36" s="4" t="s">
        <v>1385</v>
      </c>
      <c r="E36" s="105">
        <v>1.87</v>
      </c>
      <c r="F36" s="105">
        <v>10.210000000000001</v>
      </c>
      <c r="G36" s="105">
        <v>0.94</v>
      </c>
      <c r="H36" s="105">
        <v>2.0099999999999998</v>
      </c>
      <c r="K36" s="115" t="s">
        <v>1494</v>
      </c>
      <c r="L36" s="115" t="s">
        <v>1495</v>
      </c>
      <c r="M36" s="115" t="s">
        <v>1354</v>
      </c>
      <c r="N36" s="4">
        <v>1.1200000000000001</v>
      </c>
      <c r="Q36" s="114" t="s">
        <v>1540</v>
      </c>
      <c r="R36" s="353">
        <v>2.2749999999999999</v>
      </c>
    </row>
    <row r="37" spans="4:18" x14ac:dyDescent="0.2">
      <c r="D37" s="4" t="s">
        <v>1386</v>
      </c>
      <c r="E37" s="105">
        <v>0.37</v>
      </c>
      <c r="F37" s="105">
        <v>4.57</v>
      </c>
      <c r="G37" s="105">
        <v>0.87</v>
      </c>
      <c r="H37" s="105"/>
      <c r="K37" s="115" t="s">
        <v>1494</v>
      </c>
      <c r="L37" s="115" t="s">
        <v>1495</v>
      </c>
      <c r="M37" s="115" t="s">
        <v>1355</v>
      </c>
      <c r="N37" s="4">
        <v>6.61</v>
      </c>
      <c r="Q37" s="114" t="s">
        <v>1588</v>
      </c>
      <c r="R37" s="353">
        <v>2.4333333333333336</v>
      </c>
    </row>
    <row r="38" spans="4:18" x14ac:dyDescent="0.2">
      <c r="D38" s="4" t="s">
        <v>1387</v>
      </c>
      <c r="E38" s="105">
        <v>0.56000000000000005</v>
      </c>
      <c r="F38" s="105">
        <v>5</v>
      </c>
      <c r="G38" s="105">
        <v>0.65</v>
      </c>
      <c r="H38" s="105">
        <v>1</v>
      </c>
      <c r="K38" s="115" t="s">
        <v>1494</v>
      </c>
      <c r="L38" s="115" t="s">
        <v>1495</v>
      </c>
      <c r="M38" s="115" t="s">
        <v>1356</v>
      </c>
      <c r="N38" s="4">
        <v>1.01</v>
      </c>
      <c r="Q38" s="114" t="s">
        <v>1598</v>
      </c>
      <c r="R38" s="353">
        <v>2.54</v>
      </c>
    </row>
    <row r="39" spans="4:18" x14ac:dyDescent="0.2">
      <c r="D39" s="4" t="s">
        <v>1388</v>
      </c>
      <c r="E39" s="105">
        <v>1.1299999999999999</v>
      </c>
      <c r="F39" s="105">
        <v>10.19</v>
      </c>
      <c r="G39" s="105">
        <v>0.79</v>
      </c>
      <c r="H39" s="105">
        <v>1.78</v>
      </c>
      <c r="K39" s="115" t="s">
        <v>1494</v>
      </c>
      <c r="L39" s="115" t="s">
        <v>1495</v>
      </c>
      <c r="M39" s="115" t="s">
        <v>1357</v>
      </c>
      <c r="N39" s="4">
        <v>1.1200000000000001</v>
      </c>
      <c r="Q39" s="114" t="s">
        <v>1493</v>
      </c>
      <c r="R39" s="353">
        <v>2.7433333333333336</v>
      </c>
    </row>
    <row r="40" spans="4:18" x14ac:dyDescent="0.2">
      <c r="D40" s="4" t="s">
        <v>1389</v>
      </c>
      <c r="E40" s="105"/>
      <c r="F40" s="105">
        <v>8.86</v>
      </c>
      <c r="G40" s="105">
        <v>0.72</v>
      </c>
      <c r="H40" s="105">
        <v>2.14</v>
      </c>
      <c r="K40" s="115" t="s">
        <v>1496</v>
      </c>
      <c r="L40" s="115" t="s">
        <v>1497</v>
      </c>
      <c r="M40" s="115" t="s">
        <v>1354</v>
      </c>
      <c r="N40" s="4">
        <v>0.42</v>
      </c>
      <c r="Q40" s="114" t="s">
        <v>613</v>
      </c>
      <c r="R40" s="353">
        <v>1.545877192982456</v>
      </c>
    </row>
    <row r="41" spans="4:18" x14ac:dyDescent="0.2">
      <c r="D41" s="4" t="s">
        <v>1390</v>
      </c>
      <c r="E41" s="105">
        <v>1.43</v>
      </c>
      <c r="F41" s="105">
        <v>7.55</v>
      </c>
      <c r="G41" s="105">
        <v>0.95</v>
      </c>
      <c r="H41" s="105">
        <v>1.43</v>
      </c>
      <c r="K41" s="115" t="s">
        <v>1496</v>
      </c>
      <c r="L41" s="115" t="s">
        <v>1497</v>
      </c>
      <c r="M41" s="115" t="s">
        <v>1355</v>
      </c>
      <c r="N41" s="4">
        <v>5.0999999999999996</v>
      </c>
    </row>
    <row r="42" spans="4:18" x14ac:dyDescent="0.2">
      <c r="D42" s="4" t="s">
        <v>1391</v>
      </c>
      <c r="E42" s="105">
        <v>1.3</v>
      </c>
      <c r="F42" s="105">
        <v>4.96</v>
      </c>
      <c r="G42" s="105">
        <v>1.07</v>
      </c>
      <c r="H42" s="105">
        <v>1.59</v>
      </c>
      <c r="K42" s="115" t="s">
        <v>1496</v>
      </c>
      <c r="L42" s="115" t="s">
        <v>1497</v>
      </c>
      <c r="M42" s="115" t="s">
        <v>1356</v>
      </c>
      <c r="N42" s="4">
        <v>0.79</v>
      </c>
    </row>
    <row r="43" spans="4:18" x14ac:dyDescent="0.2">
      <c r="D43" s="4" t="s">
        <v>1392</v>
      </c>
      <c r="E43" s="105">
        <v>1.47</v>
      </c>
      <c r="F43" s="105">
        <v>8.1999999999999993</v>
      </c>
      <c r="G43" s="105">
        <v>0.69</v>
      </c>
      <c r="H43" s="105">
        <v>2.34</v>
      </c>
      <c r="K43" s="115" t="s">
        <v>1496</v>
      </c>
      <c r="L43" s="115" t="s">
        <v>1497</v>
      </c>
      <c r="M43" s="115" t="s">
        <v>1357</v>
      </c>
      <c r="N43" s="4">
        <v>1.07</v>
      </c>
    </row>
    <row r="44" spans="4:18" x14ac:dyDescent="0.2">
      <c r="D44" s="4" t="s">
        <v>1393</v>
      </c>
      <c r="E44" s="105">
        <v>1.04</v>
      </c>
      <c r="F44" s="105">
        <v>6.7</v>
      </c>
      <c r="G44" s="105">
        <v>1.04</v>
      </c>
      <c r="H44" s="105">
        <v>1.1299999999999999</v>
      </c>
      <c r="K44" s="115" t="s">
        <v>1498</v>
      </c>
      <c r="L44" s="115" t="s">
        <v>1481</v>
      </c>
      <c r="M44" s="115" t="s">
        <v>1354</v>
      </c>
      <c r="N44" s="4">
        <v>1.25</v>
      </c>
    </row>
    <row r="45" spans="4:18" x14ac:dyDescent="0.2">
      <c r="D45" s="4" t="s">
        <v>1394</v>
      </c>
      <c r="E45" s="105">
        <v>1.06</v>
      </c>
      <c r="F45" s="105">
        <v>9.86</v>
      </c>
      <c r="G45" s="105">
        <v>0.93</v>
      </c>
      <c r="H45" s="105">
        <v>1.79</v>
      </c>
      <c r="K45" s="115" t="s">
        <v>1498</v>
      </c>
      <c r="L45" s="115" t="s">
        <v>1481</v>
      </c>
      <c r="M45" s="115" t="s">
        <v>1355</v>
      </c>
      <c r="N45" s="4">
        <v>8.66</v>
      </c>
    </row>
    <row r="46" spans="4:18" x14ac:dyDescent="0.2">
      <c r="D46" s="4" t="s">
        <v>1395</v>
      </c>
      <c r="E46" s="105">
        <v>1.56</v>
      </c>
      <c r="F46" s="105"/>
      <c r="G46" s="105">
        <v>1.28</v>
      </c>
      <c r="H46" s="105">
        <v>1.98</v>
      </c>
      <c r="K46" s="115" t="s">
        <v>1498</v>
      </c>
      <c r="L46" s="115" t="s">
        <v>1481</v>
      </c>
      <c r="M46" s="115" t="s">
        <v>1356</v>
      </c>
      <c r="N46" s="4">
        <v>0.79</v>
      </c>
    </row>
    <row r="47" spans="4:18" x14ac:dyDescent="0.2">
      <c r="D47" s="4" t="s">
        <v>1396</v>
      </c>
      <c r="E47" s="105">
        <v>1.26</v>
      </c>
      <c r="F47" s="105">
        <v>8.0399999999999991</v>
      </c>
      <c r="G47" s="105">
        <v>0.71</v>
      </c>
      <c r="H47" s="105">
        <v>1.91</v>
      </c>
      <c r="K47" s="115" t="s">
        <v>1498</v>
      </c>
      <c r="L47" s="115" t="s">
        <v>1481</v>
      </c>
      <c r="M47" s="115" t="s">
        <v>1357</v>
      </c>
      <c r="N47" s="4">
        <v>1.69</v>
      </c>
    </row>
    <row r="48" spans="4:18" x14ac:dyDescent="0.2">
      <c r="D48" s="4" t="s">
        <v>1397</v>
      </c>
      <c r="E48" s="105">
        <v>1.65</v>
      </c>
      <c r="F48" s="105">
        <v>8.08</v>
      </c>
      <c r="G48" s="105">
        <v>1.02</v>
      </c>
      <c r="H48" s="105"/>
      <c r="K48" s="115" t="s">
        <v>1499</v>
      </c>
      <c r="L48" s="115" t="s">
        <v>1493</v>
      </c>
      <c r="M48" s="115" t="s">
        <v>1354</v>
      </c>
      <c r="N48" s="4">
        <v>1.79</v>
      </c>
    </row>
    <row r="49" spans="4:14" x14ac:dyDescent="0.2">
      <c r="D49" s="4" t="s">
        <v>1398</v>
      </c>
      <c r="E49" s="105">
        <v>0.65</v>
      </c>
      <c r="F49" s="105">
        <v>5.65</v>
      </c>
      <c r="G49" s="105">
        <v>0.56999999999999995</v>
      </c>
      <c r="H49" s="105">
        <v>0.85</v>
      </c>
      <c r="K49" s="115" t="s">
        <v>1499</v>
      </c>
      <c r="L49" s="115" t="s">
        <v>1493</v>
      </c>
      <c r="M49" s="115" t="s">
        <v>1355</v>
      </c>
      <c r="N49" s="4">
        <v>21.45</v>
      </c>
    </row>
    <row r="50" spans="4:14" x14ac:dyDescent="0.2">
      <c r="D50" s="4" t="s">
        <v>1399</v>
      </c>
      <c r="E50" s="105">
        <v>1.87</v>
      </c>
      <c r="F50" s="105"/>
      <c r="G50" s="105">
        <v>1.45</v>
      </c>
      <c r="H50" s="105"/>
      <c r="K50" s="115" t="s">
        <v>1499</v>
      </c>
      <c r="L50" s="115" t="s">
        <v>1493</v>
      </c>
      <c r="M50" s="115" t="s">
        <v>1356</v>
      </c>
      <c r="N50" s="4">
        <v>1.29</v>
      </c>
    </row>
    <row r="51" spans="4:14" x14ac:dyDescent="0.2">
      <c r="D51" s="4" t="s">
        <v>1400</v>
      </c>
      <c r="E51" s="105">
        <v>1.57</v>
      </c>
      <c r="F51" s="105">
        <v>13.86</v>
      </c>
      <c r="G51" s="105">
        <v>0.93</v>
      </c>
      <c r="H51" s="105">
        <v>1.34</v>
      </c>
      <c r="K51" s="115" t="s">
        <v>1500</v>
      </c>
      <c r="L51" s="115" t="s">
        <v>1495</v>
      </c>
      <c r="M51" s="115" t="s">
        <v>1354</v>
      </c>
      <c r="N51" s="4">
        <v>1.04</v>
      </c>
    </row>
    <row r="52" spans="4:14" x14ac:dyDescent="0.2">
      <c r="D52" s="4" t="s">
        <v>1401</v>
      </c>
      <c r="E52" s="105">
        <v>0.97</v>
      </c>
      <c r="F52" s="105">
        <v>5.72</v>
      </c>
      <c r="G52" s="105">
        <v>1</v>
      </c>
      <c r="H52" s="105">
        <v>1.38</v>
      </c>
      <c r="K52" s="115" t="s">
        <v>1500</v>
      </c>
      <c r="L52" s="115" t="s">
        <v>1495</v>
      </c>
      <c r="M52" s="115" t="s">
        <v>1355</v>
      </c>
      <c r="N52" s="4">
        <v>6.05</v>
      </c>
    </row>
    <row r="53" spans="4:14" x14ac:dyDescent="0.2">
      <c r="D53" s="4" t="s">
        <v>1402</v>
      </c>
      <c r="E53" s="105">
        <v>2.23</v>
      </c>
      <c r="F53" s="105">
        <v>8.89</v>
      </c>
      <c r="G53" s="105">
        <v>1.0900000000000001</v>
      </c>
      <c r="H53" s="105">
        <v>2.17</v>
      </c>
      <c r="K53" s="115" t="s">
        <v>1500</v>
      </c>
      <c r="L53" s="115" t="s">
        <v>1495</v>
      </c>
      <c r="M53" s="115" t="s">
        <v>1356</v>
      </c>
      <c r="N53" s="4">
        <v>1.1000000000000001</v>
      </c>
    </row>
    <row r="54" spans="4:14" x14ac:dyDescent="0.2">
      <c r="D54" s="4" t="s">
        <v>1403</v>
      </c>
      <c r="E54" s="105">
        <v>1.74</v>
      </c>
      <c r="F54" s="105"/>
      <c r="G54" s="105">
        <v>1.1000000000000001</v>
      </c>
      <c r="H54" s="105">
        <v>1.7</v>
      </c>
      <c r="K54" s="115" t="s">
        <v>1500</v>
      </c>
      <c r="L54" s="115" t="s">
        <v>1495</v>
      </c>
      <c r="M54" s="115" t="s">
        <v>1357</v>
      </c>
      <c r="N54" s="4">
        <v>1.19</v>
      </c>
    </row>
    <row r="55" spans="4:14" x14ac:dyDescent="0.2">
      <c r="D55" s="4" t="s">
        <v>1404</v>
      </c>
      <c r="E55" s="105">
        <v>1.1000000000000001</v>
      </c>
      <c r="F55" s="105">
        <v>10.64</v>
      </c>
      <c r="G55" s="105">
        <v>0.86</v>
      </c>
      <c r="H55" s="105">
        <v>1.84</v>
      </c>
      <c r="K55" s="115" t="s">
        <v>1501</v>
      </c>
      <c r="L55" s="115" t="s">
        <v>1502</v>
      </c>
      <c r="M55" s="115" t="s">
        <v>1354</v>
      </c>
      <c r="N55" s="4">
        <v>1.96</v>
      </c>
    </row>
    <row r="56" spans="4:14" x14ac:dyDescent="0.2">
      <c r="D56" s="4" t="s">
        <v>1405</v>
      </c>
      <c r="E56" s="105">
        <v>1.63</v>
      </c>
      <c r="F56" s="105">
        <v>9.8800000000000008</v>
      </c>
      <c r="G56" s="105">
        <v>0.83</v>
      </c>
      <c r="H56" s="105">
        <v>2.23</v>
      </c>
      <c r="K56" s="115" t="s">
        <v>1501</v>
      </c>
      <c r="L56" s="115" t="s">
        <v>1502</v>
      </c>
      <c r="M56" s="115" t="s">
        <v>1355</v>
      </c>
      <c r="N56" s="4">
        <v>16.12</v>
      </c>
    </row>
    <row r="57" spans="4:14" x14ac:dyDescent="0.2">
      <c r="D57" s="4" t="s">
        <v>1406</v>
      </c>
      <c r="E57" s="105">
        <v>1.31</v>
      </c>
      <c r="F57" s="105">
        <v>9.11</v>
      </c>
      <c r="G57" s="105">
        <v>0.66</v>
      </c>
      <c r="H57" s="105">
        <v>2.1</v>
      </c>
      <c r="K57" s="115" t="s">
        <v>1501</v>
      </c>
      <c r="L57" s="115" t="s">
        <v>1502</v>
      </c>
      <c r="M57" s="115" t="s">
        <v>1356</v>
      </c>
      <c r="N57" s="4">
        <v>1.19</v>
      </c>
    </row>
    <row r="58" spans="4:14" x14ac:dyDescent="0.2">
      <c r="D58" s="4" t="s">
        <v>1407</v>
      </c>
      <c r="E58" s="105">
        <v>1.51</v>
      </c>
      <c r="F58" s="105">
        <v>9.75</v>
      </c>
      <c r="G58" s="105">
        <v>0.76</v>
      </c>
      <c r="H58" s="105">
        <v>2.29</v>
      </c>
      <c r="K58" s="115" t="s">
        <v>1501</v>
      </c>
      <c r="L58" s="115" t="s">
        <v>1502</v>
      </c>
      <c r="M58" s="115" t="s">
        <v>1357</v>
      </c>
      <c r="N58" s="4">
        <v>1.85</v>
      </c>
    </row>
    <row r="59" spans="4:14" x14ac:dyDescent="0.2">
      <c r="D59" s="4" t="s">
        <v>1408</v>
      </c>
      <c r="E59" s="105">
        <v>2.17</v>
      </c>
      <c r="F59" s="105">
        <v>6.99</v>
      </c>
      <c r="G59" s="105">
        <v>0.94</v>
      </c>
      <c r="H59" s="105">
        <v>1.96</v>
      </c>
      <c r="K59" s="115" t="s">
        <v>1503</v>
      </c>
      <c r="L59" s="115" t="s">
        <v>1481</v>
      </c>
      <c r="M59" s="115" t="s">
        <v>1354</v>
      </c>
      <c r="N59" s="4">
        <v>1.29</v>
      </c>
    </row>
    <row r="60" spans="4:14" x14ac:dyDescent="0.2">
      <c r="D60" s="4" t="s">
        <v>1409</v>
      </c>
      <c r="E60" s="105">
        <v>0.95</v>
      </c>
      <c r="F60" s="105">
        <v>8.3800000000000008</v>
      </c>
      <c r="G60" s="105">
        <v>1.24</v>
      </c>
      <c r="H60" s="105">
        <v>1.28</v>
      </c>
      <c r="K60" s="115" t="s">
        <v>1503</v>
      </c>
      <c r="L60" s="115" t="s">
        <v>1481</v>
      </c>
      <c r="M60" s="115" t="s">
        <v>1355</v>
      </c>
      <c r="N60" s="4">
        <v>9.23</v>
      </c>
    </row>
    <row r="61" spans="4:14" x14ac:dyDescent="0.2">
      <c r="D61" s="4" t="s">
        <v>1410</v>
      </c>
      <c r="E61" s="105">
        <v>0.54</v>
      </c>
      <c r="F61" s="105">
        <v>4.66</v>
      </c>
      <c r="G61" s="105">
        <v>0.91</v>
      </c>
      <c r="H61" s="105">
        <v>0.96</v>
      </c>
      <c r="K61" s="115" t="s">
        <v>1503</v>
      </c>
      <c r="L61" s="115" t="s">
        <v>1481</v>
      </c>
      <c r="M61" s="115" t="s">
        <v>1356</v>
      </c>
      <c r="N61" s="4">
        <v>0.68</v>
      </c>
    </row>
    <row r="62" spans="4:14" x14ac:dyDescent="0.2">
      <c r="D62" s="4" t="s">
        <v>1411</v>
      </c>
      <c r="E62" s="105">
        <v>2.66</v>
      </c>
      <c r="F62" s="105">
        <v>14.67</v>
      </c>
      <c r="G62" s="105">
        <v>1.1499999999999999</v>
      </c>
      <c r="H62" s="105"/>
      <c r="K62" s="115" t="s">
        <v>1503</v>
      </c>
      <c r="L62" s="115" t="s">
        <v>1481</v>
      </c>
      <c r="M62" s="115" t="s">
        <v>1357</v>
      </c>
      <c r="N62" s="4">
        <v>2.35</v>
      </c>
    </row>
    <row r="63" spans="4:14" x14ac:dyDescent="0.2">
      <c r="D63" s="4" t="s">
        <v>1412</v>
      </c>
      <c r="E63" s="105">
        <v>1.35</v>
      </c>
      <c r="F63" s="105">
        <v>9.6</v>
      </c>
      <c r="G63" s="105">
        <v>0.69</v>
      </c>
      <c r="H63" s="105">
        <v>2.14</v>
      </c>
      <c r="K63" s="115" t="s">
        <v>1504</v>
      </c>
      <c r="L63" s="115" t="s">
        <v>1505</v>
      </c>
      <c r="M63" s="115" t="s">
        <v>1354</v>
      </c>
      <c r="N63" s="4">
        <v>0.57999999999999996</v>
      </c>
    </row>
    <row r="64" spans="4:14" x14ac:dyDescent="0.2">
      <c r="D64" s="4" t="s">
        <v>1413</v>
      </c>
      <c r="E64" s="105">
        <v>0.6</v>
      </c>
      <c r="F64" s="105">
        <v>4.54</v>
      </c>
      <c r="G64" s="105">
        <v>0.51</v>
      </c>
      <c r="H64" s="105">
        <v>0.71</v>
      </c>
      <c r="K64" s="115" t="s">
        <v>1504</v>
      </c>
      <c r="L64" s="115" t="s">
        <v>1505</v>
      </c>
      <c r="M64" s="115" t="s">
        <v>1355</v>
      </c>
      <c r="N64" s="4">
        <v>5.78</v>
      </c>
    </row>
    <row r="65" spans="4:14" x14ac:dyDescent="0.2">
      <c r="D65" s="4" t="s">
        <v>1414</v>
      </c>
      <c r="E65" s="105">
        <v>1.2</v>
      </c>
      <c r="F65" s="105">
        <v>7.11</v>
      </c>
      <c r="G65" s="105">
        <v>0.82</v>
      </c>
      <c r="H65" s="105">
        <v>1.17</v>
      </c>
      <c r="K65" s="115" t="s">
        <v>1504</v>
      </c>
      <c r="L65" s="115" t="s">
        <v>1505</v>
      </c>
      <c r="M65" s="115" t="s">
        <v>1356</v>
      </c>
      <c r="N65" s="4">
        <v>0.92</v>
      </c>
    </row>
    <row r="66" spans="4:14" x14ac:dyDescent="0.2">
      <c r="D66" s="4" t="s">
        <v>1415</v>
      </c>
      <c r="E66" s="105">
        <v>0.42</v>
      </c>
      <c r="F66" s="105">
        <v>6.51</v>
      </c>
      <c r="G66" s="105">
        <v>0.85</v>
      </c>
      <c r="H66" s="105">
        <v>0.99</v>
      </c>
      <c r="K66" s="115" t="s">
        <v>1504</v>
      </c>
      <c r="L66" s="115" t="s">
        <v>1505</v>
      </c>
      <c r="M66" s="115" t="s">
        <v>1357</v>
      </c>
      <c r="N66" s="4">
        <v>1.07</v>
      </c>
    </row>
    <row r="67" spans="4:14" x14ac:dyDescent="0.2">
      <c r="D67" s="4" t="s">
        <v>1416</v>
      </c>
      <c r="E67" s="105">
        <v>0.56000000000000005</v>
      </c>
      <c r="F67" s="105">
        <v>6.98</v>
      </c>
      <c r="G67" s="105">
        <v>0.93</v>
      </c>
      <c r="H67" s="105">
        <v>1.03</v>
      </c>
      <c r="K67" s="115" t="s">
        <v>1506</v>
      </c>
      <c r="L67" s="115" t="s">
        <v>1507</v>
      </c>
      <c r="M67" s="115" t="s">
        <v>1354</v>
      </c>
      <c r="N67" s="4">
        <v>0.93</v>
      </c>
    </row>
    <row r="68" spans="4:14" x14ac:dyDescent="0.2">
      <c r="D68" s="4" t="s">
        <v>1417</v>
      </c>
      <c r="E68" s="105">
        <v>0.79</v>
      </c>
      <c r="F68" s="105">
        <v>8.17</v>
      </c>
      <c r="G68" s="105">
        <v>0.64</v>
      </c>
      <c r="H68" s="105">
        <v>0.95</v>
      </c>
      <c r="K68" s="115" t="s">
        <v>1506</v>
      </c>
      <c r="L68" s="115" t="s">
        <v>1507</v>
      </c>
      <c r="M68" s="115" t="s">
        <v>1355</v>
      </c>
      <c r="N68" s="4">
        <v>7.33</v>
      </c>
    </row>
    <row r="69" spans="4:14" x14ac:dyDescent="0.2">
      <c r="D69" s="4" t="s">
        <v>1418</v>
      </c>
      <c r="E69" s="105">
        <v>0.76</v>
      </c>
      <c r="F69" s="105">
        <v>5.42</v>
      </c>
      <c r="G69" s="105">
        <v>0.6</v>
      </c>
      <c r="H69" s="105">
        <v>0.77</v>
      </c>
      <c r="K69" s="115" t="s">
        <v>1506</v>
      </c>
      <c r="L69" s="115" t="s">
        <v>1507</v>
      </c>
      <c r="M69" s="115" t="s">
        <v>1356</v>
      </c>
      <c r="N69" s="4">
        <v>0.75</v>
      </c>
    </row>
    <row r="70" spans="4:14" x14ac:dyDescent="0.2">
      <c r="D70" s="4" t="s">
        <v>1419</v>
      </c>
      <c r="E70" s="105">
        <v>2.64</v>
      </c>
      <c r="F70" s="105">
        <v>21.08</v>
      </c>
      <c r="G70" s="105">
        <v>1.4</v>
      </c>
      <c r="H70" s="105">
        <v>2.23</v>
      </c>
      <c r="K70" s="115" t="s">
        <v>1506</v>
      </c>
      <c r="L70" s="115" t="s">
        <v>1507</v>
      </c>
      <c r="M70" s="115" t="s">
        <v>1357</v>
      </c>
      <c r="N70" s="4">
        <v>1.1299999999999999</v>
      </c>
    </row>
    <row r="71" spans="4:14" x14ac:dyDescent="0.2">
      <c r="D71" s="4" t="s">
        <v>1420</v>
      </c>
      <c r="E71" s="105">
        <v>1.06</v>
      </c>
      <c r="F71" s="105">
        <v>7.06</v>
      </c>
      <c r="G71" s="105">
        <v>1.03</v>
      </c>
      <c r="H71" s="105">
        <v>0.86</v>
      </c>
      <c r="K71" s="115" t="s">
        <v>1508</v>
      </c>
      <c r="L71" s="115" t="s">
        <v>1481</v>
      </c>
      <c r="M71" s="115" t="s">
        <v>1354</v>
      </c>
      <c r="N71" s="4">
        <v>1.49</v>
      </c>
    </row>
    <row r="72" spans="4:14" x14ac:dyDescent="0.2">
      <c r="D72" s="4" t="s">
        <v>1421</v>
      </c>
      <c r="E72" s="105">
        <v>1.39</v>
      </c>
      <c r="F72" s="105">
        <v>9.11</v>
      </c>
      <c r="G72" s="105">
        <v>0.69</v>
      </c>
      <c r="H72" s="105">
        <v>2.04</v>
      </c>
      <c r="K72" s="115" t="s">
        <v>1508</v>
      </c>
      <c r="L72" s="115" t="s">
        <v>1481</v>
      </c>
      <c r="M72" s="115" t="s">
        <v>1355</v>
      </c>
      <c r="N72" s="4">
        <v>9.15</v>
      </c>
    </row>
    <row r="73" spans="4:14" x14ac:dyDescent="0.2">
      <c r="D73" s="4" t="s">
        <v>1422</v>
      </c>
      <c r="E73" s="105">
        <v>1.89</v>
      </c>
      <c r="F73" s="105">
        <v>10.31</v>
      </c>
      <c r="G73" s="105">
        <v>1.1100000000000001</v>
      </c>
      <c r="H73" s="105">
        <v>2.29</v>
      </c>
      <c r="K73" s="115" t="s">
        <v>1508</v>
      </c>
      <c r="L73" s="115" t="s">
        <v>1481</v>
      </c>
      <c r="M73" s="115" t="s">
        <v>1356</v>
      </c>
      <c r="N73" s="4">
        <v>0.67</v>
      </c>
    </row>
    <row r="74" spans="4:14" x14ac:dyDescent="0.2">
      <c r="D74" s="4" t="s">
        <v>1423</v>
      </c>
      <c r="E74" s="105">
        <v>1.1000000000000001</v>
      </c>
      <c r="F74" s="105">
        <v>7.52</v>
      </c>
      <c r="G74" s="105">
        <v>0.65</v>
      </c>
      <c r="H74" s="105">
        <v>0.91</v>
      </c>
      <c r="K74" s="115" t="s">
        <v>1508</v>
      </c>
      <c r="L74" s="115" t="s">
        <v>1481</v>
      </c>
      <c r="M74" s="115" t="s">
        <v>1357</v>
      </c>
      <c r="N74" s="4">
        <v>2.29</v>
      </c>
    </row>
    <row r="75" spans="4:14" x14ac:dyDescent="0.2">
      <c r="D75" s="4" t="s">
        <v>1424</v>
      </c>
      <c r="E75" s="105">
        <v>1.21</v>
      </c>
      <c r="F75" s="105">
        <v>5.59</v>
      </c>
      <c r="G75" s="105">
        <v>1.1299999999999999</v>
      </c>
      <c r="H75" s="105">
        <v>0.87</v>
      </c>
      <c r="K75" s="115" t="s">
        <v>1509</v>
      </c>
      <c r="L75" s="115" t="s">
        <v>1495</v>
      </c>
      <c r="M75" s="115" t="s">
        <v>1354</v>
      </c>
      <c r="N75" s="4">
        <v>1.25</v>
      </c>
    </row>
    <row r="76" spans="4:14" x14ac:dyDescent="0.2">
      <c r="D76" s="4" t="s">
        <v>1425</v>
      </c>
      <c r="E76" s="105">
        <v>1.08</v>
      </c>
      <c r="F76" s="105">
        <v>10.210000000000001</v>
      </c>
      <c r="G76" s="105">
        <v>0.92</v>
      </c>
      <c r="H76" s="105">
        <v>1.49</v>
      </c>
      <c r="K76" s="115" t="s">
        <v>1509</v>
      </c>
      <c r="L76" s="115" t="s">
        <v>1495</v>
      </c>
      <c r="M76" s="115" t="s">
        <v>1355</v>
      </c>
      <c r="N76" s="4">
        <v>5.92</v>
      </c>
    </row>
    <row r="77" spans="4:14" x14ac:dyDescent="0.2">
      <c r="D77" s="4" t="s">
        <v>1426</v>
      </c>
      <c r="E77" s="105">
        <v>0.6</v>
      </c>
      <c r="F77" s="105">
        <v>5.5</v>
      </c>
      <c r="G77" s="105">
        <v>0.55000000000000004</v>
      </c>
      <c r="H77" s="105">
        <v>0.82</v>
      </c>
      <c r="K77" s="115" t="s">
        <v>1509</v>
      </c>
      <c r="L77" s="115" t="s">
        <v>1495</v>
      </c>
      <c r="M77" s="115" t="s">
        <v>1356</v>
      </c>
      <c r="N77" s="4">
        <v>1.07</v>
      </c>
    </row>
    <row r="78" spans="4:14" x14ac:dyDescent="0.2">
      <c r="D78" s="4" t="s">
        <v>1427</v>
      </c>
      <c r="E78" s="105">
        <v>1.26</v>
      </c>
      <c r="F78" s="105">
        <v>7.9</v>
      </c>
      <c r="G78" s="105">
        <v>1.1200000000000001</v>
      </c>
      <c r="H78" s="105">
        <v>1.51</v>
      </c>
      <c r="K78" s="115" t="s">
        <v>1509</v>
      </c>
      <c r="L78" s="115" t="s">
        <v>1495</v>
      </c>
      <c r="M78" s="115" t="s">
        <v>1357</v>
      </c>
      <c r="N78" s="4">
        <v>1.19</v>
      </c>
    </row>
    <row r="79" spans="4:14" x14ac:dyDescent="0.2">
      <c r="D79" s="4" t="s">
        <v>1428</v>
      </c>
      <c r="E79" s="105">
        <v>0.44</v>
      </c>
      <c r="F79" s="105">
        <v>5.6</v>
      </c>
      <c r="G79" s="105">
        <v>0.86</v>
      </c>
      <c r="H79" s="105">
        <v>1.06</v>
      </c>
      <c r="K79" s="115" t="s">
        <v>1510</v>
      </c>
      <c r="L79" s="115" t="s">
        <v>1511</v>
      </c>
      <c r="M79" s="115" t="s">
        <v>1354</v>
      </c>
      <c r="N79" s="4">
        <v>0.85</v>
      </c>
    </row>
    <row r="80" spans="4:14" x14ac:dyDescent="0.2">
      <c r="D80" s="4" t="s">
        <v>1429</v>
      </c>
      <c r="E80" s="105">
        <v>1.19</v>
      </c>
      <c r="F80" s="105">
        <v>16.559999999999999</v>
      </c>
      <c r="G80" s="105">
        <v>1.05</v>
      </c>
      <c r="H80" s="105">
        <v>1.78</v>
      </c>
      <c r="K80" s="115" t="s">
        <v>1510</v>
      </c>
      <c r="L80" s="115" t="s">
        <v>1511</v>
      </c>
      <c r="M80" s="115" t="s">
        <v>1355</v>
      </c>
      <c r="N80" s="4">
        <v>7.12</v>
      </c>
    </row>
    <row r="81" spans="4:14" x14ac:dyDescent="0.2">
      <c r="D81" s="4" t="s">
        <v>1430</v>
      </c>
      <c r="E81" s="105">
        <v>1.0900000000000001</v>
      </c>
      <c r="F81" s="105">
        <v>10.220000000000001</v>
      </c>
      <c r="G81" s="105">
        <v>0.85</v>
      </c>
      <c r="H81" s="105">
        <v>1.02</v>
      </c>
      <c r="K81" s="115" t="s">
        <v>1510</v>
      </c>
      <c r="L81" s="115" t="s">
        <v>1511</v>
      </c>
      <c r="M81" s="115" t="s">
        <v>1356</v>
      </c>
      <c r="N81" s="4">
        <v>0.69</v>
      </c>
    </row>
    <row r="82" spans="4:14" x14ac:dyDescent="0.2">
      <c r="D82" s="4" t="s">
        <v>1431</v>
      </c>
      <c r="E82" s="105">
        <v>0.97</v>
      </c>
      <c r="F82" s="105">
        <v>8.5</v>
      </c>
      <c r="G82" s="105">
        <v>0.66</v>
      </c>
      <c r="H82" s="105">
        <v>0.97</v>
      </c>
      <c r="K82" s="115" t="s">
        <v>1510</v>
      </c>
      <c r="L82" s="115" t="s">
        <v>1511</v>
      </c>
      <c r="M82" s="115" t="s">
        <v>1357</v>
      </c>
      <c r="N82" s="4">
        <v>1.32</v>
      </c>
    </row>
    <row r="83" spans="4:14" x14ac:dyDescent="0.2">
      <c r="D83" s="4" t="s">
        <v>1432</v>
      </c>
      <c r="E83" s="105">
        <v>1.25</v>
      </c>
      <c r="F83" s="105">
        <v>5.96</v>
      </c>
      <c r="G83" s="105">
        <v>1.0900000000000001</v>
      </c>
      <c r="H83" s="105">
        <v>1.38</v>
      </c>
      <c r="K83" s="115" t="s">
        <v>1512</v>
      </c>
      <c r="L83" s="115" t="s">
        <v>1485</v>
      </c>
      <c r="M83" s="115" t="s">
        <v>1354</v>
      </c>
      <c r="N83" s="4">
        <v>1.64</v>
      </c>
    </row>
    <row r="84" spans="4:14" x14ac:dyDescent="0.2">
      <c r="D84" s="4" t="s">
        <v>1433</v>
      </c>
      <c r="E84" s="105">
        <v>1.48</v>
      </c>
      <c r="F84" s="105">
        <v>8.8000000000000007</v>
      </c>
      <c r="G84" s="105">
        <v>0.68</v>
      </c>
      <c r="H84" s="105">
        <v>2.19</v>
      </c>
      <c r="K84" s="115" t="s">
        <v>1512</v>
      </c>
      <c r="L84" s="115" t="s">
        <v>1485</v>
      </c>
      <c r="M84" s="115" t="s">
        <v>1355</v>
      </c>
      <c r="N84" s="4">
        <v>13.57</v>
      </c>
    </row>
    <row r="85" spans="4:14" x14ac:dyDescent="0.2">
      <c r="D85" s="4" t="s">
        <v>1434</v>
      </c>
      <c r="E85" s="105">
        <v>1.92</v>
      </c>
      <c r="F85" s="105">
        <v>13.7</v>
      </c>
      <c r="G85" s="105">
        <v>1.17</v>
      </c>
      <c r="H85" s="105">
        <v>2.25</v>
      </c>
      <c r="K85" s="115" t="s">
        <v>1512</v>
      </c>
      <c r="L85" s="115" t="s">
        <v>1485</v>
      </c>
      <c r="M85" s="115" t="s">
        <v>1356</v>
      </c>
      <c r="N85" s="4">
        <v>1.04</v>
      </c>
    </row>
    <row r="86" spans="4:14" x14ac:dyDescent="0.2">
      <c r="D86" s="4" t="s">
        <v>1435</v>
      </c>
      <c r="E86" s="105">
        <v>1.52</v>
      </c>
      <c r="F86" s="105">
        <v>11.01</v>
      </c>
      <c r="G86" s="105">
        <v>0.87</v>
      </c>
      <c r="H86" s="105">
        <v>1.86</v>
      </c>
      <c r="K86" s="115" t="s">
        <v>1512</v>
      </c>
      <c r="L86" s="115" t="s">
        <v>1485</v>
      </c>
      <c r="M86" s="115" t="s">
        <v>1357</v>
      </c>
      <c r="N86" s="4">
        <v>2.31</v>
      </c>
    </row>
    <row r="87" spans="4:14" x14ac:dyDescent="0.2">
      <c r="D87" s="4" t="s">
        <v>1436</v>
      </c>
      <c r="E87" s="105">
        <v>1.02</v>
      </c>
      <c r="F87" s="105">
        <v>12</v>
      </c>
      <c r="G87" s="105">
        <v>1.21</v>
      </c>
      <c r="H87" s="105">
        <v>1.7</v>
      </c>
      <c r="K87" s="115" t="s">
        <v>1513</v>
      </c>
      <c r="L87" s="115" t="s">
        <v>1505</v>
      </c>
      <c r="M87" s="115" t="s">
        <v>1354</v>
      </c>
      <c r="N87" s="4">
        <v>0.57999999999999996</v>
      </c>
    </row>
    <row r="88" spans="4:14" x14ac:dyDescent="0.2">
      <c r="D88" s="4" t="s">
        <v>1437</v>
      </c>
      <c r="E88" s="105">
        <v>1.1100000000000001</v>
      </c>
      <c r="F88" s="105">
        <v>6.02</v>
      </c>
      <c r="G88" s="105">
        <v>1.01</v>
      </c>
      <c r="H88" s="105">
        <v>1</v>
      </c>
      <c r="K88" s="115" t="s">
        <v>1513</v>
      </c>
      <c r="L88" s="115" t="s">
        <v>1505</v>
      </c>
      <c r="M88" s="115" t="s">
        <v>1355</v>
      </c>
      <c r="N88" s="4">
        <v>5.26</v>
      </c>
    </row>
    <row r="89" spans="4:14" x14ac:dyDescent="0.2">
      <c r="D89" s="4" t="s">
        <v>1438</v>
      </c>
      <c r="E89" s="105">
        <v>0.35</v>
      </c>
      <c r="F89" s="105">
        <v>3.36</v>
      </c>
      <c r="G89" s="105">
        <v>0.72</v>
      </c>
      <c r="H89" s="105"/>
      <c r="K89" s="115" t="s">
        <v>1513</v>
      </c>
      <c r="L89" s="115" t="s">
        <v>1505</v>
      </c>
      <c r="M89" s="115" t="s">
        <v>1356</v>
      </c>
      <c r="N89" s="4">
        <v>1.01</v>
      </c>
    </row>
    <row r="90" spans="4:14" x14ac:dyDescent="0.2">
      <c r="D90" s="4" t="s">
        <v>1439</v>
      </c>
      <c r="E90" s="105">
        <v>0.43</v>
      </c>
      <c r="F90" s="105">
        <v>4.8899999999999997</v>
      </c>
      <c r="G90" s="105">
        <v>0.78</v>
      </c>
      <c r="H90" s="105">
        <v>1.04</v>
      </c>
      <c r="K90" s="115" t="s">
        <v>1513</v>
      </c>
      <c r="L90" s="115" t="s">
        <v>1505</v>
      </c>
      <c r="M90" s="115" t="s">
        <v>1357</v>
      </c>
      <c r="N90" s="4">
        <v>1.1000000000000001</v>
      </c>
    </row>
    <row r="91" spans="4:14" x14ac:dyDescent="0.2">
      <c r="D91" s="4" t="s">
        <v>1440</v>
      </c>
      <c r="E91" s="105">
        <v>1.64</v>
      </c>
      <c r="F91" s="105">
        <v>9.69</v>
      </c>
      <c r="G91" s="105">
        <v>0.76</v>
      </c>
      <c r="H91" s="105">
        <v>2.15</v>
      </c>
      <c r="K91" s="115" t="s">
        <v>1514</v>
      </c>
      <c r="L91" s="115" t="s">
        <v>1515</v>
      </c>
      <c r="M91" s="115" t="s">
        <v>1354</v>
      </c>
      <c r="N91" s="4">
        <v>0.71</v>
      </c>
    </row>
    <row r="92" spans="4:14" x14ac:dyDescent="0.2">
      <c r="D92" s="4" t="s">
        <v>1441</v>
      </c>
      <c r="E92" s="105">
        <v>0.45</v>
      </c>
      <c r="F92" s="105">
        <v>6.53</v>
      </c>
      <c r="G92" s="105">
        <v>0.95</v>
      </c>
      <c r="H92" s="105">
        <v>0.97</v>
      </c>
      <c r="K92" s="115" t="s">
        <v>1514</v>
      </c>
      <c r="L92" s="115" t="s">
        <v>1515</v>
      </c>
      <c r="M92" s="115" t="s">
        <v>1355</v>
      </c>
      <c r="N92" s="4">
        <v>5.56</v>
      </c>
    </row>
    <row r="93" spans="4:14" x14ac:dyDescent="0.2">
      <c r="D93" s="4" t="s">
        <v>1442</v>
      </c>
      <c r="E93" s="105">
        <v>2.87</v>
      </c>
      <c r="F93" s="105">
        <v>10.45</v>
      </c>
      <c r="G93" s="105">
        <v>1.8</v>
      </c>
      <c r="H93" s="105">
        <v>2.33</v>
      </c>
      <c r="K93" s="115" t="s">
        <v>1514</v>
      </c>
      <c r="L93" s="115" t="s">
        <v>1515</v>
      </c>
      <c r="M93" s="115" t="s">
        <v>1356</v>
      </c>
      <c r="N93" s="4">
        <v>0.71</v>
      </c>
    </row>
    <row r="94" spans="4:14" x14ac:dyDescent="0.2">
      <c r="D94" s="4" t="s">
        <v>1443</v>
      </c>
      <c r="E94" s="105">
        <v>0.97</v>
      </c>
      <c r="F94" s="105"/>
      <c r="G94" s="105">
        <v>0.65</v>
      </c>
      <c r="H94" s="105">
        <v>1.38</v>
      </c>
      <c r="K94" s="115" t="s">
        <v>1514</v>
      </c>
      <c r="L94" s="115" t="s">
        <v>1515</v>
      </c>
      <c r="M94" s="115" t="s">
        <v>1357</v>
      </c>
      <c r="N94" s="4">
        <v>1.04</v>
      </c>
    </row>
    <row r="95" spans="4:14" x14ac:dyDescent="0.2">
      <c r="D95" s="4" t="s">
        <v>1444</v>
      </c>
      <c r="E95" s="105">
        <v>1.48</v>
      </c>
      <c r="F95" s="105">
        <v>18.57</v>
      </c>
      <c r="G95" s="105">
        <v>1.24</v>
      </c>
      <c r="H95" s="105">
        <v>1.78</v>
      </c>
      <c r="K95" s="115" t="s">
        <v>1516</v>
      </c>
      <c r="L95" s="115" t="s">
        <v>1495</v>
      </c>
      <c r="M95" s="115" t="s">
        <v>1354</v>
      </c>
      <c r="N95" s="4">
        <v>1.44</v>
      </c>
    </row>
    <row r="96" spans="4:14" x14ac:dyDescent="0.2">
      <c r="D96" s="4" t="s">
        <v>1445</v>
      </c>
      <c r="E96" s="105">
        <v>0.79</v>
      </c>
      <c r="F96" s="105">
        <v>6.93</v>
      </c>
      <c r="G96" s="105">
        <v>1.1100000000000001</v>
      </c>
      <c r="H96" s="105">
        <v>1.32</v>
      </c>
      <c r="K96" s="115" t="s">
        <v>1516</v>
      </c>
      <c r="L96" s="115" t="s">
        <v>1495</v>
      </c>
      <c r="M96" s="115" t="s">
        <v>1355</v>
      </c>
      <c r="N96" s="4">
        <v>8.01</v>
      </c>
    </row>
    <row r="97" spans="4:14" x14ac:dyDescent="0.2">
      <c r="D97" s="4" t="s">
        <v>1446</v>
      </c>
      <c r="E97" s="105">
        <v>0.56999999999999995</v>
      </c>
      <c r="F97" s="105">
        <v>5.38</v>
      </c>
      <c r="G97" s="105">
        <v>1.04</v>
      </c>
      <c r="H97" s="105">
        <v>1.08</v>
      </c>
      <c r="K97" s="115" t="s">
        <v>1516</v>
      </c>
      <c r="L97" s="115" t="s">
        <v>1495</v>
      </c>
      <c r="M97" s="115" t="s">
        <v>1356</v>
      </c>
      <c r="N97" s="4">
        <v>1.1200000000000001</v>
      </c>
    </row>
    <row r="98" spans="4:14" x14ac:dyDescent="0.2">
      <c r="D98" s="4" t="s">
        <v>1447</v>
      </c>
      <c r="E98" s="105">
        <v>1.24</v>
      </c>
      <c r="F98" s="105">
        <v>6.81</v>
      </c>
      <c r="G98" s="105">
        <v>0.66</v>
      </c>
      <c r="H98" s="105">
        <v>0.86</v>
      </c>
      <c r="K98" s="115" t="s">
        <v>1516</v>
      </c>
      <c r="L98" s="115" t="s">
        <v>1495</v>
      </c>
      <c r="M98" s="115" t="s">
        <v>1357</v>
      </c>
      <c r="N98" s="4">
        <v>1.1599999999999999</v>
      </c>
    </row>
    <row r="99" spans="4:14" x14ac:dyDescent="0.2">
      <c r="D99" s="4" t="s">
        <v>1448</v>
      </c>
      <c r="E99" s="105">
        <v>0.69</v>
      </c>
      <c r="F99" s="105">
        <v>5.54</v>
      </c>
      <c r="G99" s="105">
        <v>0.62</v>
      </c>
      <c r="H99" s="105">
        <v>0.72</v>
      </c>
      <c r="K99" s="115" t="s">
        <v>1517</v>
      </c>
      <c r="L99" s="115" t="s">
        <v>1505</v>
      </c>
      <c r="M99" s="115" t="s">
        <v>1354</v>
      </c>
      <c r="N99" s="4">
        <v>0.64</v>
      </c>
    </row>
    <row r="100" spans="4:14" x14ac:dyDescent="0.2">
      <c r="D100" s="4" t="s">
        <v>1449</v>
      </c>
      <c r="E100" s="105">
        <v>0.94</v>
      </c>
      <c r="F100" s="105">
        <v>7.81</v>
      </c>
      <c r="G100" s="105">
        <v>0.75</v>
      </c>
      <c r="H100" s="105">
        <v>1.44</v>
      </c>
      <c r="K100" s="115" t="s">
        <v>1517</v>
      </c>
      <c r="L100" s="115" t="s">
        <v>1505</v>
      </c>
      <c r="M100" s="115" t="s">
        <v>1355</v>
      </c>
      <c r="N100" s="4">
        <v>5.53</v>
      </c>
    </row>
    <row r="101" spans="4:14" x14ac:dyDescent="0.2">
      <c r="D101" s="4" t="s">
        <v>1450</v>
      </c>
      <c r="E101" s="105">
        <v>2.97</v>
      </c>
      <c r="F101" s="105">
        <v>12.79</v>
      </c>
      <c r="G101" s="105">
        <v>1.2</v>
      </c>
      <c r="H101" s="105">
        <v>2.54</v>
      </c>
      <c r="K101" s="115" t="s">
        <v>1517</v>
      </c>
      <c r="L101" s="115" t="s">
        <v>1505</v>
      </c>
      <c r="M101" s="115" t="s">
        <v>1356</v>
      </c>
      <c r="N101" s="4">
        <v>0.98</v>
      </c>
    </row>
    <row r="102" spans="4:14" x14ac:dyDescent="0.2">
      <c r="D102" s="4" t="s">
        <v>1451</v>
      </c>
      <c r="E102" s="105">
        <v>0.85</v>
      </c>
      <c r="F102" s="105">
        <v>6.12</v>
      </c>
      <c r="G102" s="105">
        <v>0.88</v>
      </c>
      <c r="H102" s="105">
        <v>1.35</v>
      </c>
      <c r="K102" s="115" t="s">
        <v>1517</v>
      </c>
      <c r="L102" s="115" t="s">
        <v>1505</v>
      </c>
      <c r="M102" s="115" t="s">
        <v>1357</v>
      </c>
      <c r="N102" s="4">
        <v>0.9</v>
      </c>
    </row>
    <row r="103" spans="4:14" x14ac:dyDescent="0.2">
      <c r="D103" s="4" t="s">
        <v>1452</v>
      </c>
      <c r="E103" s="105">
        <v>0.96</v>
      </c>
      <c r="F103" s="105">
        <v>7.45</v>
      </c>
      <c r="G103" s="105">
        <v>0.84</v>
      </c>
      <c r="H103" s="105">
        <v>1.65</v>
      </c>
      <c r="K103" s="115" t="s">
        <v>1518</v>
      </c>
      <c r="L103" s="115" t="s">
        <v>1481</v>
      </c>
      <c r="M103" s="115" t="s">
        <v>1354</v>
      </c>
      <c r="N103" s="4">
        <v>1.44</v>
      </c>
    </row>
    <row r="104" spans="4:14" x14ac:dyDescent="0.2">
      <c r="D104" s="4" t="s">
        <v>1453</v>
      </c>
      <c r="E104" s="105">
        <v>1.56</v>
      </c>
      <c r="F104" s="105">
        <v>11.85</v>
      </c>
      <c r="G104" s="105">
        <v>1.27</v>
      </c>
      <c r="H104" s="105">
        <v>1.99</v>
      </c>
      <c r="K104" s="115" t="s">
        <v>1518</v>
      </c>
      <c r="L104" s="115" t="s">
        <v>1481</v>
      </c>
      <c r="M104" s="115" t="s">
        <v>1355</v>
      </c>
      <c r="N104" s="4">
        <v>8.35</v>
      </c>
    </row>
    <row r="105" spans="4:14" x14ac:dyDescent="0.2">
      <c r="D105" s="4" t="s">
        <v>1454</v>
      </c>
      <c r="E105" s="105">
        <v>1.1200000000000001</v>
      </c>
      <c r="F105" s="105">
        <v>9.67</v>
      </c>
      <c r="G105" s="105">
        <v>0.91</v>
      </c>
      <c r="H105" s="105">
        <v>1.69</v>
      </c>
      <c r="K105" s="115" t="s">
        <v>1518</v>
      </c>
      <c r="L105" s="115" t="s">
        <v>1481</v>
      </c>
      <c r="M105" s="115" t="s">
        <v>1356</v>
      </c>
      <c r="N105" s="4">
        <v>0.7</v>
      </c>
    </row>
    <row r="106" spans="4:14" x14ac:dyDescent="0.2">
      <c r="D106" s="4" t="s">
        <v>1631</v>
      </c>
      <c r="E106" s="105">
        <v>0.78</v>
      </c>
      <c r="F106" s="105"/>
      <c r="G106" s="105">
        <v>0.66</v>
      </c>
      <c r="H106" s="105">
        <v>0.84</v>
      </c>
      <c r="K106" s="115" t="s">
        <v>1518</v>
      </c>
      <c r="L106" s="115" t="s">
        <v>1481</v>
      </c>
      <c r="M106" s="115" t="s">
        <v>1357</v>
      </c>
      <c r="N106" s="4">
        <v>2.2799999999999998</v>
      </c>
    </row>
    <row r="107" spans="4:14" x14ac:dyDescent="0.2">
      <c r="D107" s="4" t="s">
        <v>1455</v>
      </c>
      <c r="E107" s="105">
        <v>1.07</v>
      </c>
      <c r="F107" s="105">
        <v>4.32</v>
      </c>
      <c r="G107" s="105">
        <v>1.01</v>
      </c>
      <c r="H107" s="105">
        <v>0.94</v>
      </c>
      <c r="K107" s="115" t="s">
        <v>1519</v>
      </c>
      <c r="L107" s="115" t="s">
        <v>1505</v>
      </c>
      <c r="M107" s="115" t="s">
        <v>1355</v>
      </c>
      <c r="N107" s="4">
        <v>5.0599999999999996</v>
      </c>
    </row>
    <row r="108" spans="4:14" x14ac:dyDescent="0.2">
      <c r="D108" s="4" t="s">
        <v>1456</v>
      </c>
      <c r="E108" s="105">
        <v>0.57999999999999996</v>
      </c>
      <c r="F108" s="105">
        <v>5.99</v>
      </c>
      <c r="G108" s="105">
        <v>1.03</v>
      </c>
      <c r="H108" s="105">
        <v>1.0900000000000001</v>
      </c>
      <c r="K108" s="115" t="s">
        <v>1519</v>
      </c>
      <c r="L108" s="115" t="s">
        <v>1505</v>
      </c>
      <c r="M108" s="115" t="s">
        <v>1356</v>
      </c>
      <c r="N108" s="4">
        <v>1.06</v>
      </c>
    </row>
    <row r="109" spans="4:14" x14ac:dyDescent="0.2">
      <c r="D109" s="4" t="s">
        <v>1457</v>
      </c>
      <c r="E109" s="105">
        <v>0.91</v>
      </c>
      <c r="F109" s="105">
        <v>7.93</v>
      </c>
      <c r="G109" s="105">
        <v>0.85</v>
      </c>
      <c r="H109" s="105">
        <v>1.53</v>
      </c>
      <c r="K109" s="115" t="s">
        <v>1519</v>
      </c>
      <c r="L109" s="115" t="s">
        <v>1505</v>
      </c>
      <c r="M109" s="115" t="s">
        <v>1357</v>
      </c>
      <c r="N109" s="4">
        <v>1.06</v>
      </c>
    </row>
    <row r="110" spans="4:14" x14ac:dyDescent="0.2">
      <c r="D110" s="4" t="s">
        <v>1458</v>
      </c>
      <c r="E110" s="105">
        <v>2.88</v>
      </c>
      <c r="F110" s="105">
        <v>12.71</v>
      </c>
      <c r="G110" s="105">
        <v>1.87</v>
      </c>
      <c r="H110" s="105">
        <v>2.62</v>
      </c>
      <c r="K110" s="115" t="s">
        <v>1520</v>
      </c>
      <c r="L110" s="115" t="s">
        <v>1487</v>
      </c>
      <c r="M110" s="115" t="s">
        <v>1354</v>
      </c>
      <c r="N110" s="4">
        <v>2.7</v>
      </c>
    </row>
    <row r="111" spans="4:14" x14ac:dyDescent="0.2">
      <c r="D111" s="4" t="s">
        <v>1459</v>
      </c>
      <c r="E111" s="105">
        <v>2.13</v>
      </c>
      <c r="F111" s="105">
        <v>8.0399999999999991</v>
      </c>
      <c r="G111" s="105">
        <v>1.19</v>
      </c>
      <c r="H111" s="105">
        <v>2.38</v>
      </c>
      <c r="K111" s="115" t="s">
        <v>1520</v>
      </c>
      <c r="L111" s="115" t="s">
        <v>1487</v>
      </c>
      <c r="M111" s="115" t="s">
        <v>1355</v>
      </c>
      <c r="N111" s="4">
        <v>10.64</v>
      </c>
    </row>
    <row r="112" spans="4:14" x14ac:dyDescent="0.2">
      <c r="D112" s="4" t="s">
        <v>1460</v>
      </c>
      <c r="E112" s="105">
        <v>1.69</v>
      </c>
      <c r="F112" s="105">
        <v>8.0500000000000007</v>
      </c>
      <c r="G112" s="105">
        <v>0.78</v>
      </c>
      <c r="H112" s="105">
        <v>2.21</v>
      </c>
      <c r="K112" s="115" t="s">
        <v>1520</v>
      </c>
      <c r="L112" s="115" t="s">
        <v>1487</v>
      </c>
      <c r="M112" s="115" t="s">
        <v>1356</v>
      </c>
      <c r="N112" s="4">
        <v>1.19</v>
      </c>
    </row>
    <row r="113" spans="4:14" x14ac:dyDescent="0.2">
      <c r="D113" s="4" t="s">
        <v>1461</v>
      </c>
      <c r="E113" s="105">
        <v>0.85</v>
      </c>
      <c r="F113" s="105">
        <v>7.22</v>
      </c>
      <c r="G113" s="105">
        <v>0.7</v>
      </c>
      <c r="H113" s="105">
        <v>1.37</v>
      </c>
      <c r="K113" s="115" t="s">
        <v>1520</v>
      </c>
      <c r="L113" s="115" t="s">
        <v>1487</v>
      </c>
      <c r="M113" s="115" t="s">
        <v>1357</v>
      </c>
      <c r="N113" s="4">
        <v>1.84</v>
      </c>
    </row>
    <row r="114" spans="4:14" x14ac:dyDescent="0.2">
      <c r="D114" s="4" t="s">
        <v>1462</v>
      </c>
      <c r="E114" s="105">
        <v>0.79</v>
      </c>
      <c r="F114" s="105">
        <v>6.75</v>
      </c>
      <c r="G114" s="105">
        <v>0.8</v>
      </c>
      <c r="H114" s="105"/>
      <c r="K114" s="115" t="s">
        <v>1521</v>
      </c>
      <c r="L114" s="115" t="s">
        <v>1522</v>
      </c>
      <c r="M114" s="115" t="s">
        <v>1354</v>
      </c>
      <c r="N114" s="4">
        <v>1.87</v>
      </c>
    </row>
    <row r="115" spans="4:14" x14ac:dyDescent="0.2">
      <c r="D115" s="4" t="s">
        <v>1463</v>
      </c>
      <c r="E115" s="105">
        <v>1.08</v>
      </c>
      <c r="F115" s="105">
        <v>10.09</v>
      </c>
      <c r="G115" s="105">
        <v>0.9</v>
      </c>
      <c r="H115" s="105">
        <v>1.73</v>
      </c>
      <c r="K115" s="115" t="s">
        <v>1521</v>
      </c>
      <c r="L115" s="115" t="s">
        <v>1522</v>
      </c>
      <c r="M115" s="115" t="s">
        <v>1355</v>
      </c>
      <c r="N115" s="4">
        <v>10.210000000000001</v>
      </c>
    </row>
    <row r="116" spans="4:14" x14ac:dyDescent="0.2">
      <c r="D116" s="4" t="s">
        <v>1464</v>
      </c>
      <c r="E116" s="105">
        <v>0.89</v>
      </c>
      <c r="F116" s="105">
        <v>7.47</v>
      </c>
      <c r="G116" s="105">
        <v>1.1000000000000001</v>
      </c>
      <c r="H116" s="105">
        <v>1.45</v>
      </c>
      <c r="K116" s="115" t="s">
        <v>1521</v>
      </c>
      <c r="L116" s="115" t="s">
        <v>1522</v>
      </c>
      <c r="M116" s="115" t="s">
        <v>1356</v>
      </c>
      <c r="N116" s="4">
        <v>0.94</v>
      </c>
    </row>
    <row r="117" spans="4:14" x14ac:dyDescent="0.2">
      <c r="D117" s="4" t="s">
        <v>1465</v>
      </c>
      <c r="E117" s="105">
        <v>0.68</v>
      </c>
      <c r="F117" s="105">
        <v>4.4400000000000004</v>
      </c>
      <c r="G117" s="105">
        <v>0.91</v>
      </c>
      <c r="H117" s="105">
        <v>0.88</v>
      </c>
      <c r="K117" s="115" t="s">
        <v>1521</v>
      </c>
      <c r="L117" s="115" t="s">
        <v>1522</v>
      </c>
      <c r="M117" s="115" t="s">
        <v>1357</v>
      </c>
      <c r="N117" s="4">
        <v>2.0099999999999998</v>
      </c>
    </row>
    <row r="118" spans="4:14" x14ac:dyDescent="0.2">
      <c r="D118" s="4" t="s">
        <v>1466</v>
      </c>
      <c r="E118" s="105">
        <v>1.47</v>
      </c>
      <c r="F118" s="105">
        <v>13.83</v>
      </c>
      <c r="G118" s="105">
        <v>0.93</v>
      </c>
      <c r="H118" s="105">
        <v>1.55</v>
      </c>
      <c r="K118" s="115" t="s">
        <v>1523</v>
      </c>
      <c r="L118" s="115" t="s">
        <v>1505</v>
      </c>
      <c r="M118" s="115" t="s">
        <v>1354</v>
      </c>
      <c r="N118" s="4">
        <v>0.37</v>
      </c>
    </row>
    <row r="119" spans="4:14" x14ac:dyDescent="0.2">
      <c r="D119" s="4" t="s">
        <v>1467</v>
      </c>
      <c r="E119" s="105">
        <v>2.9</v>
      </c>
      <c r="F119" s="105">
        <v>10.85</v>
      </c>
      <c r="G119" s="105">
        <v>1.94</v>
      </c>
      <c r="H119" s="105">
        <v>2.35</v>
      </c>
      <c r="K119" s="115" t="s">
        <v>1523</v>
      </c>
      <c r="L119" s="115" t="s">
        <v>1505</v>
      </c>
      <c r="M119" s="115" t="s">
        <v>1355</v>
      </c>
      <c r="N119" s="4">
        <v>4.57</v>
      </c>
    </row>
    <row r="120" spans="4:14" x14ac:dyDescent="0.2">
      <c r="D120" s="4" t="s">
        <v>1468</v>
      </c>
      <c r="E120" s="105">
        <v>1.46</v>
      </c>
      <c r="F120" s="105">
        <v>12.31</v>
      </c>
      <c r="G120" s="105">
        <v>1.1200000000000001</v>
      </c>
      <c r="H120" s="105">
        <v>1.87</v>
      </c>
      <c r="K120" s="115" t="s">
        <v>1523</v>
      </c>
      <c r="L120" s="115" t="s">
        <v>1505</v>
      </c>
      <c r="M120" s="115" t="s">
        <v>1356</v>
      </c>
      <c r="N120" s="4">
        <v>0.87</v>
      </c>
    </row>
    <row r="121" spans="4:14" x14ac:dyDescent="0.2">
      <c r="D121" s="4" t="s">
        <v>1469</v>
      </c>
      <c r="E121" s="105">
        <v>1.1499999999999999</v>
      </c>
      <c r="F121" s="105">
        <v>10.52</v>
      </c>
      <c r="G121" s="105">
        <v>0.93</v>
      </c>
      <c r="H121" s="105">
        <v>1.92</v>
      </c>
      <c r="K121" s="115" t="s">
        <v>1524</v>
      </c>
      <c r="L121" s="115" t="s">
        <v>1515</v>
      </c>
      <c r="M121" s="115" t="s">
        <v>1354</v>
      </c>
      <c r="N121" s="4">
        <v>0.56000000000000005</v>
      </c>
    </row>
    <row r="122" spans="4:14" x14ac:dyDescent="0.2">
      <c r="D122" s="4" t="s">
        <v>1470</v>
      </c>
      <c r="E122" s="105">
        <v>0.81</v>
      </c>
      <c r="F122" s="105">
        <v>10.83</v>
      </c>
      <c r="G122" s="105">
        <v>0.69</v>
      </c>
      <c r="H122" s="105">
        <v>0.86</v>
      </c>
      <c r="K122" s="115" t="s">
        <v>1524</v>
      </c>
      <c r="L122" s="115" t="s">
        <v>1515</v>
      </c>
      <c r="M122" s="115" t="s">
        <v>1355</v>
      </c>
      <c r="N122" s="4">
        <v>5</v>
      </c>
    </row>
    <row r="123" spans="4:14" x14ac:dyDescent="0.2">
      <c r="D123" s="4" t="s">
        <v>1471</v>
      </c>
      <c r="E123" s="105">
        <v>0.51</v>
      </c>
      <c r="F123" s="105">
        <v>4.91</v>
      </c>
      <c r="G123" s="105">
        <v>1.02</v>
      </c>
      <c r="H123" s="105">
        <v>1.05</v>
      </c>
      <c r="K123" s="115" t="s">
        <v>1524</v>
      </c>
      <c r="L123" s="115" t="s">
        <v>1515</v>
      </c>
      <c r="M123" s="115" t="s">
        <v>1356</v>
      </c>
      <c r="N123" s="4">
        <v>0.65</v>
      </c>
    </row>
    <row r="124" spans="4:14" x14ac:dyDescent="0.2">
      <c r="D124" s="4" t="s">
        <v>1472</v>
      </c>
      <c r="E124" s="105">
        <v>1.7</v>
      </c>
      <c r="F124" s="105">
        <v>11.23</v>
      </c>
      <c r="G124" s="105">
        <v>1.03</v>
      </c>
      <c r="H124" s="105">
        <v>1.28</v>
      </c>
      <c r="K124" s="115" t="s">
        <v>1524</v>
      </c>
      <c r="L124" s="115" t="s">
        <v>1515</v>
      </c>
      <c r="M124" s="115" t="s">
        <v>1357</v>
      </c>
      <c r="N124" s="4">
        <v>1</v>
      </c>
    </row>
    <row r="125" spans="4:14" x14ac:dyDescent="0.2">
      <c r="D125" s="4" t="s">
        <v>1473</v>
      </c>
      <c r="E125" s="105">
        <v>1.04</v>
      </c>
      <c r="F125" s="105">
        <v>7.63</v>
      </c>
      <c r="G125" s="105">
        <v>0.87</v>
      </c>
      <c r="H125" s="105">
        <v>1.67</v>
      </c>
      <c r="K125" s="115" t="s">
        <v>1525</v>
      </c>
      <c r="L125" s="115" t="s">
        <v>1483</v>
      </c>
      <c r="M125" s="115" t="s">
        <v>1354</v>
      </c>
      <c r="N125" s="4">
        <v>1.1299999999999999</v>
      </c>
    </row>
    <row r="126" spans="4:14" x14ac:dyDescent="0.2">
      <c r="D126" s="4" t="s">
        <v>1474</v>
      </c>
      <c r="E126" s="105">
        <v>0.75</v>
      </c>
      <c r="F126" s="105">
        <v>6.32</v>
      </c>
      <c r="G126" s="105">
        <v>0.62</v>
      </c>
      <c r="H126" s="105">
        <v>0.86</v>
      </c>
      <c r="K126" s="115" t="s">
        <v>1525</v>
      </c>
      <c r="L126" s="115" t="s">
        <v>1483</v>
      </c>
      <c r="M126" s="115" t="s">
        <v>1355</v>
      </c>
      <c r="N126" s="4">
        <v>10.19</v>
      </c>
    </row>
    <row r="127" spans="4:14" x14ac:dyDescent="0.2">
      <c r="D127" s="4" t="s">
        <v>1475</v>
      </c>
      <c r="E127" s="105">
        <v>0.75</v>
      </c>
      <c r="F127" s="105">
        <v>5.87</v>
      </c>
      <c r="G127" s="105">
        <v>0.56000000000000005</v>
      </c>
      <c r="H127" s="105">
        <v>0.78</v>
      </c>
      <c r="K127" s="115" t="s">
        <v>1525</v>
      </c>
      <c r="L127" s="115" t="s">
        <v>1483</v>
      </c>
      <c r="M127" s="115" t="s">
        <v>1356</v>
      </c>
      <c r="N127" s="4">
        <v>0.79</v>
      </c>
    </row>
    <row r="128" spans="4:14" x14ac:dyDescent="0.2">
      <c r="D128" s="4" t="s">
        <v>1476</v>
      </c>
      <c r="E128" s="105">
        <v>0.87</v>
      </c>
      <c r="F128" s="105">
        <v>7.6</v>
      </c>
      <c r="G128" s="105">
        <v>0.87</v>
      </c>
      <c r="H128" s="105">
        <v>1.64</v>
      </c>
      <c r="K128" s="115" t="s">
        <v>1525</v>
      </c>
      <c r="L128" s="115" t="s">
        <v>1483</v>
      </c>
      <c r="M128" s="115" t="s">
        <v>1357</v>
      </c>
      <c r="N128" s="4">
        <v>1.78</v>
      </c>
    </row>
    <row r="129" spans="4:14" x14ac:dyDescent="0.2">
      <c r="D129" s="4" t="s">
        <v>1477</v>
      </c>
      <c r="E129" s="105">
        <v>2.67</v>
      </c>
      <c r="F129" s="105">
        <v>23.8</v>
      </c>
      <c r="G129" s="105">
        <v>1.54</v>
      </c>
      <c r="H129" s="105">
        <v>2.44</v>
      </c>
      <c r="K129" s="115" t="s">
        <v>1526</v>
      </c>
      <c r="L129" s="115" t="s">
        <v>1481</v>
      </c>
      <c r="M129" s="115" t="s">
        <v>1355</v>
      </c>
      <c r="N129" s="4">
        <v>8.86</v>
      </c>
    </row>
    <row r="130" spans="4:14" x14ac:dyDescent="0.2">
      <c r="K130" s="115" t="s">
        <v>1526</v>
      </c>
      <c r="L130" s="115" t="s">
        <v>1481</v>
      </c>
      <c r="M130" s="115" t="s">
        <v>1356</v>
      </c>
      <c r="N130" s="4">
        <v>0.72</v>
      </c>
    </row>
    <row r="131" spans="4:14" x14ac:dyDescent="0.2">
      <c r="K131" s="115" t="s">
        <v>1526</v>
      </c>
      <c r="L131" s="115" t="s">
        <v>1481</v>
      </c>
      <c r="M131" s="115" t="s">
        <v>1357</v>
      </c>
      <c r="N131" s="4">
        <v>2.14</v>
      </c>
    </row>
    <row r="132" spans="4:14" x14ac:dyDescent="0.2">
      <c r="K132" s="115" t="s">
        <v>1527</v>
      </c>
      <c r="L132" s="115" t="s">
        <v>1522</v>
      </c>
      <c r="M132" s="115" t="s">
        <v>1354</v>
      </c>
      <c r="N132" s="4">
        <v>1.43</v>
      </c>
    </row>
    <row r="133" spans="4:14" x14ac:dyDescent="0.2">
      <c r="K133" s="115" t="s">
        <v>1527</v>
      </c>
      <c r="L133" s="115" t="s">
        <v>1522</v>
      </c>
      <c r="M133" s="115" t="s">
        <v>1355</v>
      </c>
      <c r="N133" s="4">
        <v>7.55</v>
      </c>
    </row>
    <row r="134" spans="4:14" x14ac:dyDescent="0.2">
      <c r="K134" s="115" t="s">
        <v>1527</v>
      </c>
      <c r="L134" s="115" t="s">
        <v>1522</v>
      </c>
      <c r="M134" s="115" t="s">
        <v>1356</v>
      </c>
      <c r="N134" s="4">
        <v>0.95</v>
      </c>
    </row>
    <row r="135" spans="4:14" x14ac:dyDescent="0.2">
      <c r="K135" s="115" t="s">
        <v>1527</v>
      </c>
      <c r="L135" s="115" t="s">
        <v>1522</v>
      </c>
      <c r="M135" s="115" t="s">
        <v>1357</v>
      </c>
      <c r="N135" s="4">
        <v>1.43</v>
      </c>
    </row>
    <row r="136" spans="4:14" x14ac:dyDescent="0.2">
      <c r="K136" s="115" t="s">
        <v>1528</v>
      </c>
      <c r="L136" s="115" t="s">
        <v>1495</v>
      </c>
      <c r="M136" s="115" t="s">
        <v>1354</v>
      </c>
      <c r="N136" s="4">
        <v>1.3</v>
      </c>
    </row>
    <row r="137" spans="4:14" x14ac:dyDescent="0.2">
      <c r="K137" s="115" t="s">
        <v>1528</v>
      </c>
      <c r="L137" s="115" t="s">
        <v>1495</v>
      </c>
      <c r="M137" s="115" t="s">
        <v>1355</v>
      </c>
      <c r="N137" s="4">
        <v>4.96</v>
      </c>
    </row>
    <row r="138" spans="4:14" x14ac:dyDescent="0.2">
      <c r="K138" s="115" t="s">
        <v>1528</v>
      </c>
      <c r="L138" s="115" t="s">
        <v>1495</v>
      </c>
      <c r="M138" s="115" t="s">
        <v>1356</v>
      </c>
      <c r="N138" s="4">
        <v>1.07</v>
      </c>
    </row>
    <row r="139" spans="4:14" x14ac:dyDescent="0.2">
      <c r="K139" s="115" t="s">
        <v>1528</v>
      </c>
      <c r="L139" s="115" t="s">
        <v>1495</v>
      </c>
      <c r="M139" s="115" t="s">
        <v>1357</v>
      </c>
      <c r="N139" s="4">
        <v>1.59</v>
      </c>
    </row>
    <row r="140" spans="4:14" x14ac:dyDescent="0.2">
      <c r="K140" s="115" t="s">
        <v>1529</v>
      </c>
      <c r="L140" s="115" t="s">
        <v>1481</v>
      </c>
      <c r="M140" s="115" t="s">
        <v>1354</v>
      </c>
      <c r="N140" s="4">
        <v>1.47</v>
      </c>
    </row>
    <row r="141" spans="4:14" x14ac:dyDescent="0.2">
      <c r="K141" s="115" t="s">
        <v>1529</v>
      </c>
      <c r="L141" s="115" t="s">
        <v>1481</v>
      </c>
      <c r="M141" s="115" t="s">
        <v>1355</v>
      </c>
      <c r="N141" s="4">
        <v>8.1999999999999993</v>
      </c>
    </row>
    <row r="142" spans="4:14" x14ac:dyDescent="0.2">
      <c r="K142" s="115" t="s">
        <v>1529</v>
      </c>
      <c r="L142" s="115" t="s">
        <v>1481</v>
      </c>
      <c r="M142" s="115" t="s">
        <v>1356</v>
      </c>
      <c r="N142" s="4">
        <v>0.69</v>
      </c>
    </row>
    <row r="143" spans="4:14" x14ac:dyDescent="0.2">
      <c r="K143" s="115" t="s">
        <v>1529</v>
      </c>
      <c r="L143" s="115" t="s">
        <v>1481</v>
      </c>
      <c r="M143" s="115" t="s">
        <v>1357</v>
      </c>
      <c r="N143" s="4">
        <v>2.34</v>
      </c>
    </row>
    <row r="144" spans="4:14" x14ac:dyDescent="0.2">
      <c r="K144" s="115" t="s">
        <v>1530</v>
      </c>
      <c r="L144" s="115" t="s">
        <v>1495</v>
      </c>
      <c r="M144" s="115" t="s">
        <v>1354</v>
      </c>
      <c r="N144" s="4">
        <v>1.04</v>
      </c>
    </row>
    <row r="145" spans="11:14" x14ac:dyDescent="0.2">
      <c r="K145" s="115" t="s">
        <v>1530</v>
      </c>
      <c r="L145" s="115" t="s">
        <v>1495</v>
      </c>
      <c r="M145" s="115" t="s">
        <v>1355</v>
      </c>
      <c r="N145" s="4">
        <v>6.7</v>
      </c>
    </row>
    <row r="146" spans="11:14" x14ac:dyDescent="0.2">
      <c r="K146" s="115" t="s">
        <v>1530</v>
      </c>
      <c r="L146" s="115" t="s">
        <v>1495</v>
      </c>
      <c r="M146" s="115" t="s">
        <v>1356</v>
      </c>
      <c r="N146" s="4">
        <v>1.04</v>
      </c>
    </row>
    <row r="147" spans="11:14" x14ac:dyDescent="0.2">
      <c r="K147" s="115" t="s">
        <v>1530</v>
      </c>
      <c r="L147" s="115" t="s">
        <v>1495</v>
      </c>
      <c r="M147" s="115" t="s">
        <v>1357</v>
      </c>
      <c r="N147" s="4">
        <v>1.1299999999999999</v>
      </c>
    </row>
    <row r="148" spans="11:14" x14ac:dyDescent="0.2">
      <c r="K148" s="115" t="s">
        <v>958</v>
      </c>
      <c r="L148" s="115" t="s">
        <v>1483</v>
      </c>
      <c r="M148" s="115" t="s">
        <v>1354</v>
      </c>
      <c r="N148" s="4">
        <v>1.06</v>
      </c>
    </row>
    <row r="149" spans="11:14" x14ac:dyDescent="0.2">
      <c r="K149" s="115" t="s">
        <v>958</v>
      </c>
      <c r="L149" s="115" t="s">
        <v>1483</v>
      </c>
      <c r="M149" s="115" t="s">
        <v>1355</v>
      </c>
      <c r="N149" s="4">
        <v>9.86</v>
      </c>
    </row>
    <row r="150" spans="11:14" x14ac:dyDescent="0.2">
      <c r="K150" s="115" t="s">
        <v>958</v>
      </c>
      <c r="L150" s="115" t="s">
        <v>1483</v>
      </c>
      <c r="M150" s="115" t="s">
        <v>1356</v>
      </c>
      <c r="N150" s="4">
        <v>0.93</v>
      </c>
    </row>
    <row r="151" spans="11:14" x14ac:dyDescent="0.2">
      <c r="K151" s="115" t="s">
        <v>958</v>
      </c>
      <c r="L151" s="115" t="s">
        <v>1483</v>
      </c>
      <c r="M151" s="115" t="s">
        <v>1357</v>
      </c>
      <c r="N151" s="4">
        <v>1.79</v>
      </c>
    </row>
    <row r="152" spans="11:14" x14ac:dyDescent="0.2">
      <c r="K152" s="115" t="s">
        <v>1531</v>
      </c>
      <c r="L152" s="115" t="s">
        <v>1502</v>
      </c>
      <c r="M152" s="115" t="s">
        <v>1354</v>
      </c>
      <c r="N152" s="4">
        <v>1.56</v>
      </c>
    </row>
    <row r="153" spans="11:14" x14ac:dyDescent="0.2">
      <c r="K153" s="115" t="s">
        <v>1531</v>
      </c>
      <c r="L153" s="115" t="s">
        <v>1502</v>
      </c>
      <c r="M153" s="115" t="s">
        <v>1356</v>
      </c>
      <c r="N153" s="4">
        <v>1.28</v>
      </c>
    </row>
    <row r="154" spans="11:14" x14ac:dyDescent="0.2">
      <c r="K154" s="115" t="s">
        <v>1531</v>
      </c>
      <c r="L154" s="115" t="s">
        <v>1502</v>
      </c>
      <c r="M154" s="115" t="s">
        <v>1357</v>
      </c>
      <c r="N154" s="4">
        <v>1.98</v>
      </c>
    </row>
    <row r="155" spans="11:14" x14ac:dyDescent="0.2">
      <c r="K155" s="115" t="s">
        <v>1532</v>
      </c>
      <c r="L155" s="115" t="s">
        <v>1481</v>
      </c>
      <c r="M155" s="115" t="s">
        <v>1354</v>
      </c>
      <c r="N155" s="4">
        <v>1.26</v>
      </c>
    </row>
    <row r="156" spans="11:14" x14ac:dyDescent="0.2">
      <c r="K156" s="115" t="s">
        <v>1532</v>
      </c>
      <c r="L156" s="115" t="s">
        <v>1481</v>
      </c>
      <c r="M156" s="115" t="s">
        <v>1355</v>
      </c>
      <c r="N156" s="4">
        <v>8.0399999999999991</v>
      </c>
    </row>
    <row r="157" spans="11:14" x14ac:dyDescent="0.2">
      <c r="K157" s="115" t="s">
        <v>1532</v>
      </c>
      <c r="L157" s="115" t="s">
        <v>1481</v>
      </c>
      <c r="M157" s="115" t="s">
        <v>1356</v>
      </c>
      <c r="N157" s="4">
        <v>0.71</v>
      </c>
    </row>
    <row r="158" spans="11:14" x14ac:dyDescent="0.2">
      <c r="K158" s="115" t="s">
        <v>1532</v>
      </c>
      <c r="L158" s="115" t="s">
        <v>1481</v>
      </c>
      <c r="M158" s="115" t="s">
        <v>1357</v>
      </c>
      <c r="N158" s="4">
        <v>1.91</v>
      </c>
    </row>
    <row r="159" spans="11:14" x14ac:dyDescent="0.2">
      <c r="K159" s="115" t="s">
        <v>1533</v>
      </c>
      <c r="L159" s="115" t="s">
        <v>1522</v>
      </c>
      <c r="M159" s="115" t="s">
        <v>1354</v>
      </c>
      <c r="N159" s="4">
        <v>1.65</v>
      </c>
    </row>
    <row r="160" spans="11:14" x14ac:dyDescent="0.2">
      <c r="K160" s="115" t="s">
        <v>1533</v>
      </c>
      <c r="L160" s="115" t="s">
        <v>1522</v>
      </c>
      <c r="M160" s="115" t="s">
        <v>1355</v>
      </c>
      <c r="N160" s="4">
        <v>8.08</v>
      </c>
    </row>
    <row r="161" spans="11:14" x14ac:dyDescent="0.2">
      <c r="K161" s="115" t="s">
        <v>1533</v>
      </c>
      <c r="L161" s="115" t="s">
        <v>1522</v>
      </c>
      <c r="M161" s="115" t="s">
        <v>1356</v>
      </c>
      <c r="N161" s="4">
        <v>1.02</v>
      </c>
    </row>
    <row r="162" spans="11:14" x14ac:dyDescent="0.2">
      <c r="K162" s="115" t="s">
        <v>1534</v>
      </c>
      <c r="L162" s="115" t="s">
        <v>1535</v>
      </c>
      <c r="M162" s="115" t="s">
        <v>1354</v>
      </c>
      <c r="N162" s="4">
        <v>0.65</v>
      </c>
    </row>
    <row r="163" spans="11:14" x14ac:dyDescent="0.2">
      <c r="K163" s="115" t="s">
        <v>1534</v>
      </c>
      <c r="L163" s="115" t="s">
        <v>1535</v>
      </c>
      <c r="M163" s="115" t="s">
        <v>1355</v>
      </c>
      <c r="N163" s="4">
        <v>5.65</v>
      </c>
    </row>
    <row r="164" spans="11:14" x14ac:dyDescent="0.2">
      <c r="K164" s="115" t="s">
        <v>1534</v>
      </c>
      <c r="L164" s="115" t="s">
        <v>1535</v>
      </c>
      <c r="M164" s="115" t="s">
        <v>1356</v>
      </c>
      <c r="N164" s="4">
        <v>0.56999999999999995</v>
      </c>
    </row>
    <row r="165" spans="11:14" x14ac:dyDescent="0.2">
      <c r="K165" s="115" t="s">
        <v>1534</v>
      </c>
      <c r="L165" s="115" t="s">
        <v>1535</v>
      </c>
      <c r="M165" s="115" t="s">
        <v>1357</v>
      </c>
      <c r="N165" s="4">
        <v>0.85</v>
      </c>
    </row>
    <row r="166" spans="11:14" x14ac:dyDescent="0.2">
      <c r="K166" s="115" t="s">
        <v>1536</v>
      </c>
      <c r="L166" s="115" t="s">
        <v>1502</v>
      </c>
      <c r="M166" s="115" t="s">
        <v>1354</v>
      </c>
      <c r="N166" s="4">
        <v>1.87</v>
      </c>
    </row>
    <row r="167" spans="11:14" x14ac:dyDescent="0.2">
      <c r="K167" s="115" t="s">
        <v>1536</v>
      </c>
      <c r="L167" s="115" t="s">
        <v>1502</v>
      </c>
      <c r="M167" s="115" t="s">
        <v>1356</v>
      </c>
      <c r="N167" s="4">
        <v>1.45</v>
      </c>
    </row>
    <row r="168" spans="11:14" x14ac:dyDescent="0.2">
      <c r="K168" s="115" t="s">
        <v>1537</v>
      </c>
      <c r="L168" s="115" t="s">
        <v>1485</v>
      </c>
      <c r="M168" s="115" t="s">
        <v>1354</v>
      </c>
      <c r="N168" s="4">
        <v>1.57</v>
      </c>
    </row>
    <row r="169" spans="11:14" x14ac:dyDescent="0.2">
      <c r="K169" s="115" t="s">
        <v>1537</v>
      </c>
      <c r="L169" s="115" t="s">
        <v>1485</v>
      </c>
      <c r="M169" s="115" t="s">
        <v>1355</v>
      </c>
      <c r="N169" s="4">
        <v>13.86</v>
      </c>
    </row>
    <row r="170" spans="11:14" x14ac:dyDescent="0.2">
      <c r="K170" s="115" t="s">
        <v>1537</v>
      </c>
      <c r="L170" s="115" t="s">
        <v>1485</v>
      </c>
      <c r="M170" s="115" t="s">
        <v>1356</v>
      </c>
      <c r="N170" s="4">
        <v>0.93</v>
      </c>
    </row>
    <row r="171" spans="11:14" x14ac:dyDescent="0.2">
      <c r="K171" s="115" t="s">
        <v>1537</v>
      </c>
      <c r="L171" s="115" t="s">
        <v>1485</v>
      </c>
      <c r="M171" s="115" t="s">
        <v>1357</v>
      </c>
      <c r="N171" s="4">
        <v>1.34</v>
      </c>
    </row>
    <row r="172" spans="11:14" x14ac:dyDescent="0.2">
      <c r="K172" s="115" t="s">
        <v>1538</v>
      </c>
      <c r="L172" s="115" t="s">
        <v>1495</v>
      </c>
      <c r="M172" s="115" t="s">
        <v>1354</v>
      </c>
      <c r="N172" s="4">
        <v>0.97</v>
      </c>
    </row>
    <row r="173" spans="11:14" x14ac:dyDescent="0.2">
      <c r="K173" s="115" t="s">
        <v>1538</v>
      </c>
      <c r="L173" s="115" t="s">
        <v>1495</v>
      </c>
      <c r="M173" s="115" t="s">
        <v>1355</v>
      </c>
      <c r="N173" s="4">
        <v>5.72</v>
      </c>
    </row>
    <row r="174" spans="11:14" x14ac:dyDescent="0.2">
      <c r="K174" s="115" t="s">
        <v>1538</v>
      </c>
      <c r="L174" s="115" t="s">
        <v>1495</v>
      </c>
      <c r="M174" s="115" t="s">
        <v>1356</v>
      </c>
      <c r="N174" s="4">
        <v>1</v>
      </c>
    </row>
    <row r="175" spans="11:14" x14ac:dyDescent="0.2">
      <c r="K175" s="115" t="s">
        <v>1538</v>
      </c>
      <c r="L175" s="115" t="s">
        <v>1495</v>
      </c>
      <c r="M175" s="115" t="s">
        <v>1357</v>
      </c>
      <c r="N175" s="4">
        <v>1.38</v>
      </c>
    </row>
    <row r="176" spans="11:14" x14ac:dyDescent="0.2">
      <c r="K176" s="115" t="s">
        <v>1539</v>
      </c>
      <c r="L176" s="115" t="s">
        <v>1540</v>
      </c>
      <c r="M176" s="115" t="s">
        <v>1354</v>
      </c>
      <c r="N176" s="4">
        <v>2.23</v>
      </c>
    </row>
    <row r="177" spans="11:14" x14ac:dyDescent="0.2">
      <c r="K177" s="115" t="s">
        <v>1539</v>
      </c>
      <c r="L177" s="115" t="s">
        <v>1540</v>
      </c>
      <c r="M177" s="115" t="s">
        <v>1355</v>
      </c>
      <c r="N177" s="4">
        <v>8.89</v>
      </c>
    </row>
    <row r="178" spans="11:14" x14ac:dyDescent="0.2">
      <c r="K178" s="115" t="s">
        <v>1539</v>
      </c>
      <c r="L178" s="115" t="s">
        <v>1540</v>
      </c>
      <c r="M178" s="115" t="s">
        <v>1356</v>
      </c>
      <c r="N178" s="4">
        <v>1.0900000000000001</v>
      </c>
    </row>
    <row r="179" spans="11:14" x14ac:dyDescent="0.2">
      <c r="K179" s="115" t="s">
        <v>1539</v>
      </c>
      <c r="L179" s="115" t="s">
        <v>1540</v>
      </c>
      <c r="M179" s="115" t="s">
        <v>1357</v>
      </c>
      <c r="N179" s="4">
        <v>2.17</v>
      </c>
    </row>
    <row r="180" spans="11:14" x14ac:dyDescent="0.2">
      <c r="K180" s="115" t="s">
        <v>1541</v>
      </c>
      <c r="L180" s="115" t="s">
        <v>1542</v>
      </c>
      <c r="M180" s="115" t="s">
        <v>1354</v>
      </c>
      <c r="N180" s="4">
        <v>1.74</v>
      </c>
    </row>
    <row r="181" spans="11:14" x14ac:dyDescent="0.2">
      <c r="K181" s="115" t="s">
        <v>1541</v>
      </c>
      <c r="L181" s="115" t="s">
        <v>1542</v>
      </c>
      <c r="M181" s="115" t="s">
        <v>1356</v>
      </c>
      <c r="N181" s="4">
        <v>1.1000000000000001</v>
      </c>
    </row>
    <row r="182" spans="11:14" x14ac:dyDescent="0.2">
      <c r="K182" s="115" t="s">
        <v>1541</v>
      </c>
      <c r="L182" s="115" t="s">
        <v>1542</v>
      </c>
      <c r="M182" s="115" t="s">
        <v>1357</v>
      </c>
      <c r="N182" s="4">
        <v>1.7</v>
      </c>
    </row>
    <row r="183" spans="11:14" x14ac:dyDescent="0.2">
      <c r="K183" s="115" t="s">
        <v>1543</v>
      </c>
      <c r="L183" s="115" t="s">
        <v>1483</v>
      </c>
      <c r="M183" s="115" t="s">
        <v>1354</v>
      </c>
      <c r="N183" s="4">
        <v>1.1000000000000001</v>
      </c>
    </row>
    <row r="184" spans="11:14" x14ac:dyDescent="0.2">
      <c r="K184" s="115" t="s">
        <v>1543</v>
      </c>
      <c r="L184" s="115" t="s">
        <v>1483</v>
      </c>
      <c r="M184" s="115" t="s">
        <v>1355</v>
      </c>
      <c r="N184" s="4">
        <v>10.64</v>
      </c>
    </row>
    <row r="185" spans="11:14" x14ac:dyDescent="0.2">
      <c r="K185" s="115" t="s">
        <v>1543</v>
      </c>
      <c r="L185" s="115" t="s">
        <v>1483</v>
      </c>
      <c r="M185" s="115" t="s">
        <v>1356</v>
      </c>
      <c r="N185" s="4">
        <v>0.86</v>
      </c>
    </row>
    <row r="186" spans="11:14" x14ac:dyDescent="0.2">
      <c r="K186" s="115" t="s">
        <v>1543</v>
      </c>
      <c r="L186" s="115" t="s">
        <v>1483</v>
      </c>
      <c r="M186" s="115" t="s">
        <v>1357</v>
      </c>
      <c r="N186" s="4">
        <v>1.84</v>
      </c>
    </row>
    <row r="187" spans="11:14" x14ac:dyDescent="0.2">
      <c r="K187" s="115" t="s">
        <v>1544</v>
      </c>
      <c r="L187" s="115" t="s">
        <v>1481</v>
      </c>
      <c r="M187" s="115" t="s">
        <v>1354</v>
      </c>
      <c r="N187" s="4">
        <v>1.63</v>
      </c>
    </row>
    <row r="188" spans="11:14" x14ac:dyDescent="0.2">
      <c r="K188" s="115" t="s">
        <v>1544</v>
      </c>
      <c r="L188" s="115" t="s">
        <v>1481</v>
      </c>
      <c r="M188" s="115" t="s">
        <v>1355</v>
      </c>
      <c r="N188" s="4">
        <v>9.8800000000000008</v>
      </c>
    </row>
    <row r="189" spans="11:14" x14ac:dyDescent="0.2">
      <c r="K189" s="115" t="s">
        <v>1544</v>
      </c>
      <c r="L189" s="115" t="s">
        <v>1481</v>
      </c>
      <c r="M189" s="115" t="s">
        <v>1356</v>
      </c>
      <c r="N189" s="4">
        <v>0.83</v>
      </c>
    </row>
    <row r="190" spans="11:14" x14ac:dyDescent="0.2">
      <c r="K190" s="115" t="s">
        <v>1544</v>
      </c>
      <c r="L190" s="115" t="s">
        <v>1481</v>
      </c>
      <c r="M190" s="115" t="s">
        <v>1357</v>
      </c>
      <c r="N190" s="4">
        <v>2.23</v>
      </c>
    </row>
    <row r="191" spans="11:14" x14ac:dyDescent="0.2">
      <c r="K191" s="115" t="s">
        <v>1545</v>
      </c>
      <c r="L191" s="115" t="s">
        <v>1481</v>
      </c>
      <c r="M191" s="115" t="s">
        <v>1354</v>
      </c>
      <c r="N191" s="4">
        <v>1.31</v>
      </c>
    </row>
    <row r="192" spans="11:14" x14ac:dyDescent="0.2">
      <c r="K192" s="115" t="s">
        <v>1545</v>
      </c>
      <c r="L192" s="115" t="s">
        <v>1481</v>
      </c>
      <c r="M192" s="115" t="s">
        <v>1355</v>
      </c>
      <c r="N192" s="4">
        <v>9.11</v>
      </c>
    </row>
    <row r="193" spans="11:14" x14ac:dyDescent="0.2">
      <c r="K193" s="115" t="s">
        <v>1545</v>
      </c>
      <c r="L193" s="115" t="s">
        <v>1481</v>
      </c>
      <c r="M193" s="115" t="s">
        <v>1356</v>
      </c>
      <c r="N193" s="4">
        <v>0.66</v>
      </c>
    </row>
    <row r="194" spans="11:14" x14ac:dyDescent="0.2">
      <c r="K194" s="115" t="s">
        <v>1545</v>
      </c>
      <c r="L194" s="115" t="s">
        <v>1481</v>
      </c>
      <c r="M194" s="115" t="s">
        <v>1357</v>
      </c>
      <c r="N194" s="4">
        <v>2.1</v>
      </c>
    </row>
    <row r="195" spans="11:14" x14ac:dyDescent="0.2">
      <c r="K195" s="115" t="s">
        <v>1546</v>
      </c>
      <c r="L195" s="115" t="s">
        <v>1481</v>
      </c>
      <c r="M195" s="115" t="s">
        <v>1354</v>
      </c>
      <c r="N195" s="4">
        <v>1.51</v>
      </c>
    </row>
    <row r="196" spans="11:14" x14ac:dyDescent="0.2">
      <c r="K196" s="115" t="s">
        <v>1546</v>
      </c>
      <c r="L196" s="115" t="s">
        <v>1481</v>
      </c>
      <c r="M196" s="115" t="s">
        <v>1355</v>
      </c>
      <c r="N196" s="4">
        <v>9.75</v>
      </c>
    </row>
    <row r="197" spans="11:14" x14ac:dyDescent="0.2">
      <c r="K197" s="115" t="s">
        <v>1546</v>
      </c>
      <c r="L197" s="115" t="s">
        <v>1481</v>
      </c>
      <c r="M197" s="115" t="s">
        <v>1356</v>
      </c>
      <c r="N197" s="4">
        <v>0.76</v>
      </c>
    </row>
    <row r="198" spans="11:14" x14ac:dyDescent="0.2">
      <c r="K198" s="115" t="s">
        <v>1546</v>
      </c>
      <c r="L198" s="115" t="s">
        <v>1481</v>
      </c>
      <c r="M198" s="115" t="s">
        <v>1357</v>
      </c>
      <c r="N198" s="4">
        <v>2.29</v>
      </c>
    </row>
    <row r="199" spans="11:14" x14ac:dyDescent="0.2">
      <c r="K199" s="115" t="s">
        <v>1547</v>
      </c>
      <c r="L199" s="115" t="s">
        <v>1548</v>
      </c>
      <c r="M199" s="115" t="s">
        <v>1354</v>
      </c>
      <c r="N199" s="4">
        <v>2.17</v>
      </c>
    </row>
    <row r="200" spans="11:14" x14ac:dyDescent="0.2">
      <c r="K200" s="115" t="s">
        <v>1547</v>
      </c>
      <c r="L200" s="115" t="s">
        <v>1548</v>
      </c>
      <c r="M200" s="115" t="s">
        <v>1355</v>
      </c>
      <c r="N200" s="4">
        <v>6.99</v>
      </c>
    </row>
    <row r="201" spans="11:14" x14ac:dyDescent="0.2">
      <c r="K201" s="115" t="s">
        <v>1547</v>
      </c>
      <c r="L201" s="115" t="s">
        <v>1548</v>
      </c>
      <c r="M201" s="115" t="s">
        <v>1356</v>
      </c>
      <c r="N201" s="4">
        <v>0.94</v>
      </c>
    </row>
    <row r="202" spans="11:14" x14ac:dyDescent="0.2">
      <c r="K202" s="115" t="s">
        <v>1547</v>
      </c>
      <c r="L202" s="115" t="s">
        <v>1548</v>
      </c>
      <c r="M202" s="115" t="s">
        <v>1357</v>
      </c>
      <c r="N202" s="4">
        <v>1.96</v>
      </c>
    </row>
    <row r="203" spans="11:14" x14ac:dyDescent="0.2">
      <c r="K203" s="115" t="s">
        <v>1549</v>
      </c>
      <c r="L203" s="115" t="s">
        <v>1489</v>
      </c>
      <c r="M203" s="115" t="s">
        <v>1354</v>
      </c>
      <c r="N203" s="4">
        <v>0.95</v>
      </c>
    </row>
    <row r="204" spans="11:14" x14ac:dyDescent="0.2">
      <c r="K204" s="115" t="s">
        <v>1549</v>
      </c>
      <c r="L204" s="115" t="s">
        <v>1489</v>
      </c>
      <c r="M204" s="115" t="s">
        <v>1355</v>
      </c>
      <c r="N204" s="4">
        <v>8.3800000000000008</v>
      </c>
    </row>
    <row r="205" spans="11:14" x14ac:dyDescent="0.2">
      <c r="K205" s="115" t="s">
        <v>1549</v>
      </c>
      <c r="L205" s="115" t="s">
        <v>1489</v>
      </c>
      <c r="M205" s="115" t="s">
        <v>1356</v>
      </c>
      <c r="N205" s="4">
        <v>1.24</v>
      </c>
    </row>
    <row r="206" spans="11:14" x14ac:dyDescent="0.2">
      <c r="K206" s="115" t="s">
        <v>1549</v>
      </c>
      <c r="L206" s="115" t="s">
        <v>1489</v>
      </c>
      <c r="M206" s="115" t="s">
        <v>1357</v>
      </c>
      <c r="N206" s="4">
        <v>1.28</v>
      </c>
    </row>
    <row r="207" spans="11:14" x14ac:dyDescent="0.2">
      <c r="K207" s="115" t="s">
        <v>1550</v>
      </c>
      <c r="L207" s="115" t="s">
        <v>1505</v>
      </c>
      <c r="M207" s="115" t="s">
        <v>1354</v>
      </c>
      <c r="N207" s="4">
        <v>0.54</v>
      </c>
    </row>
    <row r="208" spans="11:14" x14ac:dyDescent="0.2">
      <c r="K208" s="115" t="s">
        <v>1550</v>
      </c>
      <c r="L208" s="115" t="s">
        <v>1505</v>
      </c>
      <c r="M208" s="115" t="s">
        <v>1355</v>
      </c>
      <c r="N208" s="4">
        <v>4.66</v>
      </c>
    </row>
    <row r="209" spans="11:14" x14ac:dyDescent="0.2">
      <c r="K209" s="115" t="s">
        <v>1550</v>
      </c>
      <c r="L209" s="115" t="s">
        <v>1505</v>
      </c>
      <c r="M209" s="115" t="s">
        <v>1356</v>
      </c>
      <c r="N209" s="4">
        <v>0.91</v>
      </c>
    </row>
    <row r="210" spans="11:14" x14ac:dyDescent="0.2">
      <c r="K210" s="115" t="s">
        <v>1550</v>
      </c>
      <c r="L210" s="115" t="s">
        <v>1505</v>
      </c>
      <c r="M210" s="115" t="s">
        <v>1357</v>
      </c>
      <c r="N210" s="4">
        <v>0.96</v>
      </c>
    </row>
    <row r="211" spans="11:14" x14ac:dyDescent="0.2">
      <c r="K211" s="115" t="s">
        <v>1551</v>
      </c>
      <c r="L211" s="115" t="s">
        <v>1542</v>
      </c>
      <c r="M211" s="115" t="s">
        <v>1354</v>
      </c>
      <c r="N211" s="4">
        <v>2.66</v>
      </c>
    </row>
    <row r="212" spans="11:14" x14ac:dyDescent="0.2">
      <c r="K212" s="115" t="s">
        <v>1551</v>
      </c>
      <c r="L212" s="115" t="s">
        <v>1542</v>
      </c>
      <c r="M212" s="115" t="s">
        <v>1355</v>
      </c>
      <c r="N212" s="4">
        <v>14.67</v>
      </c>
    </row>
    <row r="213" spans="11:14" x14ac:dyDescent="0.2">
      <c r="K213" s="115" t="s">
        <v>1551</v>
      </c>
      <c r="L213" s="115" t="s">
        <v>1542</v>
      </c>
      <c r="M213" s="115" t="s">
        <v>1356</v>
      </c>
      <c r="N213" s="4">
        <v>1.1499999999999999</v>
      </c>
    </row>
    <row r="214" spans="11:14" x14ac:dyDescent="0.2">
      <c r="K214" s="115" t="s">
        <v>1552</v>
      </c>
      <c r="L214" s="115" t="s">
        <v>1481</v>
      </c>
      <c r="M214" s="115" t="s">
        <v>1354</v>
      </c>
      <c r="N214" s="4">
        <v>1.35</v>
      </c>
    </row>
    <row r="215" spans="11:14" x14ac:dyDescent="0.2">
      <c r="K215" s="115" t="s">
        <v>1552</v>
      </c>
      <c r="L215" s="115" t="s">
        <v>1481</v>
      </c>
      <c r="M215" s="115" t="s">
        <v>1355</v>
      </c>
      <c r="N215" s="4">
        <v>9.6</v>
      </c>
    </row>
    <row r="216" spans="11:14" x14ac:dyDescent="0.2">
      <c r="K216" s="115" t="s">
        <v>1552</v>
      </c>
      <c r="L216" s="115" t="s">
        <v>1481</v>
      </c>
      <c r="M216" s="115" t="s">
        <v>1356</v>
      </c>
      <c r="N216" s="4">
        <v>0.69</v>
      </c>
    </row>
    <row r="217" spans="11:14" x14ac:dyDescent="0.2">
      <c r="K217" s="115" t="s">
        <v>1552</v>
      </c>
      <c r="L217" s="115" t="s">
        <v>1481</v>
      </c>
      <c r="M217" s="115" t="s">
        <v>1357</v>
      </c>
      <c r="N217" s="4">
        <v>2.14</v>
      </c>
    </row>
    <row r="218" spans="11:14" x14ac:dyDescent="0.2">
      <c r="K218" s="115" t="s">
        <v>1553</v>
      </c>
      <c r="L218" s="115" t="s">
        <v>1535</v>
      </c>
      <c r="M218" s="115" t="s">
        <v>1354</v>
      </c>
      <c r="N218" s="4">
        <v>0.6</v>
      </c>
    </row>
    <row r="219" spans="11:14" x14ac:dyDescent="0.2">
      <c r="K219" s="115" t="s">
        <v>1553</v>
      </c>
      <c r="L219" s="115" t="s">
        <v>1535</v>
      </c>
      <c r="M219" s="115" t="s">
        <v>1355</v>
      </c>
      <c r="N219" s="4">
        <v>4.54</v>
      </c>
    </row>
    <row r="220" spans="11:14" x14ac:dyDescent="0.2">
      <c r="K220" s="115" t="s">
        <v>1553</v>
      </c>
      <c r="L220" s="115" t="s">
        <v>1535</v>
      </c>
      <c r="M220" s="115" t="s">
        <v>1356</v>
      </c>
      <c r="N220" s="4">
        <v>0.51</v>
      </c>
    </row>
    <row r="221" spans="11:14" x14ac:dyDescent="0.2">
      <c r="K221" s="115" t="s">
        <v>1553</v>
      </c>
      <c r="L221" s="115" t="s">
        <v>1535</v>
      </c>
      <c r="M221" s="115" t="s">
        <v>1357</v>
      </c>
      <c r="N221" s="4">
        <v>0.71</v>
      </c>
    </row>
    <row r="222" spans="11:14" x14ac:dyDescent="0.2">
      <c r="K222" s="115" t="s">
        <v>1554</v>
      </c>
      <c r="L222" s="115" t="s">
        <v>1555</v>
      </c>
      <c r="M222" s="115" t="s">
        <v>1354</v>
      </c>
      <c r="N222" s="4">
        <v>1.2</v>
      </c>
    </row>
    <row r="223" spans="11:14" x14ac:dyDescent="0.2">
      <c r="K223" s="115" t="s">
        <v>1554</v>
      </c>
      <c r="L223" s="115" t="s">
        <v>1555</v>
      </c>
      <c r="M223" s="115" t="s">
        <v>1355</v>
      </c>
      <c r="N223" s="4">
        <v>7.11</v>
      </c>
    </row>
    <row r="224" spans="11:14" x14ac:dyDescent="0.2">
      <c r="K224" s="115" t="s">
        <v>1554</v>
      </c>
      <c r="L224" s="115" t="s">
        <v>1555</v>
      </c>
      <c r="M224" s="115" t="s">
        <v>1356</v>
      </c>
      <c r="N224" s="4">
        <v>0.82</v>
      </c>
    </row>
    <row r="225" spans="11:14" x14ac:dyDescent="0.2">
      <c r="K225" s="115" t="s">
        <v>1554</v>
      </c>
      <c r="L225" s="115" t="s">
        <v>1555</v>
      </c>
      <c r="M225" s="115" t="s">
        <v>1357</v>
      </c>
      <c r="N225" s="4">
        <v>1.17</v>
      </c>
    </row>
    <row r="226" spans="11:14" x14ac:dyDescent="0.2">
      <c r="K226" s="115" t="s">
        <v>1556</v>
      </c>
      <c r="L226" s="115" t="s">
        <v>1557</v>
      </c>
      <c r="M226" s="115" t="s">
        <v>1354</v>
      </c>
      <c r="N226" s="4">
        <v>0.42</v>
      </c>
    </row>
    <row r="227" spans="11:14" x14ac:dyDescent="0.2">
      <c r="K227" s="115" t="s">
        <v>1556</v>
      </c>
      <c r="L227" s="115" t="s">
        <v>1557</v>
      </c>
      <c r="M227" s="115" t="s">
        <v>1355</v>
      </c>
      <c r="N227" s="4">
        <v>6.51</v>
      </c>
    </row>
    <row r="228" spans="11:14" x14ac:dyDescent="0.2">
      <c r="K228" s="115" t="s">
        <v>1556</v>
      </c>
      <c r="L228" s="115" t="s">
        <v>1557</v>
      </c>
      <c r="M228" s="115" t="s">
        <v>1356</v>
      </c>
      <c r="N228" s="4">
        <v>0.85</v>
      </c>
    </row>
    <row r="229" spans="11:14" x14ac:dyDescent="0.2">
      <c r="K229" s="115" t="s">
        <v>1556</v>
      </c>
      <c r="L229" s="115" t="s">
        <v>1557</v>
      </c>
      <c r="M229" s="115" t="s">
        <v>1357</v>
      </c>
      <c r="N229" s="4">
        <v>0.99</v>
      </c>
    </row>
    <row r="230" spans="11:14" x14ac:dyDescent="0.2">
      <c r="K230" s="115" t="s">
        <v>1558</v>
      </c>
      <c r="L230" s="115" t="s">
        <v>1557</v>
      </c>
      <c r="M230" s="115" t="s">
        <v>1354</v>
      </c>
      <c r="N230" s="4">
        <v>0.56000000000000005</v>
      </c>
    </row>
    <row r="231" spans="11:14" x14ac:dyDescent="0.2">
      <c r="K231" s="115" t="s">
        <v>1558</v>
      </c>
      <c r="L231" s="115" t="s">
        <v>1557</v>
      </c>
      <c r="M231" s="115" t="s">
        <v>1355</v>
      </c>
      <c r="N231" s="4">
        <v>6.98</v>
      </c>
    </row>
    <row r="232" spans="11:14" x14ac:dyDescent="0.2">
      <c r="K232" s="115" t="s">
        <v>1558</v>
      </c>
      <c r="L232" s="115" t="s">
        <v>1557</v>
      </c>
      <c r="M232" s="115" t="s">
        <v>1356</v>
      </c>
      <c r="N232" s="4">
        <v>0.93</v>
      </c>
    </row>
    <row r="233" spans="11:14" x14ac:dyDescent="0.2">
      <c r="K233" s="115" t="s">
        <v>1558</v>
      </c>
      <c r="L233" s="115" t="s">
        <v>1557</v>
      </c>
      <c r="M233" s="115" t="s">
        <v>1357</v>
      </c>
      <c r="N233" s="4">
        <v>1.03</v>
      </c>
    </row>
    <row r="234" spans="11:14" x14ac:dyDescent="0.2">
      <c r="K234" s="115" t="s">
        <v>1559</v>
      </c>
      <c r="L234" s="115" t="s">
        <v>1507</v>
      </c>
      <c r="M234" s="115" t="s">
        <v>1354</v>
      </c>
      <c r="N234" s="4">
        <v>0.79</v>
      </c>
    </row>
    <row r="235" spans="11:14" x14ac:dyDescent="0.2">
      <c r="K235" s="115" t="s">
        <v>1559</v>
      </c>
      <c r="L235" s="115" t="s">
        <v>1507</v>
      </c>
      <c r="M235" s="115" t="s">
        <v>1355</v>
      </c>
      <c r="N235" s="4">
        <v>8.17</v>
      </c>
    </row>
    <row r="236" spans="11:14" x14ac:dyDescent="0.2">
      <c r="K236" s="115" t="s">
        <v>1559</v>
      </c>
      <c r="L236" s="115" t="s">
        <v>1507</v>
      </c>
      <c r="M236" s="115" t="s">
        <v>1356</v>
      </c>
      <c r="N236" s="4">
        <v>0.64</v>
      </c>
    </row>
    <row r="237" spans="11:14" x14ac:dyDescent="0.2">
      <c r="K237" s="115" t="s">
        <v>1559</v>
      </c>
      <c r="L237" s="115" t="s">
        <v>1507</v>
      </c>
      <c r="M237" s="115" t="s">
        <v>1357</v>
      </c>
      <c r="N237" s="4">
        <v>0.95</v>
      </c>
    </row>
    <row r="238" spans="11:14" x14ac:dyDescent="0.2">
      <c r="K238" s="115" t="s">
        <v>1560</v>
      </c>
      <c r="L238" s="115" t="s">
        <v>1535</v>
      </c>
      <c r="M238" s="115" t="s">
        <v>1354</v>
      </c>
      <c r="N238" s="4">
        <v>0.76</v>
      </c>
    </row>
    <row r="239" spans="11:14" x14ac:dyDescent="0.2">
      <c r="K239" s="115" t="s">
        <v>1560</v>
      </c>
      <c r="L239" s="115" t="s">
        <v>1535</v>
      </c>
      <c r="M239" s="115" t="s">
        <v>1355</v>
      </c>
      <c r="N239" s="4">
        <v>5.42</v>
      </c>
    </row>
    <row r="240" spans="11:14" x14ac:dyDescent="0.2">
      <c r="K240" s="115" t="s">
        <v>1560</v>
      </c>
      <c r="L240" s="115" t="s">
        <v>1535</v>
      </c>
      <c r="M240" s="115" t="s">
        <v>1356</v>
      </c>
      <c r="N240" s="4">
        <v>0.6</v>
      </c>
    </row>
    <row r="241" spans="11:14" x14ac:dyDescent="0.2">
      <c r="K241" s="115" t="s">
        <v>1560</v>
      </c>
      <c r="L241" s="115" t="s">
        <v>1535</v>
      </c>
      <c r="M241" s="115" t="s">
        <v>1357</v>
      </c>
      <c r="N241" s="4">
        <v>0.77</v>
      </c>
    </row>
    <row r="242" spans="11:14" x14ac:dyDescent="0.2">
      <c r="K242" s="115" t="s">
        <v>1561</v>
      </c>
      <c r="L242" s="115" t="s">
        <v>1493</v>
      </c>
      <c r="M242" s="115" t="s">
        <v>1354</v>
      </c>
      <c r="N242" s="4">
        <v>2.64</v>
      </c>
    </row>
    <row r="243" spans="11:14" x14ac:dyDescent="0.2">
      <c r="K243" s="115" t="s">
        <v>1561</v>
      </c>
      <c r="L243" s="115" t="s">
        <v>1493</v>
      </c>
      <c r="M243" s="115" t="s">
        <v>1355</v>
      </c>
      <c r="N243" s="4">
        <v>21.08</v>
      </c>
    </row>
    <row r="244" spans="11:14" x14ac:dyDescent="0.2">
      <c r="K244" s="115" t="s">
        <v>1561</v>
      </c>
      <c r="L244" s="115" t="s">
        <v>1493</v>
      </c>
      <c r="M244" s="115" t="s">
        <v>1356</v>
      </c>
      <c r="N244" s="4">
        <v>1.4</v>
      </c>
    </row>
    <row r="245" spans="11:14" x14ac:dyDescent="0.2">
      <c r="K245" s="115" t="s">
        <v>1561</v>
      </c>
      <c r="L245" s="115" t="s">
        <v>1493</v>
      </c>
      <c r="M245" s="115" t="s">
        <v>1357</v>
      </c>
      <c r="N245" s="4">
        <v>2.23</v>
      </c>
    </row>
    <row r="246" spans="11:14" x14ac:dyDescent="0.2">
      <c r="K246" s="115" t="s">
        <v>1562</v>
      </c>
      <c r="L246" s="115" t="s">
        <v>1495</v>
      </c>
      <c r="M246" s="115" t="s">
        <v>1354</v>
      </c>
      <c r="N246" s="4">
        <v>1.06</v>
      </c>
    </row>
    <row r="247" spans="11:14" x14ac:dyDescent="0.2">
      <c r="K247" s="115" t="s">
        <v>1562</v>
      </c>
      <c r="L247" s="115" t="s">
        <v>1495</v>
      </c>
      <c r="M247" s="115" t="s">
        <v>1355</v>
      </c>
      <c r="N247" s="4">
        <v>7.06</v>
      </c>
    </row>
    <row r="248" spans="11:14" x14ac:dyDescent="0.2">
      <c r="K248" s="115" t="s">
        <v>1562</v>
      </c>
      <c r="L248" s="115" t="s">
        <v>1495</v>
      </c>
      <c r="M248" s="115" t="s">
        <v>1356</v>
      </c>
      <c r="N248" s="4">
        <v>1.03</v>
      </c>
    </row>
    <row r="249" spans="11:14" x14ac:dyDescent="0.2">
      <c r="K249" s="115" t="s">
        <v>1562</v>
      </c>
      <c r="L249" s="115" t="s">
        <v>1495</v>
      </c>
      <c r="M249" s="115" t="s">
        <v>1357</v>
      </c>
      <c r="N249" s="4">
        <v>0.86</v>
      </c>
    </row>
    <row r="250" spans="11:14" x14ac:dyDescent="0.2">
      <c r="K250" s="115" t="s">
        <v>1563</v>
      </c>
      <c r="L250" s="115" t="s">
        <v>1481</v>
      </c>
      <c r="M250" s="115" t="s">
        <v>1354</v>
      </c>
      <c r="N250" s="4">
        <v>1.39</v>
      </c>
    </row>
    <row r="251" spans="11:14" x14ac:dyDescent="0.2">
      <c r="K251" s="115" t="s">
        <v>1563</v>
      </c>
      <c r="L251" s="115" t="s">
        <v>1481</v>
      </c>
      <c r="M251" s="115" t="s">
        <v>1355</v>
      </c>
      <c r="N251" s="4">
        <v>9.11</v>
      </c>
    </row>
    <row r="252" spans="11:14" x14ac:dyDescent="0.2">
      <c r="K252" s="115" t="s">
        <v>1563</v>
      </c>
      <c r="L252" s="115" t="s">
        <v>1481</v>
      </c>
      <c r="M252" s="115" t="s">
        <v>1356</v>
      </c>
      <c r="N252" s="4">
        <v>0.69</v>
      </c>
    </row>
    <row r="253" spans="11:14" x14ac:dyDescent="0.2">
      <c r="K253" s="115" t="s">
        <v>1563</v>
      </c>
      <c r="L253" s="115" t="s">
        <v>1481</v>
      </c>
      <c r="M253" s="115" t="s">
        <v>1357</v>
      </c>
      <c r="N253" s="4">
        <v>2.04</v>
      </c>
    </row>
    <row r="254" spans="11:14" x14ac:dyDescent="0.2">
      <c r="K254" s="115" t="s">
        <v>1564</v>
      </c>
      <c r="L254" s="115" t="s">
        <v>1542</v>
      </c>
      <c r="M254" s="115" t="s">
        <v>1354</v>
      </c>
      <c r="N254" s="4">
        <v>1.89</v>
      </c>
    </row>
    <row r="255" spans="11:14" x14ac:dyDescent="0.2">
      <c r="K255" s="115" t="s">
        <v>1564</v>
      </c>
      <c r="L255" s="115" t="s">
        <v>1542</v>
      </c>
      <c r="M255" s="115" t="s">
        <v>1355</v>
      </c>
      <c r="N255" s="4">
        <v>10.31</v>
      </c>
    </row>
    <row r="256" spans="11:14" x14ac:dyDescent="0.2">
      <c r="K256" s="115" t="s">
        <v>1564</v>
      </c>
      <c r="L256" s="115" t="s">
        <v>1542</v>
      </c>
      <c r="M256" s="115" t="s">
        <v>1356</v>
      </c>
      <c r="N256" s="4">
        <v>1.1100000000000001</v>
      </c>
    </row>
    <row r="257" spans="11:14" x14ac:dyDescent="0.2">
      <c r="K257" s="115" t="s">
        <v>1564</v>
      </c>
      <c r="L257" s="115" t="s">
        <v>1542</v>
      </c>
      <c r="M257" s="115" t="s">
        <v>1357</v>
      </c>
      <c r="N257" s="4">
        <v>2.29</v>
      </c>
    </row>
    <row r="258" spans="11:14" x14ac:dyDescent="0.2">
      <c r="K258" s="115" t="s">
        <v>1565</v>
      </c>
      <c r="L258" s="115" t="s">
        <v>1566</v>
      </c>
      <c r="M258" s="115" t="s">
        <v>1354</v>
      </c>
      <c r="N258" s="4">
        <v>1.1000000000000001</v>
      </c>
    </row>
    <row r="259" spans="11:14" x14ac:dyDescent="0.2">
      <c r="K259" s="115" t="s">
        <v>1565</v>
      </c>
      <c r="L259" s="115" t="s">
        <v>1566</v>
      </c>
      <c r="M259" s="115" t="s">
        <v>1355</v>
      </c>
      <c r="N259" s="4">
        <v>7.52</v>
      </c>
    </row>
    <row r="260" spans="11:14" x14ac:dyDescent="0.2">
      <c r="K260" s="115" t="s">
        <v>1565</v>
      </c>
      <c r="L260" s="115" t="s">
        <v>1566</v>
      </c>
      <c r="M260" s="115" t="s">
        <v>1356</v>
      </c>
      <c r="N260" s="4">
        <v>0.65</v>
      </c>
    </row>
    <row r="261" spans="11:14" x14ac:dyDescent="0.2">
      <c r="K261" s="115" t="s">
        <v>1565</v>
      </c>
      <c r="L261" s="115" t="s">
        <v>1566</v>
      </c>
      <c r="M261" s="115" t="s">
        <v>1357</v>
      </c>
      <c r="N261" s="4">
        <v>0.91</v>
      </c>
    </row>
    <row r="262" spans="11:14" x14ac:dyDescent="0.2">
      <c r="K262" s="115" t="s">
        <v>1567</v>
      </c>
      <c r="L262" s="115" t="s">
        <v>1495</v>
      </c>
      <c r="M262" s="115" t="s">
        <v>1354</v>
      </c>
      <c r="N262" s="4">
        <v>1.21</v>
      </c>
    </row>
    <row r="263" spans="11:14" x14ac:dyDescent="0.2">
      <c r="K263" s="115" t="s">
        <v>1567</v>
      </c>
      <c r="L263" s="115" t="s">
        <v>1495</v>
      </c>
      <c r="M263" s="115" t="s">
        <v>1355</v>
      </c>
      <c r="N263" s="4">
        <v>5.59</v>
      </c>
    </row>
    <row r="264" spans="11:14" x14ac:dyDescent="0.2">
      <c r="K264" s="115" t="s">
        <v>1567</v>
      </c>
      <c r="L264" s="115" t="s">
        <v>1495</v>
      </c>
      <c r="M264" s="115" t="s">
        <v>1356</v>
      </c>
      <c r="N264" s="4">
        <v>1.1299999999999999</v>
      </c>
    </row>
    <row r="265" spans="11:14" x14ac:dyDescent="0.2">
      <c r="K265" s="115" t="s">
        <v>1567</v>
      </c>
      <c r="L265" s="115" t="s">
        <v>1495</v>
      </c>
      <c r="M265" s="115" t="s">
        <v>1357</v>
      </c>
      <c r="N265" s="4">
        <v>0.87</v>
      </c>
    </row>
    <row r="266" spans="11:14" x14ac:dyDescent="0.2">
      <c r="K266" s="115" t="s">
        <v>1568</v>
      </c>
      <c r="L266" s="115" t="s">
        <v>1569</v>
      </c>
      <c r="M266" s="115" t="s">
        <v>1354</v>
      </c>
      <c r="N266" s="4">
        <v>1.08</v>
      </c>
    </row>
    <row r="267" spans="11:14" x14ac:dyDescent="0.2">
      <c r="K267" s="115" t="s">
        <v>1568</v>
      </c>
      <c r="L267" s="115" t="s">
        <v>1569</v>
      </c>
      <c r="M267" s="115" t="s">
        <v>1355</v>
      </c>
      <c r="N267" s="4">
        <v>10.210000000000001</v>
      </c>
    </row>
    <row r="268" spans="11:14" x14ac:dyDescent="0.2">
      <c r="K268" s="115" t="s">
        <v>1568</v>
      </c>
      <c r="L268" s="115" t="s">
        <v>1569</v>
      </c>
      <c r="M268" s="115" t="s">
        <v>1356</v>
      </c>
      <c r="N268" s="4">
        <v>0.92</v>
      </c>
    </row>
    <row r="269" spans="11:14" x14ac:dyDescent="0.2">
      <c r="K269" s="115" t="s">
        <v>1568</v>
      </c>
      <c r="L269" s="115" t="s">
        <v>1569</v>
      </c>
      <c r="M269" s="115" t="s">
        <v>1357</v>
      </c>
      <c r="N269" s="4">
        <v>1.49</v>
      </c>
    </row>
    <row r="270" spans="11:14" x14ac:dyDescent="0.2">
      <c r="K270" s="115" t="s">
        <v>1570</v>
      </c>
      <c r="L270" s="115" t="s">
        <v>1535</v>
      </c>
      <c r="M270" s="115" t="s">
        <v>1354</v>
      </c>
      <c r="N270" s="4">
        <v>0.6</v>
      </c>
    </row>
    <row r="271" spans="11:14" x14ac:dyDescent="0.2">
      <c r="K271" s="115" t="s">
        <v>1570</v>
      </c>
      <c r="L271" s="115" t="s">
        <v>1535</v>
      </c>
      <c r="M271" s="115" t="s">
        <v>1355</v>
      </c>
      <c r="N271" s="4">
        <v>5.5</v>
      </c>
    </row>
    <row r="272" spans="11:14" x14ac:dyDescent="0.2">
      <c r="K272" s="115" t="s">
        <v>1570</v>
      </c>
      <c r="L272" s="115" t="s">
        <v>1535</v>
      </c>
      <c r="M272" s="115" t="s">
        <v>1356</v>
      </c>
      <c r="N272" s="4">
        <v>0.55000000000000004</v>
      </c>
    </row>
    <row r="273" spans="11:14" x14ac:dyDescent="0.2">
      <c r="K273" s="115" t="s">
        <v>1570</v>
      </c>
      <c r="L273" s="115" t="s">
        <v>1535</v>
      </c>
      <c r="M273" s="115" t="s">
        <v>1357</v>
      </c>
      <c r="N273" s="4">
        <v>0.82</v>
      </c>
    </row>
    <row r="274" spans="11:14" x14ac:dyDescent="0.2">
      <c r="K274" s="115" t="s">
        <v>1571</v>
      </c>
      <c r="L274" s="115" t="s">
        <v>1495</v>
      </c>
      <c r="M274" s="115" t="s">
        <v>1354</v>
      </c>
      <c r="N274" s="4">
        <v>1.26</v>
      </c>
    </row>
    <row r="275" spans="11:14" x14ac:dyDescent="0.2">
      <c r="K275" s="115" t="s">
        <v>1571</v>
      </c>
      <c r="L275" s="115" t="s">
        <v>1495</v>
      </c>
      <c r="M275" s="115" t="s">
        <v>1355</v>
      </c>
      <c r="N275" s="4">
        <v>7.9</v>
      </c>
    </row>
    <row r="276" spans="11:14" x14ac:dyDescent="0.2">
      <c r="K276" s="115" t="s">
        <v>1571</v>
      </c>
      <c r="L276" s="115" t="s">
        <v>1495</v>
      </c>
      <c r="M276" s="115" t="s">
        <v>1356</v>
      </c>
      <c r="N276" s="4">
        <v>1.1200000000000001</v>
      </c>
    </row>
    <row r="277" spans="11:14" x14ac:dyDescent="0.2">
      <c r="K277" s="115" t="s">
        <v>1571</v>
      </c>
      <c r="L277" s="115" t="s">
        <v>1495</v>
      </c>
      <c r="M277" s="115" t="s">
        <v>1357</v>
      </c>
      <c r="N277" s="4">
        <v>1.51</v>
      </c>
    </row>
    <row r="278" spans="11:14" x14ac:dyDescent="0.2">
      <c r="K278" s="115" t="s">
        <v>1572</v>
      </c>
      <c r="L278" s="115" t="s">
        <v>1557</v>
      </c>
      <c r="M278" s="115" t="s">
        <v>1354</v>
      </c>
      <c r="N278" s="4">
        <v>0.44</v>
      </c>
    </row>
    <row r="279" spans="11:14" x14ac:dyDescent="0.2">
      <c r="K279" s="115" t="s">
        <v>1572</v>
      </c>
      <c r="L279" s="115" t="s">
        <v>1557</v>
      </c>
      <c r="M279" s="115" t="s">
        <v>1355</v>
      </c>
      <c r="N279" s="4">
        <v>5.6</v>
      </c>
    </row>
    <row r="280" spans="11:14" x14ac:dyDescent="0.2">
      <c r="K280" s="115" t="s">
        <v>1572</v>
      </c>
      <c r="L280" s="115" t="s">
        <v>1557</v>
      </c>
      <c r="M280" s="115" t="s">
        <v>1356</v>
      </c>
      <c r="N280" s="4">
        <v>0.86</v>
      </c>
    </row>
    <row r="281" spans="11:14" x14ac:dyDescent="0.2">
      <c r="K281" s="115" t="s">
        <v>1572</v>
      </c>
      <c r="L281" s="115" t="s">
        <v>1557</v>
      </c>
      <c r="M281" s="115" t="s">
        <v>1357</v>
      </c>
      <c r="N281" s="4">
        <v>1.06</v>
      </c>
    </row>
    <row r="282" spans="11:14" x14ac:dyDescent="0.2">
      <c r="K282" s="115" t="s">
        <v>1573</v>
      </c>
      <c r="L282" s="115" t="s">
        <v>1574</v>
      </c>
      <c r="M282" s="115" t="s">
        <v>1354</v>
      </c>
      <c r="N282" s="4">
        <v>1.19</v>
      </c>
    </row>
    <row r="283" spans="11:14" x14ac:dyDescent="0.2">
      <c r="K283" s="115" t="s">
        <v>1573</v>
      </c>
      <c r="L283" s="115" t="s">
        <v>1574</v>
      </c>
      <c r="M283" s="115" t="s">
        <v>1355</v>
      </c>
      <c r="N283" s="4">
        <v>16.559999999999999</v>
      </c>
    </row>
    <row r="284" spans="11:14" x14ac:dyDescent="0.2">
      <c r="K284" s="115" t="s">
        <v>1573</v>
      </c>
      <c r="L284" s="115" t="s">
        <v>1574</v>
      </c>
      <c r="M284" s="115" t="s">
        <v>1356</v>
      </c>
      <c r="N284" s="4">
        <v>1.05</v>
      </c>
    </row>
    <row r="285" spans="11:14" x14ac:dyDescent="0.2">
      <c r="K285" s="115" t="s">
        <v>1573</v>
      </c>
      <c r="L285" s="115" t="s">
        <v>1574</v>
      </c>
      <c r="M285" s="115" t="s">
        <v>1357</v>
      </c>
      <c r="N285" s="4">
        <v>1.78</v>
      </c>
    </row>
    <row r="286" spans="11:14" x14ac:dyDescent="0.2">
      <c r="K286" s="115" t="s">
        <v>1575</v>
      </c>
      <c r="L286" s="115" t="s">
        <v>1491</v>
      </c>
      <c r="M286" s="115" t="s">
        <v>1354</v>
      </c>
      <c r="N286" s="4">
        <v>1.0900000000000001</v>
      </c>
    </row>
    <row r="287" spans="11:14" x14ac:dyDescent="0.2">
      <c r="K287" s="115" t="s">
        <v>1575</v>
      </c>
      <c r="L287" s="115" t="s">
        <v>1491</v>
      </c>
      <c r="M287" s="115" t="s">
        <v>1355</v>
      </c>
      <c r="N287" s="4">
        <v>10.220000000000001</v>
      </c>
    </row>
    <row r="288" spans="11:14" x14ac:dyDescent="0.2">
      <c r="K288" s="115" t="s">
        <v>1575</v>
      </c>
      <c r="L288" s="115" t="s">
        <v>1491</v>
      </c>
      <c r="M288" s="115" t="s">
        <v>1356</v>
      </c>
      <c r="N288" s="4">
        <v>0.85</v>
      </c>
    </row>
    <row r="289" spans="11:14" x14ac:dyDescent="0.2">
      <c r="K289" s="115" t="s">
        <v>1575</v>
      </c>
      <c r="L289" s="115" t="s">
        <v>1491</v>
      </c>
      <c r="M289" s="115" t="s">
        <v>1357</v>
      </c>
      <c r="N289" s="4">
        <v>1.02</v>
      </c>
    </row>
    <row r="290" spans="11:14" x14ac:dyDescent="0.2">
      <c r="K290" s="115" t="s">
        <v>1576</v>
      </c>
      <c r="L290" s="115" t="s">
        <v>1491</v>
      </c>
      <c r="M290" s="115" t="s">
        <v>1354</v>
      </c>
      <c r="N290" s="4">
        <v>0.97</v>
      </c>
    </row>
    <row r="291" spans="11:14" x14ac:dyDescent="0.2">
      <c r="K291" s="115" t="s">
        <v>1576</v>
      </c>
      <c r="L291" s="115" t="s">
        <v>1491</v>
      </c>
      <c r="M291" s="115" t="s">
        <v>1355</v>
      </c>
      <c r="N291" s="4">
        <v>8.5</v>
      </c>
    </row>
    <row r="292" spans="11:14" x14ac:dyDescent="0.2">
      <c r="K292" s="115" t="s">
        <v>1576</v>
      </c>
      <c r="L292" s="115" t="s">
        <v>1491</v>
      </c>
      <c r="M292" s="115" t="s">
        <v>1356</v>
      </c>
      <c r="N292" s="4">
        <v>0.66</v>
      </c>
    </row>
    <row r="293" spans="11:14" x14ac:dyDescent="0.2">
      <c r="K293" s="115" t="s">
        <v>1576</v>
      </c>
      <c r="L293" s="115" t="s">
        <v>1491</v>
      </c>
      <c r="M293" s="115" t="s">
        <v>1357</v>
      </c>
      <c r="N293" s="4">
        <v>0.97</v>
      </c>
    </row>
    <row r="294" spans="11:14" x14ac:dyDescent="0.2">
      <c r="K294" s="115" t="s">
        <v>1577</v>
      </c>
      <c r="L294" s="115" t="s">
        <v>1495</v>
      </c>
      <c r="M294" s="115" t="s">
        <v>1354</v>
      </c>
      <c r="N294" s="4">
        <v>1.25</v>
      </c>
    </row>
    <row r="295" spans="11:14" x14ac:dyDescent="0.2">
      <c r="K295" s="115" t="s">
        <v>1577</v>
      </c>
      <c r="L295" s="115" t="s">
        <v>1495</v>
      </c>
      <c r="M295" s="115" t="s">
        <v>1355</v>
      </c>
      <c r="N295" s="4">
        <v>5.96</v>
      </c>
    </row>
    <row r="296" spans="11:14" x14ac:dyDescent="0.2">
      <c r="K296" s="115" t="s">
        <v>1577</v>
      </c>
      <c r="L296" s="115" t="s">
        <v>1495</v>
      </c>
      <c r="M296" s="115" t="s">
        <v>1356</v>
      </c>
      <c r="N296" s="4">
        <v>1.0900000000000001</v>
      </c>
    </row>
    <row r="297" spans="11:14" x14ac:dyDescent="0.2">
      <c r="K297" s="115" t="s">
        <v>1577</v>
      </c>
      <c r="L297" s="115" t="s">
        <v>1495</v>
      </c>
      <c r="M297" s="115" t="s">
        <v>1357</v>
      </c>
      <c r="N297" s="4">
        <v>1.38</v>
      </c>
    </row>
    <row r="298" spans="11:14" x14ac:dyDescent="0.2">
      <c r="K298" s="115" t="s">
        <v>1578</v>
      </c>
      <c r="L298" s="115" t="s">
        <v>1481</v>
      </c>
      <c r="M298" s="115" t="s">
        <v>1354</v>
      </c>
      <c r="N298" s="4">
        <v>1.48</v>
      </c>
    </row>
    <row r="299" spans="11:14" x14ac:dyDescent="0.2">
      <c r="K299" s="115" t="s">
        <v>1578</v>
      </c>
      <c r="L299" s="115" t="s">
        <v>1481</v>
      </c>
      <c r="M299" s="115" t="s">
        <v>1355</v>
      </c>
      <c r="N299" s="4">
        <v>8.8000000000000007</v>
      </c>
    </row>
    <row r="300" spans="11:14" x14ac:dyDescent="0.2">
      <c r="K300" s="115" t="s">
        <v>1578</v>
      </c>
      <c r="L300" s="115" t="s">
        <v>1481</v>
      </c>
      <c r="M300" s="115" t="s">
        <v>1356</v>
      </c>
      <c r="N300" s="4">
        <v>0.68</v>
      </c>
    </row>
    <row r="301" spans="11:14" x14ac:dyDescent="0.2">
      <c r="K301" s="115" t="s">
        <v>1578</v>
      </c>
      <c r="L301" s="115" t="s">
        <v>1481</v>
      </c>
      <c r="M301" s="115" t="s">
        <v>1357</v>
      </c>
      <c r="N301" s="4">
        <v>2.19</v>
      </c>
    </row>
    <row r="302" spans="11:14" x14ac:dyDescent="0.2">
      <c r="K302" s="115" t="s">
        <v>1579</v>
      </c>
      <c r="L302" s="115" t="s">
        <v>1502</v>
      </c>
      <c r="M302" s="115" t="s">
        <v>1354</v>
      </c>
      <c r="N302" s="4">
        <v>1.92</v>
      </c>
    </row>
    <row r="303" spans="11:14" x14ac:dyDescent="0.2">
      <c r="K303" s="115" t="s">
        <v>1579</v>
      </c>
      <c r="L303" s="115" t="s">
        <v>1502</v>
      </c>
      <c r="M303" s="115" t="s">
        <v>1355</v>
      </c>
      <c r="N303" s="4">
        <v>13.7</v>
      </c>
    </row>
    <row r="304" spans="11:14" x14ac:dyDescent="0.2">
      <c r="K304" s="115" t="s">
        <v>1579</v>
      </c>
      <c r="L304" s="115" t="s">
        <v>1502</v>
      </c>
      <c r="M304" s="115" t="s">
        <v>1356</v>
      </c>
      <c r="N304" s="4">
        <v>1.17</v>
      </c>
    </row>
    <row r="305" spans="11:14" x14ac:dyDescent="0.2">
      <c r="K305" s="115" t="s">
        <v>1579</v>
      </c>
      <c r="L305" s="115" t="s">
        <v>1502</v>
      </c>
      <c r="M305" s="115" t="s">
        <v>1357</v>
      </c>
      <c r="N305" s="4">
        <v>2.25</v>
      </c>
    </row>
    <row r="306" spans="11:14" x14ac:dyDescent="0.2">
      <c r="K306" s="115" t="s">
        <v>1580</v>
      </c>
      <c r="L306" s="115" t="s">
        <v>1481</v>
      </c>
      <c r="M306" s="115" t="s">
        <v>1354</v>
      </c>
      <c r="N306" s="4">
        <v>1.52</v>
      </c>
    </row>
    <row r="307" spans="11:14" x14ac:dyDescent="0.2">
      <c r="K307" s="115" t="s">
        <v>1580</v>
      </c>
      <c r="L307" s="115" t="s">
        <v>1481</v>
      </c>
      <c r="M307" s="115" t="s">
        <v>1355</v>
      </c>
      <c r="N307" s="4">
        <v>11.01</v>
      </c>
    </row>
    <row r="308" spans="11:14" x14ac:dyDescent="0.2">
      <c r="K308" s="115" t="s">
        <v>1580</v>
      </c>
      <c r="L308" s="115" t="s">
        <v>1481</v>
      </c>
      <c r="M308" s="115" t="s">
        <v>1356</v>
      </c>
      <c r="N308" s="4">
        <v>0.87</v>
      </c>
    </row>
    <row r="309" spans="11:14" x14ac:dyDescent="0.2">
      <c r="K309" s="115" t="s">
        <v>1580</v>
      </c>
      <c r="L309" s="115" t="s">
        <v>1481</v>
      </c>
      <c r="M309" s="115" t="s">
        <v>1357</v>
      </c>
      <c r="N309" s="4">
        <v>1.86</v>
      </c>
    </row>
    <row r="310" spans="11:14" x14ac:dyDescent="0.2">
      <c r="K310" s="115" t="s">
        <v>1581</v>
      </c>
      <c r="L310" s="115" t="s">
        <v>1502</v>
      </c>
      <c r="M310" s="115" t="s">
        <v>1354</v>
      </c>
      <c r="N310" s="4">
        <v>1.02</v>
      </c>
    </row>
    <row r="311" spans="11:14" x14ac:dyDescent="0.2">
      <c r="K311" s="115" t="s">
        <v>1581</v>
      </c>
      <c r="L311" s="115" t="s">
        <v>1502</v>
      </c>
      <c r="M311" s="115" t="s">
        <v>1355</v>
      </c>
      <c r="N311" s="4">
        <v>12</v>
      </c>
    </row>
    <row r="312" spans="11:14" x14ac:dyDescent="0.2">
      <c r="K312" s="115" t="s">
        <v>1581</v>
      </c>
      <c r="L312" s="115" t="s">
        <v>1502</v>
      </c>
      <c r="M312" s="115" t="s">
        <v>1356</v>
      </c>
      <c r="N312" s="4">
        <v>1.21</v>
      </c>
    </row>
    <row r="313" spans="11:14" x14ac:dyDescent="0.2">
      <c r="K313" s="115" t="s">
        <v>1581</v>
      </c>
      <c r="L313" s="115" t="s">
        <v>1502</v>
      </c>
      <c r="M313" s="115" t="s">
        <v>1357</v>
      </c>
      <c r="N313" s="4">
        <v>1.7</v>
      </c>
    </row>
    <row r="314" spans="11:14" x14ac:dyDescent="0.2">
      <c r="K314" s="115" t="s">
        <v>1582</v>
      </c>
      <c r="L314" s="115" t="s">
        <v>1495</v>
      </c>
      <c r="M314" s="115" t="s">
        <v>1354</v>
      </c>
      <c r="N314" s="4">
        <v>1.1100000000000001</v>
      </c>
    </row>
    <row r="315" spans="11:14" x14ac:dyDescent="0.2">
      <c r="K315" s="115" t="s">
        <v>1582</v>
      </c>
      <c r="L315" s="115" t="s">
        <v>1495</v>
      </c>
      <c r="M315" s="115" t="s">
        <v>1355</v>
      </c>
      <c r="N315" s="4">
        <v>6.02</v>
      </c>
    </row>
    <row r="316" spans="11:14" x14ac:dyDescent="0.2">
      <c r="K316" s="115" t="s">
        <v>1582</v>
      </c>
      <c r="L316" s="115" t="s">
        <v>1495</v>
      </c>
      <c r="M316" s="115" t="s">
        <v>1356</v>
      </c>
      <c r="N316" s="4">
        <v>1.01</v>
      </c>
    </row>
    <row r="317" spans="11:14" x14ac:dyDescent="0.2">
      <c r="K317" s="115" t="s">
        <v>1582</v>
      </c>
      <c r="L317" s="115" t="s">
        <v>1495</v>
      </c>
      <c r="M317" s="115" t="s">
        <v>1357</v>
      </c>
      <c r="N317" s="4">
        <v>1</v>
      </c>
    </row>
    <row r="318" spans="11:14" x14ac:dyDescent="0.2">
      <c r="K318" s="115" t="s">
        <v>1583</v>
      </c>
      <c r="L318" s="115" t="s">
        <v>1497</v>
      </c>
      <c r="M318" s="115" t="s">
        <v>1354</v>
      </c>
      <c r="N318" s="4">
        <v>0.35</v>
      </c>
    </row>
    <row r="319" spans="11:14" x14ac:dyDescent="0.2">
      <c r="K319" s="115" t="s">
        <v>1583</v>
      </c>
      <c r="L319" s="115" t="s">
        <v>1497</v>
      </c>
      <c r="M319" s="115" t="s">
        <v>1355</v>
      </c>
      <c r="N319" s="4">
        <v>3.36</v>
      </c>
    </row>
    <row r="320" spans="11:14" x14ac:dyDescent="0.2">
      <c r="K320" s="115" t="s">
        <v>1583</v>
      </c>
      <c r="L320" s="115" t="s">
        <v>1497</v>
      </c>
      <c r="M320" s="115" t="s">
        <v>1356</v>
      </c>
      <c r="N320" s="4">
        <v>0.72</v>
      </c>
    </row>
    <row r="321" spans="11:14" x14ac:dyDescent="0.2">
      <c r="K321" s="115" t="s">
        <v>1584</v>
      </c>
      <c r="L321" s="115" t="s">
        <v>1497</v>
      </c>
      <c r="M321" s="115" t="s">
        <v>1354</v>
      </c>
      <c r="N321" s="4">
        <v>0.43</v>
      </c>
    </row>
    <row r="322" spans="11:14" x14ac:dyDescent="0.2">
      <c r="K322" s="115" t="s">
        <v>1584</v>
      </c>
      <c r="L322" s="115" t="s">
        <v>1497</v>
      </c>
      <c r="M322" s="115" t="s">
        <v>1355</v>
      </c>
      <c r="N322" s="4">
        <v>4.8899999999999997</v>
      </c>
    </row>
    <row r="323" spans="11:14" x14ac:dyDescent="0.2">
      <c r="K323" s="115" t="s">
        <v>1584</v>
      </c>
      <c r="L323" s="115" t="s">
        <v>1497</v>
      </c>
      <c r="M323" s="115" t="s">
        <v>1356</v>
      </c>
      <c r="N323" s="4">
        <v>0.78</v>
      </c>
    </row>
    <row r="324" spans="11:14" x14ac:dyDescent="0.2">
      <c r="K324" s="115" t="s">
        <v>1584</v>
      </c>
      <c r="L324" s="115" t="s">
        <v>1497</v>
      </c>
      <c r="M324" s="115" t="s">
        <v>1357</v>
      </c>
      <c r="N324" s="4">
        <v>1.04</v>
      </c>
    </row>
    <row r="325" spans="11:14" x14ac:dyDescent="0.2">
      <c r="K325" s="115" t="s">
        <v>1585</v>
      </c>
      <c r="L325" s="115" t="s">
        <v>1481</v>
      </c>
      <c r="M325" s="115" t="s">
        <v>1354</v>
      </c>
      <c r="N325" s="4">
        <v>1.64</v>
      </c>
    </row>
    <row r="326" spans="11:14" x14ac:dyDescent="0.2">
      <c r="K326" s="115" t="s">
        <v>1585</v>
      </c>
      <c r="L326" s="115" t="s">
        <v>1481</v>
      </c>
      <c r="M326" s="115" t="s">
        <v>1355</v>
      </c>
      <c r="N326" s="4">
        <v>9.69</v>
      </c>
    </row>
    <row r="327" spans="11:14" x14ac:dyDescent="0.2">
      <c r="K327" s="115" t="s">
        <v>1585</v>
      </c>
      <c r="L327" s="115" t="s">
        <v>1481</v>
      </c>
      <c r="M327" s="115" t="s">
        <v>1356</v>
      </c>
      <c r="N327" s="4">
        <v>0.76</v>
      </c>
    </row>
    <row r="328" spans="11:14" x14ac:dyDescent="0.2">
      <c r="K328" s="115" t="s">
        <v>1585</v>
      </c>
      <c r="L328" s="115" t="s">
        <v>1481</v>
      </c>
      <c r="M328" s="115" t="s">
        <v>1357</v>
      </c>
      <c r="N328" s="4">
        <v>2.15</v>
      </c>
    </row>
    <row r="329" spans="11:14" x14ac:dyDescent="0.2">
      <c r="K329" s="115" t="s">
        <v>1586</v>
      </c>
      <c r="L329" s="115" t="s">
        <v>1557</v>
      </c>
      <c r="M329" s="115" t="s">
        <v>1354</v>
      </c>
      <c r="N329" s="4">
        <v>0.45</v>
      </c>
    </row>
    <row r="330" spans="11:14" x14ac:dyDescent="0.2">
      <c r="K330" s="115" t="s">
        <v>1586</v>
      </c>
      <c r="L330" s="115" t="s">
        <v>1557</v>
      </c>
      <c r="M330" s="115" t="s">
        <v>1355</v>
      </c>
      <c r="N330" s="4">
        <v>6.53</v>
      </c>
    </row>
    <row r="331" spans="11:14" x14ac:dyDescent="0.2">
      <c r="K331" s="115" t="s">
        <v>1586</v>
      </c>
      <c r="L331" s="115" t="s">
        <v>1557</v>
      </c>
      <c r="M331" s="115" t="s">
        <v>1356</v>
      </c>
      <c r="N331" s="4">
        <v>0.95</v>
      </c>
    </row>
    <row r="332" spans="11:14" x14ac:dyDescent="0.2">
      <c r="K332" s="115" t="s">
        <v>1586</v>
      </c>
      <c r="L332" s="115" t="s">
        <v>1557</v>
      </c>
      <c r="M332" s="115" t="s">
        <v>1357</v>
      </c>
      <c r="N332" s="4">
        <v>0.97</v>
      </c>
    </row>
    <row r="333" spans="11:14" x14ac:dyDescent="0.2">
      <c r="K333" s="115" t="s">
        <v>1587</v>
      </c>
      <c r="L333" s="115" t="s">
        <v>1588</v>
      </c>
      <c r="M333" s="115" t="s">
        <v>1354</v>
      </c>
      <c r="N333" s="4">
        <v>2.87</v>
      </c>
    </row>
    <row r="334" spans="11:14" x14ac:dyDescent="0.2">
      <c r="K334" s="115" t="s">
        <v>1587</v>
      </c>
      <c r="L334" s="115" t="s">
        <v>1588</v>
      </c>
      <c r="M334" s="115" t="s">
        <v>1355</v>
      </c>
      <c r="N334" s="4">
        <v>10.45</v>
      </c>
    </row>
    <row r="335" spans="11:14" x14ac:dyDescent="0.2">
      <c r="K335" s="115" t="s">
        <v>1587</v>
      </c>
      <c r="L335" s="115" t="s">
        <v>1588</v>
      </c>
      <c r="M335" s="115" t="s">
        <v>1356</v>
      </c>
      <c r="N335" s="4">
        <v>1.8</v>
      </c>
    </row>
    <row r="336" spans="11:14" x14ac:dyDescent="0.2">
      <c r="K336" s="115" t="s">
        <v>1587</v>
      </c>
      <c r="L336" s="115" t="s">
        <v>1588</v>
      </c>
      <c r="M336" s="115" t="s">
        <v>1357</v>
      </c>
      <c r="N336" s="4">
        <v>2.33</v>
      </c>
    </row>
    <row r="337" spans="11:14" x14ac:dyDescent="0.2">
      <c r="K337" s="115" t="s">
        <v>1589</v>
      </c>
      <c r="L337" s="115" t="s">
        <v>1511</v>
      </c>
      <c r="M337" s="115" t="s">
        <v>1354</v>
      </c>
      <c r="N337" s="4">
        <v>0.97</v>
      </c>
    </row>
    <row r="338" spans="11:14" x14ac:dyDescent="0.2">
      <c r="K338" s="115" t="s">
        <v>1589</v>
      </c>
      <c r="L338" s="115" t="s">
        <v>1511</v>
      </c>
      <c r="M338" s="115" t="s">
        <v>1356</v>
      </c>
      <c r="N338" s="4">
        <v>0.65</v>
      </c>
    </row>
    <row r="339" spans="11:14" x14ac:dyDescent="0.2">
      <c r="K339" s="115" t="s">
        <v>1589</v>
      </c>
      <c r="L339" s="115" t="s">
        <v>1511</v>
      </c>
      <c r="M339" s="115" t="s">
        <v>1357</v>
      </c>
      <c r="N339" s="4">
        <v>1.38</v>
      </c>
    </row>
    <row r="340" spans="11:14" x14ac:dyDescent="0.2">
      <c r="K340" s="115" t="s">
        <v>1590</v>
      </c>
      <c r="L340" s="115" t="s">
        <v>1574</v>
      </c>
      <c r="M340" s="115" t="s">
        <v>1354</v>
      </c>
      <c r="N340" s="4">
        <v>1.48</v>
      </c>
    </row>
    <row r="341" spans="11:14" x14ac:dyDescent="0.2">
      <c r="K341" s="115" t="s">
        <v>1590</v>
      </c>
      <c r="L341" s="115" t="s">
        <v>1574</v>
      </c>
      <c r="M341" s="115" t="s">
        <v>1355</v>
      </c>
      <c r="N341" s="4">
        <v>18.57</v>
      </c>
    </row>
    <row r="342" spans="11:14" x14ac:dyDescent="0.2">
      <c r="K342" s="115" t="s">
        <v>1590</v>
      </c>
      <c r="L342" s="115" t="s">
        <v>1574</v>
      </c>
      <c r="M342" s="115" t="s">
        <v>1356</v>
      </c>
      <c r="N342" s="4">
        <v>1.24</v>
      </c>
    </row>
    <row r="343" spans="11:14" x14ac:dyDescent="0.2">
      <c r="K343" s="115" t="s">
        <v>1590</v>
      </c>
      <c r="L343" s="115" t="s">
        <v>1574</v>
      </c>
      <c r="M343" s="115" t="s">
        <v>1357</v>
      </c>
      <c r="N343" s="4">
        <v>1.78</v>
      </c>
    </row>
    <row r="344" spans="11:14" x14ac:dyDescent="0.2">
      <c r="K344" s="115" t="s">
        <v>1591</v>
      </c>
      <c r="L344" s="115" t="s">
        <v>1489</v>
      </c>
      <c r="M344" s="115" t="s">
        <v>1354</v>
      </c>
      <c r="N344" s="4">
        <v>0.79</v>
      </c>
    </row>
    <row r="345" spans="11:14" x14ac:dyDescent="0.2">
      <c r="K345" s="115" t="s">
        <v>1591</v>
      </c>
      <c r="L345" s="115" t="s">
        <v>1489</v>
      </c>
      <c r="M345" s="115" t="s">
        <v>1355</v>
      </c>
      <c r="N345" s="4">
        <v>6.93</v>
      </c>
    </row>
    <row r="346" spans="11:14" x14ac:dyDescent="0.2">
      <c r="K346" s="115" t="s">
        <v>1591</v>
      </c>
      <c r="L346" s="115" t="s">
        <v>1489</v>
      </c>
      <c r="M346" s="115" t="s">
        <v>1356</v>
      </c>
      <c r="N346" s="4">
        <v>1.1100000000000001</v>
      </c>
    </row>
    <row r="347" spans="11:14" x14ac:dyDescent="0.2">
      <c r="K347" s="115" t="s">
        <v>1591</v>
      </c>
      <c r="L347" s="115" t="s">
        <v>1489</v>
      </c>
      <c r="M347" s="115" t="s">
        <v>1357</v>
      </c>
      <c r="N347" s="4">
        <v>1.32</v>
      </c>
    </row>
    <row r="348" spans="11:14" x14ac:dyDescent="0.2">
      <c r="K348" s="115" t="s">
        <v>1592</v>
      </c>
      <c r="L348" s="115" t="s">
        <v>1593</v>
      </c>
      <c r="M348" s="115" t="s">
        <v>1354</v>
      </c>
      <c r="N348" s="4">
        <v>0.56999999999999995</v>
      </c>
    </row>
    <row r="349" spans="11:14" x14ac:dyDescent="0.2">
      <c r="K349" s="115" t="s">
        <v>1592</v>
      </c>
      <c r="L349" s="115" t="s">
        <v>1593</v>
      </c>
      <c r="M349" s="115" t="s">
        <v>1355</v>
      </c>
      <c r="N349" s="4">
        <v>5.38</v>
      </c>
    </row>
    <row r="350" spans="11:14" x14ac:dyDescent="0.2">
      <c r="K350" s="115" t="s">
        <v>1592</v>
      </c>
      <c r="L350" s="115" t="s">
        <v>1593</v>
      </c>
      <c r="M350" s="115" t="s">
        <v>1356</v>
      </c>
      <c r="N350" s="4">
        <v>1.04</v>
      </c>
    </row>
    <row r="351" spans="11:14" x14ac:dyDescent="0.2">
      <c r="K351" s="115" t="s">
        <v>1592</v>
      </c>
      <c r="L351" s="115" t="s">
        <v>1593</v>
      </c>
      <c r="M351" s="115" t="s">
        <v>1357</v>
      </c>
      <c r="N351" s="4">
        <v>1.08</v>
      </c>
    </row>
    <row r="352" spans="11:14" x14ac:dyDescent="0.2">
      <c r="K352" s="115" t="s">
        <v>1594</v>
      </c>
      <c r="L352" s="115" t="s">
        <v>1566</v>
      </c>
      <c r="M352" s="115" t="s">
        <v>1354</v>
      </c>
      <c r="N352" s="4">
        <v>1.24</v>
      </c>
    </row>
    <row r="353" spans="11:14" x14ac:dyDescent="0.2">
      <c r="K353" s="115" t="s">
        <v>1594</v>
      </c>
      <c r="L353" s="115" t="s">
        <v>1566</v>
      </c>
      <c r="M353" s="115" t="s">
        <v>1355</v>
      </c>
      <c r="N353" s="4">
        <v>6.81</v>
      </c>
    </row>
    <row r="354" spans="11:14" x14ac:dyDescent="0.2">
      <c r="K354" s="115" t="s">
        <v>1594</v>
      </c>
      <c r="L354" s="115" t="s">
        <v>1566</v>
      </c>
      <c r="M354" s="115" t="s">
        <v>1356</v>
      </c>
      <c r="N354" s="4">
        <v>0.66</v>
      </c>
    </row>
    <row r="355" spans="11:14" x14ac:dyDescent="0.2">
      <c r="K355" s="115" t="s">
        <v>1594</v>
      </c>
      <c r="L355" s="115" t="s">
        <v>1566</v>
      </c>
      <c r="M355" s="115" t="s">
        <v>1357</v>
      </c>
      <c r="N355" s="4">
        <v>0.86</v>
      </c>
    </row>
    <row r="356" spans="11:14" x14ac:dyDescent="0.2">
      <c r="K356" s="115" t="s">
        <v>1595</v>
      </c>
      <c r="L356" s="115" t="s">
        <v>1535</v>
      </c>
      <c r="M356" s="115" t="s">
        <v>1354</v>
      </c>
      <c r="N356" s="4">
        <v>0.69</v>
      </c>
    </row>
    <row r="357" spans="11:14" x14ac:dyDescent="0.2">
      <c r="K357" s="115" t="s">
        <v>1595</v>
      </c>
      <c r="L357" s="115" t="s">
        <v>1535</v>
      </c>
      <c r="M357" s="115" t="s">
        <v>1355</v>
      </c>
      <c r="N357" s="4">
        <v>5.54</v>
      </c>
    </row>
    <row r="358" spans="11:14" x14ac:dyDescent="0.2">
      <c r="K358" s="115" t="s">
        <v>1595</v>
      </c>
      <c r="L358" s="115" t="s">
        <v>1535</v>
      </c>
      <c r="M358" s="115" t="s">
        <v>1356</v>
      </c>
      <c r="N358" s="4">
        <v>0.62</v>
      </c>
    </row>
    <row r="359" spans="11:14" x14ac:dyDescent="0.2">
      <c r="K359" s="115" t="s">
        <v>1595</v>
      </c>
      <c r="L359" s="115" t="s">
        <v>1535</v>
      </c>
      <c r="M359" s="115" t="s">
        <v>1357</v>
      </c>
      <c r="N359" s="4">
        <v>0.72</v>
      </c>
    </row>
    <row r="360" spans="11:14" x14ac:dyDescent="0.2">
      <c r="K360" s="115" t="s">
        <v>1596</v>
      </c>
      <c r="L360" s="115" t="s">
        <v>1511</v>
      </c>
      <c r="M360" s="115" t="s">
        <v>1354</v>
      </c>
      <c r="N360" s="4">
        <v>0.94</v>
      </c>
    </row>
    <row r="361" spans="11:14" x14ac:dyDescent="0.2">
      <c r="K361" s="115" t="s">
        <v>1596</v>
      </c>
      <c r="L361" s="115" t="s">
        <v>1511</v>
      </c>
      <c r="M361" s="115" t="s">
        <v>1355</v>
      </c>
      <c r="N361" s="4">
        <v>7.81</v>
      </c>
    </row>
    <row r="362" spans="11:14" x14ac:dyDescent="0.2">
      <c r="K362" s="115" t="s">
        <v>1596</v>
      </c>
      <c r="L362" s="115" t="s">
        <v>1511</v>
      </c>
      <c r="M362" s="115" t="s">
        <v>1356</v>
      </c>
      <c r="N362" s="4">
        <v>0.75</v>
      </c>
    </row>
    <row r="363" spans="11:14" x14ac:dyDescent="0.2">
      <c r="K363" s="115" t="s">
        <v>1596</v>
      </c>
      <c r="L363" s="115" t="s">
        <v>1511</v>
      </c>
      <c r="M363" s="115" t="s">
        <v>1357</v>
      </c>
      <c r="N363" s="4">
        <v>1.44</v>
      </c>
    </row>
    <row r="364" spans="11:14" x14ac:dyDescent="0.2">
      <c r="K364" s="115" t="s">
        <v>1597</v>
      </c>
      <c r="L364" s="115" t="s">
        <v>1598</v>
      </c>
      <c r="M364" s="115" t="s">
        <v>1354</v>
      </c>
      <c r="N364" s="4">
        <v>2.97</v>
      </c>
    </row>
    <row r="365" spans="11:14" x14ac:dyDescent="0.2">
      <c r="K365" s="115" t="s">
        <v>1597</v>
      </c>
      <c r="L365" s="115" t="s">
        <v>1598</v>
      </c>
      <c r="M365" s="115" t="s">
        <v>1355</v>
      </c>
      <c r="N365" s="4">
        <v>12.79</v>
      </c>
    </row>
    <row r="366" spans="11:14" x14ac:dyDescent="0.2">
      <c r="K366" s="115" t="s">
        <v>1597</v>
      </c>
      <c r="L366" s="115" t="s">
        <v>1598</v>
      </c>
      <c r="M366" s="115" t="s">
        <v>1356</v>
      </c>
      <c r="N366" s="4">
        <v>1.2</v>
      </c>
    </row>
    <row r="367" spans="11:14" x14ac:dyDescent="0.2">
      <c r="K367" s="115" t="s">
        <v>1597</v>
      </c>
      <c r="L367" s="115" t="s">
        <v>1598</v>
      </c>
      <c r="M367" s="115" t="s">
        <v>1357</v>
      </c>
      <c r="N367" s="4">
        <v>2.54</v>
      </c>
    </row>
    <row r="368" spans="11:14" x14ac:dyDescent="0.2">
      <c r="K368" s="115" t="s">
        <v>1599</v>
      </c>
      <c r="L368" s="115" t="s">
        <v>1600</v>
      </c>
      <c r="M368" s="115" t="s">
        <v>1354</v>
      </c>
      <c r="N368" s="4">
        <v>0.85</v>
      </c>
    </row>
    <row r="369" spans="11:14" x14ac:dyDescent="0.2">
      <c r="K369" s="115" t="s">
        <v>1599</v>
      </c>
      <c r="L369" s="115" t="s">
        <v>1600</v>
      </c>
      <c r="M369" s="115" t="s">
        <v>1355</v>
      </c>
      <c r="N369" s="4">
        <v>6.12</v>
      </c>
    </row>
    <row r="370" spans="11:14" x14ac:dyDescent="0.2">
      <c r="K370" s="115" t="s">
        <v>1599</v>
      </c>
      <c r="L370" s="115" t="s">
        <v>1600</v>
      </c>
      <c r="M370" s="115" t="s">
        <v>1356</v>
      </c>
      <c r="N370" s="4">
        <v>0.88</v>
      </c>
    </row>
    <row r="371" spans="11:14" x14ac:dyDescent="0.2">
      <c r="K371" s="115" t="s">
        <v>1599</v>
      </c>
      <c r="L371" s="115" t="s">
        <v>1600</v>
      </c>
      <c r="M371" s="115" t="s">
        <v>1357</v>
      </c>
      <c r="N371" s="4">
        <v>1.35</v>
      </c>
    </row>
    <row r="372" spans="11:14" x14ac:dyDescent="0.2">
      <c r="K372" s="115" t="s">
        <v>1601</v>
      </c>
      <c r="L372" s="115" t="s">
        <v>1602</v>
      </c>
      <c r="M372" s="115" t="s">
        <v>1354</v>
      </c>
      <c r="N372" s="4">
        <v>0.96</v>
      </c>
    </row>
    <row r="373" spans="11:14" x14ac:dyDescent="0.2">
      <c r="K373" s="115" t="s">
        <v>1601</v>
      </c>
      <c r="L373" s="115" t="s">
        <v>1602</v>
      </c>
      <c r="M373" s="115" t="s">
        <v>1355</v>
      </c>
      <c r="N373" s="4">
        <v>7.45</v>
      </c>
    </row>
    <row r="374" spans="11:14" x14ac:dyDescent="0.2">
      <c r="K374" s="115" t="s">
        <v>1601</v>
      </c>
      <c r="L374" s="115" t="s">
        <v>1602</v>
      </c>
      <c r="M374" s="115" t="s">
        <v>1356</v>
      </c>
      <c r="N374" s="4">
        <v>0.84</v>
      </c>
    </row>
    <row r="375" spans="11:14" x14ac:dyDescent="0.2">
      <c r="K375" s="115" t="s">
        <v>1601</v>
      </c>
      <c r="L375" s="115" t="s">
        <v>1602</v>
      </c>
      <c r="M375" s="115" t="s">
        <v>1357</v>
      </c>
      <c r="N375" s="4">
        <v>1.65</v>
      </c>
    </row>
    <row r="376" spans="11:14" x14ac:dyDescent="0.2">
      <c r="K376" s="115" t="s">
        <v>1603</v>
      </c>
      <c r="L376" s="115" t="s">
        <v>1502</v>
      </c>
      <c r="M376" s="115" t="s">
        <v>1354</v>
      </c>
      <c r="N376" s="4">
        <v>1.56</v>
      </c>
    </row>
    <row r="377" spans="11:14" x14ac:dyDescent="0.2">
      <c r="K377" s="115" t="s">
        <v>1603</v>
      </c>
      <c r="L377" s="115" t="s">
        <v>1502</v>
      </c>
      <c r="M377" s="115" t="s">
        <v>1355</v>
      </c>
      <c r="N377" s="4">
        <v>11.85</v>
      </c>
    </row>
    <row r="378" spans="11:14" x14ac:dyDescent="0.2">
      <c r="K378" s="115" t="s">
        <v>1603</v>
      </c>
      <c r="L378" s="115" t="s">
        <v>1502</v>
      </c>
      <c r="M378" s="115" t="s">
        <v>1356</v>
      </c>
      <c r="N378" s="4">
        <v>1.27</v>
      </c>
    </row>
    <row r="379" spans="11:14" x14ac:dyDescent="0.2">
      <c r="K379" s="115" t="s">
        <v>1603</v>
      </c>
      <c r="L379" s="115" t="s">
        <v>1502</v>
      </c>
      <c r="M379" s="115" t="s">
        <v>1357</v>
      </c>
      <c r="N379" s="4">
        <v>1.99</v>
      </c>
    </row>
    <row r="380" spans="11:14" x14ac:dyDescent="0.2">
      <c r="K380" s="115" t="s">
        <v>1604</v>
      </c>
      <c r="L380" s="115" t="s">
        <v>1483</v>
      </c>
      <c r="M380" s="115" t="s">
        <v>1354</v>
      </c>
      <c r="N380" s="4">
        <v>1.1200000000000001</v>
      </c>
    </row>
    <row r="381" spans="11:14" x14ac:dyDescent="0.2">
      <c r="K381" s="115" t="s">
        <v>1604</v>
      </c>
      <c r="L381" s="115" t="s">
        <v>1483</v>
      </c>
      <c r="M381" s="115" t="s">
        <v>1355</v>
      </c>
      <c r="N381" s="4">
        <v>9.67</v>
      </c>
    </row>
    <row r="382" spans="11:14" x14ac:dyDescent="0.2">
      <c r="K382" s="115" t="s">
        <v>1604</v>
      </c>
      <c r="L382" s="115" t="s">
        <v>1483</v>
      </c>
      <c r="M382" s="115" t="s">
        <v>1356</v>
      </c>
      <c r="N382" s="4">
        <v>0.91</v>
      </c>
    </row>
    <row r="383" spans="11:14" x14ac:dyDescent="0.2">
      <c r="K383" s="115" t="s">
        <v>1604</v>
      </c>
      <c r="L383" s="115" t="s">
        <v>1483</v>
      </c>
      <c r="M383" s="115" t="s">
        <v>1357</v>
      </c>
      <c r="N383" s="4">
        <v>1.69</v>
      </c>
    </row>
    <row r="384" spans="11:14" x14ac:dyDescent="0.2">
      <c r="K384" s="115" t="s">
        <v>1632</v>
      </c>
      <c r="L384" s="115" t="s">
        <v>1491</v>
      </c>
      <c r="M384" s="115" t="s">
        <v>1354</v>
      </c>
      <c r="N384" s="4">
        <v>0.78</v>
      </c>
    </row>
    <row r="385" spans="11:14" x14ac:dyDescent="0.2">
      <c r="K385" s="115" t="s">
        <v>1632</v>
      </c>
      <c r="L385" s="115" t="s">
        <v>1491</v>
      </c>
      <c r="M385" s="115" t="s">
        <v>1356</v>
      </c>
      <c r="N385" s="4">
        <v>0.66</v>
      </c>
    </row>
    <row r="386" spans="11:14" x14ac:dyDescent="0.2">
      <c r="K386" s="115" t="s">
        <v>1632</v>
      </c>
      <c r="L386" s="115" t="s">
        <v>1491</v>
      </c>
      <c r="M386" s="115" t="s">
        <v>1357</v>
      </c>
      <c r="N386" s="4">
        <v>0.84</v>
      </c>
    </row>
    <row r="387" spans="11:14" x14ac:dyDescent="0.2">
      <c r="K387" s="115" t="s">
        <v>1605</v>
      </c>
      <c r="L387" s="115" t="s">
        <v>1495</v>
      </c>
      <c r="M387" s="115" t="s">
        <v>1354</v>
      </c>
      <c r="N387" s="4">
        <v>1.07</v>
      </c>
    </row>
    <row r="388" spans="11:14" x14ac:dyDescent="0.2">
      <c r="K388" s="115" t="s">
        <v>1605</v>
      </c>
      <c r="L388" s="115" t="s">
        <v>1495</v>
      </c>
      <c r="M388" s="115" t="s">
        <v>1355</v>
      </c>
      <c r="N388" s="4">
        <v>4.32</v>
      </c>
    </row>
    <row r="389" spans="11:14" x14ac:dyDescent="0.2">
      <c r="K389" s="115" t="s">
        <v>1605</v>
      </c>
      <c r="L389" s="115" t="s">
        <v>1495</v>
      </c>
      <c r="M389" s="115" t="s">
        <v>1356</v>
      </c>
      <c r="N389" s="4">
        <v>1.01</v>
      </c>
    </row>
    <row r="390" spans="11:14" x14ac:dyDescent="0.2">
      <c r="K390" s="115" t="s">
        <v>1605</v>
      </c>
      <c r="L390" s="115" t="s">
        <v>1495</v>
      </c>
      <c r="M390" s="115" t="s">
        <v>1357</v>
      </c>
      <c r="N390" s="4">
        <v>0.94</v>
      </c>
    </row>
    <row r="391" spans="11:14" x14ac:dyDescent="0.2">
      <c r="K391" s="115" t="s">
        <v>1606</v>
      </c>
      <c r="L391" s="115" t="s">
        <v>1593</v>
      </c>
      <c r="M391" s="115" t="s">
        <v>1354</v>
      </c>
      <c r="N391" s="4">
        <v>0.57999999999999996</v>
      </c>
    </row>
    <row r="392" spans="11:14" x14ac:dyDescent="0.2">
      <c r="K392" s="115" t="s">
        <v>1606</v>
      </c>
      <c r="L392" s="115" t="s">
        <v>1593</v>
      </c>
      <c r="M392" s="115" t="s">
        <v>1355</v>
      </c>
      <c r="N392" s="4">
        <v>5.99</v>
      </c>
    </row>
    <row r="393" spans="11:14" x14ac:dyDescent="0.2">
      <c r="K393" s="115" t="s">
        <v>1606</v>
      </c>
      <c r="L393" s="115" t="s">
        <v>1593</v>
      </c>
      <c r="M393" s="115" t="s">
        <v>1356</v>
      </c>
      <c r="N393" s="4">
        <v>1.03</v>
      </c>
    </row>
    <row r="394" spans="11:14" x14ac:dyDescent="0.2">
      <c r="K394" s="115" t="s">
        <v>1606</v>
      </c>
      <c r="L394" s="115" t="s">
        <v>1593</v>
      </c>
      <c r="M394" s="115" t="s">
        <v>1357</v>
      </c>
      <c r="N394" s="4">
        <v>1.0900000000000001</v>
      </c>
    </row>
    <row r="395" spans="11:14" x14ac:dyDescent="0.2">
      <c r="K395" s="115" t="s">
        <v>1607</v>
      </c>
      <c r="L395" s="115" t="s">
        <v>1602</v>
      </c>
      <c r="M395" s="115" t="s">
        <v>1354</v>
      </c>
      <c r="N395" s="4">
        <v>0.91</v>
      </c>
    </row>
    <row r="396" spans="11:14" x14ac:dyDescent="0.2">
      <c r="K396" s="115" t="s">
        <v>1607</v>
      </c>
      <c r="L396" s="115" t="s">
        <v>1602</v>
      </c>
      <c r="M396" s="115" t="s">
        <v>1355</v>
      </c>
      <c r="N396" s="4">
        <v>7.93</v>
      </c>
    </row>
    <row r="397" spans="11:14" x14ac:dyDescent="0.2">
      <c r="K397" s="115" t="s">
        <v>1607</v>
      </c>
      <c r="L397" s="115" t="s">
        <v>1602</v>
      </c>
      <c r="M397" s="115" t="s">
        <v>1356</v>
      </c>
      <c r="N397" s="4">
        <v>0.85</v>
      </c>
    </row>
    <row r="398" spans="11:14" x14ac:dyDescent="0.2">
      <c r="K398" s="115" t="s">
        <v>1607</v>
      </c>
      <c r="L398" s="115" t="s">
        <v>1602</v>
      </c>
      <c r="M398" s="115" t="s">
        <v>1357</v>
      </c>
      <c r="N398" s="4">
        <v>1.53</v>
      </c>
    </row>
    <row r="399" spans="11:14" x14ac:dyDescent="0.2">
      <c r="K399" s="115" t="s">
        <v>1608</v>
      </c>
      <c r="L399" s="115" t="s">
        <v>1588</v>
      </c>
      <c r="M399" s="115" t="s">
        <v>1354</v>
      </c>
      <c r="N399" s="4">
        <v>2.88</v>
      </c>
    </row>
    <row r="400" spans="11:14" x14ac:dyDescent="0.2">
      <c r="K400" s="115" t="s">
        <v>1608</v>
      </c>
      <c r="L400" s="115" t="s">
        <v>1588</v>
      </c>
      <c r="M400" s="115" t="s">
        <v>1355</v>
      </c>
      <c r="N400" s="4">
        <v>12.71</v>
      </c>
    </row>
    <row r="401" spans="11:14" x14ac:dyDescent="0.2">
      <c r="K401" s="115" t="s">
        <v>1608</v>
      </c>
      <c r="L401" s="115" t="s">
        <v>1588</v>
      </c>
      <c r="M401" s="115" t="s">
        <v>1356</v>
      </c>
      <c r="N401" s="4">
        <v>1.87</v>
      </c>
    </row>
    <row r="402" spans="11:14" x14ac:dyDescent="0.2">
      <c r="K402" s="115" t="s">
        <v>1608</v>
      </c>
      <c r="L402" s="115" t="s">
        <v>1588</v>
      </c>
      <c r="M402" s="115" t="s">
        <v>1357</v>
      </c>
      <c r="N402" s="4">
        <v>2.62</v>
      </c>
    </row>
    <row r="403" spans="11:14" x14ac:dyDescent="0.2">
      <c r="K403" s="115" t="s">
        <v>1609</v>
      </c>
      <c r="L403" s="115" t="s">
        <v>1540</v>
      </c>
      <c r="M403" s="115" t="s">
        <v>1354</v>
      </c>
      <c r="N403" s="4">
        <v>2.13</v>
      </c>
    </row>
    <row r="404" spans="11:14" x14ac:dyDescent="0.2">
      <c r="K404" s="115" t="s">
        <v>1609</v>
      </c>
      <c r="L404" s="115" t="s">
        <v>1540</v>
      </c>
      <c r="M404" s="115" t="s">
        <v>1355</v>
      </c>
      <c r="N404" s="4">
        <v>8.0399999999999991</v>
      </c>
    </row>
    <row r="405" spans="11:14" x14ac:dyDescent="0.2">
      <c r="K405" s="115" t="s">
        <v>1609</v>
      </c>
      <c r="L405" s="115" t="s">
        <v>1540</v>
      </c>
      <c r="M405" s="115" t="s">
        <v>1356</v>
      </c>
      <c r="N405" s="4">
        <v>1.19</v>
      </c>
    </row>
    <row r="406" spans="11:14" x14ac:dyDescent="0.2">
      <c r="K406" s="115" t="s">
        <v>1609</v>
      </c>
      <c r="L406" s="115" t="s">
        <v>1540</v>
      </c>
      <c r="M406" s="115" t="s">
        <v>1357</v>
      </c>
      <c r="N406" s="4">
        <v>2.38</v>
      </c>
    </row>
    <row r="407" spans="11:14" x14ac:dyDescent="0.2">
      <c r="K407" s="115" t="s">
        <v>1610</v>
      </c>
      <c r="L407" s="115" t="s">
        <v>1481</v>
      </c>
      <c r="M407" s="115" t="s">
        <v>1354</v>
      </c>
      <c r="N407" s="4">
        <v>1.69</v>
      </c>
    </row>
    <row r="408" spans="11:14" x14ac:dyDescent="0.2">
      <c r="K408" s="115" t="s">
        <v>1610</v>
      </c>
      <c r="L408" s="115" t="s">
        <v>1481</v>
      </c>
      <c r="M408" s="115" t="s">
        <v>1355</v>
      </c>
      <c r="N408" s="4">
        <v>8.0500000000000007</v>
      </c>
    </row>
    <row r="409" spans="11:14" x14ac:dyDescent="0.2">
      <c r="K409" s="115" t="s">
        <v>1610</v>
      </c>
      <c r="L409" s="115" t="s">
        <v>1481</v>
      </c>
      <c r="M409" s="115" t="s">
        <v>1356</v>
      </c>
      <c r="N409" s="4">
        <v>0.78</v>
      </c>
    </row>
    <row r="410" spans="11:14" x14ac:dyDescent="0.2">
      <c r="K410" s="115" t="s">
        <v>1610</v>
      </c>
      <c r="L410" s="115" t="s">
        <v>1481</v>
      </c>
      <c r="M410" s="115" t="s">
        <v>1357</v>
      </c>
      <c r="N410" s="4">
        <v>2.21</v>
      </c>
    </row>
    <row r="411" spans="11:14" x14ac:dyDescent="0.2">
      <c r="K411" s="115" t="s">
        <v>1611</v>
      </c>
      <c r="L411" s="115" t="s">
        <v>1612</v>
      </c>
      <c r="M411" s="115" t="s">
        <v>1354</v>
      </c>
      <c r="N411" s="4">
        <v>0.85</v>
      </c>
    </row>
    <row r="412" spans="11:14" x14ac:dyDescent="0.2">
      <c r="K412" s="115" t="s">
        <v>1611</v>
      </c>
      <c r="L412" s="115" t="s">
        <v>1612</v>
      </c>
      <c r="M412" s="115" t="s">
        <v>1355</v>
      </c>
      <c r="N412" s="4">
        <v>7.22</v>
      </c>
    </row>
    <row r="413" spans="11:14" x14ac:dyDescent="0.2">
      <c r="K413" s="115" t="s">
        <v>1611</v>
      </c>
      <c r="L413" s="115" t="s">
        <v>1612</v>
      </c>
      <c r="M413" s="115" t="s">
        <v>1356</v>
      </c>
      <c r="N413" s="4">
        <v>0.7</v>
      </c>
    </row>
    <row r="414" spans="11:14" x14ac:dyDescent="0.2">
      <c r="K414" s="115" t="s">
        <v>1611</v>
      </c>
      <c r="L414" s="115" t="s">
        <v>1612</v>
      </c>
      <c r="M414" s="115" t="s">
        <v>1357</v>
      </c>
      <c r="N414" s="4">
        <v>1.37</v>
      </c>
    </row>
    <row r="415" spans="11:14" x14ac:dyDescent="0.2">
      <c r="K415" s="115" t="s">
        <v>1613</v>
      </c>
      <c r="L415" s="115" t="s">
        <v>1612</v>
      </c>
      <c r="M415" s="115" t="s">
        <v>1354</v>
      </c>
      <c r="N415" s="4">
        <v>0.79</v>
      </c>
    </row>
    <row r="416" spans="11:14" x14ac:dyDescent="0.2">
      <c r="K416" s="115" t="s">
        <v>1613</v>
      </c>
      <c r="L416" s="115" t="s">
        <v>1612</v>
      </c>
      <c r="M416" s="115" t="s">
        <v>1355</v>
      </c>
      <c r="N416" s="4">
        <v>6.75</v>
      </c>
    </row>
    <row r="417" spans="11:14" x14ac:dyDescent="0.2">
      <c r="K417" s="115" t="s">
        <v>1613</v>
      </c>
      <c r="L417" s="115" t="s">
        <v>1612</v>
      </c>
      <c r="M417" s="115" t="s">
        <v>1356</v>
      </c>
      <c r="N417" s="4">
        <v>0.8</v>
      </c>
    </row>
    <row r="418" spans="11:14" x14ac:dyDescent="0.2">
      <c r="K418" s="115" t="s">
        <v>1614</v>
      </c>
      <c r="L418" s="115" t="s">
        <v>1483</v>
      </c>
      <c r="M418" s="115" t="s">
        <v>1354</v>
      </c>
      <c r="N418" s="4">
        <v>1.08</v>
      </c>
    </row>
    <row r="419" spans="11:14" x14ac:dyDescent="0.2">
      <c r="K419" s="115" t="s">
        <v>1614</v>
      </c>
      <c r="L419" s="115" t="s">
        <v>1483</v>
      </c>
      <c r="M419" s="115" t="s">
        <v>1355</v>
      </c>
      <c r="N419" s="4">
        <v>10.09</v>
      </c>
    </row>
    <row r="420" spans="11:14" x14ac:dyDescent="0.2">
      <c r="K420" s="115" t="s">
        <v>1614</v>
      </c>
      <c r="L420" s="115" t="s">
        <v>1483</v>
      </c>
      <c r="M420" s="115" t="s">
        <v>1356</v>
      </c>
      <c r="N420" s="4">
        <v>0.9</v>
      </c>
    </row>
    <row r="421" spans="11:14" x14ac:dyDescent="0.2">
      <c r="K421" s="115" t="s">
        <v>1614</v>
      </c>
      <c r="L421" s="115" t="s">
        <v>1483</v>
      </c>
      <c r="M421" s="115" t="s">
        <v>1357</v>
      </c>
      <c r="N421" s="4">
        <v>1.73</v>
      </c>
    </row>
    <row r="422" spans="11:14" x14ac:dyDescent="0.2">
      <c r="K422" s="115" t="s">
        <v>1615</v>
      </c>
      <c r="L422" s="115" t="s">
        <v>1489</v>
      </c>
      <c r="M422" s="115" t="s">
        <v>1354</v>
      </c>
      <c r="N422" s="4">
        <v>0.89</v>
      </c>
    </row>
    <row r="423" spans="11:14" x14ac:dyDescent="0.2">
      <c r="K423" s="115" t="s">
        <v>1615</v>
      </c>
      <c r="L423" s="115" t="s">
        <v>1489</v>
      </c>
      <c r="M423" s="115" t="s">
        <v>1355</v>
      </c>
      <c r="N423" s="4">
        <v>7.47</v>
      </c>
    </row>
    <row r="424" spans="11:14" x14ac:dyDescent="0.2">
      <c r="K424" s="115" t="s">
        <v>1615</v>
      </c>
      <c r="L424" s="115" t="s">
        <v>1489</v>
      </c>
      <c r="M424" s="115" t="s">
        <v>1356</v>
      </c>
      <c r="N424" s="4">
        <v>1.1000000000000001</v>
      </c>
    </row>
    <row r="425" spans="11:14" x14ac:dyDescent="0.2">
      <c r="K425" s="115" t="s">
        <v>1615</v>
      </c>
      <c r="L425" s="115" t="s">
        <v>1489</v>
      </c>
      <c r="M425" s="115" t="s">
        <v>1357</v>
      </c>
      <c r="N425" s="4">
        <v>1.45</v>
      </c>
    </row>
    <row r="426" spans="11:14" x14ac:dyDescent="0.2">
      <c r="K426" s="115" t="s">
        <v>1616</v>
      </c>
      <c r="L426" s="115" t="s">
        <v>1505</v>
      </c>
      <c r="M426" s="115" t="s">
        <v>1354</v>
      </c>
      <c r="N426" s="4">
        <v>0.68</v>
      </c>
    </row>
    <row r="427" spans="11:14" x14ac:dyDescent="0.2">
      <c r="K427" s="115" t="s">
        <v>1616</v>
      </c>
      <c r="L427" s="115" t="s">
        <v>1505</v>
      </c>
      <c r="M427" s="115" t="s">
        <v>1355</v>
      </c>
      <c r="N427" s="4">
        <v>4.4400000000000004</v>
      </c>
    </row>
    <row r="428" spans="11:14" x14ac:dyDescent="0.2">
      <c r="K428" s="115" t="s">
        <v>1616</v>
      </c>
      <c r="L428" s="115" t="s">
        <v>1505</v>
      </c>
      <c r="M428" s="115" t="s">
        <v>1356</v>
      </c>
      <c r="N428" s="4">
        <v>0.91</v>
      </c>
    </row>
    <row r="429" spans="11:14" x14ac:dyDescent="0.2">
      <c r="K429" s="115" t="s">
        <v>1616</v>
      </c>
      <c r="L429" s="115" t="s">
        <v>1505</v>
      </c>
      <c r="M429" s="115" t="s">
        <v>1357</v>
      </c>
      <c r="N429" s="4">
        <v>0.88</v>
      </c>
    </row>
    <row r="430" spans="11:14" x14ac:dyDescent="0.2">
      <c r="K430" s="115" t="s">
        <v>1617</v>
      </c>
      <c r="L430" s="115" t="s">
        <v>1574</v>
      </c>
      <c r="M430" s="115" t="s">
        <v>1354</v>
      </c>
      <c r="N430" s="4">
        <v>1.47</v>
      </c>
    </row>
    <row r="431" spans="11:14" x14ac:dyDescent="0.2">
      <c r="K431" s="115" t="s">
        <v>1617</v>
      </c>
      <c r="L431" s="115" t="s">
        <v>1574</v>
      </c>
      <c r="M431" s="115" t="s">
        <v>1355</v>
      </c>
      <c r="N431" s="4">
        <v>13.83</v>
      </c>
    </row>
    <row r="432" spans="11:14" x14ac:dyDescent="0.2">
      <c r="K432" s="115" t="s">
        <v>1617</v>
      </c>
      <c r="L432" s="115" t="s">
        <v>1574</v>
      </c>
      <c r="M432" s="115" t="s">
        <v>1356</v>
      </c>
      <c r="N432" s="4">
        <v>0.93</v>
      </c>
    </row>
    <row r="433" spans="11:14" x14ac:dyDescent="0.2">
      <c r="K433" s="115" t="s">
        <v>1617</v>
      </c>
      <c r="L433" s="115" t="s">
        <v>1574</v>
      </c>
      <c r="M433" s="115" t="s">
        <v>1357</v>
      </c>
      <c r="N433" s="4">
        <v>1.55</v>
      </c>
    </row>
    <row r="434" spans="11:14" x14ac:dyDescent="0.2">
      <c r="K434" s="115" t="s">
        <v>1618</v>
      </c>
      <c r="L434" s="115" t="s">
        <v>1588</v>
      </c>
      <c r="M434" s="115" t="s">
        <v>1354</v>
      </c>
      <c r="N434" s="4">
        <v>2.9</v>
      </c>
    </row>
    <row r="435" spans="11:14" x14ac:dyDescent="0.2">
      <c r="K435" s="115" t="s">
        <v>1618</v>
      </c>
      <c r="L435" s="115" t="s">
        <v>1588</v>
      </c>
      <c r="M435" s="115" t="s">
        <v>1355</v>
      </c>
      <c r="N435" s="4">
        <v>10.85</v>
      </c>
    </row>
    <row r="436" spans="11:14" x14ac:dyDescent="0.2">
      <c r="K436" s="115" t="s">
        <v>1618</v>
      </c>
      <c r="L436" s="115" t="s">
        <v>1588</v>
      </c>
      <c r="M436" s="115" t="s">
        <v>1356</v>
      </c>
      <c r="N436" s="4">
        <v>1.94</v>
      </c>
    </row>
    <row r="437" spans="11:14" x14ac:dyDescent="0.2">
      <c r="K437" s="115" t="s">
        <v>1618</v>
      </c>
      <c r="L437" s="115" t="s">
        <v>1588</v>
      </c>
      <c r="M437" s="115" t="s">
        <v>1357</v>
      </c>
      <c r="N437" s="4">
        <v>2.35</v>
      </c>
    </row>
    <row r="438" spans="11:14" x14ac:dyDescent="0.2">
      <c r="K438" s="115" t="s">
        <v>1619</v>
      </c>
      <c r="L438" s="115" t="s">
        <v>1502</v>
      </c>
      <c r="M438" s="115" t="s">
        <v>1354</v>
      </c>
      <c r="N438" s="4">
        <v>1.46</v>
      </c>
    </row>
    <row r="439" spans="11:14" x14ac:dyDescent="0.2">
      <c r="K439" s="115" t="s">
        <v>1619</v>
      </c>
      <c r="L439" s="115" t="s">
        <v>1502</v>
      </c>
      <c r="M439" s="115" t="s">
        <v>1355</v>
      </c>
      <c r="N439" s="4">
        <v>12.31</v>
      </c>
    </row>
    <row r="440" spans="11:14" x14ac:dyDescent="0.2">
      <c r="K440" s="115" t="s">
        <v>1619</v>
      </c>
      <c r="L440" s="115" t="s">
        <v>1502</v>
      </c>
      <c r="M440" s="115" t="s">
        <v>1356</v>
      </c>
      <c r="N440" s="4">
        <v>1.1200000000000001</v>
      </c>
    </row>
    <row r="441" spans="11:14" x14ac:dyDescent="0.2">
      <c r="K441" s="115" t="s">
        <v>1619</v>
      </c>
      <c r="L441" s="115" t="s">
        <v>1502</v>
      </c>
      <c r="M441" s="115" t="s">
        <v>1357</v>
      </c>
      <c r="N441" s="4">
        <v>1.87</v>
      </c>
    </row>
    <row r="442" spans="11:14" x14ac:dyDescent="0.2">
      <c r="K442" s="115" t="s">
        <v>1620</v>
      </c>
      <c r="L442" s="115" t="s">
        <v>1483</v>
      </c>
      <c r="M442" s="115" t="s">
        <v>1354</v>
      </c>
      <c r="N442" s="4">
        <v>1.1499999999999999</v>
      </c>
    </row>
    <row r="443" spans="11:14" x14ac:dyDescent="0.2">
      <c r="K443" s="115" t="s">
        <v>1620</v>
      </c>
      <c r="L443" s="115" t="s">
        <v>1483</v>
      </c>
      <c r="M443" s="115" t="s">
        <v>1355</v>
      </c>
      <c r="N443" s="4">
        <v>10.52</v>
      </c>
    </row>
    <row r="444" spans="11:14" x14ac:dyDescent="0.2">
      <c r="K444" s="115" t="s">
        <v>1620</v>
      </c>
      <c r="L444" s="115" t="s">
        <v>1483</v>
      </c>
      <c r="M444" s="115" t="s">
        <v>1356</v>
      </c>
      <c r="N444" s="4">
        <v>0.93</v>
      </c>
    </row>
    <row r="445" spans="11:14" x14ac:dyDescent="0.2">
      <c r="K445" s="115" t="s">
        <v>1620</v>
      </c>
      <c r="L445" s="115" t="s">
        <v>1483</v>
      </c>
      <c r="M445" s="115" t="s">
        <v>1357</v>
      </c>
      <c r="N445" s="4">
        <v>1.92</v>
      </c>
    </row>
    <row r="446" spans="11:14" x14ac:dyDescent="0.2">
      <c r="K446" s="115" t="s">
        <v>1621</v>
      </c>
      <c r="L446" s="115" t="s">
        <v>1491</v>
      </c>
      <c r="M446" s="115" t="s">
        <v>1354</v>
      </c>
      <c r="N446" s="4">
        <v>0.81</v>
      </c>
    </row>
    <row r="447" spans="11:14" x14ac:dyDescent="0.2">
      <c r="K447" s="115" t="s">
        <v>1621</v>
      </c>
      <c r="L447" s="115" t="s">
        <v>1491</v>
      </c>
      <c r="M447" s="115" t="s">
        <v>1355</v>
      </c>
      <c r="N447" s="4">
        <v>10.83</v>
      </c>
    </row>
    <row r="448" spans="11:14" x14ac:dyDescent="0.2">
      <c r="K448" s="115" t="s">
        <v>1621</v>
      </c>
      <c r="L448" s="115" t="s">
        <v>1491</v>
      </c>
      <c r="M448" s="115" t="s">
        <v>1356</v>
      </c>
      <c r="N448" s="4">
        <v>0.69</v>
      </c>
    </row>
    <row r="449" spans="11:14" x14ac:dyDescent="0.2">
      <c r="K449" s="115" t="s">
        <v>1621</v>
      </c>
      <c r="L449" s="115" t="s">
        <v>1491</v>
      </c>
      <c r="M449" s="115" t="s">
        <v>1357</v>
      </c>
      <c r="N449" s="4">
        <v>0.86</v>
      </c>
    </row>
    <row r="450" spans="11:14" x14ac:dyDescent="0.2">
      <c r="K450" s="115" t="s">
        <v>1622</v>
      </c>
      <c r="L450" s="115" t="s">
        <v>1593</v>
      </c>
      <c r="M450" s="115" t="s">
        <v>1354</v>
      </c>
      <c r="N450" s="4">
        <v>0.51</v>
      </c>
    </row>
    <row r="451" spans="11:14" x14ac:dyDescent="0.2">
      <c r="K451" s="115" t="s">
        <v>1622</v>
      </c>
      <c r="L451" s="115" t="s">
        <v>1593</v>
      </c>
      <c r="M451" s="115" t="s">
        <v>1355</v>
      </c>
      <c r="N451" s="4">
        <v>4.91</v>
      </c>
    </row>
    <row r="452" spans="11:14" x14ac:dyDescent="0.2">
      <c r="K452" s="115" t="s">
        <v>1622</v>
      </c>
      <c r="L452" s="115" t="s">
        <v>1593</v>
      </c>
      <c r="M452" s="115" t="s">
        <v>1356</v>
      </c>
      <c r="N452" s="4">
        <v>1.02</v>
      </c>
    </row>
    <row r="453" spans="11:14" x14ac:dyDescent="0.2">
      <c r="K453" s="115" t="s">
        <v>1622</v>
      </c>
      <c r="L453" s="115" t="s">
        <v>1593</v>
      </c>
      <c r="M453" s="115" t="s">
        <v>1357</v>
      </c>
      <c r="N453" s="4">
        <v>1.05</v>
      </c>
    </row>
    <row r="454" spans="11:14" x14ac:dyDescent="0.2">
      <c r="K454" s="115" t="s">
        <v>1623</v>
      </c>
      <c r="L454" s="115" t="s">
        <v>1542</v>
      </c>
      <c r="M454" s="115" t="s">
        <v>1354</v>
      </c>
      <c r="N454" s="4">
        <v>1.7</v>
      </c>
    </row>
    <row r="455" spans="11:14" x14ac:dyDescent="0.2">
      <c r="K455" s="115" t="s">
        <v>1623</v>
      </c>
      <c r="L455" s="115" t="s">
        <v>1542</v>
      </c>
      <c r="M455" s="115" t="s">
        <v>1355</v>
      </c>
      <c r="N455" s="4">
        <v>11.23</v>
      </c>
    </row>
    <row r="456" spans="11:14" x14ac:dyDescent="0.2">
      <c r="K456" s="115" t="s">
        <v>1623</v>
      </c>
      <c r="L456" s="115" t="s">
        <v>1542</v>
      </c>
      <c r="M456" s="115" t="s">
        <v>1356</v>
      </c>
      <c r="N456" s="4">
        <v>1.03</v>
      </c>
    </row>
    <row r="457" spans="11:14" x14ac:dyDescent="0.2">
      <c r="K457" s="115" t="s">
        <v>1623</v>
      </c>
      <c r="L457" s="115" t="s">
        <v>1542</v>
      </c>
      <c r="M457" s="115" t="s">
        <v>1357</v>
      </c>
      <c r="N457" s="4">
        <v>1.28</v>
      </c>
    </row>
    <row r="458" spans="11:14" x14ac:dyDescent="0.2">
      <c r="K458" s="115" t="s">
        <v>1624</v>
      </c>
      <c r="L458" s="115" t="s">
        <v>1555</v>
      </c>
      <c r="M458" s="115" t="s">
        <v>1354</v>
      </c>
      <c r="N458" s="4">
        <v>1.04</v>
      </c>
    </row>
    <row r="459" spans="11:14" x14ac:dyDescent="0.2">
      <c r="K459" s="115" t="s">
        <v>1624</v>
      </c>
      <c r="L459" s="115" t="s">
        <v>1555</v>
      </c>
      <c r="M459" s="115" t="s">
        <v>1355</v>
      </c>
      <c r="N459" s="4">
        <v>7.63</v>
      </c>
    </row>
    <row r="460" spans="11:14" x14ac:dyDescent="0.2">
      <c r="K460" s="115" t="s">
        <v>1624</v>
      </c>
      <c r="L460" s="115" t="s">
        <v>1555</v>
      </c>
      <c r="M460" s="115" t="s">
        <v>1356</v>
      </c>
      <c r="N460" s="4">
        <v>0.87</v>
      </c>
    </row>
    <row r="461" spans="11:14" x14ac:dyDescent="0.2">
      <c r="K461" s="115" t="s">
        <v>1624</v>
      </c>
      <c r="L461" s="115" t="s">
        <v>1555</v>
      </c>
      <c r="M461" s="115" t="s">
        <v>1357</v>
      </c>
      <c r="N461" s="4">
        <v>1.67</v>
      </c>
    </row>
    <row r="462" spans="11:14" x14ac:dyDescent="0.2">
      <c r="K462" s="115" t="s">
        <v>1625</v>
      </c>
      <c r="L462" s="115" t="s">
        <v>1535</v>
      </c>
      <c r="M462" s="115" t="s">
        <v>1354</v>
      </c>
      <c r="N462" s="4">
        <v>0.75</v>
      </c>
    </row>
    <row r="463" spans="11:14" x14ac:dyDescent="0.2">
      <c r="K463" s="115" t="s">
        <v>1625</v>
      </c>
      <c r="L463" s="115" t="s">
        <v>1535</v>
      </c>
      <c r="M463" s="115" t="s">
        <v>1355</v>
      </c>
      <c r="N463" s="4">
        <v>6.32</v>
      </c>
    </row>
    <row r="464" spans="11:14" x14ac:dyDescent="0.2">
      <c r="K464" s="115" t="s">
        <v>1625</v>
      </c>
      <c r="L464" s="115" t="s">
        <v>1535</v>
      </c>
      <c r="M464" s="115" t="s">
        <v>1356</v>
      </c>
      <c r="N464" s="4">
        <v>0.62</v>
      </c>
    </row>
    <row r="465" spans="11:14" x14ac:dyDescent="0.2">
      <c r="K465" s="115" t="s">
        <v>1625</v>
      </c>
      <c r="L465" s="115" t="s">
        <v>1535</v>
      </c>
      <c r="M465" s="115" t="s">
        <v>1357</v>
      </c>
      <c r="N465" s="4">
        <v>0.86</v>
      </c>
    </row>
    <row r="466" spans="11:14" x14ac:dyDescent="0.2">
      <c r="K466" s="115" t="s">
        <v>1626</v>
      </c>
      <c r="L466" s="115" t="s">
        <v>1535</v>
      </c>
      <c r="M466" s="115" t="s">
        <v>1354</v>
      </c>
      <c r="N466" s="4">
        <v>0.75</v>
      </c>
    </row>
    <row r="467" spans="11:14" x14ac:dyDescent="0.2">
      <c r="K467" s="115" t="s">
        <v>1626</v>
      </c>
      <c r="L467" s="115" t="s">
        <v>1535</v>
      </c>
      <c r="M467" s="115" t="s">
        <v>1355</v>
      </c>
      <c r="N467" s="4">
        <v>5.87</v>
      </c>
    </row>
    <row r="468" spans="11:14" x14ac:dyDescent="0.2">
      <c r="K468" s="115" t="s">
        <v>1626</v>
      </c>
      <c r="L468" s="115" t="s">
        <v>1535</v>
      </c>
      <c r="M468" s="115" t="s">
        <v>1356</v>
      </c>
      <c r="N468" s="4">
        <v>0.56000000000000005</v>
      </c>
    </row>
    <row r="469" spans="11:14" x14ac:dyDescent="0.2">
      <c r="K469" s="115" t="s">
        <v>1626</v>
      </c>
      <c r="L469" s="115" t="s">
        <v>1535</v>
      </c>
      <c r="M469" s="115" t="s">
        <v>1357</v>
      </c>
      <c r="N469" s="4">
        <v>0.78</v>
      </c>
    </row>
    <row r="470" spans="11:14" x14ac:dyDescent="0.2">
      <c r="K470" s="115" t="s">
        <v>1627</v>
      </c>
      <c r="L470" s="115" t="s">
        <v>1602</v>
      </c>
      <c r="M470" s="115" t="s">
        <v>1354</v>
      </c>
      <c r="N470" s="4">
        <v>0.87</v>
      </c>
    </row>
    <row r="471" spans="11:14" x14ac:dyDescent="0.2">
      <c r="K471" s="115" t="s">
        <v>1627</v>
      </c>
      <c r="L471" s="115" t="s">
        <v>1602</v>
      </c>
      <c r="M471" s="115" t="s">
        <v>1355</v>
      </c>
      <c r="N471" s="4">
        <v>7.6</v>
      </c>
    </row>
    <row r="472" spans="11:14" x14ac:dyDescent="0.2">
      <c r="K472" s="115" t="s">
        <v>1627</v>
      </c>
      <c r="L472" s="115" t="s">
        <v>1602</v>
      </c>
      <c r="M472" s="115" t="s">
        <v>1356</v>
      </c>
      <c r="N472" s="4">
        <v>0.87</v>
      </c>
    </row>
    <row r="473" spans="11:14" x14ac:dyDescent="0.2">
      <c r="K473" s="115" t="s">
        <v>1627</v>
      </c>
      <c r="L473" s="115" t="s">
        <v>1602</v>
      </c>
      <c r="M473" s="115" t="s">
        <v>1357</v>
      </c>
      <c r="N473" s="4">
        <v>1.64</v>
      </c>
    </row>
    <row r="474" spans="11:14" x14ac:dyDescent="0.2">
      <c r="K474" s="115" t="s">
        <v>1628</v>
      </c>
      <c r="L474" s="115" t="s">
        <v>1493</v>
      </c>
      <c r="M474" s="115" t="s">
        <v>1354</v>
      </c>
      <c r="N474" s="4">
        <v>2.67</v>
      </c>
    </row>
    <row r="475" spans="11:14" x14ac:dyDescent="0.2">
      <c r="K475" s="115" t="s">
        <v>1628</v>
      </c>
      <c r="L475" s="115" t="s">
        <v>1493</v>
      </c>
      <c r="M475" s="115" t="s">
        <v>1355</v>
      </c>
      <c r="N475" s="4">
        <v>23.8</v>
      </c>
    </row>
    <row r="476" spans="11:14" x14ac:dyDescent="0.2">
      <c r="K476" s="115" t="s">
        <v>1628</v>
      </c>
      <c r="L476" s="115" t="s">
        <v>1493</v>
      </c>
      <c r="M476" s="115" t="s">
        <v>1356</v>
      </c>
      <c r="N476" s="4">
        <v>1.54</v>
      </c>
    </row>
    <row r="477" spans="11:14" x14ac:dyDescent="0.2">
      <c r="K477" s="115" t="s">
        <v>1628</v>
      </c>
      <c r="L477" s="115" t="s">
        <v>1493</v>
      </c>
      <c r="M477" s="115" t="s">
        <v>1357</v>
      </c>
      <c r="N477" s="4">
        <v>2.44</v>
      </c>
    </row>
  </sheetData>
  <mergeCells count="5">
    <mergeCell ref="B1:C1"/>
    <mergeCell ref="B2:C2"/>
    <mergeCell ref="B3:C3"/>
    <mergeCell ref="B4:C4"/>
    <mergeCell ref="B6:D6"/>
  </mergeCells>
  <hyperlinks>
    <hyperlink ref="B6:D6" location="Inhoud!A1" display="Ga naar Inhoudsopgave" xr:uid="{30A62448-CFF1-4D44-9783-DCF0447D9960}"/>
  </hyperlinks>
  <pageMargins left="0.7" right="0.7" top="0.75" bottom="0.75" header="0.3" footer="0.3"/>
  <pageSetup paperSize="9" orientation="landscape" r:id="rId2"/>
  <tableParts count="2">
    <tablePart r:id="rId3"/>
    <tablePart r:id="rId4"/>
  </tableParts>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FF2E2-4C83-4993-8A99-874086C339B4}">
  <dimension ref="B1:T27"/>
  <sheetViews>
    <sheetView tabSelected="1" workbookViewId="0">
      <pane xSplit="1" ySplit="6" topLeftCell="J7" activePane="bottomRight" state="frozen"/>
      <selection pane="topRight" activeCell="B1" sqref="B1"/>
      <selection pane="bottomLeft" activeCell="A5" sqref="A5"/>
      <selection pane="bottomRight" activeCell="V17" sqref="V17"/>
    </sheetView>
  </sheetViews>
  <sheetFormatPr defaultRowHeight="12.75" x14ac:dyDescent="0.2"/>
  <cols>
    <col min="1" max="2" width="3.7109375" style="4" customWidth="1"/>
    <col min="3" max="3" width="7.7109375" style="4" customWidth="1"/>
    <col min="4" max="4" width="8" style="4" customWidth="1"/>
    <col min="5" max="5" width="10.28515625" style="4" bestFit="1" customWidth="1"/>
    <col min="6" max="6" width="7.7109375" style="4" customWidth="1"/>
    <col min="7" max="7" width="9" style="4" customWidth="1"/>
    <col min="8" max="8" width="9.42578125" style="4" customWidth="1"/>
    <col min="9" max="9" width="8.42578125" style="4" customWidth="1"/>
    <col min="10" max="10" width="9.140625" style="4"/>
    <col min="11" max="11" width="5.28515625" style="4" bestFit="1" customWidth="1"/>
    <col min="12" max="12" width="7.28515625" style="4" bestFit="1" customWidth="1"/>
    <col min="13" max="13" width="11.5703125" style="4" bestFit="1" customWidth="1"/>
    <col min="14" max="14" width="11.28515625" style="4" bestFit="1" customWidth="1"/>
    <col min="15" max="16" width="7" style="4" bestFit="1" customWidth="1"/>
    <col min="17" max="17" width="9.140625" style="4"/>
    <col min="18" max="18" width="10.85546875" style="4" bestFit="1" customWidth="1"/>
    <col min="19" max="19" width="24.42578125" style="4" bestFit="1" customWidth="1"/>
    <col min="20" max="20" width="20" style="4" bestFit="1" customWidth="1"/>
    <col min="21" max="16384" width="9.140625" style="4"/>
  </cols>
  <sheetData>
    <row r="1" spans="2:20" x14ac:dyDescent="0.2">
      <c r="B1" s="355" t="s">
        <v>1253</v>
      </c>
      <c r="C1" s="355"/>
      <c r="D1" s="354" t="s">
        <v>1633</v>
      </c>
      <c r="H1" s="354"/>
    </row>
    <row r="2" spans="2:20" x14ac:dyDescent="0.2">
      <c r="B2" s="355" t="s">
        <v>1085</v>
      </c>
      <c r="C2" s="355"/>
      <c r="D2" s="354" t="str">
        <f>VLOOKUP(D$1,TabelContent[],COLUMN(TabelContent[Titel-NL]))</f>
        <v>Rekenen en Taal cijfers</v>
      </c>
      <c r="H2" s="354"/>
    </row>
    <row r="3" spans="2:20" x14ac:dyDescent="0.2">
      <c r="B3" s="355" t="s">
        <v>1086</v>
      </c>
      <c r="C3" s="355"/>
      <c r="D3" s="354" t="str">
        <f>VLOOKUP(D$1,TabelContent[],COLUMN(TabelContent[Cat-NL]))</f>
        <v>Gestructureerde gegevens</v>
      </c>
      <c r="H3" s="354"/>
    </row>
    <row r="4" spans="2:20" x14ac:dyDescent="0.2">
      <c r="B4" s="355" t="s">
        <v>1087</v>
      </c>
      <c r="C4" s="355" t="s">
        <v>1077</v>
      </c>
      <c r="D4" s="354">
        <f>VLOOKUP(D$1,TabelContent[],COLUMN(TabelContent[Niveau]))</f>
        <v>3</v>
      </c>
      <c r="H4" s="354"/>
    </row>
    <row r="5" spans="2:20" x14ac:dyDescent="0.2">
      <c r="B5" s="16"/>
      <c r="C5" s="16"/>
      <c r="D5" s="16"/>
      <c r="F5" s="16"/>
      <c r="G5" s="16"/>
      <c r="H5" s="16"/>
    </row>
    <row r="6" spans="2:20" x14ac:dyDescent="0.2">
      <c r="B6" s="356" t="s">
        <v>47</v>
      </c>
      <c r="C6" s="356"/>
      <c r="D6" s="356"/>
      <c r="H6" s="354"/>
    </row>
    <row r="7" spans="2:20" x14ac:dyDescent="0.2">
      <c r="B7" s="16"/>
      <c r="C7" s="16"/>
      <c r="D7" s="16"/>
    </row>
    <row r="8" spans="2:20" x14ac:dyDescent="0.2">
      <c r="B8" s="16"/>
      <c r="D8" s="114" t="s">
        <v>1634</v>
      </c>
      <c r="E8" s="4" t="s">
        <v>1635</v>
      </c>
      <c r="F8" s="114" t="s">
        <v>53</v>
      </c>
      <c r="G8" s="114" t="s">
        <v>1636</v>
      </c>
      <c r="H8" s="114" t="s">
        <v>1637</v>
      </c>
      <c r="I8" s="114" t="s">
        <v>1638</v>
      </c>
    </row>
    <row r="9" spans="2:20" x14ac:dyDescent="0.2">
      <c r="B9" s="16"/>
      <c r="D9" s="4">
        <v>1</v>
      </c>
      <c r="E9" s="4" t="s">
        <v>1639</v>
      </c>
      <c r="F9" s="4">
        <v>2017</v>
      </c>
      <c r="G9" s="4">
        <v>61</v>
      </c>
      <c r="H9" s="4">
        <v>69</v>
      </c>
      <c r="I9" s="4">
        <v>63</v>
      </c>
      <c r="K9" s="4" t="s">
        <v>1634</v>
      </c>
      <c r="L9" s="4" t="s">
        <v>53</v>
      </c>
      <c r="M9" t="s">
        <v>1643</v>
      </c>
      <c r="N9" s="4" t="s">
        <v>1639</v>
      </c>
      <c r="O9" s="4" t="s">
        <v>1640</v>
      </c>
      <c r="R9" s="111" t="s">
        <v>1629</v>
      </c>
      <c r="S9" s="4" t="s">
        <v>1644</v>
      </c>
      <c r="T9" s="4" t="s">
        <v>1645</v>
      </c>
    </row>
    <row r="10" spans="2:20" x14ac:dyDescent="0.2">
      <c r="B10" s="16"/>
      <c r="D10" s="4">
        <v>1</v>
      </c>
      <c r="E10" s="4" t="s">
        <v>1639</v>
      </c>
      <c r="F10" s="4">
        <v>2018</v>
      </c>
      <c r="G10" s="4">
        <v>54</v>
      </c>
      <c r="H10" s="4">
        <v>86</v>
      </c>
      <c r="I10" s="4">
        <v>56</v>
      </c>
      <c r="K10" s="4">
        <v>1</v>
      </c>
      <c r="L10" s="115" t="s">
        <v>1641</v>
      </c>
      <c r="M10" s="115" t="s">
        <v>1636</v>
      </c>
      <c r="N10" s="4">
        <v>61</v>
      </c>
      <c r="O10" s="4">
        <v>75</v>
      </c>
      <c r="R10" s="114" t="s">
        <v>1641</v>
      </c>
      <c r="S10" s="113">
        <v>62.888888888888886</v>
      </c>
      <c r="T10" s="113">
        <v>69.333333333333329</v>
      </c>
    </row>
    <row r="11" spans="2:20" x14ac:dyDescent="0.2">
      <c r="D11" s="4">
        <v>1</v>
      </c>
      <c r="E11" s="4" t="s">
        <v>1640</v>
      </c>
      <c r="F11" s="4">
        <v>2017</v>
      </c>
      <c r="G11" s="4">
        <v>75</v>
      </c>
      <c r="H11" s="4">
        <v>80</v>
      </c>
      <c r="I11" s="4">
        <v>75</v>
      </c>
      <c r="K11" s="4">
        <v>1</v>
      </c>
      <c r="L11" s="115" t="s">
        <v>1641</v>
      </c>
      <c r="M11" s="115" t="s">
        <v>1638</v>
      </c>
      <c r="N11" s="4">
        <v>63</v>
      </c>
      <c r="O11" s="4">
        <v>75</v>
      </c>
      <c r="R11" s="114" t="s">
        <v>1642</v>
      </c>
      <c r="S11" s="113">
        <v>65</v>
      </c>
      <c r="T11" s="113">
        <v>68.111111111111114</v>
      </c>
    </row>
    <row r="12" spans="2:20" x14ac:dyDescent="0.2">
      <c r="D12" s="4">
        <v>1</v>
      </c>
      <c r="E12" s="4" t="s">
        <v>1640</v>
      </c>
      <c r="F12" s="4">
        <v>2018</v>
      </c>
      <c r="G12" s="4">
        <v>50</v>
      </c>
      <c r="H12" s="4">
        <v>71</v>
      </c>
      <c r="I12" s="4">
        <v>59</v>
      </c>
      <c r="K12" s="4">
        <v>1</v>
      </c>
      <c r="L12" s="115" t="s">
        <v>1641</v>
      </c>
      <c r="M12" s="115" t="s">
        <v>1637</v>
      </c>
      <c r="N12" s="4">
        <v>69</v>
      </c>
      <c r="O12" s="4">
        <v>80</v>
      </c>
      <c r="R12" s="114" t="s">
        <v>613</v>
      </c>
      <c r="S12" s="113">
        <v>63.944444444444443</v>
      </c>
      <c r="T12" s="113">
        <v>68.722222222222229</v>
      </c>
    </row>
    <row r="13" spans="2:20" x14ac:dyDescent="0.2">
      <c r="D13" s="4">
        <v>2</v>
      </c>
      <c r="E13" s="4" t="s">
        <v>1639</v>
      </c>
      <c r="F13" s="4">
        <v>2017</v>
      </c>
      <c r="G13" s="4">
        <v>54</v>
      </c>
      <c r="H13" s="4">
        <v>82</v>
      </c>
      <c r="I13" s="4">
        <v>56</v>
      </c>
      <c r="K13" s="4">
        <v>1</v>
      </c>
      <c r="L13" s="115" t="s">
        <v>1642</v>
      </c>
      <c r="M13" s="115" t="s">
        <v>1636</v>
      </c>
      <c r="N13" s="4">
        <v>54</v>
      </c>
      <c r="O13" s="4">
        <v>50</v>
      </c>
      <c r="R13"/>
      <c r="S13"/>
      <c r="T13"/>
    </row>
    <row r="14" spans="2:20" x14ac:dyDescent="0.2">
      <c r="D14" s="4">
        <v>2</v>
      </c>
      <c r="E14" s="4" t="s">
        <v>1639</v>
      </c>
      <c r="F14" s="4">
        <v>2018</v>
      </c>
      <c r="G14" s="4">
        <v>63</v>
      </c>
      <c r="H14" s="4">
        <v>73</v>
      </c>
      <c r="I14" s="4">
        <v>59</v>
      </c>
      <c r="K14" s="4">
        <v>1</v>
      </c>
      <c r="L14" s="115" t="s">
        <v>1642</v>
      </c>
      <c r="M14" s="115" t="s">
        <v>1638</v>
      </c>
      <c r="N14" s="4">
        <v>56</v>
      </c>
      <c r="O14" s="4">
        <v>59</v>
      </c>
      <c r="R14"/>
      <c r="S14"/>
      <c r="T14"/>
    </row>
    <row r="15" spans="2:20" x14ac:dyDescent="0.2">
      <c r="D15" s="4">
        <v>2</v>
      </c>
      <c r="E15" s="4" t="s">
        <v>1640</v>
      </c>
      <c r="F15" s="4">
        <v>2017</v>
      </c>
      <c r="G15" s="4">
        <v>56</v>
      </c>
      <c r="H15" s="4">
        <v>90</v>
      </c>
      <c r="I15" s="4">
        <v>52</v>
      </c>
      <c r="K15" s="4">
        <v>1</v>
      </c>
      <c r="L15" s="115" t="s">
        <v>1642</v>
      </c>
      <c r="M15" s="115" t="s">
        <v>1637</v>
      </c>
      <c r="N15" s="4">
        <v>86</v>
      </c>
      <c r="O15" s="4">
        <v>71</v>
      </c>
      <c r="R15"/>
      <c r="S15"/>
      <c r="T15"/>
    </row>
    <row r="16" spans="2:20" x14ac:dyDescent="0.2">
      <c r="D16" s="4">
        <v>2</v>
      </c>
      <c r="E16" s="4" t="s">
        <v>1640</v>
      </c>
      <c r="F16" s="4">
        <v>2018</v>
      </c>
      <c r="G16" s="4">
        <v>77</v>
      </c>
      <c r="H16" s="4">
        <v>84</v>
      </c>
      <c r="I16" s="4">
        <v>71</v>
      </c>
      <c r="K16" s="4">
        <v>2</v>
      </c>
      <c r="L16" s="115" t="s">
        <v>1641</v>
      </c>
      <c r="M16" s="115" t="s">
        <v>1636</v>
      </c>
      <c r="N16" s="4">
        <v>54</v>
      </c>
      <c r="O16" s="4">
        <v>56</v>
      </c>
      <c r="R16"/>
      <c r="S16"/>
      <c r="T16"/>
    </row>
    <row r="17" spans="4:20" x14ac:dyDescent="0.2">
      <c r="D17" s="4">
        <v>3</v>
      </c>
      <c r="E17" s="4" t="s">
        <v>1639</v>
      </c>
      <c r="F17" s="4">
        <v>2017</v>
      </c>
      <c r="G17" s="4">
        <v>52</v>
      </c>
      <c r="H17" s="4">
        <v>75</v>
      </c>
      <c r="I17" s="4">
        <v>54</v>
      </c>
      <c r="K17" s="4">
        <v>2</v>
      </c>
      <c r="L17" s="115" t="s">
        <v>1641</v>
      </c>
      <c r="M17" s="115" t="s">
        <v>1638</v>
      </c>
      <c r="N17" s="4">
        <v>56</v>
      </c>
      <c r="O17" s="4">
        <v>52</v>
      </c>
      <c r="R17"/>
      <c r="S17"/>
      <c r="T17"/>
    </row>
    <row r="18" spans="4:20" x14ac:dyDescent="0.2">
      <c r="D18" s="4">
        <v>3</v>
      </c>
      <c r="E18" s="4" t="s">
        <v>1639</v>
      </c>
      <c r="F18" s="4">
        <v>2018</v>
      </c>
      <c r="G18" s="4">
        <v>56</v>
      </c>
      <c r="H18" s="4">
        <v>86</v>
      </c>
      <c r="I18" s="4">
        <v>52</v>
      </c>
      <c r="K18" s="4">
        <v>2</v>
      </c>
      <c r="L18" s="115" t="s">
        <v>1641</v>
      </c>
      <c r="M18" s="115" t="s">
        <v>1637</v>
      </c>
      <c r="N18" s="4">
        <v>82</v>
      </c>
      <c r="O18" s="4">
        <v>90</v>
      </c>
      <c r="R18"/>
      <c r="S18"/>
      <c r="T18"/>
    </row>
    <row r="19" spans="4:20" x14ac:dyDescent="0.2">
      <c r="D19" s="4">
        <v>3</v>
      </c>
      <c r="E19" s="4" t="s">
        <v>1640</v>
      </c>
      <c r="F19" s="4">
        <v>2017</v>
      </c>
      <c r="G19" s="4">
        <v>65</v>
      </c>
      <c r="H19" s="4">
        <v>77</v>
      </c>
      <c r="I19" s="4">
        <v>54</v>
      </c>
      <c r="K19" s="4">
        <v>2</v>
      </c>
      <c r="L19" s="115" t="s">
        <v>1642</v>
      </c>
      <c r="M19" s="115" t="s">
        <v>1636</v>
      </c>
      <c r="N19" s="4">
        <v>63</v>
      </c>
      <c r="O19" s="4">
        <v>77</v>
      </c>
      <c r="R19"/>
      <c r="S19"/>
      <c r="T19"/>
    </row>
    <row r="20" spans="4:20" x14ac:dyDescent="0.2">
      <c r="D20" s="4">
        <v>3</v>
      </c>
      <c r="E20" s="4" t="s">
        <v>1640</v>
      </c>
      <c r="F20" s="4">
        <v>2018</v>
      </c>
      <c r="G20" s="4">
        <v>59</v>
      </c>
      <c r="H20" s="4">
        <v>94</v>
      </c>
      <c r="I20" s="4">
        <v>48</v>
      </c>
      <c r="K20" s="4">
        <v>2</v>
      </c>
      <c r="L20" s="115" t="s">
        <v>1642</v>
      </c>
      <c r="M20" s="115" t="s">
        <v>1638</v>
      </c>
      <c r="N20" s="4">
        <v>59</v>
      </c>
      <c r="O20" s="4">
        <v>71</v>
      </c>
      <c r="R20"/>
      <c r="S20"/>
      <c r="T20"/>
    </row>
    <row r="21" spans="4:20" x14ac:dyDescent="0.2">
      <c r="K21" s="4">
        <v>2</v>
      </c>
      <c r="L21" s="115" t="s">
        <v>1642</v>
      </c>
      <c r="M21" s="115" t="s">
        <v>1637</v>
      </c>
      <c r="N21" s="4">
        <v>73</v>
      </c>
      <c r="O21" s="4">
        <v>84</v>
      </c>
      <c r="R21"/>
      <c r="S21"/>
      <c r="T21"/>
    </row>
    <row r="22" spans="4:20" x14ac:dyDescent="0.2">
      <c r="K22" s="4">
        <v>3</v>
      </c>
      <c r="L22" s="115" t="s">
        <v>1641</v>
      </c>
      <c r="M22" s="115" t="s">
        <v>1636</v>
      </c>
      <c r="N22" s="4">
        <v>52</v>
      </c>
      <c r="O22" s="4">
        <v>65</v>
      </c>
      <c r="R22"/>
      <c r="S22"/>
      <c r="T22"/>
    </row>
    <row r="23" spans="4:20" x14ac:dyDescent="0.2">
      <c r="K23" s="4">
        <v>3</v>
      </c>
      <c r="L23" s="115" t="s">
        <v>1641</v>
      </c>
      <c r="M23" s="115" t="s">
        <v>1638</v>
      </c>
      <c r="N23" s="4">
        <v>54</v>
      </c>
      <c r="O23" s="4">
        <v>54</v>
      </c>
      <c r="R23"/>
      <c r="S23"/>
      <c r="T23"/>
    </row>
    <row r="24" spans="4:20" x14ac:dyDescent="0.2">
      <c r="K24" s="4">
        <v>3</v>
      </c>
      <c r="L24" s="115" t="s">
        <v>1641</v>
      </c>
      <c r="M24" s="115" t="s">
        <v>1637</v>
      </c>
      <c r="N24" s="4">
        <v>75</v>
      </c>
      <c r="O24" s="4">
        <v>77</v>
      </c>
      <c r="R24"/>
      <c r="S24"/>
      <c r="T24"/>
    </row>
    <row r="25" spans="4:20" x14ac:dyDescent="0.2">
      <c r="K25" s="4">
        <v>3</v>
      </c>
      <c r="L25" s="115" t="s">
        <v>1642</v>
      </c>
      <c r="M25" s="115" t="s">
        <v>1636</v>
      </c>
      <c r="N25" s="4">
        <v>56</v>
      </c>
      <c r="O25" s="4">
        <v>59</v>
      </c>
      <c r="R25"/>
      <c r="S25"/>
      <c r="T25"/>
    </row>
    <row r="26" spans="4:20" x14ac:dyDescent="0.2">
      <c r="K26" s="4">
        <v>3</v>
      </c>
      <c r="L26" s="115" t="s">
        <v>1642</v>
      </c>
      <c r="M26" s="115" t="s">
        <v>1638</v>
      </c>
      <c r="N26" s="4">
        <v>52</v>
      </c>
      <c r="O26" s="4">
        <v>48</v>
      </c>
      <c r="R26"/>
      <c r="S26"/>
      <c r="T26"/>
    </row>
    <row r="27" spans="4:20" x14ac:dyDescent="0.2">
      <c r="K27" s="4">
        <v>3</v>
      </c>
      <c r="L27" s="115" t="s">
        <v>1642</v>
      </c>
      <c r="M27" s="115" t="s">
        <v>1637</v>
      </c>
      <c r="N27" s="4">
        <v>86</v>
      </c>
      <c r="O27" s="4">
        <v>94</v>
      </c>
    </row>
  </sheetData>
  <mergeCells count="5">
    <mergeCell ref="B1:C1"/>
    <mergeCell ref="B2:C2"/>
    <mergeCell ref="B3:C3"/>
    <mergeCell ref="B4:C4"/>
    <mergeCell ref="B6:D6"/>
  </mergeCells>
  <hyperlinks>
    <hyperlink ref="B6:D6" location="Inhoud!A1" display="Ga naar Inhoudsopgave" xr:uid="{FCEAE3DB-BC58-4D01-8805-0FBF7249F527}"/>
  </hyperlinks>
  <pageMargins left="0.7" right="0.7" top="0.75" bottom="0.75" header="0.3" footer="0.3"/>
  <pageSetup paperSize="9" orientation="landscape" r:id="rId2"/>
  <drawing r:id="rId3"/>
  <tableParts count="2">
    <tablePart r:id="rId4"/>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49D1119-A5F1-45F9-AE30-2E9395B45FF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81</vt:i4>
      </vt:variant>
      <vt:variant>
        <vt:lpstr>Benoemde bereiken</vt:lpstr>
      </vt:variant>
      <vt:variant>
        <vt:i4>41</vt:i4>
      </vt:variant>
    </vt:vector>
  </HeadingPairs>
  <TitlesOfParts>
    <vt:vector size="122" baseType="lpstr">
      <vt:lpstr>Inhoud</vt:lpstr>
      <vt:lpstr>data001</vt:lpstr>
      <vt:lpstr>fcast001</vt:lpstr>
      <vt:lpstr>fcast002</vt:lpstr>
      <vt:lpstr>fcast002-voorspellingenblad</vt:lpstr>
      <vt:lpstr>form001</vt:lpstr>
      <vt:lpstr>form002</vt:lpstr>
      <vt:lpstr>form003</vt:lpstr>
      <vt:lpstr>form004</vt:lpstr>
      <vt:lpstr>form005</vt:lpstr>
      <vt:lpstr>form006</vt:lpstr>
      <vt:lpstr>form007</vt:lpstr>
      <vt:lpstr>form008</vt:lpstr>
      <vt:lpstr>form009</vt:lpstr>
      <vt:lpstr>form010</vt:lpstr>
      <vt:lpstr>form011</vt:lpstr>
      <vt:lpstr>form012</vt:lpstr>
      <vt:lpstr>form013</vt:lpstr>
      <vt:lpstr>goal001</vt:lpstr>
      <vt:lpstr>goal002</vt:lpstr>
      <vt:lpstr>goal003</vt:lpstr>
      <vt:lpstr>goal004</vt:lpstr>
      <vt:lpstr>graf001</vt:lpstr>
      <vt:lpstr>graf002</vt:lpstr>
      <vt:lpstr>graf003</vt:lpstr>
      <vt:lpstr>graf004</vt:lpstr>
      <vt:lpstr>graf005</vt:lpstr>
      <vt:lpstr>graf006</vt:lpstr>
      <vt:lpstr>list001</vt:lpstr>
      <vt:lpstr>list002</vt:lpstr>
      <vt:lpstr>list003</vt:lpstr>
      <vt:lpstr>list004</vt:lpstr>
      <vt:lpstr>macr001</vt:lpstr>
      <vt:lpstr>macr002</vt:lpstr>
      <vt:lpstr>macr003</vt:lpstr>
      <vt:lpstr>macr004</vt:lpstr>
      <vt:lpstr>math001</vt:lpstr>
      <vt:lpstr>math002</vt:lpstr>
      <vt:lpstr>math003</vt:lpstr>
      <vt:lpstr>math004</vt:lpstr>
      <vt:lpstr>matr001</vt:lpstr>
      <vt:lpstr>matr002</vt:lpstr>
      <vt:lpstr>meas001</vt:lpstr>
      <vt:lpstr>meas002</vt:lpstr>
      <vt:lpstr>meas003</vt:lpstr>
      <vt:lpstr>meas004</vt:lpstr>
      <vt:lpstr>pivo001</vt:lpstr>
      <vt:lpstr>pivo002</vt:lpstr>
      <vt:lpstr>pivo003</vt:lpstr>
      <vt:lpstr>pivo004</vt:lpstr>
      <vt:lpstr>pivo005</vt:lpstr>
      <vt:lpstr>pivo006</vt:lpstr>
      <vt:lpstr>pivo007</vt:lpstr>
      <vt:lpstr>pivo008</vt:lpstr>
      <vt:lpstr>pivo009</vt:lpstr>
      <vt:lpstr>pivo010</vt:lpstr>
      <vt:lpstr>pivo011</vt:lpstr>
      <vt:lpstr>pivo012</vt:lpstr>
      <vt:lpstr>scen001</vt:lpstr>
      <vt:lpstr>scen002</vt:lpstr>
      <vt:lpstr>scen003</vt:lpstr>
      <vt:lpstr>scen004</vt:lpstr>
      <vt:lpstr>solv001</vt:lpstr>
      <vt:lpstr>solv002</vt:lpstr>
      <vt:lpstr>solv003</vt:lpstr>
      <vt:lpstr>solv004</vt:lpstr>
      <vt:lpstr>solv005</vt:lpstr>
      <vt:lpstr>solv006</vt:lpstr>
      <vt:lpstr>solv007</vt:lpstr>
      <vt:lpstr>solv008</vt:lpstr>
      <vt:lpstr>solv009</vt:lpstr>
      <vt:lpstr>solv010</vt:lpstr>
      <vt:lpstr>stat001</vt:lpstr>
      <vt:lpstr>stat002</vt:lpstr>
      <vt:lpstr>stat003</vt:lpstr>
      <vt:lpstr>stat004</vt:lpstr>
      <vt:lpstr>tabl001</vt:lpstr>
      <vt:lpstr>tabl002</vt:lpstr>
      <vt:lpstr>tidy001</vt:lpstr>
      <vt:lpstr>tidy002</vt:lpstr>
      <vt:lpstr>tidy003</vt:lpstr>
      <vt:lpstr>aantal_hazelnoot</vt:lpstr>
      <vt:lpstr>aantal_hazelnoot_min</vt:lpstr>
      <vt:lpstr>aantal_kers</vt:lpstr>
      <vt:lpstr>aantal_kers_min</vt:lpstr>
      <vt:lpstr>AOW_Datum</vt:lpstr>
      <vt:lpstr>AOW_Leeftijd</vt:lpstr>
      <vt:lpstr>Arbeidsloon</vt:lpstr>
      <vt:lpstr>Bedrijfswinst</vt:lpstr>
      <vt:lpstr>blikken_totaal</vt:lpstr>
      <vt:lpstr>CommissieHoog</vt:lpstr>
      <vt:lpstr>CommissieLaag</vt:lpstr>
      <vt:lpstr>doos_aantal</vt:lpstr>
      <vt:lpstr>doos_aantal_min</vt:lpstr>
      <vt:lpstr>doos_gewicht</vt:lpstr>
      <vt:lpstr>doos_gewicht_max</vt:lpstr>
      <vt:lpstr>doos_gewicht_min</vt:lpstr>
      <vt:lpstr>doos_oppervlak</vt:lpstr>
      <vt:lpstr>doos_oppervlak_min</vt:lpstr>
      <vt:lpstr>doos_winst</vt:lpstr>
      <vt:lpstr>geboortedatum</vt:lpstr>
      <vt:lpstr>tidy001!Growth_Rate</vt:lpstr>
      <vt:lpstr>tidy002!Growth_Rate</vt:lpstr>
      <vt:lpstr>tidy003!Growth_Rate</vt:lpstr>
      <vt:lpstr>Growth_Rate</vt:lpstr>
      <vt:lpstr>inleg</vt:lpstr>
      <vt:lpstr>jaarrente</vt:lpstr>
      <vt:lpstr>Materiaalkosten</vt:lpstr>
      <vt:lpstr>prijs_hoog</vt:lpstr>
      <vt:lpstr>prijs_laag</vt:lpstr>
      <vt:lpstr>prijs_totaal</vt:lpstr>
      <vt:lpstr>Prijs_XXX</vt:lpstr>
      <vt:lpstr>Prijs_YYY</vt:lpstr>
      <vt:lpstr>Prijs_ZZZ</vt:lpstr>
      <vt:lpstr>RapportDatum</vt:lpstr>
      <vt:lpstr>tidy001!Sales_2010</vt:lpstr>
      <vt:lpstr>tidy002!Sales_2010</vt:lpstr>
      <vt:lpstr>tidy003!Sales_2010</vt:lpstr>
      <vt:lpstr>Sales_2010</vt:lpstr>
      <vt:lpstr>staffel_limiet</vt:lpstr>
      <vt:lpstr>VerkoopDoelstelling</vt:lpstr>
      <vt:lpstr>Winstmarge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benw</cp:lastModifiedBy>
  <dcterms:created xsi:type="dcterms:W3CDTF">2011-02-26T16:32:11Z</dcterms:created>
  <dcterms:modified xsi:type="dcterms:W3CDTF">2019-12-09T14:59:15Z</dcterms:modified>
</cp:coreProperties>
</file>