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5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pivotTables/pivotTable5.xml" ContentType="application/vnd.openxmlformats-officedocument.spreadsheetml.pivotTable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8.xml" ContentType="application/vnd.openxmlformats-officedocument.spreadsheetml.pivotTable+xml"/>
  <Override PartName="/xl/drawings/drawing20.xml" ContentType="application/vnd.openxmlformats-officedocument.drawing+xml"/>
  <Override PartName="/xl/charts/chart17.xml" ContentType="application/vnd.openxmlformats-officedocument.drawingml.chart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resources\"/>
    </mc:Choice>
  </mc:AlternateContent>
  <xr:revisionPtr revIDLastSave="0" documentId="13_ncr:1_{4B5B73C1-406F-440F-9AA5-CF554BABFAB9}" xr6:coauthVersionLast="45" xr6:coauthVersionMax="45" xr10:uidLastSave="{00000000-0000-0000-0000-000000000000}"/>
  <bookViews>
    <workbookView xWindow="-120" yWindow="-120" windowWidth="29040" windowHeight="15840" tabRatio="901" firstSheet="40" activeTab="48" xr2:uid="{00000000-000D-0000-FFFF-FFFF00000000}"/>
  </bookViews>
  <sheets>
    <sheet name="Componenten" sheetId="68" r:id="rId1"/>
    <sheet name="ausbeer56-73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enelux-populatie" sheetId="81" r:id="rId17"/>
    <sheet name="Benelux-populatie-oplossing" sheetId="82" r:id="rId18"/>
    <sheet name="BruineBoon" sheetId="52" r:id="rId19"/>
    <sheet name="BruineBoon-Scenariosamenvatting" sheetId="51" r:id="rId20"/>
    <sheet name="calc-01" sheetId="20" r:id="rId21"/>
    <sheet name="calc-02" sheetId="21" r:id="rId22"/>
    <sheet name="cashflows" sheetId="55" r:id="rId23"/>
    <sheet name="datatablelayout" sheetId="57" r:id="rId24"/>
    <sheet name="datatable1a" sheetId="9" r:id="rId25"/>
    <sheet name="datatable1b" sheetId="10" r:id="rId26"/>
    <sheet name="datatable2a" sheetId="12" r:id="rId27"/>
    <sheet name="datatable2b" sheetId="13" r:id="rId28"/>
    <sheet name="Doelzoeken" sheetId="35" r:id="rId29"/>
    <sheet name="facturen" sheetId="15" r:id="rId30"/>
    <sheet name="Func-datum" sheetId="26" r:id="rId31"/>
    <sheet name="Func-logisch" sheetId="29" r:id="rId32"/>
    <sheet name="Func-nesting" sheetId="40" r:id="rId33"/>
    <sheet name="Func-statistisch" sheetId="24" r:id="rId34"/>
    <sheet name="Func-tekst" sheetId="28" r:id="rId35"/>
    <sheet name="Func-wiskunde" sheetId="27" r:id="rId36"/>
    <sheet name="getalopmaak" sheetId="31" r:id="rId37"/>
    <sheet name="harddisks" sheetId="7" r:id="rId38"/>
    <sheet name="HorizZoeken" sheetId="8" r:id="rId39"/>
    <sheet name="koersen" sheetId="38" r:id="rId40"/>
    <sheet name="Lijst1" sheetId="34" r:id="rId41"/>
    <sheet name="matrix" sheetId="41" r:id="rId42"/>
    <sheet name="matr-01" sheetId="42" r:id="rId43"/>
    <sheet name="matr-02" sheetId="83" r:id="rId44"/>
    <sheet name="matr-03" sheetId="84" r:id="rId45"/>
    <sheet name="matr-04" sheetId="43" r:id="rId46"/>
    <sheet name="matr-05" sheetId="44" r:id="rId47"/>
    <sheet name="matr-06" sheetId="45" r:id="rId48"/>
    <sheet name="matr-07" sheetId="46" r:id="rId49"/>
    <sheet name="matr-08" sheetId="47" r:id="rId50"/>
    <sheet name="matr-09" sheetId="86" r:id="rId51"/>
    <sheet name="meetresultaten" sheetId="17" r:id="rId52"/>
    <sheet name="model" sheetId="39" r:id="rId53"/>
    <sheet name="Personeelstabel" sheetId="87" r:id="rId54"/>
    <sheet name="pivot" sheetId="3" r:id="rId55"/>
    <sheet name="pivot-example" sheetId="1" r:id="rId56"/>
    <sheet name="premietabel" sheetId="22" r:id="rId57"/>
    <sheet name="prijstabel" sheetId="23" r:id="rId58"/>
    <sheet name="rko-1" sheetId="54" r:id="rId59"/>
    <sheet name="rko-2" sheetId="50" r:id="rId60"/>
    <sheet name="scores1" sheetId="74" r:id="rId61"/>
    <sheet name="scores1-oplossing" sheetId="75" r:id="rId62"/>
    <sheet name="scores2" sheetId="77" r:id="rId63"/>
    <sheet name="scores2-oplossing" sheetId="78" r:id="rId64"/>
    <sheet name="scores3" sheetId="79" r:id="rId65"/>
    <sheet name="scores3-oplossing" sheetId="80" r:id="rId66"/>
    <sheet name="supermarkt" sheetId="14" r:id="rId67"/>
    <sheet name="termijnen" sheetId="6" r:id="rId68"/>
    <sheet name="uitlijning" sheetId="30" r:id="rId69"/>
    <sheet name="verkopen_kw1" sheetId="32" r:id="rId70"/>
    <sheet name="vlak" sheetId="19" r:id="rId71"/>
    <sheet name="WaarOnwaar" sheetId="33" r:id="rId72"/>
    <sheet name="WeatherLeather" sheetId="16" r:id="rId73"/>
    <sheet name="xlookup-1" sheetId="88" r:id="rId74"/>
    <sheet name="xlookup-2" sheetId="89" r:id="rId75"/>
    <sheet name="xlookup-3" sheetId="90" r:id="rId76"/>
  </sheets>
  <externalReferences>
    <externalReference r:id="rId77"/>
    <externalReference r:id="rId78"/>
    <externalReference r:id="rId79"/>
    <externalReference r:id="rId80"/>
    <externalReference r:id="rId81"/>
    <externalReference r:id="rId82"/>
    <externalReference r:id="rId83"/>
  </externalReferences>
  <definedNames>
    <definedName name="aantal_hazelnoot" localSheetId="23">[1]solv001!$H$11</definedName>
    <definedName name="aantal_hazelnoot" localSheetId="58">[2]solv001!$H$11</definedName>
    <definedName name="aantal_hazelnoot">[3]solv001!$H$11</definedName>
    <definedName name="Aantal_jacks_Kort" localSheetId="52">#REF!</definedName>
    <definedName name="Aantal_jacks_Kort">#REF!</definedName>
    <definedName name="Aantal_jacks_Lang" localSheetId="52">#REF!</definedName>
    <definedName name="Aantal_jacks_Lang">#REF!</definedName>
    <definedName name="aantal_kers" localSheetId="23">[1]solv001!$H$10</definedName>
    <definedName name="aantal_kers" localSheetId="58">[2]solv001!$H$10</definedName>
    <definedName name="aantal_kers">[3]solv001!$H$10</definedName>
    <definedName name="Aantal_Orders">BruineBoon!$B$6</definedName>
    <definedName name="Annual_Costs" localSheetId="23">[4]scen!$C$15</definedName>
    <definedName name="Annual_Costs">[5]scen!$C$15</definedName>
    <definedName name="Annual_Incomes" localSheetId="23">[4]scen!$C$8</definedName>
    <definedName name="Annual_Incomes">[5]scen!$C$8</definedName>
    <definedName name="AOW_Datum" localSheetId="23">[1]form003!$E$12</definedName>
    <definedName name="AOW_Datum" localSheetId="58">[2]form003!$E$12</definedName>
    <definedName name="AOW_Datum">[3]form003!$E$12</definedName>
    <definedName name="AOW_Leeftijd" localSheetId="23">[1]form003!$E$9</definedName>
    <definedName name="AOW_Leeftijd" localSheetId="58">[2]form003!$E$9</definedName>
    <definedName name="AOW_Leeftijd">[3]form003!$E$9</definedName>
    <definedName name="CommissieHoog" localSheetId="23">[1]form004!$E$9</definedName>
    <definedName name="CommissieHoog" localSheetId="58">[2]form004!$E$9</definedName>
    <definedName name="CommissieHoog">[3]form004!$E$9</definedName>
    <definedName name="CommissieLaag" localSheetId="23">[1]form004!$E$8</definedName>
    <definedName name="CommissieLaag" localSheetId="58">[2]form004!$E$8</definedName>
    <definedName name="CommissieLaag">[3]form004!$E$8</definedName>
    <definedName name="Cost_per_Order" localSheetId="23">[4]scen!$B$5</definedName>
    <definedName name="Cost_per_Order">[5]scen!$B$5</definedName>
    <definedName name="Duur" localSheetId="15">#REF!</definedName>
    <definedName name="Duur" localSheetId="23">#REF!</definedName>
    <definedName name="Duur" localSheetId="52">[6]afschrijvingen!$B$3</definedName>
    <definedName name="Duur" localSheetId="58">#REF!</definedName>
    <definedName name="Duur">afschrijvingen!$B$3</definedName>
    <definedName name="ExterneGegevens_1" localSheetId="17" hidden="1">'Benelux-populatie-oplossing'!$A$1:$D$25</definedName>
    <definedName name="ExterneGegevens_1" localSheetId="61" hidden="1">'scores1-oplossing'!$A$1:$C$11</definedName>
    <definedName name="ExterneGegevens_1" localSheetId="63" hidden="1">'scores2-oplossing'!$A$1:$D$21</definedName>
    <definedName name="ExterneGegevens_1" localSheetId="65" hidden="1">'scores3-oplossing'!$A$1:$D$11</definedName>
    <definedName name="geboortedatum" localSheetId="23">[1]form003!$E$8</definedName>
    <definedName name="geboortedatum" localSheetId="58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3">[4]Doelzoeken!$B$1</definedName>
    <definedName name="inleg" localSheetId="52">[6]Doelzoeken!$B$1</definedName>
    <definedName name="inleg" localSheetId="58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3">[4]Doelzoeken!$B$2</definedName>
    <definedName name="jaarrente" localSheetId="52">[6]Doelzoeken!$B$2</definedName>
    <definedName name="jaarrente" localSheetId="58">[5]Doelzoeken!$B$2</definedName>
    <definedName name="jaarrente">Doelzoeken!$B$2</definedName>
    <definedName name="kolom_def_matrix" localSheetId="23">{"Kledingsoort",0,"Auto","Auto",""}</definedName>
    <definedName name="kolom_def_matrix" localSheetId="58">{"Kledingsoort",0,"Auto","Auto",""}</definedName>
    <definedName name="kolom_def_matrix">{"Kledingsoort",0,"Auto","Auto",""}</definedName>
    <definedName name="Kosten" localSheetId="15">#REF!</definedName>
    <definedName name="Kosten" localSheetId="23">#REF!</definedName>
    <definedName name="Kosten" localSheetId="52">[6]afschrijvingen!$B$1</definedName>
    <definedName name="Kosten" localSheetId="58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3">[4]scen!$B$6</definedName>
    <definedName name="Number_of_Orders">[5]scen!$B$6</definedName>
    <definedName name="Opbrengst_per_Order">BruineBoon!$B$4</definedName>
    <definedName name="RapportDatum" localSheetId="23">[1]form005!$E$10</definedName>
    <definedName name="RapportDatum" localSheetId="58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3">#REF!</definedName>
    <definedName name="Restwaarde" localSheetId="52">[6]afschrijvingen!$B$2</definedName>
    <definedName name="Restwaarde" localSheetId="58">#REF!</definedName>
    <definedName name="Restwaarde">afschrijvingen!$B$2</definedName>
    <definedName name="rij_def_matrix" localSheetId="23">{"Jaar",0,"Auto","Auto","";"Vertegenwoordiger",0,"Auto","Auto",""}</definedName>
    <definedName name="rij_def_matrix" localSheetId="58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3">[1]form004!$E$7</definedName>
    <definedName name="VerkoopDoelstelling" localSheetId="58">[2]form004!$E$7</definedName>
    <definedName name="VerkoopDoelstelling">[3]form004!$E$7</definedName>
    <definedName name="Voorzieningen">BruineBoon!$B$14</definedName>
    <definedName name="waarde_def_matrix" localSheetId="23">{"Verkopen","SOM(Verkopen)","JNNNN",FALSE}</definedName>
    <definedName name="waarde_def_matrix" localSheetId="58">{"Verkopen","SOM(Verkopen)","JNNNN",FALSE}</definedName>
    <definedName name="waarde_def_matrix">{"Verkopen","SOM(Verkopen)","JNNNN",FALSE}</definedName>
    <definedName name="Winst_per_week">#REF!</definedName>
    <definedName name="Yield_per_Order" localSheetId="23">[4]scen!$B$4</definedName>
    <definedName name="Yield_per_Order">[5]scen!$B$4</definedName>
    <definedName name="Zoeklijst" localSheetId="15">#REF!</definedName>
    <definedName name="Zoeklijst" localSheetId="23">#REF!</definedName>
    <definedName name="Zoeklijst" localSheetId="52">[6]harddisks!$B$11:$E$22</definedName>
    <definedName name="Zoeklijst" localSheetId="58">#REF!</definedName>
    <definedName name="Zoeklijst">harddisks!$B$11:$E$22</definedName>
    <definedName name="Zoeknr" localSheetId="15">#REF!</definedName>
    <definedName name="Zoeknr" localSheetId="23">#REF!</definedName>
    <definedName name="Zoeknr" localSheetId="52">[6]harddisks!$D$2</definedName>
    <definedName name="Zoeknr" localSheetId="58">#REF!</definedName>
    <definedName name="Zoeknr">harddisks!$D$2</definedName>
  </definedNames>
  <calcPr calcId="191029"/>
  <pivotCaches>
    <pivotCache cacheId="0" r:id="rId84"/>
    <pivotCache cacheId="1" r:id="rId85"/>
    <pivotCache cacheId="2" r:id="rId86"/>
    <pivotCache cacheId="3" r:id="rId87"/>
    <pivotCache cacheId="4" r:id="rId88"/>
    <pivotCache cacheId="5" r:id="rId8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46" l="1" a="1"/>
  <c r="F4" i="46" s="1"/>
  <c r="F5" i="46" a="1"/>
  <c r="F5" i="46" s="1"/>
  <c r="F3" i="46" a="1"/>
  <c r="F3" i="46" s="1"/>
  <c r="G3" i="90" l="1" a="1"/>
  <c r="G3" i="90" s="1"/>
  <c r="E88" i="89" l="1"/>
  <c r="E87" i="89"/>
  <c r="E86" i="89"/>
  <c r="E85" i="89"/>
  <c r="E84" i="89"/>
  <c r="E83" i="89"/>
  <c r="E82" i="89"/>
  <c r="E81" i="89"/>
  <c r="E80" i="89"/>
  <c r="E79" i="89"/>
  <c r="E78" i="89"/>
  <c r="E77" i="89"/>
  <c r="E76" i="89"/>
  <c r="E75" i="89"/>
  <c r="E74" i="89"/>
  <c r="E73" i="89"/>
  <c r="E72" i="89"/>
  <c r="E71" i="89"/>
  <c r="E70" i="89"/>
  <c r="E69" i="89"/>
  <c r="E68" i="89"/>
  <c r="E67" i="89"/>
  <c r="E66" i="89"/>
  <c r="E65" i="89"/>
  <c r="E64" i="89"/>
  <c r="E6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H2" i="89" a="1"/>
  <c r="H2" i="89" s="1"/>
  <c r="E2" i="89"/>
  <c r="E2" i="88" l="1"/>
  <c r="L4" i="87" l="1" a="1"/>
  <c r="L4" i="87" s="1"/>
  <c r="K4" i="87" a="1"/>
  <c r="K4" i="87" s="1"/>
  <c r="E25" i="86" l="1" a="1"/>
  <c r="E25" i="86" s="1"/>
  <c r="J25" i="86" a="1"/>
  <c r="J25" i="86" s="1"/>
  <c r="M25" i="86" a="1"/>
  <c r="M25" i="86" s="1"/>
  <c r="R25" i="86" l="1" a="1"/>
  <c r="R25" i="86" s="1"/>
  <c r="B1" i="86" l="1" a="1"/>
  <c r="B1" i="86" s="1"/>
  <c r="D12" i="86" l="1" a="1"/>
  <c r="D12" i="86" s="1"/>
  <c r="D17" i="86" a="1"/>
  <c r="D17" i="86" s="1"/>
  <c r="C2" i="84" l="1" a="1"/>
  <c r="C2" i="84" s="1"/>
  <c r="A1" i="83" a="1"/>
  <c r="A1" i="83" s="1"/>
  <c r="C12" i="47" l="1" a="1"/>
  <c r="C12" i="47" s="1"/>
  <c r="C11" i="47" a="1"/>
  <c r="C11" i="47" s="1"/>
  <c r="D6" i="45" a="1"/>
  <c r="D6" i="45" s="1"/>
  <c r="C6" i="45" a="1"/>
  <c r="C6" i="45" s="1"/>
  <c r="G1" i="44" a="1"/>
  <c r="G1" i="44" s="1"/>
  <c r="G1" i="43" a="1"/>
  <c r="G1" i="43" s="1"/>
  <c r="E2" i="42" a="1"/>
  <c r="E2" i="42" s="1"/>
  <c r="D2" i="42" a="1"/>
  <c r="D2" i="42" s="1"/>
  <c r="Z2" i="41" l="1" a="1"/>
  <c r="Z2" i="41" s="1"/>
  <c r="X2" i="41" a="1"/>
  <c r="X2" i="41" s="1"/>
  <c r="R2" i="41" a="1"/>
  <c r="R2" i="41" s="1"/>
  <c r="J2" i="41" a="1"/>
  <c r="J2" i="41" s="1"/>
  <c r="H2" i="41" a="1"/>
  <c r="H2" i="41" s="1"/>
  <c r="B2" i="41" a="1"/>
  <c r="B2" i="41" s="1"/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B2" i="29" l="1"/>
  <c r="B3" i="29"/>
  <c r="B4" i="29"/>
  <c r="B5" i="29"/>
  <c r="B6" i="29"/>
  <c r="B11" i="50" l="1"/>
  <c r="B12" i="50"/>
  <c r="B13" i="50"/>
  <c r="B14" i="50" s="1"/>
  <c r="A15" i="50" l="1"/>
  <c r="B15" i="50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A696D-745E-455C-BB02-E03E81D0CAF9}" keepAlive="1" name="Query - q_benelux" description="Verbinding maken met de query q_benelux in de werkmap." type="5" refreshedVersion="6" background="1" saveData="1">
    <dbPr connection="Provider=Microsoft.Mashup.OleDb.1;Data Source=$Workbook$;Location=q_benelux;Extended Properties=&quot;&quot;" command="SELECT * FROM [q_benelux]"/>
  </connection>
  <connection id="2" xr16:uid="{EBB22339-49A5-4FF5-8B97-E56CE6D696B2}" keepAlive="1" name="Query - q_scores1" description="Verbinding maken met de query q_scores1 in de werkmap." type="5" refreshedVersion="6" background="1" saveData="1">
    <dbPr connection="Provider=Microsoft.Mashup.OleDb.1;Data Source=$Workbook$;Location=q_scores1;Extended Properties=&quot;&quot;" command="SELECT * FROM [q_scores1]"/>
  </connection>
  <connection id="3" xr16:uid="{E004CE26-4647-4EC3-BA41-10815F74133A}" keepAlive="1" name="Query - q_scores2" description="Verbinding maken met de query q_scores2 in de werkmap." type="5" refreshedVersion="6" background="1" saveData="1">
    <dbPr connection="Provider=Microsoft.Mashup.OleDb.1;Data Source=$Workbook$;Location=q_scores2;Extended Properties=&quot;&quot;" command="SELECT * FROM [q_scores2]"/>
  </connection>
  <connection id="4" xr16:uid="{BD07C0D7-6A74-4089-A5B5-5FE565679720}" keepAlive="1" name="Query - q_scores3" description="Verbinding maken met de query q_scores3 in de werkmap." type="5" refreshedVersion="6" background="1" saveData="1">
    <dbPr connection="Provider=Microsoft.Mashup.OleDb.1;Data Source=$Workbook$;Location=q_scores3;Extended Properties=&quot;&quot;" command="SELECT * FROM [q_scores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<sst xmlns="http://schemas.openxmlformats.org/spreadsheetml/2006/main" count="2907" uniqueCount="843">
  <si>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</si>
  <si>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</si>
  <si>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</si>
  <si>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</si>
  <si>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</si>
  <si>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</si>
  <si>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</si>
  <si>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</si>
  <si>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</si>
  <si>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</si>
  <si>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</si>
  <si>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</si>
  <si>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</si>
  <si>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</si>
  <si>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</si>
  <si>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</si>
  <si>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</si>
  <si>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</si>
  <si>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</si>
  <si>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</si>
  <si>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</si>
  <si>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</si>
  <si>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</si>
  <si>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</si>
  <si>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</si>
  <si>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</si>
  <si>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</si>
  <si>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</si>
  <si>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</si>
  <si>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</si>
  <si>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</si>
  <si>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</si>
  <si>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</si>
  <si>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</si>
  <si>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</si>
  <si>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</si>
  <si>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</si>
  <si>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</si>
  <si>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</si>
  <si>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</si>
  <si>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</si>
  <si>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</si>
  <si>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</si>
  <si>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</si>
  <si>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</si>
  <si>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</si>
  <si>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</si>
  <si>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</si>
  <si>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</si>
  <si>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</si>
  <si>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</si>
  <si>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</si>
  <si>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</si>
  <si>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</si>
  <si>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</si>
  <si>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</si>
  <si>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</si>
  <si>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</si>
  <si>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</si>
  <si>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</si>
  <si>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</si>
  <si>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</si>
  <si>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</si>
  <si>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</si>
  <si>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</si>
  <si>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</si>
  <si>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</si>
  <si>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</si>
  <si>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</si>
  <si>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</si>
  <si>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</si>
  <si>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</si>
  <si>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</si>
  <si>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</si>
  <si>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</si>
  <si>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</si>
  <si>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</si>
  <si>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</si>
  <si>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</si>
  <si>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</si>
  <si>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</si>
  <si>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</si>
  <si>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</si>
  <si>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</si>
  <si>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</si>
  <si>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</si>
  <si>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</si>
  <si>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</si>
  <si>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</si>
  <si>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</si>
  <si>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</si>
  <si>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</si>
  <si>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</si>
  <si>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</si>
  <si>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</si>
  <si>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</si>
  <si>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</si>
  <si>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</si>
  <si>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</si>
  <si>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</si>
  <si>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</si>
  <si>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</si>
  <si>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</si>
  <si>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</si>
  <si>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</si>
  <si>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</si>
  <si>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</si>
  <si>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</si>
  <si>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</si>
  <si>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</si>
  <si>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</si>
  <si>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</si>
  <si>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</si>
  <si>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</si>
  <si>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</si>
  <si>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</si>
  <si>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</si>
  <si>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</si>
  <si>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</si>
  <si>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</si>
  <si>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</si>
  <si>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</si>
  <si>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</si>
  <si>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</si>
  <si>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</si>
  <si>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</si>
  <si>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</si>
  <si>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</si>
  <si>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</si>
  <si>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</si>
  <si>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</si>
  <si>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</si>
  <si>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</si>
  <si>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</si>
  <si>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</si>
  <si>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</si>
  <si>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</si>
  <si>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</si>
  <si>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</si>
  <si>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</si>
  <si>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</si>
  <si>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</si>
  <si>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</si>
  <si>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</si>
  <si>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</si>
  <si>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</si>
  <si>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</si>
  <si>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</si>
  <si>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</si>
  <si>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</si>
  <si>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</si>
  <si>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</si>
  <si>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</si>
  <si>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</si>
  <si>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</si>
  <si>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</si>
  <si>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</si>
  <si>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</si>
  <si>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</si>
  <si>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</si>
  <si>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</si>
  <si>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</si>
  <si>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</si>
  <si>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</si>
  <si>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</si>
  <si>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</si>
  <si>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</si>
  <si>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</si>
  <si>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</si>
  <si>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</si>
  <si>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</si>
  <si>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</si>
  <si>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</si>
  <si>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</si>
  <si>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</si>
  <si>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</si>
  <si>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</si>
  <si>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</si>
  <si>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</si>
  <si>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</si>
  <si>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</si>
  <si>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</si>
  <si>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</si>
  <si>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</si>
  <si>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</si>
  <si>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</si>
  <si>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</si>
  <si>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</si>
  <si>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</si>
  <si>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</si>
  <si>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</si>
  <si>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</si>
  <si>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</si>
  <si>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</si>
  <si>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</si>
  <si>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</si>
  <si>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</si>
  <si>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</si>
  <si>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</si>
  <si>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</si>
  <si>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</si>
  <si>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</si>
  <si>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</si>
  <si>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</si>
  <si>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</si>
  <si>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</si>
  <si>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</si>
  <si>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</si>
  <si>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</si>
  <si>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</si>
  <si>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</si>
  <si>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</si>
  <si>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</si>
  <si>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</si>
  <si>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</si>
  <si>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</si>
  <si>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</si>
  <si>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</si>
  <si>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</si>
  <si>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</si>
  <si>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</si>
  <si>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</si>
  <si>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</si>
  <si>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</si>
  <si>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</si>
  <si>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</si>
  <si>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</si>
  <si>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</si>
  <si>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</si>
  <si>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</si>
  <si>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</si>
  <si>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</si>
  <si>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</si>
  <si>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</si>
  <si>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</si>
  <si>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</si>
  <si>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</si>
  <si>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</si>
  <si>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</si>
  <si>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</si>
  <si>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</si>
  <si>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</si>
  <si>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</si>
  <si>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</si>
  <si>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</si>
  <si>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</si>
  <si>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</si>
  <si>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</si>
  <si>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</si>
  <si>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</si>
  <si>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</si>
  <si>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</si>
  <si>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</si>
  <si>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</si>
  <si>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</si>
  <si>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</si>
  <si>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</si>
  <si>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</si>
  <si>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</si>
  <si>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</si>
  <si>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</si>
  <si>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</si>
  <si>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</si>
  <si>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</si>
  <si>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</si>
  <si>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</si>
  <si>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</si>
  <si>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</si>
  <si>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</si>
  <si>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</si>
  <si>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</si>
  <si>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</si>
  <si>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</si>
  <si>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</si>
  <si>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</si>
  <si>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</si>
  <si>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</si>
  <si>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</si>
  <si>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</si>
  <si>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</si>
  <si>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</si>
  <si>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</si>
  <si>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</si>
  <si>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</si>
  <si>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</si>
  <si>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</si>
  <si>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</si>
  <si>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</si>
  <si>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</si>
  <si>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</si>
  <si>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</si>
  <si>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</si>
  <si>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</si>
  <si>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</si>
  <si>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</si>
  <si>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</si>
  <si>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</si>
  <si>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</si>
  <si>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</si>
  <si>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</si>
  <si>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</si>
  <si>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</si>
  <si>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</si>
  <si>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</si>
  <si>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</si>
  <si>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</si>
  <si>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</si>
  <si>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</si>
  <si>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</si>
  <si>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</si>
  <si>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</si>
  <si>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</si>
  <si>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</si>
  <si>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</si>
  <si>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</si>
  <si>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</si>
  <si>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</si>
  <si>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</si>
  <si>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</si>
  <si>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</si>
  <si>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</si>
  <si>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</si>
  <si>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</si>
  <si>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</si>
  <si>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</si>
  <si>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</si>
  <si>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</si>
  <si>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</si>
  <si>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</si>
  <si>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</si>
  <si>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</si>
  <si>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</si>
  <si>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</si>
  <si>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</si>
  <si>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</si>
  <si>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</si>
  <si>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</si>
  <si>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</si>
  <si>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</si>
  <si>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</si>
  <si>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</si>
  <si>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</si>
  <si>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</si>
  <si>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</si>
  <si>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</si>
  <si>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</si>
  <si>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</si>
  <si>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</si>
  <si>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</si>
  <si>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</si>
  <si>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</si>
  <si>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</si>
  <si>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</si>
  <si>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</si>
  <si>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</si>
  <si>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</si>
  <si>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</si>
  <si>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</si>
  <si>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</si>
  <si>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</si>
  <si>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</si>
  <si>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</si>
  <si>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</si>
  <si>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</si>
  <si>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</si>
  <si>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</si>
  <si>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</si>
  <si>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</si>
  <si>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</si>
  <si>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</si>
  <si>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</si>
  <si>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</si>
  <si>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</si>
  <si>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</si>
  <si>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</si>
  <si>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</si>
  <si>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</si>
  <si>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</si>
  <si>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</si>
  <si>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</si>
  <si>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</si>
  <si>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</si>
  <si>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</si>
  <si>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</si>
  <si>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</si>
  <si>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</si>
  <si>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</si>
  <si>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</si>
  <si>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</si>
  <si>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</si>
  <si>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</si>
  <si>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</si>
  <si>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</si>
  <si>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</si>
  <si>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</si>
  <si>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</si>
  <si>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</si>
  <si>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</si>
  <si>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</si>
  <si>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</si>
  <si>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</si>
  <si>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</si>
  <si>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</si>
  <si>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</si>
  <si>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</si>
  <si>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</si>
  <si>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</si>
  <si>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</si>
  <si>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</si>
  <si>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</si>
  <si>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</si>
  <si>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</si>
  <si>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</si>
  <si>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</si>
  <si>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</si>
  <si>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</si>
  <si>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</si>
  <si>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</si>
  <si>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</si>
  <si>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</si>
  <si>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</si>
  <si>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</si>
  <si>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</si>
  <si>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</si>
  <si>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</si>
  <si>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</si>
  <si>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</si>
  <si>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</si>
  <si>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</si>
  <si>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</si>
  <si>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</si>
  <si>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</si>
  <si>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</si>
  <si>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</si>
  <si>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</si>
  <si>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</si>
  <si>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</si>
  <si>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</si>
  <si>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</si>
  <si>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</si>
  <si>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</si>
  <si>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</si>
  <si>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</si>
  <si>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</si>
  <si>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</si>
  <si>
    <t>score</t>
  </si>
  <si>
    <t>man</t>
  </si>
  <si>
    <t>vrouw</t>
  </si>
  <si>
    <t>A</t>
  </si>
  <si>
    <t>B</t>
  </si>
  <si>
    <t>C</t>
  </si>
  <si>
    <t>D</t>
  </si>
  <si>
    <t>E</t>
  </si>
  <si>
    <t>man_klas1</t>
  </si>
  <si>
    <t>vrouw_klas1</t>
  </si>
  <si>
    <t>man_klas2</t>
  </si>
  <si>
    <t>vrouw_klas2</t>
  </si>
  <si>
    <t>klas</t>
  </si>
  <si>
    <t>klas1</t>
  </si>
  <si>
    <t>klas2</t>
  </si>
  <si>
    <t>naam</t>
  </si>
  <si>
    <t>toets</t>
  </si>
  <si>
    <t>klas3</t>
  </si>
  <si>
    <t>klas4</t>
  </si>
  <si>
    <t>klas5</t>
  </si>
  <si>
    <t>Melissa</t>
  </si>
  <si>
    <t>tussentoets</t>
  </si>
  <si>
    <t>eindtoets</t>
  </si>
  <si>
    <t>William</t>
  </si>
  <si>
    <t>Roger</t>
  </si>
  <si>
    <t>Vicky</t>
  </si>
  <si>
    <t>Bernard</t>
  </si>
  <si>
    <t>Land</t>
  </si>
  <si>
    <t>Geslacht</t>
  </si>
  <si>
    <t>België</t>
  </si>
  <si>
    <t>Vrouw</t>
  </si>
  <si>
    <t>Man</t>
  </si>
  <si>
    <t>Luxemburg</t>
  </si>
  <si>
    <t>Nederland</t>
  </si>
  <si>
    <t>2000</t>
  </si>
  <si>
    <t>2005</t>
  </si>
  <si>
    <t>2010</t>
  </si>
  <si>
    <t>2015</t>
  </si>
  <si>
    <t>Populatie</t>
  </si>
  <si>
    <t>(Alle)</t>
  </si>
  <si>
    <t>Som van Populatie</t>
  </si>
  <si>
    <t>interval</t>
  </si>
  <si>
    <t>frequentie</t>
  </si>
  <si>
    <t>aantal kleiner dan of gelijk aan 70</t>
  </si>
  <si>
    <t>aantal in interval 71-80</t>
  </si>
  <si>
    <t>aantal in interval 81-90</t>
  </si>
  <si>
    <t>aantal in interval 91-100</t>
  </si>
  <si>
    <t>aantal groter dan 100</t>
  </si>
  <si>
    <t>Appel</t>
  </si>
  <si>
    <t>Druif</t>
  </si>
  <si>
    <t>Banaan</t>
  </si>
  <si>
    <t>Citroen</t>
  </si>
  <si>
    <t>Peer</t>
  </si>
  <si>
    <t>An</t>
  </si>
  <si>
    <t>Chris</t>
  </si>
  <si>
    <t>Ivo</t>
  </si>
  <si>
    <t>Mari</t>
  </si>
  <si>
    <t>Otto</t>
  </si>
  <si>
    <t>Peter</t>
  </si>
  <si>
    <t>Stan</t>
  </si>
  <si>
    <t>Trudy</t>
  </si>
  <si>
    <t>Naam</t>
  </si>
  <si>
    <t>Persnr</t>
  </si>
  <si>
    <t>Achternaam</t>
  </si>
  <si>
    <t>Voornaam</t>
  </si>
  <si>
    <t>Functie</t>
  </si>
  <si>
    <t>Afdeling</t>
  </si>
  <si>
    <t>Divisie</t>
  </si>
  <si>
    <t>Salaris</t>
  </si>
  <si>
    <t>Jong de</t>
  </si>
  <si>
    <t>Klaas</t>
  </si>
  <si>
    <t>Assist. accountant</t>
  </si>
  <si>
    <t>Accounting</t>
  </si>
  <si>
    <t>Kopieerapp.</t>
  </si>
  <si>
    <t>Lijst afdelingen</t>
  </si>
  <si>
    <t>Lijst Functies</t>
  </si>
  <si>
    <t>Peters</t>
  </si>
  <si>
    <t>Robin</t>
  </si>
  <si>
    <t>Admin. medew. groep</t>
  </si>
  <si>
    <t>Ontwerpafdeling</t>
  </si>
  <si>
    <t>Printers</t>
  </si>
  <si>
    <t>Kerstholt</t>
  </si>
  <si>
    <t>Tonia</t>
  </si>
  <si>
    <t>Faxapp.</t>
  </si>
  <si>
    <t>Bosma</t>
  </si>
  <si>
    <t>Software-ontwikkelaar</t>
  </si>
  <si>
    <t>Nieborg</t>
  </si>
  <si>
    <t>Judith</t>
  </si>
  <si>
    <t>Vertegenwoordiger</t>
  </si>
  <si>
    <t>Marketing</t>
  </si>
  <si>
    <t>Dantuma</t>
  </si>
  <si>
    <t>Desiree</t>
  </si>
  <si>
    <t>Accountant</t>
  </si>
  <si>
    <t>Mulder</t>
  </si>
  <si>
    <t>Elsbeth</t>
  </si>
  <si>
    <t>Admin. medew.</t>
  </si>
  <si>
    <t>Administratie</t>
  </si>
  <si>
    <t>Schutter</t>
  </si>
  <si>
    <t>Aletta</t>
  </si>
  <si>
    <t>Essen van</t>
  </si>
  <si>
    <t>Bert</t>
  </si>
  <si>
    <t>Assist. vormgeving</t>
  </si>
  <si>
    <t>Vormgeving</t>
  </si>
  <si>
    <t>Geerling</t>
  </si>
  <si>
    <t>Rob</t>
  </si>
  <si>
    <t>Damhof</t>
  </si>
  <si>
    <t>Michael</t>
  </si>
  <si>
    <t>Al-Sabah</t>
  </si>
  <si>
    <t>Daoud</t>
  </si>
  <si>
    <t>Assist. technicus</t>
  </si>
  <si>
    <t>Willekes</t>
  </si>
  <si>
    <t>Sara</t>
  </si>
  <si>
    <t>Produkt-marketer</t>
  </si>
  <si>
    <t>Molenaar</t>
  </si>
  <si>
    <t>Janet</t>
  </si>
  <si>
    <t>Algra</t>
  </si>
  <si>
    <t>Erik</t>
  </si>
  <si>
    <t>Wetensch. onderzoeker</t>
  </si>
  <si>
    <t>Onderz. &amp; ontwik.</t>
  </si>
  <si>
    <t>Zandstra</t>
  </si>
  <si>
    <t>Aaron</t>
  </si>
  <si>
    <t>Stroo</t>
  </si>
  <si>
    <t>Heleen</t>
  </si>
  <si>
    <t>Specialist vormgeving</t>
  </si>
  <si>
    <t>Sauter</t>
  </si>
  <si>
    <t>Karel</t>
  </si>
  <si>
    <t>Vosman</t>
  </si>
  <si>
    <t>Overmars</t>
  </si>
  <si>
    <t>Willlem</t>
  </si>
  <si>
    <t>Smit</t>
  </si>
  <si>
    <t>Howard</t>
  </si>
  <si>
    <t>Eikelenboom</t>
  </si>
  <si>
    <t>Mirjam</t>
  </si>
  <si>
    <t>Kellerman</t>
  </si>
  <si>
    <t>Tommie</t>
  </si>
  <si>
    <t>Roelfsema</t>
  </si>
  <si>
    <t>Leidinggev. ontwerpafd.</t>
  </si>
  <si>
    <t>Alberts</t>
  </si>
  <si>
    <t>Esther</t>
  </si>
  <si>
    <t>Lempert</t>
  </si>
  <si>
    <t>Alexandra</t>
  </si>
  <si>
    <t>Kuiper</t>
  </si>
  <si>
    <t>Linda</t>
  </si>
  <si>
    <t>Boersma</t>
  </si>
  <si>
    <t>Phillip</t>
  </si>
  <si>
    <t>Henders</t>
  </si>
  <si>
    <t>Mark</t>
  </si>
  <si>
    <t>Fontaine</t>
  </si>
  <si>
    <t>Jean</t>
  </si>
  <si>
    <t>Plant</t>
  </si>
  <si>
    <t>Alex</t>
  </si>
  <si>
    <t>Kramer</t>
  </si>
  <si>
    <t>Maaike</t>
  </si>
  <si>
    <t>Einstein</t>
  </si>
  <si>
    <t>Isolde</t>
  </si>
  <si>
    <t>Technicus</t>
  </si>
  <si>
    <t>Davids</t>
  </si>
  <si>
    <t>Karin</t>
  </si>
  <si>
    <t>Faber</t>
  </si>
  <si>
    <t>Wijbenga</t>
  </si>
  <si>
    <t>Sandra</t>
  </si>
  <si>
    <t>Wijnen</t>
  </si>
  <si>
    <t>Floris</t>
  </si>
  <si>
    <t>Mans</t>
  </si>
  <si>
    <t>Steven</t>
  </si>
  <si>
    <t>Maathuis</t>
  </si>
  <si>
    <t>Evelien</t>
  </si>
  <si>
    <t>Herder</t>
  </si>
  <si>
    <t>Robert</t>
  </si>
  <si>
    <t>Groothuis</t>
  </si>
  <si>
    <t>Theo</t>
  </si>
  <si>
    <t>Beerda</t>
  </si>
  <si>
    <t>Anna</t>
  </si>
  <si>
    <t>Kwant</t>
  </si>
  <si>
    <t>Frank</t>
  </si>
  <si>
    <t>Geertsema</t>
  </si>
  <si>
    <t>Antonie</t>
  </si>
  <si>
    <t>Makken</t>
  </si>
  <si>
    <t>Jose</t>
  </si>
  <si>
    <t>Paping</t>
  </si>
  <si>
    <t>Ronald</t>
  </si>
  <si>
    <t>Machinetechnicus</t>
  </si>
  <si>
    <t>Vergeer</t>
  </si>
  <si>
    <t>Maria</t>
  </si>
  <si>
    <t>Ellen</t>
  </si>
  <si>
    <t>Schaafsma</t>
  </si>
  <si>
    <t>Toine</t>
  </si>
  <si>
    <t>Kanis</t>
  </si>
  <si>
    <t>Nico</t>
  </si>
  <si>
    <t>Wegenbree</t>
  </si>
  <si>
    <t>Roos</t>
  </si>
  <si>
    <t>Bel</t>
  </si>
  <si>
    <t>Tom</t>
  </si>
  <si>
    <t>Ruiter</t>
  </si>
  <si>
    <t>Manager ontwerpafd.</t>
  </si>
  <si>
    <t>Mosselman</t>
  </si>
  <si>
    <t>Dennis</t>
  </si>
  <si>
    <t>Lange de</t>
  </si>
  <si>
    <t>Leslie</t>
  </si>
  <si>
    <t>Kourios</t>
  </si>
  <si>
    <t>Holtrop</t>
  </si>
  <si>
    <t>Bruinenberg</t>
  </si>
  <si>
    <t>Melia</t>
  </si>
  <si>
    <t>Kromhout</t>
  </si>
  <si>
    <t>Kegler</t>
  </si>
  <si>
    <t>Pamela</t>
  </si>
  <si>
    <t>Jager</t>
  </si>
  <si>
    <t>Stephanie</t>
  </si>
  <si>
    <t>Wit</t>
  </si>
  <si>
    <t>Jessica</t>
  </si>
  <si>
    <t>Handelman</t>
  </si>
  <si>
    <t>Kees</t>
  </si>
  <si>
    <t>Verkade</t>
  </si>
  <si>
    <t>Eduard</t>
  </si>
  <si>
    <t>Groepmanager</t>
  </si>
  <si>
    <t>Burger</t>
  </si>
  <si>
    <t>Dave</t>
  </si>
  <si>
    <t>Thiecke</t>
  </si>
  <si>
    <t>Herman</t>
  </si>
  <si>
    <t>Riksten</t>
  </si>
  <si>
    <t>Janette</t>
  </si>
  <si>
    <t>Barbara</t>
  </si>
  <si>
    <t>Kleine</t>
  </si>
  <si>
    <t>Bob</t>
  </si>
  <si>
    <t>Nelson</t>
  </si>
  <si>
    <t>Maris</t>
  </si>
  <si>
    <t>Ellis</t>
  </si>
  <si>
    <t>Westra</t>
  </si>
  <si>
    <t>Sam</t>
  </si>
  <si>
    <t>Senior medew. ontwerpafd.</t>
  </si>
  <si>
    <t>Renkema</t>
  </si>
  <si>
    <t>Wouter</t>
  </si>
  <si>
    <t>Ridderbos</t>
  </si>
  <si>
    <t>Lise-Anne</t>
  </si>
  <si>
    <t>Bankler</t>
  </si>
  <si>
    <t>Rowena</t>
  </si>
  <si>
    <t>Huisman</t>
  </si>
  <si>
    <t>Hester</t>
  </si>
  <si>
    <t>Mortel</t>
  </si>
  <si>
    <t>Steen</t>
  </si>
  <si>
    <t>Cindy</t>
  </si>
  <si>
    <t>Marinez</t>
  </si>
  <si>
    <t>Gustavo</t>
  </si>
  <si>
    <t>Fijn</t>
  </si>
  <si>
    <t>Caroline</t>
  </si>
  <si>
    <t>Bartels</t>
  </si>
  <si>
    <t>Onderzoeker</t>
  </si>
  <si>
    <t>Stadtman</t>
  </si>
  <si>
    <t>Jan-Theo</t>
  </si>
  <si>
    <t>Ritsma</t>
  </si>
  <si>
    <t>Unitmanager</t>
  </si>
  <si>
    <t>Vreeman</t>
  </si>
  <si>
    <t>Jules</t>
  </si>
  <si>
    <t>Zwaving</t>
  </si>
  <si>
    <t>Lisa</t>
  </si>
  <si>
    <t>Helder</t>
  </si>
  <si>
    <t>Willem</t>
  </si>
  <si>
    <t>Bijkerk</t>
  </si>
  <si>
    <t>David</t>
  </si>
  <si>
    <t>Oosten</t>
  </si>
  <si>
    <t>Bart</t>
  </si>
  <si>
    <t>Mekel</t>
  </si>
  <si>
    <t>Menno</t>
  </si>
  <si>
    <t>Kruit</t>
  </si>
  <si>
    <t>Berg</t>
  </si>
  <si>
    <t>Jonge de</t>
  </si>
  <si>
    <t>Arend</t>
  </si>
  <si>
    <t>Geluk</t>
  </si>
  <si>
    <t>Betsie</t>
  </si>
  <si>
    <t>Emmerink</t>
  </si>
  <si>
    <t>Donald</t>
  </si>
  <si>
    <t>Kroon</t>
  </si>
  <si>
    <t>Brenda</t>
  </si>
  <si>
    <t>Bloemendaal</t>
  </si>
  <si>
    <t>Boerhof</t>
  </si>
  <si>
    <t>Vossen</t>
  </si>
  <si>
    <t>Felix</t>
  </si>
  <si>
    <t>Larssen</t>
  </si>
  <si>
    <t>Erika</t>
  </si>
  <si>
    <t>Bureaumanager</t>
  </si>
  <si>
    <t>Smidt</t>
  </si>
  <si>
    <t>Rik</t>
  </si>
  <si>
    <t>Wolthuis</t>
  </si>
  <si>
    <t>Carla</t>
  </si>
  <si>
    <t>Kortlandt</t>
  </si>
  <si>
    <t>Mien</t>
  </si>
  <si>
    <t>Helpman</t>
  </si>
  <si>
    <t>Grootte</t>
  </si>
  <si>
    <t>Kanon</t>
  </si>
  <si>
    <t>Susan</t>
  </si>
  <si>
    <t>Wolf</t>
  </si>
  <si>
    <t>Hilda</t>
  </si>
  <si>
    <t>Hulzenbos</t>
  </si>
  <si>
    <t>Johan</t>
  </si>
  <si>
    <t>Marja</t>
  </si>
  <si>
    <t>Ottevanger</t>
  </si>
  <si>
    <t>Lourens</t>
  </si>
  <si>
    <t>Hoeveelheid</t>
  </si>
  <si>
    <t>Goud</t>
  </si>
  <si>
    <t>Zilver</t>
  </si>
  <si>
    <t>Brons</t>
  </si>
  <si>
    <t>Verenigde Staten</t>
  </si>
  <si>
    <t>Verenigd Koninkrijk</t>
  </si>
  <si>
    <t>China</t>
  </si>
  <si>
    <t>Rusland</t>
  </si>
  <si>
    <t>Duitsland</t>
  </si>
  <si>
    <t>Japan</t>
  </si>
  <si>
    <t>Frankrijk</t>
  </si>
  <si>
    <t>Zuid-Korea</t>
  </si>
  <si>
    <t>Italië</t>
  </si>
  <si>
    <t>Australië</t>
  </si>
  <si>
    <t>Hongarije</t>
  </si>
  <si>
    <t>Brazilië</t>
  </si>
  <si>
    <t>Spanje</t>
  </si>
  <si>
    <t>Kenia</t>
  </si>
  <si>
    <t>Jamaica</t>
  </si>
  <si>
    <t>Kroatië</t>
  </si>
  <si>
    <t>Cuba</t>
  </si>
  <si>
    <t>Nieuw-Zeeland</t>
  </si>
  <si>
    <t>Canada</t>
  </si>
  <si>
    <t>Oezbekistan</t>
  </si>
  <si>
    <t>Kazachstan</t>
  </si>
  <si>
    <t>Colombia</t>
  </si>
  <si>
    <t>Zwitserland</t>
  </si>
  <si>
    <t>Iran</t>
  </si>
  <si>
    <t>Griekenland</t>
  </si>
  <si>
    <t>Argentinië</t>
  </si>
  <si>
    <t>Denemarken</t>
  </si>
  <si>
    <t>Zweden</t>
  </si>
  <si>
    <t>Zuid-Afrika</t>
  </si>
  <si>
    <t>Oekraïne</t>
  </si>
  <si>
    <t>Servië</t>
  </si>
  <si>
    <t>Polen</t>
  </si>
  <si>
    <t>Noord-Korea</t>
  </si>
  <si>
    <t>Thailand</t>
  </si>
  <si>
    <t>Slowakije</t>
  </si>
  <si>
    <t>Georgië</t>
  </si>
  <si>
    <t>Azerbeidzjan</t>
  </si>
  <si>
    <t>Wit-Rusland</t>
  </si>
  <si>
    <t>Turkije</t>
  </si>
  <si>
    <t>Armenië</t>
  </si>
  <si>
    <t>Tsjechië</t>
  </si>
  <si>
    <t>Ethiopië</t>
  </si>
  <si>
    <t>Slovenië</t>
  </si>
  <si>
    <t>Indonesië</t>
  </si>
  <si>
    <t>Roemenië</t>
  </si>
  <si>
    <t>Bahrein</t>
  </si>
  <si>
    <t>Vietnam</t>
  </si>
  <si>
    <t>Chinees Taipei</t>
  </si>
  <si>
    <t>Bahama's</t>
  </si>
  <si>
    <t>Individuele Olympische Atleten</t>
  </si>
  <si>
    <t>Ivoorkust</t>
  </si>
  <si>
    <t>Fiji</t>
  </si>
  <si>
    <t>Jordanië</t>
  </si>
  <si>
    <t>Kosovo</t>
  </si>
  <si>
    <t>Puerto Rico</t>
  </si>
  <si>
    <t>Singapore</t>
  </si>
  <si>
    <t>Tadzjikistan</t>
  </si>
  <si>
    <t>Maleisië</t>
  </si>
  <si>
    <t>Mexico</t>
  </si>
  <si>
    <t>Algerije</t>
  </si>
  <si>
    <t>Ierland</t>
  </si>
  <si>
    <t>Litouwen</t>
  </si>
  <si>
    <t>Bulgarije</t>
  </si>
  <si>
    <t>Venezuela</t>
  </si>
  <si>
    <t>India</t>
  </si>
  <si>
    <t>Mongolië</t>
  </si>
  <si>
    <t>Burundi</t>
  </si>
  <si>
    <t>Filipijnen</t>
  </si>
  <si>
    <t>Grenada</t>
  </si>
  <si>
    <t>Niger</t>
  </si>
  <si>
    <t>Qatar</t>
  </si>
  <si>
    <t>Noorwegen</t>
  </si>
  <si>
    <t>Egypte</t>
  </si>
  <si>
    <t>Tunesië</t>
  </si>
  <si>
    <t>Israël</t>
  </si>
  <si>
    <t>Dominicaanse</t>
  </si>
  <si>
    <t>Estland</t>
  </si>
  <si>
    <t>Finland</t>
  </si>
  <si>
    <t>Marokko</t>
  </si>
  <si>
    <t>Moldavië</t>
  </si>
  <si>
    <t>Nigeria</t>
  </si>
  <si>
    <t>Oostenrijk</t>
  </si>
  <si>
    <t>Portugal</t>
  </si>
  <si>
    <t>Trinidad en Tobago</t>
  </si>
  <si>
    <t>Verenigde Arabische Emiraten</t>
  </si>
  <si>
    <t>Tall</t>
  </si>
  <si>
    <t>Grande</t>
  </si>
  <si>
    <t>Venti</t>
  </si>
  <si>
    <t>Cappuccino</t>
  </si>
  <si>
    <t>Caffè Latte</t>
  </si>
  <si>
    <t>Espresso</t>
  </si>
  <si>
    <t>Caramel Maccchiato</t>
  </si>
  <si>
    <t>White Caffè Mocha</t>
  </si>
  <si>
    <t>Caffè Mocha</t>
  </si>
  <si>
    <t>Vanilla Latte</t>
  </si>
  <si>
    <t>Caffè Americano</t>
  </si>
  <si>
    <t>Filter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</si>
</sst>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  <numFmt numFmtId="179" formatCode="&quot;€&quot;\ #,##0.00"/>
  </numFmts>
  <fonts count="4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1">
    <xf numFmtId="0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0" fontId="40" fillId="0" borderId="0"/>
  </cellStyleXfs>
  <cellXfs count="264">
    <xf numFmtId="0" fontId="0" fillId="0" borderId="0" xfId="0"/>
    <xf numFmtId="0" fontId="12" fillId="0" borderId="0" xfId="0" applyFont="1"/>
    <xf numFmtId="164" fontId="0" fillId="0" borderId="0" xfId="1" applyNumberFormat="1" applyFont="1"/>
    <xf numFmtId="0" fontId="0" fillId="0" borderId="0" xfId="0" applyAlignment="1">
      <alignment horizontal="left"/>
    </xf>
    <xf numFmtId="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0" fontId="13" fillId="0" borderId="0" xfId="0" applyFont="1"/>
    <xf numFmtId="0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0" fontId="16" fillId="0" borderId="0" xfId="0" applyFont="1"/>
    <xf numFmtId="0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8" xfId="0" applyFont="1" applyBorder="1"/>
    <xf numFmtId="0" fontId="10" fillId="0" borderId="7" xfId="0" applyFont="1" applyBorder="1" applyAlignment="1">
      <alignment textRotation="44"/>
    </xf>
    <xf numFmtId="0" fontId="10" fillId="0" borderId="6" xfId="0" applyFont="1" applyBorder="1"/>
    <xf numFmtId="0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0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0" fontId="0" fillId="0" borderId="3" xfId="0" applyBorder="1"/>
    <xf numFmtId="0" fontId="0" fillId="0" borderId="1" xfId="0" applyBorder="1"/>
    <xf numFmtId="0" fontId="0" fillId="0" borderId="12" xfId="0" applyBorder="1"/>
    <xf numFmtId="0" fontId="0" fillId="0" borderId="2" xfId="0" applyBorder="1"/>
    <xf numFmtId="0" fontId="12" fillId="0" borderId="6" xfId="0" applyFont="1" applyBorder="1" applyAlignment="1">
      <alignment horizontal="left" vertical="top" inden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2" fillId="5" borderId="6" xfId="0" applyFont="1" applyFill="1" applyBorder="1" applyAlignment="1">
      <alignment horizontal="left" vertical="top" indent="1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18" xfId="33" applyFont="1" applyFill="1" applyBorder="1" applyAlignment="1">
      <alignment horizontal="left"/>
    </xf>
    <xf numFmtId="0" fontId="28" fillId="6" borderId="18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0" fontId="32" fillId="0" borderId="0" xfId="0" applyFont="1"/>
    <xf numFmtId="3" fontId="32" fillId="4" borderId="0" xfId="0" applyNumberFormat="1" applyFont="1" applyFill="1"/>
    <xf numFmtId="0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0" fontId="38" fillId="0" borderId="0" xfId="0" applyFont="1"/>
    <xf numFmtId="14" fontId="11" fillId="0" borderId="0" xfId="35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40" fillId="0" borderId="0" xfId="40" applyAlignment="1">
      <alignment horizontal="left" wrapText="1"/>
    </xf>
    <xf numFmtId="0" fontId="40" fillId="0" borderId="0" xfId="40" applyAlignment="1">
      <alignment horizontal="center" wrapText="1"/>
    </xf>
    <xf numFmtId="0" fontId="40" fillId="0" borderId="0" xfId="40" applyAlignment="1">
      <alignment horizontal="right" wrapText="1"/>
    </xf>
    <xf numFmtId="0" fontId="40" fillId="0" borderId="0" xfId="40"/>
    <xf numFmtId="1" fontId="40" fillId="0" borderId="0" xfId="40" applyNumberFormat="1" applyAlignment="1">
      <alignment horizontal="right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5" fillId="0" borderId="0" xfId="2" applyNumberFormat="1" applyFont="1"/>
    <xf numFmtId="0" fontId="15" fillId="0" borderId="0" xfId="2" applyNumberFormat="1" applyFont="1" applyAlignment="1">
      <alignment horizontal="right"/>
    </xf>
    <xf numFmtId="44" fontId="15" fillId="0" borderId="0" xfId="1" applyFont="1"/>
    <xf numFmtId="0" fontId="41" fillId="0" borderId="0" xfId="2" applyNumberFormat="1" applyFont="1"/>
    <xf numFmtId="0" fontId="42" fillId="0" borderId="0" xfId="2" applyNumberFormat="1" applyFont="1"/>
    <xf numFmtId="49" fontId="15" fillId="0" borderId="0" xfId="33" applyNumberFormat="1" applyFont="1"/>
    <xf numFmtId="179" fontId="15" fillId="0" borderId="0" xfId="33" applyNumberFormat="1" applyFont="1"/>
    <xf numFmtId="14" fontId="15" fillId="0" borderId="0" xfId="33" applyNumberFormat="1" applyFont="1"/>
    <xf numFmtId="49" fontId="10" fillId="0" borderId="0" xfId="33" applyNumberFormat="1"/>
    <xf numFmtId="179" fontId="0" fillId="0" borderId="0" xfId="3" applyNumberFormat="1" applyFont="1"/>
    <xf numFmtId="14" fontId="10" fillId="0" borderId="0" xfId="33" applyNumberFormat="1"/>
    <xf numFmtId="179" fontId="10" fillId="0" borderId="0" xfId="33" applyNumberFormat="1"/>
    <xf numFmtId="9" fontId="0" fillId="0" borderId="0" xfId="0" applyNumberFormat="1" applyAlignment="1">
      <alignment horizontal="center"/>
    </xf>
    <xf numFmtId="9" fontId="0" fillId="0" borderId="0" xfId="24" applyFont="1" applyAlignment="1">
      <alignment horizontal="center"/>
    </xf>
    <xf numFmtId="0" fontId="12" fillId="0" borderId="0" xfId="0" applyFont="1" applyAlignment="1">
      <alignment horizontal="center"/>
    </xf>
    <xf numFmtId="43" fontId="0" fillId="0" borderId="0" xfId="32" applyFont="1" applyAlignment="1">
      <alignment horizontal="center"/>
    </xf>
    <xf numFmtId="0" fontId="31" fillId="9" borderId="0" xfId="33" applyFont="1" applyFill="1" applyAlignment="1">
      <alignment horizontal="center" vertical="center"/>
    </xf>
    <xf numFmtId="0" fontId="12" fillId="5" borderId="16" xfId="0" applyFont="1" applyFill="1" applyBorder="1" applyAlignment="1">
      <alignment horizontal="left" vertical="top" indent="1"/>
    </xf>
    <xf numFmtId="0" fontId="0" fillId="0" borderId="15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12" fillId="0" borderId="16" xfId="0" applyFont="1" applyBorder="1" applyAlignment="1">
      <alignment horizontal="left" vertical="top" indent="1"/>
    </xf>
    <xf numFmtId="0" fontId="0" fillId="0" borderId="13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2" fillId="0" borderId="0" xfId="35" applyFont="1" applyAlignment="1"/>
    <xf numFmtId="0" fontId="10" fillId="0" borderId="9" xfId="0" applyFont="1" applyBorder="1" applyAlignment="1">
      <alignment horizontal="center" vertical="center" textRotation="90"/>
    </xf>
    <xf numFmtId="0" fontId="10" fillId="0" borderId="10" xfId="0" applyFont="1" applyBorder="1" applyAlignment="1">
      <alignment horizontal="center" vertical="center" textRotation="90"/>
    </xf>
    <xf numFmtId="0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1" fillId="0" borderId="0" xfId="2" applyNumberFormat="1" applyFont="1" applyAlignment="1">
      <alignment horizontal="center"/>
    </xf>
    <xf numFmtId="0" fontId="43" fillId="0" borderId="0" xfId="2" applyNumberFormat="1" applyFont="1" applyAlignment="1">
      <alignment horizontal="center"/>
    </xf>
    <xf numFmtId="168" fontId="41" fillId="0" borderId="0" xfId="2" applyNumberFormat="1" applyFont="1" applyAlignment="1">
      <alignment horizontal="center"/>
    </xf>
  </cellXfs>
  <cellStyles count="41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 customBuiltin="1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14" xfId="40" xr:uid="{CB95D60E-84D0-475D-B417-20F608AC2BFA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79" formatCode="&quot;€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30" formatCode="@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numFmt numFmtId="1" formatCode="0"/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numFmt numFmtId="19" formatCode="d/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pivotCacheDefinition" Target="pivotCache/pivotCacheDefinition1.xml"/><Relationship Id="rId89" Type="http://schemas.openxmlformats.org/officeDocument/2006/relationships/pivotCacheDefinition" Target="pivotCache/pivotCacheDefinition6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95" Type="http://schemas.openxmlformats.org/officeDocument/2006/relationships/calcChain" Target="calcChain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externalLink" Target="externalLinks/externalLink4.xml"/><Relationship Id="rId85" Type="http://schemas.openxmlformats.org/officeDocument/2006/relationships/pivotCacheDefinition" Target="pivotCache/pivotCacheDefinition2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externalLink" Target="externalLinks/externalLink7.xml"/><Relationship Id="rId88" Type="http://schemas.openxmlformats.org/officeDocument/2006/relationships/pivotCacheDefinition" Target="pivotCache/pivotCacheDefinition5.xml"/><Relationship Id="rId91" Type="http://schemas.openxmlformats.org/officeDocument/2006/relationships/connections" Target="connections.xml"/><Relationship Id="rId9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externalLink" Target="externalLinks/externalLink2.xml"/><Relationship Id="rId81" Type="http://schemas.openxmlformats.org/officeDocument/2006/relationships/externalLink" Target="externalLinks/externalLink5.xml"/><Relationship Id="rId86" Type="http://schemas.openxmlformats.org/officeDocument/2006/relationships/pivotCacheDefinition" Target="pivotCache/pivotCacheDefinition3.xml"/><Relationship Id="rId9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pivotCacheDefinition" Target="pivotCache/pivotCacheDefinition4.xml"/><Relationship Id="rId61" Type="http://schemas.openxmlformats.org/officeDocument/2006/relationships/worksheet" Target="worksheets/sheet61.xml"/><Relationship Id="rId82" Type="http://schemas.openxmlformats.org/officeDocument/2006/relationships/externalLink" Target="externalLinks/externalLink6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[Excel_Screendumps_NL.xlsx]Benelux-populatie-oplossing!Draaitabel1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Populatie Benelux</a:t>
            </a:r>
          </a:p>
        </c:rich>
      </c:tx>
      <c:layout>
        <c:manualLayout>
          <c:xMode val="edge"/>
          <c:yMode val="edge"/>
          <c:x val="0.16114507590356814"/>
          <c:y val="3.8781332679566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269346269154931"/>
          <c:y val="0.19744932925051031"/>
          <c:w val="0.76837819469747826"/>
          <c:h val="0.59800051035287249"/>
        </c:manualLayout>
      </c:layout>
      <c:lineChart>
        <c:grouping val="standard"/>
        <c:varyColors val="0"/>
        <c:ser>
          <c:idx val="0"/>
          <c:order val="0"/>
          <c:tx>
            <c:strRef>
              <c:f>'Benelux-populatie-oplossing'!$I$27:$I$28</c:f>
              <c:strCache>
                <c:ptCount val="1"/>
                <c:pt idx="0">
                  <c:v>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'Benelux-populatie-oplossing'!$I$29:$I$33</c:f>
              <c:numCache>
                <c:formatCode>#,##0</c:formatCode>
                <c:ptCount val="4"/>
                <c:pt idx="0">
                  <c:v>13138347</c:v>
                </c:pt>
                <c:pt idx="1">
                  <c:v>13516245</c:v>
                </c:pt>
                <c:pt idx="2">
                  <c:v>13908662</c:v>
                </c:pt>
                <c:pt idx="3">
                  <c:v>14253462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B-4ECD-9E43-DE95B75D5BAA}"/>
            </c:ext>
          </c:extLst>
        </c:ser>
        <c:ser>
          <c:idx val="1"/>
          <c:order val="1"/>
          <c:tx>
            <c:strRef>
              <c:f>'Benelux-populatie-oplossing'!$J$27:$J$28</c:f>
              <c:strCache>
                <c:ptCount val="1"/>
                <c:pt idx="0">
                  <c:v>Vrouw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'Benelux-populatie-oplossing'!$H$29:$H$33</c:f>
              <c:strCach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strCache>
            </c:strRef>
          </c:cat>
          <c:val>
            <c:numRef>
              <c:f>'Benelux-populatie-oplossing'!$J$29:$J$33</c:f>
              <c:numCache>
                <c:formatCode>#,##0</c:formatCode>
                <c:ptCount val="4"/>
                <c:pt idx="0">
                  <c:v>13505993</c:v>
                </c:pt>
                <c:pt idx="1">
                  <c:v>13855641</c:v>
                </c:pt>
                <c:pt idx="2">
                  <c:v>14220890</c:v>
                </c:pt>
                <c:pt idx="3">
                  <c:v>14539702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B-4ECD-9E43-DE95B75D5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347791"/>
        <c:axId val="643814063"/>
      </c:lineChart>
      <c:catAx>
        <c:axId val="63534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3814063"/>
        <c:crosses val="autoZero"/>
        <c:auto val="1"/>
        <c:lblAlgn val="ctr"/>
        <c:lblOffset val="100"/>
        <c:noMultiLvlLbl val="0"/>
      </c:catAx>
      <c:valAx>
        <c:axId val="64381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Populatie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53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480184845365631"/>
          <c:y val="4.9301181102362215E-2"/>
          <c:w val="0.32770564969701366"/>
          <c:h val="9.18373381167333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12</xdr:col>
      <xdr:colOff>9525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161924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552449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600076</xdr:colOff>
      <xdr:row>11</xdr:row>
      <xdr:rowOff>38100</xdr:rowOff>
    </xdr:from>
    <xdr:to>
      <xdr:col>11</xdr:col>
      <xdr:colOff>1</xdr:colOff>
      <xdr:row>23</xdr:row>
      <xdr:rowOff>85726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419840D-CCA4-4131-9312-3B7B8AC0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801.55826377315" createdVersion="6" refreshedVersion="6" minRefreshableVersion="3" recordCount="24" xr:uid="{DA05F0B7-F818-457D-BFD2-5DB6E4D9079B}">
  <cacheSource type="worksheet">
    <worksheetSource name="q_benelux"/>
  </cacheSource>
  <cacheFields count="4">
    <cacheField name="Land" numFmtId="0">
      <sharedItems count="3">
        <s v="België"/>
        <s v="Luxemburg"/>
        <s v="Nederland"/>
      </sharedItems>
    </cacheField>
    <cacheField name="Geslacht" numFmtId="0">
      <sharedItems count="2">
        <s v="Vrouw"/>
        <s v="Man"/>
      </sharedItems>
    </cacheField>
    <cacheField name="Jaar" numFmtId="0">
      <sharedItems count="4">
        <s v="2000"/>
        <s v="2005"/>
        <s v="2010"/>
        <s v="2015"/>
      </sharedItems>
    </cacheField>
    <cacheField name="Populatie" numFmtId="1">
      <sharedItems containsSemiMixedTypes="0" containsString="0" containsNumber="1" containsInteger="1" minValue="214787" maxValue="85181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5247226"/>
  </r>
  <r>
    <x v="0"/>
    <x v="0"/>
    <x v="1"/>
    <n v="5372650"/>
  </r>
  <r>
    <x v="0"/>
    <x v="0"/>
    <x v="2"/>
    <n v="5566774"/>
  </r>
  <r>
    <x v="0"/>
    <x v="0"/>
    <x v="3"/>
    <n v="5739297"/>
  </r>
  <r>
    <x v="0"/>
    <x v="1"/>
    <x v="0"/>
    <n v="5034820"/>
  </r>
  <r>
    <x v="0"/>
    <x v="1"/>
    <x v="1"/>
    <n v="5174235"/>
  </r>
  <r>
    <x v="0"/>
    <x v="1"/>
    <x v="2"/>
    <n v="5371961"/>
  </r>
  <r>
    <x v="0"/>
    <x v="1"/>
    <x v="3"/>
    <n v="5548634"/>
  </r>
  <r>
    <x v="1"/>
    <x v="0"/>
    <x v="0"/>
    <n v="221319"/>
  </r>
  <r>
    <x v="1"/>
    <x v="0"/>
    <x v="1"/>
    <n v="231913"/>
  </r>
  <r>
    <x v="1"/>
    <x v="0"/>
    <x v="2"/>
    <n v="255593"/>
  </r>
  <r>
    <x v="1"/>
    <x v="0"/>
    <x v="3"/>
    <n v="282300"/>
  </r>
  <r>
    <x v="1"/>
    <x v="1"/>
    <x v="0"/>
    <n v="214787"/>
  </r>
  <r>
    <x v="1"/>
    <x v="1"/>
    <x v="1"/>
    <n v="225935"/>
  </r>
  <r>
    <x v="1"/>
    <x v="1"/>
    <x v="2"/>
    <n v="252297"/>
  </r>
  <r>
    <x v="1"/>
    <x v="1"/>
    <x v="3"/>
    <n v="284441"/>
  </r>
  <r>
    <x v="2"/>
    <x v="0"/>
    <x v="0"/>
    <n v="8037448"/>
  </r>
  <r>
    <x v="2"/>
    <x v="0"/>
    <x v="1"/>
    <n v="8251078"/>
  </r>
  <r>
    <x v="2"/>
    <x v="0"/>
    <x v="2"/>
    <n v="8398523"/>
  </r>
  <r>
    <x v="2"/>
    <x v="0"/>
    <x v="3"/>
    <n v="8518105"/>
  </r>
  <r>
    <x v="2"/>
    <x v="1"/>
    <x v="0"/>
    <n v="7888740"/>
  </r>
  <r>
    <x v="2"/>
    <x v="1"/>
    <x v="1"/>
    <n v="8116075"/>
  </r>
  <r>
    <x v="2"/>
    <x v="1"/>
    <x v="2"/>
    <n v="8284404"/>
  </r>
  <r>
    <x v="2"/>
    <x v="1"/>
    <x v="3"/>
    <n v="84203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6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4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7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5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59912-9B95-4DA5-ADE2-47628FC26E33}" name="Draaitabel1" cacheId="5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H27:K33" firstHeaderRow="1" firstDataRow="2" firstDataCol="1" rowPageCount="1" colPageCount="1"/>
  <pivotFields count="4">
    <pivotField axis="axisPage" showAll="0">
      <items count="4">
        <item x="0"/>
        <item x="1"/>
        <item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Som van Populatie" fld="3" baseField="2" baseItem="1" numFmtId="3"/>
  </dataFields>
  <formats count="2"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17">
      <pivotArea type="origin" dataOnly="0" labelOnly="1" outline="0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grandRow="1" outline="0" collapsedLevelsAreSubtotals="1" fieldPosition="0"/>
    </format>
    <format dxfId="12">
      <pivotArea dataOnly="0" labelOnly="1" grandRow="1" outline="0" fieldPosition="0"/>
    </format>
    <format dxfId="1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04B17624-FFC2-4799-BBDC-C938DE2227E8}" autoFormatId="16" applyNumberFormats="0" applyBorderFormats="0" applyFontFormats="0" applyPatternFormats="0" applyAlignmentFormats="0" applyWidthHeightFormats="0">
  <queryTableRefresh nextId="5">
    <queryTableFields count="4">
      <queryTableField id="1" name="Land" tableColumnId="1"/>
      <queryTableField id="2" name="Geslacht" tableColumnId="2"/>
      <queryTableField id="3" name="Jaar" tableColumnId="3"/>
      <queryTableField id="4" name="Populati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F6A8122A-75FE-4E2C-9607-4DA58014A5B8}" autoFormatId="16" applyNumberFormats="0" applyBorderFormats="0" applyFontFormats="0" applyPatternFormats="0" applyAlignmentFormats="0" applyWidthHeightFormats="0">
  <queryTableRefresh nextId="4">
    <queryTableFields count="3">
      <queryTableField id="1" name="score" tableColumnId="1"/>
      <queryTableField id="2" name="geslacht" tableColumnId="2"/>
      <queryTableField id="3" name="aan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3492D132-FAB4-4BBE-BEDA-472572DF50D7}" autoFormatId="16" applyNumberFormats="0" applyBorderFormats="0" applyFontFormats="0" applyPatternFormats="0" applyAlignmentFormats="0" applyWidthHeightFormats="0">
  <queryTableRefresh nextId="5">
    <queryTableFields count="4">
      <queryTableField id="1" name="score" tableColumnId="1"/>
      <queryTableField id="2" name="geslacht" tableColumnId="2"/>
      <queryTableField id="3" name="klas" tableColumnId="3"/>
      <queryTableField id="4" name="aant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64481CE5-440A-4768-96DE-5DB5701A90ED}" autoFormatId="16" applyNumberFormats="0" applyBorderFormats="0" applyFontFormats="0" applyPatternFormats="0" applyAlignmentFormats="0" applyWidthHeightFormats="0">
  <queryTableRefresh nextId="9">
    <queryTableFields count="4">
      <queryTableField id="1" name="naam" tableColumnId="1"/>
      <queryTableField id="5" name="klas" tableColumnId="3"/>
      <queryTableField id="7" name="tussentoets" tableColumnId="4"/>
      <queryTableField id="8" name="eindtoet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41"/>
    <tableColumn id="2" xr3:uid="{DCD143B9-BBC2-44AA-86B1-AA5A8830F651}" name="Volu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C892C9-6640-463D-95B2-FB05A23957F0}" name="Tabel8" displayName="Tabel8" ref="A1:F7" totalsRowShown="0" headerRowDxfId="40" dataDxfId="39" headerRowCellStyle="Standaard 14" dataCellStyle="Standaard 14">
  <autoFilter ref="A1:F7" xr:uid="{E343E3A0-4E75-42B6-987B-64EAE48A029E}"/>
  <tableColumns count="6">
    <tableColumn id="1" xr3:uid="{F419B129-13A7-432A-85AA-E7E3F8B3C8E8}" name="Land" dataDxfId="38" dataCellStyle="Standaard 14"/>
    <tableColumn id="2" xr3:uid="{993B89EC-ED1F-4985-B7DE-7BC221B23866}" name="Geslacht" dataDxfId="37" dataCellStyle="Standaard 14"/>
    <tableColumn id="3" xr3:uid="{A2BE1DBF-BB35-4823-BC4D-92C638625754}" name="2000" dataDxfId="36" dataCellStyle="Standaard 14"/>
    <tableColumn id="4" xr3:uid="{7DBF1011-2DFB-4AC7-960D-C0A8503594D4}" name="2005" dataDxfId="35" dataCellStyle="Standaard 14"/>
    <tableColumn id="5" xr3:uid="{E62733FB-12F4-4B8C-B993-2012F35A7B40}" name="2010" dataDxfId="34" dataCellStyle="Standaard 14"/>
    <tableColumn id="6" xr3:uid="{5D19C705-DCF0-47AB-B3F3-90225A5818A8}" name="2015" dataDxfId="33" dataCellStyle="Standaard 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302AAF-9B82-41F2-8B9C-BF215EFD2718}" name="q_benelux" displayName="q_benelux" ref="A1:D25" tableType="queryTable" totalsRowShown="0">
  <autoFilter ref="A1:D25" xr:uid="{F61963AD-DCFB-4DC2-9829-39104418E88D}"/>
  <tableColumns count="4">
    <tableColumn id="1" xr3:uid="{83DEA28C-CF00-4A69-BED0-99F75ABD2990}" uniqueName="1" name="Land" queryTableFieldId="1" dataDxfId="30"/>
    <tableColumn id="2" xr3:uid="{5DC35614-E1F4-45C5-BD20-EAB31A286192}" uniqueName="2" name="Geslacht" queryTableFieldId="2" dataDxfId="29"/>
    <tableColumn id="3" xr3:uid="{E17E76C9-A6EB-4FD1-92A2-B8311551DBFF}" uniqueName="3" name="Jaar" queryTableFieldId="3" dataDxfId="28"/>
    <tableColumn id="4" xr3:uid="{B05D20BB-F353-438C-8274-1519BE46A0B7}" uniqueName="4" name="Populatie" queryTableFieldId="4" dataDxfId="2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40B038-C307-43BC-AE4B-A943EFB5C0F1}" name="Personeelstabel" displayName="Personeelstabel" ref="A1:H115" totalsRowShown="0" headerRowDxfId="26">
  <autoFilter ref="A1:H115" xr:uid="{35E5EC79-AAF1-43B8-A4DF-47CF44CD6538}"/>
  <tableColumns count="8">
    <tableColumn id="1" xr3:uid="{2B59C4F0-DFFB-484D-8045-A945F056F821}" name="Persnr" dataDxfId="25"/>
    <tableColumn id="2" xr3:uid="{2B482A1F-B16E-4EFA-B165-AF5FBDA97B59}" name="Achternaam" dataDxfId="24"/>
    <tableColumn id="3" xr3:uid="{0B4646BD-B23C-44E0-A093-DA66348B814C}" name="Voornaam" dataDxfId="23"/>
    <tableColumn id="4" xr3:uid="{35629ED5-4DA5-4440-849D-F60DCEF1D901}" name="Functie" dataDxfId="22"/>
    <tableColumn id="5" xr3:uid="{1EA2A6C5-A835-436F-9F0B-874A0ADFA16F}" name="Afdeling" dataDxfId="21"/>
    <tableColumn id="6" xr3:uid="{9C8EF279-639F-4DA0-A81F-8DFDF6C9EEF5}" name="Divisie" dataDxfId="20"/>
    <tableColumn id="7" xr3:uid="{57AB9683-740C-4B6D-9997-22F7933C8087}" name="Salaris" dataDxfId="19" dataCellStyle="Valuta"/>
    <tableColumn id="8" xr3:uid="{287EBB97-6F69-4B6E-B602-BEC3DE762DE6}" name="Begindatum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4528A-31A1-4EA3-99F6-A00DD65CF8D2}" name="Tabel2" displayName="Tabel2" ref="A1:C6" totalsRowShown="0" headerRowCellStyle="Standaard 13" dataCellStyle="Standaard 13">
  <autoFilter ref="A1:C6" xr:uid="{B1251AFC-4B6F-45F7-87DB-17835E9C3541}"/>
  <tableColumns count="3">
    <tableColumn id="1" xr3:uid="{0AB8C3ED-CBB4-45B2-8E9C-5A4F7E57D70B}" name="score" dataCellStyle="Standaard 13"/>
    <tableColumn id="2" xr3:uid="{FBA772A5-E297-45AB-B85A-B4CE264528D3}" name="man" dataCellStyle="Standaard 13"/>
    <tableColumn id="3" xr3:uid="{89F0E6C4-E928-47F1-908F-EA6B4A1674AE}" name="vrouw" dataCellStyle="Standaard 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656D6-8FF1-41D8-8BC0-546DD0CAA581}" name="q_scores1" displayName="q_scores1" ref="A1:C11" tableType="queryTable" totalsRowShown="0">
  <autoFilter ref="A1:C11" xr:uid="{A880797C-AF82-4C03-8525-D52023973852}"/>
  <tableColumns count="3">
    <tableColumn id="1" xr3:uid="{64F2547A-C551-4D57-8432-C8C1928AF460}" uniqueName="1" name="score" queryTableFieldId="1" dataDxfId="10"/>
    <tableColumn id="2" xr3:uid="{CF2EA4C7-9142-4A94-996B-F9C000817B93}" uniqueName="2" name="geslacht" queryTableFieldId="2" dataDxfId="9"/>
    <tableColumn id="3" xr3:uid="{5E3E22EE-13AD-4EED-A255-313E59F4B272}" uniqueName="3" name="aantal" queryTableFieldId="3" dataDxfId="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2C40F8-627B-4E2F-99A8-375CD77CCBB1}" name="Tabel4" displayName="Tabel4" ref="A1:E6" totalsRowShown="0" headerRowCellStyle="Standaard 13" dataCellStyle="Standaard 13">
  <autoFilter ref="A1:E6" xr:uid="{C9FA7143-45C1-4160-B377-E78A17C9EE02}"/>
  <tableColumns count="5">
    <tableColumn id="1" xr3:uid="{B1907FC4-C5B4-45B9-88C2-255E94CDF2B8}" name="score" dataCellStyle="Standaard 13"/>
    <tableColumn id="2" xr3:uid="{3041AEA7-5FF0-4467-9CAE-24F6468B985B}" name="man_klas1" dataCellStyle="Standaard 13"/>
    <tableColumn id="3" xr3:uid="{459551E7-EC15-4F38-82F8-0505F096E96F}" name="vrouw_klas1" dataCellStyle="Standaard 13"/>
    <tableColumn id="4" xr3:uid="{38FD4EA7-BA45-43E0-AC07-91851070F50E}" name="man_klas2" dataCellStyle="Standaard 13"/>
    <tableColumn id="5" xr3:uid="{E022A67D-DDDC-4132-A252-7B5F99CDA964}" name="vrouw_klas2" dataCellStyle="Standaard 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F85C2-4DD6-46D7-8582-959DB7E84762}" name="q_scores2" displayName="q_scores2" ref="A1:D21" tableType="queryTable" totalsRowShown="0">
  <autoFilter ref="A1:D21" xr:uid="{B0C12EB0-E28F-4447-9728-293D29CCFB3A}"/>
  <tableColumns count="4">
    <tableColumn id="1" xr3:uid="{87D75AE9-7CD1-4604-B3FA-52A1E6CE7868}" uniqueName="1" name="score" queryTableFieldId="1" dataDxfId="7"/>
    <tableColumn id="2" xr3:uid="{626DB1E3-F8DD-4685-8A8B-7681ACAF5C50}" uniqueName="2" name="geslacht" queryTableFieldId="2" dataDxfId="6"/>
    <tableColumn id="3" xr3:uid="{032724B7-09E0-4FFC-A4B9-3CC205BAF531}" uniqueName="3" name="klas" queryTableFieldId="3" dataDxfId="5"/>
    <tableColumn id="4" xr3:uid="{248BE042-A10E-4F03-A438-C8E3365110F0}" uniqueName="4" name="aantal" queryTableFieldId="4" dataDxfId="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77E60-AB44-4567-908B-C19CDEF52F22}" name="Tabel6" displayName="Tabel6" ref="A1:G11" totalsRowShown="0" headerRowCellStyle="Standaard 13" dataCellStyle="Standaard 13">
  <autoFilter ref="A1:G11" xr:uid="{29C41C0D-EB9E-4055-BFE0-1F34535F50C0}"/>
  <tableColumns count="7">
    <tableColumn id="1" xr3:uid="{628678CF-9C9B-480B-9304-5C6DB9714541}" name="naam" dataCellStyle="Standaard 13"/>
    <tableColumn id="2" xr3:uid="{7253ECCC-BF19-4D77-A641-C7EFF05E155B}" name="toets" dataCellStyle="Standaard 13"/>
    <tableColumn id="3" xr3:uid="{3C4A5246-1229-4AFF-99E3-120D0C6961DC}" name="klas1" dataCellStyle="Standaard 13"/>
    <tableColumn id="4" xr3:uid="{2397D60E-1A7D-4E77-A160-D34598D4D91C}" name="klas2" dataCellStyle="Standaard 13"/>
    <tableColumn id="5" xr3:uid="{B904288E-2C9A-4CBB-BC53-FD45456B1CB8}" name="klas3" dataCellStyle="Standaard 13"/>
    <tableColumn id="6" xr3:uid="{41291E8F-70DA-4B25-B4B0-0609CA3E2DF6}" name="klas4" dataCellStyle="Standaard 13"/>
    <tableColumn id="7" xr3:uid="{5BA5A9BA-B03E-491C-B76B-ABCFB62B560C}" name="klas5" dataCellStyle="Standaard 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CF1145-2901-4706-8F1E-4F59A3A1653D}" name="q_scores3" displayName="q_scores3" ref="A1:D11" tableType="queryTable" totalsRowShown="0">
  <autoFilter ref="A1:D11" xr:uid="{D753C901-A39A-492C-84A7-5FFD232B6D5C}"/>
  <tableColumns count="4">
    <tableColumn id="1" xr3:uid="{8C254C9D-558F-40E6-85D2-B177E1876988}" uniqueName="1" name="naam" queryTableFieldId="1" dataDxfId="3"/>
    <tableColumn id="3" xr3:uid="{6BC3ED5C-45B3-4CC4-93BB-179633150909}" uniqueName="3" name="klas" queryTableFieldId="5" dataDxfId="2"/>
    <tableColumn id="4" xr3:uid="{971070D1-590F-479D-8521-83BCED853FFA}" uniqueName="4" name="tussentoets" queryTableFieldId="7" dataDxfId="1"/>
    <tableColumn id="5" xr3:uid="{8ECDE890-E523-4479-AC8A-9BD225169062}" uniqueName="5" name="eindtoets" queryTableFieldId="8" dataDxfId="0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B3D901-5A27-4107-AAAC-884A304DDA05}" name="Medailles" displayName="Medailles" ref="A1:E88" totalsRowShown="0">
  <autoFilter ref="A1:E88" xr:uid="{1787E716-1439-4ED4-B578-9D0D5A17D994}"/>
  <tableColumns count="5">
    <tableColumn id="1" xr3:uid="{7EABDFCE-3298-4662-B8C2-CE993BC84CA9}" name="Land"/>
    <tableColumn id="2" xr3:uid="{1BB91FC1-54E5-49A4-9EB5-E6928E45B622}" name="Goud"/>
    <tableColumn id="3" xr3:uid="{CD507EC7-CB9A-4F47-B2F7-5B2D0FD13F31}" name="Zilver"/>
    <tableColumn id="4" xr3:uid="{5819765B-24EE-4A3E-A809-4C8FF241AF46}" name="Brons"/>
    <tableColumn id="5" xr3:uid="{DC2AC050-FA7B-4CB5-BC9E-55AEBDE89CD0}" name="Totaal">
      <calculatedColumnFormula>SUM(B2:D2)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C56FE5-50C0-4DF6-BE0F-1F70A1EF3708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06"/>
  </cols>
  <sheetData>
    <row r="1" spans="1:1" x14ac:dyDescent="0.25">
      <c r="A1" s="206" t="s">
        <v>425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workbookViewId="0">
      <selection activeCell="C2" sqref="C2"/>
    </sheetView>
  </sheetViews>
  <sheetFormatPr defaultRowHeight="15" x14ac:dyDescent="0.25"/>
  <cols>
    <col min="1" max="1" width="9.42578125" style="183" bestFit="1" customWidth="1"/>
    <col min="2" max="2" width="10.28515625" style="183" bestFit="1" customWidth="1"/>
    <col min="3" max="16384" width="9.140625" style="183"/>
  </cols>
  <sheetData>
    <row r="1" spans="1:2" x14ac:dyDescent="0.25">
      <c r="A1" s="183" t="s">
        <v>85</v>
      </c>
      <c r="B1" s="183" t="s">
        <v>424</v>
      </c>
    </row>
    <row r="2" spans="1:2" x14ac:dyDescent="0.25">
      <c r="A2" s="207">
        <v>20455</v>
      </c>
      <c r="B2" s="183">
        <v>284</v>
      </c>
    </row>
    <row r="3" spans="1:2" x14ac:dyDescent="0.25">
      <c r="A3" s="207">
        <v>20546</v>
      </c>
      <c r="B3" s="183">
        <v>213</v>
      </c>
    </row>
    <row r="4" spans="1:2" x14ac:dyDescent="0.25">
      <c r="A4" s="207">
        <v>20637</v>
      </c>
      <c r="B4" s="183">
        <v>227</v>
      </c>
    </row>
    <row r="5" spans="1:2" x14ac:dyDescent="0.25">
      <c r="A5" s="207">
        <v>20729</v>
      </c>
      <c r="B5" s="183">
        <v>308</v>
      </c>
    </row>
    <row r="6" spans="1:2" x14ac:dyDescent="0.25">
      <c r="A6" s="207">
        <v>20821</v>
      </c>
      <c r="B6" s="183">
        <v>262</v>
      </c>
    </row>
    <row r="7" spans="1:2" x14ac:dyDescent="0.25">
      <c r="A7" s="207">
        <v>20911</v>
      </c>
      <c r="B7" s="183">
        <v>228</v>
      </c>
    </row>
    <row r="8" spans="1:2" x14ac:dyDescent="0.25">
      <c r="A8" s="207">
        <v>21002</v>
      </c>
      <c r="B8" s="183">
        <v>236</v>
      </c>
    </row>
    <row r="9" spans="1:2" x14ac:dyDescent="0.25">
      <c r="A9" s="207">
        <v>21094</v>
      </c>
      <c r="B9" s="183">
        <v>320</v>
      </c>
    </row>
    <row r="10" spans="1:2" x14ac:dyDescent="0.25">
      <c r="A10" s="207">
        <v>21186</v>
      </c>
      <c r="B10" s="183">
        <v>272</v>
      </c>
    </row>
    <row r="11" spans="1:2" x14ac:dyDescent="0.25">
      <c r="A11" s="207">
        <v>21276</v>
      </c>
      <c r="B11" s="183">
        <v>233</v>
      </c>
    </row>
    <row r="12" spans="1:2" x14ac:dyDescent="0.25">
      <c r="A12" s="207">
        <v>21367</v>
      </c>
      <c r="B12" s="183">
        <v>237</v>
      </c>
    </row>
    <row r="13" spans="1:2" x14ac:dyDescent="0.25">
      <c r="A13" s="207">
        <v>21459</v>
      </c>
      <c r="B13" s="183">
        <v>313</v>
      </c>
    </row>
    <row r="14" spans="1:2" x14ac:dyDescent="0.25">
      <c r="A14" s="207">
        <v>21551</v>
      </c>
      <c r="B14" s="183">
        <v>261</v>
      </c>
    </row>
    <row r="15" spans="1:2" x14ac:dyDescent="0.25">
      <c r="A15" s="207">
        <v>21641</v>
      </c>
      <c r="B15" s="183">
        <v>227</v>
      </c>
    </row>
    <row r="16" spans="1:2" x14ac:dyDescent="0.25">
      <c r="A16" s="207">
        <v>21732</v>
      </c>
      <c r="B16" s="183">
        <v>250</v>
      </c>
    </row>
    <row r="17" spans="1:2" x14ac:dyDescent="0.25">
      <c r="A17" s="207">
        <v>21824</v>
      </c>
      <c r="B17" s="183">
        <v>314</v>
      </c>
    </row>
    <row r="18" spans="1:2" x14ac:dyDescent="0.25">
      <c r="A18" s="207">
        <v>21916</v>
      </c>
      <c r="B18" s="183">
        <v>286</v>
      </c>
    </row>
    <row r="19" spans="1:2" x14ac:dyDescent="0.25">
      <c r="A19" s="207">
        <v>22007</v>
      </c>
      <c r="B19" s="183">
        <v>227</v>
      </c>
    </row>
    <row r="20" spans="1:2" x14ac:dyDescent="0.25">
      <c r="A20" s="207">
        <v>22098</v>
      </c>
      <c r="B20" s="183">
        <v>260</v>
      </c>
    </row>
    <row r="21" spans="1:2" x14ac:dyDescent="0.25">
      <c r="A21" s="207">
        <v>22190</v>
      </c>
      <c r="B21" s="183">
        <v>311</v>
      </c>
    </row>
    <row r="22" spans="1:2" x14ac:dyDescent="0.25">
      <c r="A22" s="207">
        <v>22282</v>
      </c>
      <c r="B22" s="183">
        <v>295</v>
      </c>
    </row>
    <row r="23" spans="1:2" x14ac:dyDescent="0.25">
      <c r="A23" s="207">
        <v>22372</v>
      </c>
      <c r="B23" s="183">
        <v>233</v>
      </c>
    </row>
    <row r="24" spans="1:2" x14ac:dyDescent="0.25">
      <c r="A24" s="207">
        <v>22463</v>
      </c>
      <c r="B24" s="183">
        <v>257</v>
      </c>
    </row>
    <row r="25" spans="1:2" x14ac:dyDescent="0.25">
      <c r="A25" s="207">
        <v>22555</v>
      </c>
      <c r="B25" s="183">
        <v>339</v>
      </c>
    </row>
    <row r="26" spans="1:2" x14ac:dyDescent="0.25">
      <c r="A26" s="207">
        <v>22647</v>
      </c>
      <c r="B26" s="183">
        <v>279</v>
      </c>
    </row>
    <row r="27" spans="1:2" x14ac:dyDescent="0.25">
      <c r="A27" s="207">
        <v>22737</v>
      </c>
      <c r="B27" s="183">
        <v>250</v>
      </c>
    </row>
    <row r="28" spans="1:2" x14ac:dyDescent="0.25">
      <c r="A28" s="207">
        <v>22828</v>
      </c>
      <c r="B28" s="183">
        <v>270</v>
      </c>
    </row>
    <row r="29" spans="1:2" x14ac:dyDescent="0.25">
      <c r="A29" s="207">
        <v>22920</v>
      </c>
      <c r="B29" s="183">
        <v>346</v>
      </c>
    </row>
    <row r="30" spans="1:2" x14ac:dyDescent="0.25">
      <c r="A30" s="207">
        <v>23012</v>
      </c>
      <c r="B30" s="183">
        <v>294</v>
      </c>
    </row>
    <row r="31" spans="1:2" x14ac:dyDescent="0.25">
      <c r="A31" s="207">
        <v>23102</v>
      </c>
      <c r="B31" s="183">
        <v>255</v>
      </c>
    </row>
    <row r="32" spans="1:2" x14ac:dyDescent="0.25">
      <c r="A32" s="207">
        <v>23193</v>
      </c>
      <c r="B32" s="183">
        <v>278</v>
      </c>
    </row>
    <row r="33" spans="1:2" x14ac:dyDescent="0.25">
      <c r="A33" s="207">
        <v>23285</v>
      </c>
      <c r="B33" s="183">
        <v>363</v>
      </c>
    </row>
    <row r="34" spans="1:2" x14ac:dyDescent="0.25">
      <c r="A34" s="207">
        <v>23377</v>
      </c>
      <c r="B34" s="183">
        <v>313</v>
      </c>
    </row>
    <row r="35" spans="1:2" x14ac:dyDescent="0.25">
      <c r="A35" s="207">
        <v>23468</v>
      </c>
      <c r="B35" s="183">
        <v>273</v>
      </c>
    </row>
    <row r="36" spans="1:2" x14ac:dyDescent="0.25">
      <c r="A36" s="207">
        <v>23559</v>
      </c>
      <c r="B36" s="183">
        <v>300</v>
      </c>
    </row>
    <row r="37" spans="1:2" x14ac:dyDescent="0.25">
      <c r="A37" s="207">
        <v>23651</v>
      </c>
      <c r="B37" s="183">
        <v>370</v>
      </c>
    </row>
    <row r="38" spans="1:2" x14ac:dyDescent="0.25">
      <c r="A38" s="207">
        <v>23743</v>
      </c>
      <c r="B38" s="183">
        <v>331</v>
      </c>
    </row>
    <row r="39" spans="1:2" x14ac:dyDescent="0.25">
      <c r="A39" s="207">
        <v>23833</v>
      </c>
      <c r="B39" s="183">
        <v>288</v>
      </c>
    </row>
    <row r="40" spans="1:2" x14ac:dyDescent="0.25">
      <c r="A40" s="207">
        <v>23924</v>
      </c>
      <c r="B40" s="183">
        <v>306</v>
      </c>
    </row>
    <row r="41" spans="1:2" x14ac:dyDescent="0.25">
      <c r="A41" s="207">
        <v>24016</v>
      </c>
      <c r="B41" s="183">
        <v>386</v>
      </c>
    </row>
    <row r="42" spans="1:2" x14ac:dyDescent="0.25">
      <c r="A42" s="207">
        <v>24108</v>
      </c>
      <c r="B42" s="183">
        <v>335</v>
      </c>
    </row>
    <row r="43" spans="1:2" x14ac:dyDescent="0.25">
      <c r="A43" s="207">
        <v>24198</v>
      </c>
      <c r="B43" s="183">
        <v>288</v>
      </c>
    </row>
    <row r="44" spans="1:2" x14ac:dyDescent="0.25">
      <c r="A44" s="207">
        <v>24289</v>
      </c>
      <c r="B44" s="183">
        <v>308</v>
      </c>
    </row>
    <row r="45" spans="1:2" x14ac:dyDescent="0.25">
      <c r="A45" s="207">
        <v>24381</v>
      </c>
      <c r="B45" s="183">
        <v>402</v>
      </c>
    </row>
    <row r="46" spans="1:2" x14ac:dyDescent="0.25">
      <c r="A46" s="207">
        <v>24473</v>
      </c>
      <c r="B46" s="183">
        <v>353</v>
      </c>
    </row>
    <row r="47" spans="1:2" x14ac:dyDescent="0.25">
      <c r="A47" s="207">
        <v>24563</v>
      </c>
      <c r="B47" s="183">
        <v>316</v>
      </c>
    </row>
    <row r="48" spans="1:2" x14ac:dyDescent="0.25">
      <c r="A48" s="207">
        <v>24654</v>
      </c>
      <c r="B48" s="183">
        <v>325</v>
      </c>
    </row>
    <row r="49" spans="1:2" x14ac:dyDescent="0.25">
      <c r="A49" s="207">
        <v>24746</v>
      </c>
      <c r="B49" s="183">
        <v>405</v>
      </c>
    </row>
    <row r="50" spans="1:2" x14ac:dyDescent="0.25">
      <c r="A50" s="207">
        <v>24838</v>
      </c>
      <c r="B50" s="183">
        <v>393</v>
      </c>
    </row>
    <row r="51" spans="1:2" x14ac:dyDescent="0.25">
      <c r="A51" s="207">
        <v>24929</v>
      </c>
      <c r="B51" s="183">
        <v>319</v>
      </c>
    </row>
    <row r="52" spans="1:2" x14ac:dyDescent="0.25">
      <c r="A52" s="207">
        <v>25020</v>
      </c>
      <c r="B52" s="183">
        <v>327</v>
      </c>
    </row>
    <row r="53" spans="1:2" x14ac:dyDescent="0.25">
      <c r="A53" s="207">
        <v>25112</v>
      </c>
      <c r="B53" s="183">
        <v>442</v>
      </c>
    </row>
    <row r="54" spans="1:2" x14ac:dyDescent="0.25">
      <c r="A54" s="207">
        <v>25204</v>
      </c>
      <c r="B54" s="183">
        <v>383</v>
      </c>
    </row>
    <row r="55" spans="1:2" x14ac:dyDescent="0.25">
      <c r="A55" s="207">
        <v>25294</v>
      </c>
      <c r="B55" s="183">
        <v>332</v>
      </c>
    </row>
    <row r="56" spans="1:2" x14ac:dyDescent="0.25">
      <c r="A56" s="207">
        <v>25385</v>
      </c>
      <c r="B56" s="183">
        <v>361</v>
      </c>
    </row>
    <row r="57" spans="1:2" x14ac:dyDescent="0.25">
      <c r="A57" s="207">
        <v>25477</v>
      </c>
      <c r="B57" s="183">
        <v>446</v>
      </c>
    </row>
    <row r="58" spans="1:2" x14ac:dyDescent="0.25">
      <c r="A58" s="207">
        <v>25569</v>
      </c>
      <c r="B58" s="183">
        <v>387</v>
      </c>
    </row>
    <row r="59" spans="1:2" x14ac:dyDescent="0.25">
      <c r="A59" s="207">
        <v>25659</v>
      </c>
      <c r="B59" s="183">
        <v>357</v>
      </c>
    </row>
    <row r="60" spans="1:2" x14ac:dyDescent="0.25">
      <c r="A60" s="207">
        <v>25750</v>
      </c>
      <c r="B60" s="183">
        <v>374</v>
      </c>
    </row>
    <row r="61" spans="1:2" x14ac:dyDescent="0.25">
      <c r="A61" s="207">
        <v>25842</v>
      </c>
      <c r="B61" s="183">
        <v>466</v>
      </c>
    </row>
    <row r="62" spans="1:2" x14ac:dyDescent="0.25">
      <c r="A62" s="207">
        <v>25934</v>
      </c>
      <c r="B62" s="183">
        <v>410</v>
      </c>
    </row>
    <row r="63" spans="1:2" x14ac:dyDescent="0.25">
      <c r="A63" s="207">
        <v>26024</v>
      </c>
      <c r="B63" s="183">
        <v>370</v>
      </c>
    </row>
    <row r="64" spans="1:2" x14ac:dyDescent="0.25">
      <c r="A64" s="207">
        <v>26115</v>
      </c>
      <c r="B64" s="183">
        <v>379</v>
      </c>
    </row>
    <row r="65" spans="1:2" x14ac:dyDescent="0.25">
      <c r="A65" s="207">
        <v>26207</v>
      </c>
      <c r="B65" s="183">
        <v>487</v>
      </c>
    </row>
    <row r="66" spans="1:2" x14ac:dyDescent="0.25">
      <c r="A66" s="207">
        <v>26299</v>
      </c>
      <c r="B66" s="183">
        <v>419</v>
      </c>
    </row>
    <row r="67" spans="1:2" x14ac:dyDescent="0.25">
      <c r="A67" s="207">
        <v>26390</v>
      </c>
      <c r="B67" s="183">
        <v>377</v>
      </c>
    </row>
    <row r="68" spans="1:2" x14ac:dyDescent="0.25">
      <c r="A68" s="207">
        <v>26481</v>
      </c>
      <c r="B68" s="183">
        <v>393</v>
      </c>
    </row>
    <row r="69" spans="1:2" x14ac:dyDescent="0.25">
      <c r="A69" s="207">
        <v>26573</v>
      </c>
      <c r="B69" s="183">
        <v>506</v>
      </c>
    </row>
    <row r="70" spans="1:2" x14ac:dyDescent="0.25">
      <c r="A70" s="207">
        <v>26665</v>
      </c>
      <c r="B70" s="183">
        <v>458</v>
      </c>
    </row>
    <row r="71" spans="1:2" x14ac:dyDescent="0.25">
      <c r="A71" s="207">
        <v>26755</v>
      </c>
      <c r="B71" s="183">
        <v>387</v>
      </c>
    </row>
    <row r="72" spans="1:2" x14ac:dyDescent="0.25">
      <c r="A72" s="207">
        <v>26846</v>
      </c>
      <c r="B72" s="183">
        <v>427</v>
      </c>
    </row>
    <row r="73" spans="1:2" x14ac:dyDescent="0.25">
      <c r="A73" s="207">
        <v>26938</v>
      </c>
      <c r="B73" s="183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D18" sqref="D18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444</v>
      </c>
    </row>
    <row r="2" spans="1:2" x14ac:dyDescent="0.25">
      <c r="A2" s="3" t="s">
        <v>426</v>
      </c>
      <c r="B2" s="209">
        <v>1032</v>
      </c>
    </row>
    <row r="3" spans="1:2" x14ac:dyDescent="0.25">
      <c r="A3" s="208" t="s">
        <v>110</v>
      </c>
      <c r="B3" s="209">
        <v>284</v>
      </c>
    </row>
    <row r="4" spans="1:2" x14ac:dyDescent="0.25">
      <c r="A4" s="208" t="s">
        <v>111</v>
      </c>
      <c r="B4" s="209">
        <v>213</v>
      </c>
    </row>
    <row r="5" spans="1:2" x14ac:dyDescent="0.25">
      <c r="A5" s="208" t="s">
        <v>112</v>
      </c>
      <c r="B5" s="209">
        <v>227</v>
      </c>
    </row>
    <row r="6" spans="1:2" x14ac:dyDescent="0.25">
      <c r="A6" s="208" t="s">
        <v>113</v>
      </c>
      <c r="B6" s="209">
        <v>308</v>
      </c>
    </row>
    <row r="7" spans="1:2" x14ac:dyDescent="0.25">
      <c r="A7" s="3" t="s">
        <v>427</v>
      </c>
      <c r="B7" s="209">
        <v>1046</v>
      </c>
    </row>
    <row r="8" spans="1:2" x14ac:dyDescent="0.25">
      <c r="A8" s="208" t="s">
        <v>110</v>
      </c>
      <c r="B8" s="209">
        <v>262</v>
      </c>
    </row>
    <row r="9" spans="1:2" x14ac:dyDescent="0.25">
      <c r="A9" s="208" t="s">
        <v>111</v>
      </c>
      <c r="B9" s="209">
        <v>228</v>
      </c>
    </row>
    <row r="10" spans="1:2" x14ac:dyDescent="0.25">
      <c r="A10" s="208" t="s">
        <v>112</v>
      </c>
      <c r="B10" s="209">
        <v>236</v>
      </c>
    </row>
    <row r="11" spans="1:2" x14ac:dyDescent="0.25">
      <c r="A11" s="208" t="s">
        <v>113</v>
      </c>
      <c r="B11" s="209">
        <v>320</v>
      </c>
    </row>
    <row r="12" spans="1:2" x14ac:dyDescent="0.25">
      <c r="A12" s="3" t="s">
        <v>428</v>
      </c>
      <c r="B12" s="209">
        <v>1055</v>
      </c>
    </row>
    <row r="13" spans="1:2" x14ac:dyDescent="0.25">
      <c r="A13" s="208" t="s">
        <v>110</v>
      </c>
      <c r="B13" s="209">
        <v>272</v>
      </c>
    </row>
    <row r="14" spans="1:2" x14ac:dyDescent="0.25">
      <c r="A14" s="208" t="s">
        <v>111</v>
      </c>
      <c r="B14" s="209">
        <v>233</v>
      </c>
    </row>
    <row r="15" spans="1:2" x14ac:dyDescent="0.25">
      <c r="A15" s="208" t="s">
        <v>112</v>
      </c>
      <c r="B15" s="209">
        <v>237</v>
      </c>
    </row>
    <row r="16" spans="1:2" x14ac:dyDescent="0.25">
      <c r="A16" s="208" t="s">
        <v>113</v>
      </c>
      <c r="B16" s="209">
        <v>313</v>
      </c>
    </row>
    <row r="17" spans="1:2" x14ac:dyDescent="0.25">
      <c r="A17" s="3" t="s">
        <v>429</v>
      </c>
      <c r="B17" s="209">
        <v>1052</v>
      </c>
    </row>
    <row r="18" spans="1:2" x14ac:dyDescent="0.25">
      <c r="A18" s="208" t="s">
        <v>110</v>
      </c>
      <c r="B18" s="209">
        <v>261</v>
      </c>
    </row>
    <row r="19" spans="1:2" x14ac:dyDescent="0.25">
      <c r="A19" s="208" t="s">
        <v>111</v>
      </c>
      <c r="B19" s="209">
        <v>227</v>
      </c>
    </row>
    <row r="20" spans="1:2" x14ac:dyDescent="0.25">
      <c r="A20" s="208" t="s">
        <v>112</v>
      </c>
      <c r="B20" s="209">
        <v>250</v>
      </c>
    </row>
    <row r="21" spans="1:2" x14ac:dyDescent="0.25">
      <c r="A21" s="208" t="s">
        <v>113</v>
      </c>
      <c r="B21" s="209">
        <v>314</v>
      </c>
    </row>
    <row r="22" spans="1:2" x14ac:dyDescent="0.25">
      <c r="A22" s="3" t="s">
        <v>430</v>
      </c>
      <c r="B22" s="209">
        <v>1084</v>
      </c>
    </row>
    <row r="23" spans="1:2" x14ac:dyDescent="0.25">
      <c r="A23" s="208" t="s">
        <v>110</v>
      </c>
      <c r="B23" s="209">
        <v>286</v>
      </c>
    </row>
    <row r="24" spans="1:2" x14ac:dyDescent="0.25">
      <c r="A24" s="208" t="s">
        <v>111</v>
      </c>
      <c r="B24" s="209">
        <v>227</v>
      </c>
    </row>
    <row r="25" spans="1:2" x14ac:dyDescent="0.25">
      <c r="A25" s="208" t="s">
        <v>112</v>
      </c>
      <c r="B25" s="209">
        <v>260</v>
      </c>
    </row>
    <row r="26" spans="1:2" x14ac:dyDescent="0.25">
      <c r="A26" s="208" t="s">
        <v>113</v>
      </c>
      <c r="B26" s="209">
        <v>311</v>
      </c>
    </row>
    <row r="27" spans="1:2" x14ac:dyDescent="0.25">
      <c r="A27" s="3" t="s">
        <v>431</v>
      </c>
      <c r="B27" s="209">
        <v>1124</v>
      </c>
    </row>
    <row r="28" spans="1:2" x14ac:dyDescent="0.25">
      <c r="A28" s="208" t="s">
        <v>110</v>
      </c>
      <c r="B28" s="209">
        <v>295</v>
      </c>
    </row>
    <row r="29" spans="1:2" x14ac:dyDescent="0.25">
      <c r="A29" s="208" t="s">
        <v>111</v>
      </c>
      <c r="B29" s="209">
        <v>233</v>
      </c>
    </row>
    <row r="30" spans="1:2" x14ac:dyDescent="0.25">
      <c r="A30" s="208" t="s">
        <v>112</v>
      </c>
      <c r="B30" s="209">
        <v>257</v>
      </c>
    </row>
    <row r="31" spans="1:2" x14ac:dyDescent="0.25">
      <c r="A31" s="208" t="s">
        <v>113</v>
      </c>
      <c r="B31" s="209">
        <v>339</v>
      </c>
    </row>
    <row r="32" spans="1:2" x14ac:dyDescent="0.25">
      <c r="A32" s="3" t="s">
        <v>432</v>
      </c>
      <c r="B32" s="209">
        <v>1145</v>
      </c>
    </row>
    <row r="33" spans="1:2" x14ac:dyDescent="0.25">
      <c r="A33" s="208" t="s">
        <v>110</v>
      </c>
      <c r="B33" s="209">
        <v>279</v>
      </c>
    </row>
    <row r="34" spans="1:2" x14ac:dyDescent="0.25">
      <c r="A34" s="208" t="s">
        <v>111</v>
      </c>
      <c r="B34" s="209">
        <v>250</v>
      </c>
    </row>
    <row r="35" spans="1:2" x14ac:dyDescent="0.25">
      <c r="A35" s="208" t="s">
        <v>112</v>
      </c>
      <c r="B35" s="209">
        <v>270</v>
      </c>
    </row>
    <row r="36" spans="1:2" x14ac:dyDescent="0.25">
      <c r="A36" s="208" t="s">
        <v>113</v>
      </c>
      <c r="B36" s="209">
        <v>346</v>
      </c>
    </row>
    <row r="37" spans="1:2" x14ac:dyDescent="0.25">
      <c r="A37" s="3" t="s">
        <v>433</v>
      </c>
      <c r="B37" s="209">
        <v>1190</v>
      </c>
    </row>
    <row r="38" spans="1:2" x14ac:dyDescent="0.25">
      <c r="A38" s="208" t="s">
        <v>110</v>
      </c>
      <c r="B38" s="209">
        <v>294</v>
      </c>
    </row>
    <row r="39" spans="1:2" x14ac:dyDescent="0.25">
      <c r="A39" s="208" t="s">
        <v>111</v>
      </c>
      <c r="B39" s="209">
        <v>255</v>
      </c>
    </row>
    <row r="40" spans="1:2" x14ac:dyDescent="0.25">
      <c r="A40" s="208" t="s">
        <v>112</v>
      </c>
      <c r="B40" s="209">
        <v>278</v>
      </c>
    </row>
    <row r="41" spans="1:2" x14ac:dyDescent="0.25">
      <c r="A41" s="208" t="s">
        <v>113</v>
      </c>
      <c r="B41" s="209">
        <v>363</v>
      </c>
    </row>
    <row r="42" spans="1:2" x14ac:dyDescent="0.25">
      <c r="A42" s="3" t="s">
        <v>434</v>
      </c>
      <c r="B42" s="209">
        <v>1256</v>
      </c>
    </row>
    <row r="43" spans="1:2" x14ac:dyDescent="0.25">
      <c r="A43" s="208" t="s">
        <v>110</v>
      </c>
      <c r="B43" s="209">
        <v>313</v>
      </c>
    </row>
    <row r="44" spans="1:2" x14ac:dyDescent="0.25">
      <c r="A44" s="208" t="s">
        <v>111</v>
      </c>
      <c r="B44" s="209">
        <v>273</v>
      </c>
    </row>
    <row r="45" spans="1:2" x14ac:dyDescent="0.25">
      <c r="A45" s="208" t="s">
        <v>112</v>
      </c>
      <c r="B45" s="209">
        <v>300</v>
      </c>
    </row>
    <row r="46" spans="1:2" x14ac:dyDescent="0.25">
      <c r="A46" s="208" t="s">
        <v>113</v>
      </c>
      <c r="B46" s="209">
        <v>370</v>
      </c>
    </row>
    <row r="47" spans="1:2" x14ac:dyDescent="0.25">
      <c r="A47" s="3" t="s">
        <v>435</v>
      </c>
      <c r="B47" s="209">
        <v>1311</v>
      </c>
    </row>
    <row r="48" spans="1:2" x14ac:dyDescent="0.25">
      <c r="A48" s="208" t="s">
        <v>110</v>
      </c>
      <c r="B48" s="209">
        <v>331</v>
      </c>
    </row>
    <row r="49" spans="1:2" x14ac:dyDescent="0.25">
      <c r="A49" s="208" t="s">
        <v>111</v>
      </c>
      <c r="B49" s="209">
        <v>288</v>
      </c>
    </row>
    <row r="50" spans="1:2" x14ac:dyDescent="0.25">
      <c r="A50" s="208" t="s">
        <v>112</v>
      </c>
      <c r="B50" s="209">
        <v>306</v>
      </c>
    </row>
    <row r="51" spans="1:2" x14ac:dyDescent="0.25">
      <c r="A51" s="208" t="s">
        <v>113</v>
      </c>
      <c r="B51" s="209">
        <v>386</v>
      </c>
    </row>
    <row r="52" spans="1:2" x14ac:dyDescent="0.25">
      <c r="A52" s="3" t="s">
        <v>436</v>
      </c>
      <c r="B52" s="209">
        <v>1333</v>
      </c>
    </row>
    <row r="53" spans="1:2" x14ac:dyDescent="0.25">
      <c r="A53" s="208" t="s">
        <v>110</v>
      </c>
      <c r="B53" s="209">
        <v>335</v>
      </c>
    </row>
    <row r="54" spans="1:2" x14ac:dyDescent="0.25">
      <c r="A54" s="208" t="s">
        <v>111</v>
      </c>
      <c r="B54" s="209">
        <v>288</v>
      </c>
    </row>
    <row r="55" spans="1:2" x14ac:dyDescent="0.25">
      <c r="A55" s="208" t="s">
        <v>112</v>
      </c>
      <c r="B55" s="209">
        <v>308</v>
      </c>
    </row>
    <row r="56" spans="1:2" x14ac:dyDescent="0.25">
      <c r="A56" s="208" t="s">
        <v>113</v>
      </c>
      <c r="B56" s="209">
        <v>402</v>
      </c>
    </row>
    <row r="57" spans="1:2" x14ac:dyDescent="0.25">
      <c r="A57" s="3" t="s">
        <v>437</v>
      </c>
      <c r="B57" s="209">
        <v>1399</v>
      </c>
    </row>
    <row r="58" spans="1:2" x14ac:dyDescent="0.25">
      <c r="A58" s="208" t="s">
        <v>110</v>
      </c>
      <c r="B58" s="209">
        <v>353</v>
      </c>
    </row>
    <row r="59" spans="1:2" x14ac:dyDescent="0.25">
      <c r="A59" s="208" t="s">
        <v>111</v>
      </c>
      <c r="B59" s="209">
        <v>316</v>
      </c>
    </row>
    <row r="60" spans="1:2" x14ac:dyDescent="0.25">
      <c r="A60" s="208" t="s">
        <v>112</v>
      </c>
      <c r="B60" s="209">
        <v>325</v>
      </c>
    </row>
    <row r="61" spans="1:2" x14ac:dyDescent="0.25">
      <c r="A61" s="208" t="s">
        <v>113</v>
      </c>
      <c r="B61" s="209">
        <v>405</v>
      </c>
    </row>
    <row r="62" spans="1:2" x14ac:dyDescent="0.25">
      <c r="A62" s="3" t="s">
        <v>438</v>
      </c>
      <c r="B62" s="209">
        <v>1481</v>
      </c>
    </row>
    <row r="63" spans="1:2" x14ac:dyDescent="0.25">
      <c r="A63" s="208" t="s">
        <v>110</v>
      </c>
      <c r="B63" s="209">
        <v>393</v>
      </c>
    </row>
    <row r="64" spans="1:2" x14ac:dyDescent="0.25">
      <c r="A64" s="208" t="s">
        <v>111</v>
      </c>
      <c r="B64" s="209">
        <v>319</v>
      </c>
    </row>
    <row r="65" spans="1:2" x14ac:dyDescent="0.25">
      <c r="A65" s="208" t="s">
        <v>112</v>
      </c>
      <c r="B65" s="209">
        <v>327</v>
      </c>
    </row>
    <row r="66" spans="1:2" x14ac:dyDescent="0.25">
      <c r="A66" s="208" t="s">
        <v>113</v>
      </c>
      <c r="B66" s="209">
        <v>442</v>
      </c>
    </row>
    <row r="67" spans="1:2" x14ac:dyDescent="0.25">
      <c r="A67" s="3" t="s">
        <v>439</v>
      </c>
      <c r="B67" s="209">
        <v>1522</v>
      </c>
    </row>
    <row r="68" spans="1:2" x14ac:dyDescent="0.25">
      <c r="A68" s="208" t="s">
        <v>110</v>
      </c>
      <c r="B68" s="209">
        <v>383</v>
      </c>
    </row>
    <row r="69" spans="1:2" x14ac:dyDescent="0.25">
      <c r="A69" s="208" t="s">
        <v>111</v>
      </c>
      <c r="B69" s="209">
        <v>332</v>
      </c>
    </row>
    <row r="70" spans="1:2" x14ac:dyDescent="0.25">
      <c r="A70" s="208" t="s">
        <v>112</v>
      </c>
      <c r="B70" s="209">
        <v>361</v>
      </c>
    </row>
    <row r="71" spans="1:2" x14ac:dyDescent="0.25">
      <c r="A71" s="208" t="s">
        <v>113</v>
      </c>
      <c r="B71" s="209">
        <v>446</v>
      </c>
    </row>
    <row r="72" spans="1:2" x14ac:dyDescent="0.25">
      <c r="A72" s="3" t="s">
        <v>440</v>
      </c>
      <c r="B72" s="209">
        <v>1584</v>
      </c>
    </row>
    <row r="73" spans="1:2" x14ac:dyDescent="0.25">
      <c r="A73" s="208" t="s">
        <v>110</v>
      </c>
      <c r="B73" s="209">
        <v>387</v>
      </c>
    </row>
    <row r="74" spans="1:2" x14ac:dyDescent="0.25">
      <c r="A74" s="208" t="s">
        <v>111</v>
      </c>
      <c r="B74" s="209">
        <v>357</v>
      </c>
    </row>
    <row r="75" spans="1:2" x14ac:dyDescent="0.25">
      <c r="A75" s="208" t="s">
        <v>112</v>
      </c>
      <c r="B75" s="209">
        <v>374</v>
      </c>
    </row>
    <row r="76" spans="1:2" x14ac:dyDescent="0.25">
      <c r="A76" s="208" t="s">
        <v>113</v>
      </c>
      <c r="B76" s="209">
        <v>466</v>
      </c>
    </row>
    <row r="77" spans="1:2" x14ac:dyDescent="0.25">
      <c r="A77" s="3" t="s">
        <v>441</v>
      </c>
      <c r="B77" s="209">
        <v>1646</v>
      </c>
    </row>
    <row r="78" spans="1:2" x14ac:dyDescent="0.25">
      <c r="A78" s="208" t="s">
        <v>110</v>
      </c>
      <c r="B78" s="209">
        <v>410</v>
      </c>
    </row>
    <row r="79" spans="1:2" x14ac:dyDescent="0.25">
      <c r="A79" s="208" t="s">
        <v>111</v>
      </c>
      <c r="B79" s="209">
        <v>370</v>
      </c>
    </row>
    <row r="80" spans="1:2" x14ac:dyDescent="0.25">
      <c r="A80" s="208" t="s">
        <v>112</v>
      </c>
      <c r="B80" s="209">
        <v>379</v>
      </c>
    </row>
    <row r="81" spans="1:2" x14ac:dyDescent="0.25">
      <c r="A81" s="208" t="s">
        <v>113</v>
      </c>
      <c r="B81" s="209">
        <v>487</v>
      </c>
    </row>
    <row r="82" spans="1:2" x14ac:dyDescent="0.25">
      <c r="A82" s="3" t="s">
        <v>442</v>
      </c>
      <c r="B82" s="209">
        <v>1695</v>
      </c>
    </row>
    <row r="83" spans="1:2" x14ac:dyDescent="0.25">
      <c r="A83" s="208" t="s">
        <v>110</v>
      </c>
      <c r="B83" s="209">
        <v>419</v>
      </c>
    </row>
    <row r="84" spans="1:2" x14ac:dyDescent="0.25">
      <c r="A84" s="208" t="s">
        <v>111</v>
      </c>
      <c r="B84" s="209">
        <v>377</v>
      </c>
    </row>
    <row r="85" spans="1:2" x14ac:dyDescent="0.25">
      <c r="A85" s="208" t="s">
        <v>112</v>
      </c>
      <c r="B85" s="209">
        <v>393</v>
      </c>
    </row>
    <row r="86" spans="1:2" x14ac:dyDescent="0.25">
      <c r="A86" s="208" t="s">
        <v>113</v>
      </c>
      <c r="B86" s="209">
        <v>506</v>
      </c>
    </row>
    <row r="87" spans="1:2" x14ac:dyDescent="0.25">
      <c r="A87" s="3" t="s">
        <v>443</v>
      </c>
      <c r="B87" s="209">
        <v>1837</v>
      </c>
    </row>
    <row r="88" spans="1:2" x14ac:dyDescent="0.25">
      <c r="A88" s="208" t="s">
        <v>110</v>
      </c>
      <c r="B88" s="209">
        <v>458</v>
      </c>
    </row>
    <row r="89" spans="1:2" x14ac:dyDescent="0.25">
      <c r="A89" s="208" t="s">
        <v>111</v>
      </c>
      <c r="B89" s="209">
        <v>387</v>
      </c>
    </row>
    <row r="90" spans="1:2" x14ac:dyDescent="0.25">
      <c r="A90" s="208" t="s">
        <v>112</v>
      </c>
      <c r="B90" s="209">
        <v>427</v>
      </c>
    </row>
    <row r="91" spans="1:2" x14ac:dyDescent="0.25">
      <c r="A91" s="208" t="s">
        <v>113</v>
      </c>
      <c r="B91" s="209">
        <v>565</v>
      </c>
    </row>
    <row r="92" spans="1:2" x14ac:dyDescent="0.25">
      <c r="A92" s="3" t="s">
        <v>8</v>
      </c>
      <c r="B92" s="209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444</v>
      </c>
      <c r="B1" s="11" t="s">
        <v>109</v>
      </c>
    </row>
    <row r="2" spans="1:20" x14ac:dyDescent="0.25">
      <c r="A2" s="11" t="s">
        <v>96</v>
      </c>
      <c r="B2" t="s">
        <v>426</v>
      </c>
      <c r="C2" t="s">
        <v>427</v>
      </c>
      <c r="D2" t="s">
        <v>428</v>
      </c>
      <c r="E2" t="s">
        <v>429</v>
      </c>
      <c r="F2" t="s">
        <v>430</v>
      </c>
      <c r="G2" t="s">
        <v>431</v>
      </c>
      <c r="H2" t="s">
        <v>432</v>
      </c>
      <c r="I2" t="s">
        <v>433</v>
      </c>
      <c r="J2" t="s">
        <v>434</v>
      </c>
      <c r="K2" t="s">
        <v>435</v>
      </c>
      <c r="L2" t="s">
        <v>436</v>
      </c>
      <c r="M2" t="s">
        <v>437</v>
      </c>
      <c r="N2" t="s">
        <v>438</v>
      </c>
      <c r="O2" t="s">
        <v>439</v>
      </c>
      <c r="P2" t="s">
        <v>440</v>
      </c>
      <c r="Q2" t="s">
        <v>441</v>
      </c>
      <c r="R2" t="s">
        <v>442</v>
      </c>
      <c r="S2" t="s">
        <v>443</v>
      </c>
      <c r="T2" t="s">
        <v>8</v>
      </c>
    </row>
    <row r="3" spans="1:20" x14ac:dyDescent="0.25">
      <c r="A3" s="3" t="s">
        <v>110</v>
      </c>
      <c r="B3" s="209">
        <v>284</v>
      </c>
      <c r="C3" s="209">
        <v>262</v>
      </c>
      <c r="D3" s="209">
        <v>272</v>
      </c>
      <c r="E3" s="209">
        <v>261</v>
      </c>
      <c r="F3" s="209">
        <v>286</v>
      </c>
      <c r="G3" s="209">
        <v>295</v>
      </c>
      <c r="H3" s="209">
        <v>279</v>
      </c>
      <c r="I3" s="209">
        <v>294</v>
      </c>
      <c r="J3" s="209">
        <v>313</v>
      </c>
      <c r="K3" s="209">
        <v>331</v>
      </c>
      <c r="L3" s="209">
        <v>335</v>
      </c>
      <c r="M3" s="209">
        <v>353</v>
      </c>
      <c r="N3" s="209">
        <v>393</v>
      </c>
      <c r="O3" s="209">
        <v>383</v>
      </c>
      <c r="P3" s="209">
        <v>387</v>
      </c>
      <c r="Q3" s="209">
        <v>410</v>
      </c>
      <c r="R3" s="209">
        <v>419</v>
      </c>
      <c r="S3" s="209">
        <v>458</v>
      </c>
      <c r="T3" s="209">
        <v>6015</v>
      </c>
    </row>
    <row r="4" spans="1:20" x14ac:dyDescent="0.25">
      <c r="A4" s="3" t="s">
        <v>111</v>
      </c>
      <c r="B4" s="209">
        <v>213</v>
      </c>
      <c r="C4" s="209">
        <v>228</v>
      </c>
      <c r="D4" s="209">
        <v>233</v>
      </c>
      <c r="E4" s="209">
        <v>227</v>
      </c>
      <c r="F4" s="209">
        <v>227</v>
      </c>
      <c r="G4" s="209">
        <v>233</v>
      </c>
      <c r="H4" s="209">
        <v>250</v>
      </c>
      <c r="I4" s="209">
        <v>255</v>
      </c>
      <c r="J4" s="209">
        <v>273</v>
      </c>
      <c r="K4" s="209">
        <v>288</v>
      </c>
      <c r="L4" s="209">
        <v>288</v>
      </c>
      <c r="M4" s="209">
        <v>316</v>
      </c>
      <c r="N4" s="209">
        <v>319</v>
      </c>
      <c r="O4" s="209">
        <v>332</v>
      </c>
      <c r="P4" s="209">
        <v>357</v>
      </c>
      <c r="Q4" s="209">
        <v>370</v>
      </c>
      <c r="R4" s="209">
        <v>377</v>
      </c>
      <c r="S4" s="209">
        <v>387</v>
      </c>
      <c r="T4" s="209">
        <v>5173</v>
      </c>
    </row>
    <row r="5" spans="1:20" x14ac:dyDescent="0.25">
      <c r="A5" s="3" t="s">
        <v>112</v>
      </c>
      <c r="B5" s="209">
        <v>227</v>
      </c>
      <c r="C5" s="209">
        <v>236</v>
      </c>
      <c r="D5" s="209">
        <v>237</v>
      </c>
      <c r="E5" s="209">
        <v>250</v>
      </c>
      <c r="F5" s="209">
        <v>260</v>
      </c>
      <c r="G5" s="209">
        <v>257</v>
      </c>
      <c r="H5" s="209">
        <v>270</v>
      </c>
      <c r="I5" s="209">
        <v>278</v>
      </c>
      <c r="J5" s="209">
        <v>300</v>
      </c>
      <c r="K5" s="209">
        <v>306</v>
      </c>
      <c r="L5" s="209">
        <v>308</v>
      </c>
      <c r="M5" s="209">
        <v>325</v>
      </c>
      <c r="N5" s="209">
        <v>327</v>
      </c>
      <c r="O5" s="209">
        <v>361</v>
      </c>
      <c r="P5" s="209">
        <v>374</v>
      </c>
      <c r="Q5" s="209">
        <v>379</v>
      </c>
      <c r="R5" s="209">
        <v>393</v>
      </c>
      <c r="S5" s="209">
        <v>427</v>
      </c>
      <c r="T5" s="209">
        <v>5515</v>
      </c>
    </row>
    <row r="6" spans="1:20" x14ac:dyDescent="0.25">
      <c r="A6" s="3" t="s">
        <v>113</v>
      </c>
      <c r="B6" s="209">
        <v>308</v>
      </c>
      <c r="C6" s="209">
        <v>320</v>
      </c>
      <c r="D6" s="209">
        <v>313</v>
      </c>
      <c r="E6" s="209">
        <v>314</v>
      </c>
      <c r="F6" s="209">
        <v>311</v>
      </c>
      <c r="G6" s="209">
        <v>339</v>
      </c>
      <c r="H6" s="209">
        <v>346</v>
      </c>
      <c r="I6" s="209">
        <v>363</v>
      </c>
      <c r="J6" s="209">
        <v>370</v>
      </c>
      <c r="K6" s="209">
        <v>386</v>
      </c>
      <c r="L6" s="209">
        <v>402</v>
      </c>
      <c r="M6" s="209">
        <v>405</v>
      </c>
      <c r="N6" s="209">
        <v>442</v>
      </c>
      <c r="O6" s="209">
        <v>446</v>
      </c>
      <c r="P6" s="209">
        <v>466</v>
      </c>
      <c r="Q6" s="209">
        <v>487</v>
      </c>
      <c r="R6" s="209">
        <v>506</v>
      </c>
      <c r="S6" s="209">
        <v>565</v>
      </c>
      <c r="T6" s="209">
        <v>7089</v>
      </c>
    </row>
    <row r="7" spans="1:20" x14ac:dyDescent="0.25">
      <c r="A7" s="3" t="s">
        <v>8</v>
      </c>
      <c r="B7" s="209">
        <v>1032</v>
      </c>
      <c r="C7" s="209">
        <v>1046</v>
      </c>
      <c r="D7" s="209">
        <v>1055</v>
      </c>
      <c r="E7" s="209">
        <v>1052</v>
      </c>
      <c r="F7" s="209">
        <v>1084</v>
      </c>
      <c r="G7" s="209">
        <v>1124</v>
      </c>
      <c r="H7" s="209">
        <v>1145</v>
      </c>
      <c r="I7" s="209">
        <v>1190</v>
      </c>
      <c r="J7" s="209">
        <v>1256</v>
      </c>
      <c r="K7" s="209">
        <v>1311</v>
      </c>
      <c r="L7" s="209">
        <v>1333</v>
      </c>
      <c r="M7" s="209">
        <v>1399</v>
      </c>
      <c r="N7" s="209">
        <v>1481</v>
      </c>
      <c r="O7" s="209">
        <v>1522</v>
      </c>
      <c r="P7" s="209">
        <v>1584</v>
      </c>
      <c r="Q7" s="209">
        <v>1646</v>
      </c>
      <c r="R7" s="209">
        <v>1695</v>
      </c>
      <c r="S7" s="209">
        <v>1837</v>
      </c>
      <c r="T7" s="209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A25" sqref="A25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444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426</v>
      </c>
      <c r="B3" s="209">
        <v>284</v>
      </c>
      <c r="C3" s="209">
        <v>213</v>
      </c>
      <c r="D3" s="209">
        <v>227</v>
      </c>
      <c r="E3" s="209">
        <v>308</v>
      </c>
      <c r="F3" s="209">
        <v>1032</v>
      </c>
    </row>
    <row r="4" spans="1:6" x14ac:dyDescent="0.25">
      <c r="A4" s="3" t="s">
        <v>427</v>
      </c>
      <c r="B4" s="209">
        <v>262</v>
      </c>
      <c r="C4" s="209">
        <v>228</v>
      </c>
      <c r="D4" s="209">
        <v>236</v>
      </c>
      <c r="E4" s="209">
        <v>320</v>
      </c>
      <c r="F4" s="209">
        <v>1046</v>
      </c>
    </row>
    <row r="5" spans="1:6" x14ac:dyDescent="0.25">
      <c r="A5" s="3" t="s">
        <v>428</v>
      </c>
      <c r="B5" s="209">
        <v>272</v>
      </c>
      <c r="C5" s="209">
        <v>233</v>
      </c>
      <c r="D5" s="209">
        <v>237</v>
      </c>
      <c r="E5" s="209">
        <v>313</v>
      </c>
      <c r="F5" s="209">
        <v>1055</v>
      </c>
    </row>
    <row r="6" spans="1:6" x14ac:dyDescent="0.25">
      <c r="A6" s="3" t="s">
        <v>429</v>
      </c>
      <c r="B6" s="209">
        <v>261</v>
      </c>
      <c r="C6" s="209">
        <v>227</v>
      </c>
      <c r="D6" s="209">
        <v>250</v>
      </c>
      <c r="E6" s="209">
        <v>314</v>
      </c>
      <c r="F6" s="209">
        <v>1052</v>
      </c>
    </row>
    <row r="7" spans="1:6" x14ac:dyDescent="0.25">
      <c r="A7" s="3" t="s">
        <v>430</v>
      </c>
      <c r="B7" s="209">
        <v>286</v>
      </c>
      <c r="C7" s="209">
        <v>227</v>
      </c>
      <c r="D7" s="209">
        <v>260</v>
      </c>
      <c r="E7" s="209">
        <v>311</v>
      </c>
      <c r="F7" s="209">
        <v>1084</v>
      </c>
    </row>
    <row r="8" spans="1:6" x14ac:dyDescent="0.25">
      <c r="A8" s="3" t="s">
        <v>431</v>
      </c>
      <c r="B8" s="209">
        <v>295</v>
      </c>
      <c r="C8" s="209">
        <v>233</v>
      </c>
      <c r="D8" s="209">
        <v>257</v>
      </c>
      <c r="E8" s="209">
        <v>339</v>
      </c>
      <c r="F8" s="209">
        <v>1124</v>
      </c>
    </row>
    <row r="9" spans="1:6" x14ac:dyDescent="0.25">
      <c r="A9" s="3" t="s">
        <v>432</v>
      </c>
      <c r="B9" s="209">
        <v>279</v>
      </c>
      <c r="C9" s="209">
        <v>250</v>
      </c>
      <c r="D9" s="209">
        <v>270</v>
      </c>
      <c r="E9" s="209">
        <v>346</v>
      </c>
      <c r="F9" s="209">
        <v>1145</v>
      </c>
    </row>
    <row r="10" spans="1:6" x14ac:dyDescent="0.25">
      <c r="A10" s="3" t="s">
        <v>433</v>
      </c>
      <c r="B10" s="209">
        <v>294</v>
      </c>
      <c r="C10" s="209">
        <v>255</v>
      </c>
      <c r="D10" s="209">
        <v>278</v>
      </c>
      <c r="E10" s="209">
        <v>363</v>
      </c>
      <c r="F10" s="209">
        <v>1190</v>
      </c>
    </row>
    <row r="11" spans="1:6" x14ac:dyDescent="0.25">
      <c r="A11" s="3" t="s">
        <v>434</v>
      </c>
      <c r="B11" s="209">
        <v>313</v>
      </c>
      <c r="C11" s="209">
        <v>273</v>
      </c>
      <c r="D11" s="209">
        <v>300</v>
      </c>
      <c r="E11" s="209">
        <v>370</v>
      </c>
      <c r="F11" s="209">
        <v>1256</v>
      </c>
    </row>
    <row r="12" spans="1:6" x14ac:dyDescent="0.25">
      <c r="A12" s="3" t="s">
        <v>435</v>
      </c>
      <c r="B12" s="209">
        <v>331</v>
      </c>
      <c r="C12" s="209">
        <v>288</v>
      </c>
      <c r="D12" s="209">
        <v>306</v>
      </c>
      <c r="E12" s="209">
        <v>386</v>
      </c>
      <c r="F12" s="209">
        <v>1311</v>
      </c>
    </row>
    <row r="13" spans="1:6" x14ac:dyDescent="0.25">
      <c r="A13" s="3" t="s">
        <v>436</v>
      </c>
      <c r="B13" s="209">
        <v>335</v>
      </c>
      <c r="C13" s="209">
        <v>288</v>
      </c>
      <c r="D13" s="209">
        <v>308</v>
      </c>
      <c r="E13" s="209">
        <v>402</v>
      </c>
      <c r="F13" s="209">
        <v>1333</v>
      </c>
    </row>
    <row r="14" spans="1:6" x14ac:dyDescent="0.25">
      <c r="A14" s="3" t="s">
        <v>437</v>
      </c>
      <c r="B14" s="209">
        <v>353</v>
      </c>
      <c r="C14" s="209">
        <v>316</v>
      </c>
      <c r="D14" s="209">
        <v>325</v>
      </c>
      <c r="E14" s="209">
        <v>405</v>
      </c>
      <c r="F14" s="209">
        <v>1399</v>
      </c>
    </row>
    <row r="15" spans="1:6" x14ac:dyDescent="0.25">
      <c r="A15" s="3" t="s">
        <v>438</v>
      </c>
      <c r="B15" s="209">
        <v>393</v>
      </c>
      <c r="C15" s="209">
        <v>319</v>
      </c>
      <c r="D15" s="209">
        <v>327</v>
      </c>
      <c r="E15" s="209">
        <v>442</v>
      </c>
      <c r="F15" s="209">
        <v>1481</v>
      </c>
    </row>
    <row r="16" spans="1:6" x14ac:dyDescent="0.25">
      <c r="A16" s="3" t="s">
        <v>439</v>
      </c>
      <c r="B16" s="209">
        <v>383</v>
      </c>
      <c r="C16" s="209">
        <v>332</v>
      </c>
      <c r="D16" s="209">
        <v>361</v>
      </c>
      <c r="E16" s="209">
        <v>446</v>
      </c>
      <c r="F16" s="209">
        <v>1522</v>
      </c>
    </row>
    <row r="17" spans="1:6" x14ac:dyDescent="0.25">
      <c r="A17" s="3" t="s">
        <v>440</v>
      </c>
      <c r="B17" s="209">
        <v>387</v>
      </c>
      <c r="C17" s="209">
        <v>357</v>
      </c>
      <c r="D17" s="209">
        <v>374</v>
      </c>
      <c r="E17" s="209">
        <v>466</v>
      </c>
      <c r="F17" s="209">
        <v>1584</v>
      </c>
    </row>
    <row r="18" spans="1:6" x14ac:dyDescent="0.25">
      <c r="A18" s="3" t="s">
        <v>441</v>
      </c>
      <c r="B18" s="209">
        <v>410</v>
      </c>
      <c r="C18" s="209">
        <v>370</v>
      </c>
      <c r="D18" s="209">
        <v>379</v>
      </c>
      <c r="E18" s="209">
        <v>487</v>
      </c>
      <c r="F18" s="209">
        <v>1646</v>
      </c>
    </row>
    <row r="19" spans="1:6" x14ac:dyDescent="0.25">
      <c r="A19" s="3" t="s">
        <v>442</v>
      </c>
      <c r="B19" s="209">
        <v>419</v>
      </c>
      <c r="C19" s="209">
        <v>377</v>
      </c>
      <c r="D19" s="209">
        <v>393</v>
      </c>
      <c r="E19" s="209">
        <v>506</v>
      </c>
      <c r="F19" s="209">
        <v>1695</v>
      </c>
    </row>
    <row r="20" spans="1:6" x14ac:dyDescent="0.25">
      <c r="A20" s="3" t="s">
        <v>443</v>
      </c>
      <c r="B20" s="209">
        <v>458</v>
      </c>
      <c r="C20" s="209">
        <v>387</v>
      </c>
      <c r="D20" s="209">
        <v>427</v>
      </c>
      <c r="E20" s="209">
        <v>565</v>
      </c>
      <c r="F20" s="209">
        <v>1837</v>
      </c>
    </row>
    <row r="21" spans="1:6" x14ac:dyDescent="0.25">
      <c r="A21" s="3" t="s">
        <v>8</v>
      </c>
      <c r="B21" s="209">
        <v>6015</v>
      </c>
      <c r="C21" s="209">
        <v>5173</v>
      </c>
      <c r="D21" s="209">
        <v>5515</v>
      </c>
      <c r="E21" s="209">
        <v>7089</v>
      </c>
      <c r="F21" s="209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183" customWidth="1"/>
    <col min="3" max="12" width="9.140625" style="183"/>
    <col min="13" max="13" width="19.42578125" style="183" bestFit="1" customWidth="1"/>
    <col min="14" max="14" width="11.42578125" style="183" bestFit="1" customWidth="1"/>
    <col min="15" max="15" width="11.28515625" style="183" bestFit="1" customWidth="1"/>
    <col min="16" max="16" width="55.42578125" style="183" bestFit="1" customWidth="1"/>
    <col min="17" max="17" width="10.28515625" style="183" bestFit="1" customWidth="1"/>
    <col min="18" max="16384" width="9.140625" style="183"/>
  </cols>
  <sheetData>
    <row r="1" spans="1:17" x14ac:dyDescent="0.25">
      <c r="A1" s="183" t="s">
        <v>360</v>
      </c>
      <c r="B1" s="183" t="s">
        <v>173</v>
      </c>
    </row>
    <row r="2" spans="1:17" x14ac:dyDescent="0.25">
      <c r="A2" s="183">
        <v>2008</v>
      </c>
      <c r="B2" s="183">
        <v>173</v>
      </c>
      <c r="M2" s="192" t="s">
        <v>381</v>
      </c>
      <c r="P2" s="192" t="s">
        <v>382</v>
      </c>
      <c r="Q2" s="192" t="s">
        <v>383</v>
      </c>
    </row>
    <row r="3" spans="1:17" x14ac:dyDescent="0.25">
      <c r="A3" s="183">
        <v>2009</v>
      </c>
      <c r="B3" s="183">
        <v>220</v>
      </c>
      <c r="M3" s="183" t="s">
        <v>384</v>
      </c>
      <c r="N3" s="201">
        <f>SLOPE($B$2:$B$9,$A$2:$A$9)</f>
        <v>52.88095238095238</v>
      </c>
      <c r="P3" s="202" t="s">
        <v>385</v>
      </c>
      <c r="Q3" s="183" t="s">
        <v>386</v>
      </c>
    </row>
    <row r="4" spans="1:17" x14ac:dyDescent="0.25">
      <c r="A4" s="183">
        <v>2010</v>
      </c>
      <c r="B4" s="183">
        <v>315</v>
      </c>
      <c r="M4" s="183" t="s">
        <v>387</v>
      </c>
      <c r="N4" s="201">
        <f>INTERCEPT($B$2:$B$9,$A$2:$A$9)</f>
        <v>-105999.53571428571</v>
      </c>
      <c r="P4" s="202" t="s">
        <v>388</v>
      </c>
      <c r="Q4" s="183" t="s">
        <v>389</v>
      </c>
    </row>
    <row r="5" spans="1:17" x14ac:dyDescent="0.25">
      <c r="A5" s="183">
        <v>2011</v>
      </c>
      <c r="B5" s="183">
        <v>374</v>
      </c>
    </row>
    <row r="6" spans="1:17" x14ac:dyDescent="0.25">
      <c r="A6" s="183">
        <v>2012</v>
      </c>
      <c r="B6" s="183">
        <v>405</v>
      </c>
      <c r="M6" s="183" t="s">
        <v>384</v>
      </c>
      <c r="N6" s="201">
        <f>INDEX(LINEST($B$2:$B$9,$A$2:$A$9),1,1)</f>
        <v>52.88095238095238</v>
      </c>
      <c r="P6" s="202" t="s">
        <v>390</v>
      </c>
    </row>
    <row r="7" spans="1:17" x14ac:dyDescent="0.25">
      <c r="A7" s="183">
        <v>2013</v>
      </c>
      <c r="B7" s="183">
        <v>428</v>
      </c>
      <c r="M7" s="183" t="s">
        <v>387</v>
      </c>
      <c r="N7" s="201">
        <f>INDEX(LINEST($B$2:$B$9,$A$2:$A$9),1,2)</f>
        <v>-105999.53571428571</v>
      </c>
      <c r="P7" s="202" t="s">
        <v>391</v>
      </c>
    </row>
    <row r="8" spans="1:17" x14ac:dyDescent="0.25">
      <c r="A8" s="183">
        <v>2014</v>
      </c>
      <c r="B8" s="183">
        <v>480</v>
      </c>
    </row>
    <row r="9" spans="1:17" x14ac:dyDescent="0.25">
      <c r="A9" s="183">
        <v>2015</v>
      </c>
      <c r="B9" s="183">
        <v>569</v>
      </c>
      <c r="N9" s="203" t="s">
        <v>384</v>
      </c>
      <c r="O9" s="203" t="s">
        <v>387</v>
      </c>
    </row>
    <row r="10" spans="1:17" x14ac:dyDescent="0.25">
      <c r="M10" s="183" t="s">
        <v>392</v>
      </c>
      <c r="N10" s="201">
        <f t="array" ref="N10:O10">LINEST(B2:B9,A2:A9,TRUE,FALSE)</f>
        <v>52.88095238095238</v>
      </c>
      <c r="O10" s="201">
        <v>-105999.53571428571</v>
      </c>
      <c r="P10" s="202" t="s">
        <v>393</v>
      </c>
      <c r="Q10" s="183" t="s">
        <v>394</v>
      </c>
    </row>
    <row r="11" spans="1:17" x14ac:dyDescent="0.25">
      <c r="N11" s="183" t="s">
        <v>395</v>
      </c>
      <c r="O11" s="183" t="s">
        <v>396</v>
      </c>
    </row>
    <row r="12" spans="1:17" x14ac:dyDescent="0.25">
      <c r="M12" s="183" t="s">
        <v>397</v>
      </c>
      <c r="N12" s="183">
        <f>CORREL(B2:B9,A2:A9)</f>
        <v>0.98669254989476463</v>
      </c>
      <c r="O12" s="183">
        <f>N12^2</f>
        <v>0.97356218801783256</v>
      </c>
      <c r="P12" s="183" t="s">
        <v>398</v>
      </c>
    </row>
    <row r="18" spans="14:14" x14ac:dyDescent="0.25">
      <c r="N18" s="201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7109375" style="183" bestFit="1" customWidth="1"/>
    <col min="14" max="14" width="10.5703125" style="183" bestFit="1" customWidth="1"/>
    <col min="15" max="15" width="9.140625" style="183"/>
    <col min="16" max="16" width="43.85546875" style="183" bestFit="1" customWidth="1"/>
    <col min="17" max="16384" width="9.140625" style="183"/>
  </cols>
  <sheetData>
    <row r="1" spans="1:16" x14ac:dyDescent="0.25">
      <c r="A1" s="183" t="s">
        <v>399</v>
      </c>
      <c r="B1" s="183" t="s">
        <v>173</v>
      </c>
    </row>
    <row r="2" spans="1:16" x14ac:dyDescent="0.25">
      <c r="A2" s="183">
        <v>1</v>
      </c>
      <c r="B2" s="183">
        <v>6</v>
      </c>
      <c r="M2" s="192" t="s">
        <v>400</v>
      </c>
      <c r="P2" s="192" t="s">
        <v>382</v>
      </c>
    </row>
    <row r="3" spans="1:16" x14ac:dyDescent="0.25">
      <c r="A3" s="183">
        <v>2</v>
      </c>
      <c r="B3" s="183">
        <v>12</v>
      </c>
      <c r="M3" s="183" t="s">
        <v>384</v>
      </c>
      <c r="N3" s="201">
        <f>INDEX(LINEST($B$2:$B$9,LN($A$2:$A$9)),1,1)</f>
        <v>12.846032835695151</v>
      </c>
      <c r="P3" s="202" t="s">
        <v>401</v>
      </c>
    </row>
    <row r="4" spans="1:16" x14ac:dyDescent="0.25">
      <c r="A4" s="183">
        <v>3</v>
      </c>
      <c r="B4" s="183">
        <v>22</v>
      </c>
      <c r="M4" s="183" t="s">
        <v>387</v>
      </c>
      <c r="N4" s="201">
        <f>INDEX(LINEST($B$2:$B$9,LN($A$2:$A$9)),1,2)</f>
        <v>5.9716153627283006</v>
      </c>
      <c r="P4" s="202" t="s">
        <v>402</v>
      </c>
    </row>
    <row r="5" spans="1:16" x14ac:dyDescent="0.25">
      <c r="A5" s="183">
        <v>4</v>
      </c>
      <c r="B5" s="183">
        <v>26</v>
      </c>
    </row>
    <row r="6" spans="1:16" x14ac:dyDescent="0.25">
      <c r="A6" s="183">
        <v>5</v>
      </c>
      <c r="B6" s="183">
        <v>28</v>
      </c>
    </row>
    <row r="7" spans="1:16" x14ac:dyDescent="0.25">
      <c r="A7" s="183">
        <v>6</v>
      </c>
      <c r="B7" s="183">
        <v>29</v>
      </c>
      <c r="N7" s="201"/>
    </row>
    <row r="8" spans="1:16" x14ac:dyDescent="0.25">
      <c r="A8" s="183">
        <v>7</v>
      </c>
      <c r="B8" s="183">
        <v>30</v>
      </c>
    </row>
    <row r="9" spans="1:16" x14ac:dyDescent="0.25">
      <c r="A9" s="183">
        <v>8</v>
      </c>
      <c r="B9" s="183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183" bestFit="1" customWidth="1"/>
    <col min="2" max="2" width="10.85546875" style="183" bestFit="1" customWidth="1"/>
    <col min="3" max="12" width="9.140625" style="183"/>
    <col min="13" max="13" width="16.7109375" style="183" bestFit="1" customWidth="1"/>
    <col min="14" max="14" width="10.5703125" style="183" bestFit="1" customWidth="1"/>
    <col min="15" max="15" width="9.140625" style="183"/>
    <col min="16" max="16" width="45.85546875" style="183" bestFit="1" customWidth="1"/>
    <col min="17" max="16384" width="9.140625" style="183"/>
  </cols>
  <sheetData>
    <row r="1" spans="1:16" x14ac:dyDescent="0.25">
      <c r="A1" s="183" t="s">
        <v>403</v>
      </c>
      <c r="B1" s="183" t="s">
        <v>404</v>
      </c>
    </row>
    <row r="2" spans="1:16" x14ac:dyDescent="0.25">
      <c r="A2" s="183" t="s">
        <v>405</v>
      </c>
      <c r="B2" s="183" t="s">
        <v>406</v>
      </c>
      <c r="M2" s="192" t="s">
        <v>407</v>
      </c>
      <c r="P2" s="192" t="s">
        <v>382</v>
      </c>
    </row>
    <row r="3" spans="1:16" x14ac:dyDescent="0.25">
      <c r="A3" s="183">
        <v>30</v>
      </c>
      <c r="B3" s="183">
        <v>7.4</v>
      </c>
      <c r="M3" s="183" t="s">
        <v>384</v>
      </c>
      <c r="N3" s="204">
        <f>INDEX(LINEST($B$3:$B$9,$A$3:$A$9^{1,2}),1,1)</f>
        <v>-7.4880952380952407E-3</v>
      </c>
      <c r="P3" s="202" t="s">
        <v>408</v>
      </c>
    </row>
    <row r="4" spans="1:16" x14ac:dyDescent="0.25">
      <c r="A4" s="183">
        <v>40</v>
      </c>
      <c r="B4" s="183">
        <v>11.049999999999999</v>
      </c>
      <c r="M4" s="183" t="s">
        <v>387</v>
      </c>
      <c r="N4" s="204">
        <f>INDEX(LINEST($B$3:$B$9,$A$3:$A$9^{1,2}),1,2)</f>
        <v>1.0662500000000004</v>
      </c>
      <c r="P4" s="202" t="s">
        <v>409</v>
      </c>
    </row>
    <row r="5" spans="1:16" x14ac:dyDescent="0.25">
      <c r="A5" s="183">
        <v>50</v>
      </c>
      <c r="B5" s="183">
        <v>15.1</v>
      </c>
      <c r="M5" s="183" t="s">
        <v>410</v>
      </c>
      <c r="N5" s="204">
        <f>INDEX(LINEST($B$3:$B$9,$A$3:$A$9^{1,2}),1,3)</f>
        <v>-18.661904761904772</v>
      </c>
      <c r="P5" s="202" t="s">
        <v>411</v>
      </c>
    </row>
    <row r="6" spans="1:16" x14ac:dyDescent="0.25">
      <c r="A6" s="183">
        <v>60</v>
      </c>
      <c r="B6" s="183">
        <v>18.7</v>
      </c>
      <c r="N6" s="204"/>
      <c r="P6" s="202"/>
    </row>
    <row r="7" spans="1:16" x14ac:dyDescent="0.25">
      <c r="A7" s="183">
        <v>70</v>
      </c>
      <c r="B7" s="183">
        <v>20.6</v>
      </c>
    </row>
    <row r="8" spans="1:16" x14ac:dyDescent="0.25">
      <c r="A8" s="183">
        <v>80</v>
      </c>
      <c r="B8" s="183">
        <v>18.274999999999999</v>
      </c>
    </row>
    <row r="9" spans="1:16" x14ac:dyDescent="0.25">
      <c r="A9" s="183">
        <v>90</v>
      </c>
      <c r="B9" s="183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183" customWidth="1"/>
    <col min="3" max="13" width="9.140625" style="183"/>
    <col min="14" max="14" width="10.5703125" style="183" bestFit="1" customWidth="1"/>
    <col min="15" max="15" width="9.140625" style="183"/>
    <col min="16" max="16" width="52" style="183" bestFit="1" customWidth="1"/>
    <col min="17" max="16384" width="9.140625" style="183"/>
  </cols>
  <sheetData>
    <row r="1" spans="1:16" x14ac:dyDescent="0.25">
      <c r="A1" s="183" t="s">
        <v>412</v>
      </c>
      <c r="B1" s="183" t="s">
        <v>413</v>
      </c>
    </row>
    <row r="2" spans="1:16" x14ac:dyDescent="0.25">
      <c r="A2" s="183" t="s">
        <v>414</v>
      </c>
      <c r="B2" s="183" t="s">
        <v>415</v>
      </c>
      <c r="M2" s="192" t="s">
        <v>416</v>
      </c>
      <c r="P2" s="192" t="s">
        <v>382</v>
      </c>
    </row>
    <row r="3" spans="1:16" x14ac:dyDescent="0.25">
      <c r="A3" s="183">
        <v>1</v>
      </c>
      <c r="B3" s="183">
        <v>5</v>
      </c>
      <c r="M3" s="183" t="s">
        <v>384</v>
      </c>
      <c r="N3" s="201">
        <f>EXP(INDEX(LINEST(LN($B$3:$B$12),LN($A$3:$A$12)),2))</f>
        <v>5.0256080561355931</v>
      </c>
      <c r="P3" s="202" t="s">
        <v>417</v>
      </c>
    </row>
    <row r="4" spans="1:16" x14ac:dyDescent="0.25">
      <c r="A4" s="183">
        <v>2</v>
      </c>
      <c r="B4" s="183">
        <v>21</v>
      </c>
      <c r="M4" s="183" t="s">
        <v>387</v>
      </c>
      <c r="N4" s="201">
        <f>INDEX(LINEST(LN($B$3:$B$12),LN($A$3:$A$12)),1)</f>
        <v>2.0902097668655144</v>
      </c>
      <c r="P4" s="202" t="s">
        <v>418</v>
      </c>
    </row>
    <row r="5" spans="1:16" x14ac:dyDescent="0.25">
      <c r="A5" s="183">
        <v>3</v>
      </c>
      <c r="B5" s="183">
        <v>54</v>
      </c>
    </row>
    <row r="6" spans="1:16" x14ac:dyDescent="0.25">
      <c r="A6" s="183">
        <v>4</v>
      </c>
      <c r="B6" s="183">
        <v>94</v>
      </c>
    </row>
    <row r="7" spans="1:16" x14ac:dyDescent="0.25">
      <c r="A7" s="183">
        <v>5</v>
      </c>
      <c r="B7" s="183">
        <v>141</v>
      </c>
    </row>
    <row r="8" spans="1:16" x14ac:dyDescent="0.25">
      <c r="A8" s="183">
        <v>6</v>
      </c>
      <c r="B8" s="183">
        <v>200</v>
      </c>
    </row>
    <row r="9" spans="1:16" x14ac:dyDescent="0.25">
      <c r="A9" s="183">
        <v>7</v>
      </c>
      <c r="B9" s="183">
        <v>280</v>
      </c>
    </row>
    <row r="10" spans="1:16" x14ac:dyDescent="0.25">
      <c r="A10" s="183">
        <v>8</v>
      </c>
      <c r="B10" s="183">
        <v>364</v>
      </c>
    </row>
    <row r="11" spans="1:16" x14ac:dyDescent="0.25">
      <c r="A11" s="183">
        <v>9</v>
      </c>
      <c r="B11" s="183">
        <v>509</v>
      </c>
    </row>
    <row r="12" spans="1:16" x14ac:dyDescent="0.25">
      <c r="A12" s="183">
        <v>10</v>
      </c>
      <c r="B12" s="183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183" customWidth="1"/>
    <col min="3" max="12" width="9.140625" style="183"/>
    <col min="13" max="13" width="13.140625" style="183" bestFit="1" customWidth="1"/>
    <col min="14" max="14" width="10.5703125" style="183" bestFit="1" customWidth="1"/>
    <col min="15" max="15" width="9.140625" style="183"/>
    <col min="16" max="16" width="49.140625" style="183" bestFit="1" customWidth="1"/>
    <col min="17" max="16384" width="9.140625" style="183"/>
  </cols>
  <sheetData>
    <row r="1" spans="1:16" x14ac:dyDescent="0.25">
      <c r="A1" s="183" t="s">
        <v>419</v>
      </c>
      <c r="B1" s="183" t="s">
        <v>173</v>
      </c>
    </row>
    <row r="2" spans="1:16" x14ac:dyDescent="0.25">
      <c r="A2" s="183">
        <v>1</v>
      </c>
      <c r="B2" s="183">
        <v>64</v>
      </c>
      <c r="M2" s="192" t="s">
        <v>420</v>
      </c>
      <c r="P2" s="192" t="s">
        <v>382</v>
      </c>
    </row>
    <row r="3" spans="1:16" x14ac:dyDescent="0.25">
      <c r="A3" s="183">
        <v>2</v>
      </c>
      <c r="B3" s="183">
        <v>32</v>
      </c>
      <c r="M3" s="183" t="s">
        <v>384</v>
      </c>
      <c r="N3" s="183">
        <f>EXP(INDEX(LINEST(LN($B$2:$B$7),$A$2:$A$7),1,2))</f>
        <v>127.99999999999997</v>
      </c>
      <c r="P3" s="202" t="s">
        <v>421</v>
      </c>
    </row>
    <row r="4" spans="1:16" x14ac:dyDescent="0.25">
      <c r="A4" s="183">
        <v>3</v>
      </c>
      <c r="B4" s="183">
        <v>16</v>
      </c>
      <c r="M4" s="183" t="s">
        <v>387</v>
      </c>
      <c r="N4" s="201">
        <f>INDEX(LINEST(LN($B$2:$B$7),$A$2:$A$7),1)</f>
        <v>-0.69314718055994529</v>
      </c>
      <c r="P4" s="202" t="s">
        <v>422</v>
      </c>
    </row>
    <row r="5" spans="1:16" x14ac:dyDescent="0.25">
      <c r="A5" s="183">
        <v>4</v>
      </c>
      <c r="B5" s="183">
        <v>8</v>
      </c>
    </row>
    <row r="6" spans="1:16" x14ac:dyDescent="0.25">
      <c r="A6" s="183">
        <v>5</v>
      </c>
      <c r="B6" s="183">
        <v>4</v>
      </c>
    </row>
    <row r="7" spans="1:16" x14ac:dyDescent="0.25">
      <c r="A7" s="183">
        <v>6</v>
      </c>
      <c r="B7" s="18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05" customWidth="1"/>
    <col min="3" max="16384" width="9.140625" style="205"/>
  </cols>
  <sheetData>
    <row r="1" spans="1:2" x14ac:dyDescent="0.25">
      <c r="A1" s="205" t="s">
        <v>183</v>
      </c>
      <c r="B1" s="205" t="s">
        <v>423</v>
      </c>
    </row>
    <row r="2" spans="1:2" x14ac:dyDescent="0.25">
      <c r="A2" s="205">
        <v>1</v>
      </c>
      <c r="B2" s="205">
        <v>10</v>
      </c>
    </row>
    <row r="3" spans="1:2" x14ac:dyDescent="0.25">
      <c r="A3" s="205">
        <v>2</v>
      </c>
      <c r="B3" s="205">
        <v>11</v>
      </c>
    </row>
    <row r="4" spans="1:2" x14ac:dyDescent="0.25">
      <c r="A4" s="205">
        <v>3</v>
      </c>
      <c r="B4" s="205">
        <v>15</v>
      </c>
    </row>
    <row r="5" spans="1:2" x14ac:dyDescent="0.25">
      <c r="A5" s="205">
        <v>4</v>
      </c>
      <c r="B5" s="205">
        <v>7</v>
      </c>
    </row>
    <row r="6" spans="1:2" x14ac:dyDescent="0.25">
      <c r="A6" s="205">
        <v>5</v>
      </c>
      <c r="B6" s="205">
        <v>9</v>
      </c>
    </row>
    <row r="7" spans="1:2" x14ac:dyDescent="0.25">
      <c r="A7" s="205">
        <v>6</v>
      </c>
      <c r="B7" s="205">
        <v>6</v>
      </c>
    </row>
    <row r="8" spans="1:2" x14ac:dyDescent="0.25">
      <c r="A8" s="205">
        <v>7</v>
      </c>
      <c r="B8" s="205">
        <v>7</v>
      </c>
    </row>
    <row r="9" spans="1:2" x14ac:dyDescent="0.25">
      <c r="A9" s="205">
        <v>8</v>
      </c>
      <c r="B9" s="205">
        <v>8</v>
      </c>
    </row>
    <row r="10" spans="1:2" x14ac:dyDescent="0.25">
      <c r="A10" s="205">
        <v>9</v>
      </c>
      <c r="B10" s="205">
        <v>17</v>
      </c>
    </row>
    <row r="11" spans="1:2" x14ac:dyDescent="0.25">
      <c r="A11" s="205">
        <v>10</v>
      </c>
      <c r="B11" s="205">
        <v>20</v>
      </c>
    </row>
    <row r="12" spans="1:2" x14ac:dyDescent="0.25">
      <c r="A12" s="205">
        <v>11</v>
      </c>
      <c r="B12" s="205">
        <v>14</v>
      </c>
    </row>
    <row r="13" spans="1:2" x14ac:dyDescent="0.25">
      <c r="A13" s="205">
        <v>12</v>
      </c>
      <c r="B13" s="205">
        <v>12</v>
      </c>
    </row>
    <row r="14" spans="1:2" x14ac:dyDescent="0.25">
      <c r="A14" s="205">
        <v>13</v>
      </c>
      <c r="B14" s="205">
        <v>15</v>
      </c>
    </row>
    <row r="15" spans="1:2" x14ac:dyDescent="0.25">
      <c r="A15" s="205">
        <v>14</v>
      </c>
      <c r="B15" s="205">
        <v>11</v>
      </c>
    </row>
    <row r="16" spans="1:2" x14ac:dyDescent="0.25">
      <c r="A16" s="205">
        <v>15</v>
      </c>
      <c r="B16" s="205">
        <v>10</v>
      </c>
    </row>
    <row r="17" spans="1:2" x14ac:dyDescent="0.25">
      <c r="A17" s="205">
        <v>16</v>
      </c>
      <c r="B17" s="205">
        <v>13</v>
      </c>
    </row>
    <row r="18" spans="1:2" x14ac:dyDescent="0.25">
      <c r="A18" s="205">
        <v>17</v>
      </c>
      <c r="B18" s="205">
        <v>16</v>
      </c>
    </row>
    <row r="19" spans="1:2" x14ac:dyDescent="0.25">
      <c r="A19" s="205">
        <v>18</v>
      </c>
      <c r="B19" s="205">
        <v>18</v>
      </c>
    </row>
    <row r="20" spans="1:2" x14ac:dyDescent="0.25">
      <c r="A20" s="205">
        <v>19</v>
      </c>
      <c r="B20" s="205">
        <v>14</v>
      </c>
    </row>
    <row r="21" spans="1:2" x14ac:dyDescent="0.25">
      <c r="A21" s="205">
        <v>20</v>
      </c>
      <c r="B21" s="205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183"/>
  </cols>
  <sheetData>
    <row r="1" spans="1:2" x14ac:dyDescent="0.25">
      <c r="A1" s="183" t="s">
        <v>368</v>
      </c>
      <c r="B1" s="183">
        <v>0.6</v>
      </c>
    </row>
    <row r="2" spans="1:2" x14ac:dyDescent="0.25">
      <c r="A2" s="183" t="s">
        <v>369</v>
      </c>
      <c r="B2" s="183">
        <f>1-B1</f>
        <v>0.4</v>
      </c>
    </row>
    <row r="4" spans="1:2" x14ac:dyDescent="0.25">
      <c r="A4" s="183" t="s">
        <v>370</v>
      </c>
      <c r="B4" s="183" t="s">
        <v>371</v>
      </c>
    </row>
    <row r="5" spans="1:2" x14ac:dyDescent="0.25">
      <c r="A5" s="183" t="s">
        <v>372</v>
      </c>
      <c r="B5" s="200">
        <f>$B$1</f>
        <v>0.6</v>
      </c>
    </row>
    <row r="6" spans="1:2" x14ac:dyDescent="0.25">
      <c r="A6" s="183" t="s">
        <v>373</v>
      </c>
      <c r="B6" s="200">
        <f>B5*$B$2</f>
        <v>0.24</v>
      </c>
    </row>
    <row r="7" spans="1:2" x14ac:dyDescent="0.25">
      <c r="A7" s="183" t="s">
        <v>374</v>
      </c>
      <c r="B7" s="200">
        <f>B6*$B$2</f>
        <v>9.6000000000000002E-2</v>
      </c>
    </row>
    <row r="8" spans="1:2" x14ac:dyDescent="0.25">
      <c r="A8" s="183" t="s">
        <v>375</v>
      </c>
      <c r="B8" s="200">
        <f t="shared" ref="B8:B13" si="0">B7*$B$2</f>
        <v>3.8400000000000004E-2</v>
      </c>
    </row>
    <row r="9" spans="1:2" x14ac:dyDescent="0.25">
      <c r="A9" s="183" t="s">
        <v>376</v>
      </c>
      <c r="B9" s="200">
        <f t="shared" si="0"/>
        <v>1.5360000000000002E-2</v>
      </c>
    </row>
    <row r="10" spans="1:2" x14ac:dyDescent="0.25">
      <c r="A10" s="183" t="s">
        <v>377</v>
      </c>
      <c r="B10" s="200">
        <f t="shared" si="0"/>
        <v>6.144000000000001E-3</v>
      </c>
    </row>
    <row r="11" spans="1:2" x14ac:dyDescent="0.25">
      <c r="A11" s="183" t="s">
        <v>378</v>
      </c>
      <c r="B11" s="200">
        <f t="shared" si="0"/>
        <v>2.4576000000000008E-3</v>
      </c>
    </row>
    <row r="12" spans="1:2" x14ac:dyDescent="0.25">
      <c r="A12" s="183" t="s">
        <v>379</v>
      </c>
      <c r="B12" s="200">
        <f t="shared" si="0"/>
        <v>9.8304000000000035E-4</v>
      </c>
    </row>
    <row r="13" spans="1:2" x14ac:dyDescent="0.25">
      <c r="A13" s="183" t="s">
        <v>380</v>
      </c>
      <c r="B13" s="200">
        <f t="shared" si="0"/>
        <v>3.9321600000000016E-4</v>
      </c>
    </row>
    <row r="14" spans="1:2" x14ac:dyDescent="0.25">
      <c r="B14" s="20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3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4">
        <v>1</v>
      </c>
      <c r="C6" s="124">
        <v>2</v>
      </c>
      <c r="D6" s="124">
        <v>3</v>
      </c>
      <c r="E6" s="124">
        <v>4</v>
      </c>
      <c r="F6" s="124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4">
        <v>1</v>
      </c>
      <c r="C14" s="124">
        <v>2</v>
      </c>
      <c r="D14" s="124">
        <v>3</v>
      </c>
      <c r="E14" s="124">
        <v>4</v>
      </c>
      <c r="F14" s="124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5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5" customWidth="1"/>
    <col min="2" max="4" width="5.7109375" style="85" customWidth="1"/>
    <col min="5" max="16384" width="9.140625" style="85"/>
  </cols>
  <sheetData>
    <row r="1" spans="1:4" x14ac:dyDescent="0.2">
      <c r="B1" s="86" t="s">
        <v>132</v>
      </c>
      <c r="C1" s="86" t="s">
        <v>133</v>
      </c>
      <c r="D1" s="86" t="s">
        <v>134</v>
      </c>
    </row>
    <row r="2" spans="1:4" x14ac:dyDescent="0.2">
      <c r="A2" s="87" t="s">
        <v>265</v>
      </c>
      <c r="B2" s="126">
        <v>1255</v>
      </c>
      <c r="C2" s="126">
        <v>948</v>
      </c>
      <c r="D2" s="126">
        <v>1269</v>
      </c>
    </row>
    <row r="3" spans="1:4" x14ac:dyDescent="0.2">
      <c r="A3" s="87" t="s">
        <v>266</v>
      </c>
      <c r="B3" s="126">
        <v>2544</v>
      </c>
      <c r="C3" s="126">
        <v>1306</v>
      </c>
      <c r="D3" s="126">
        <v>379</v>
      </c>
    </row>
    <row r="4" spans="1:4" x14ac:dyDescent="0.2">
      <c r="A4" s="87" t="s">
        <v>267</v>
      </c>
      <c r="B4" s="126">
        <v>1655</v>
      </c>
      <c r="C4" s="126">
        <v>781</v>
      </c>
      <c r="D4" s="126">
        <v>1943</v>
      </c>
    </row>
    <row r="5" spans="1:4" x14ac:dyDescent="0.2">
      <c r="A5" s="87" t="s">
        <v>268</v>
      </c>
      <c r="B5" s="126">
        <v>2144</v>
      </c>
      <c r="C5" s="126">
        <v>931</v>
      </c>
      <c r="D5" s="126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3" customWidth="1"/>
    <col min="2" max="3" width="6.7109375" style="103" customWidth="1"/>
    <col min="4" max="16384" width="9.140625" style="103"/>
  </cols>
  <sheetData>
    <row r="1" spans="1:3" x14ac:dyDescent="0.2">
      <c r="B1" s="127">
        <v>2009</v>
      </c>
      <c r="C1" s="127">
        <v>2010</v>
      </c>
    </row>
    <row r="2" spans="1:3" x14ac:dyDescent="0.2">
      <c r="A2" s="104" t="s">
        <v>269</v>
      </c>
      <c r="B2" s="128">
        <v>15</v>
      </c>
      <c r="C2" s="128">
        <v>17</v>
      </c>
    </row>
    <row r="3" spans="1:3" x14ac:dyDescent="0.2">
      <c r="A3" s="104" t="s">
        <v>270</v>
      </c>
      <c r="B3" s="128">
        <v>17</v>
      </c>
      <c r="C3" s="128">
        <v>16</v>
      </c>
    </row>
    <row r="4" spans="1:3" x14ac:dyDescent="0.2">
      <c r="A4" s="104" t="s">
        <v>271</v>
      </c>
      <c r="B4" s="128">
        <v>14</v>
      </c>
      <c r="C4" s="128">
        <v>16</v>
      </c>
    </row>
    <row r="5" spans="1:3" x14ac:dyDescent="0.2">
      <c r="A5" s="104" t="s">
        <v>272</v>
      </c>
      <c r="B5" s="128">
        <v>19</v>
      </c>
      <c r="C5" s="128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CAF8-CFBC-43BC-9100-C74E1F686366}">
  <dimension ref="A1:F7"/>
  <sheetViews>
    <sheetView workbookViewId="0">
      <selection sqref="A1:F7"/>
    </sheetView>
  </sheetViews>
  <sheetFormatPr defaultRowHeight="15" x14ac:dyDescent="0.25"/>
  <cols>
    <col min="1" max="1" width="10.85546875" style="213" bestFit="1" customWidth="1"/>
    <col min="2" max="2" width="10.85546875" style="213" customWidth="1"/>
    <col min="3" max="6" width="8" style="213" bestFit="1" customWidth="1"/>
    <col min="7" max="16384" width="9.140625" style="213"/>
  </cols>
  <sheetData>
    <row r="1" spans="1:6" x14ac:dyDescent="0.25">
      <c r="A1" s="210" t="s">
        <v>472</v>
      </c>
      <c r="B1" s="211" t="s">
        <v>473</v>
      </c>
      <c r="C1" s="212" t="s">
        <v>479</v>
      </c>
      <c r="D1" s="212" t="s">
        <v>480</v>
      </c>
      <c r="E1" s="212" t="s">
        <v>481</v>
      </c>
      <c r="F1" s="212" t="s">
        <v>482</v>
      </c>
    </row>
    <row r="2" spans="1:6" x14ac:dyDescent="0.25">
      <c r="A2" s="210" t="s">
        <v>474</v>
      </c>
      <c r="B2" s="210" t="s">
        <v>475</v>
      </c>
      <c r="C2" s="214">
        <v>5247226</v>
      </c>
      <c r="D2" s="214">
        <v>5372650</v>
      </c>
      <c r="E2" s="214">
        <v>5566774</v>
      </c>
      <c r="F2" s="214">
        <v>5739297</v>
      </c>
    </row>
    <row r="3" spans="1:6" x14ac:dyDescent="0.25">
      <c r="A3" s="210" t="s">
        <v>474</v>
      </c>
      <c r="B3" s="210" t="s">
        <v>476</v>
      </c>
      <c r="C3" s="214">
        <v>5034820</v>
      </c>
      <c r="D3" s="214">
        <v>5174235</v>
      </c>
      <c r="E3" s="214">
        <v>5371961</v>
      </c>
      <c r="F3" s="214">
        <v>5548634</v>
      </c>
    </row>
    <row r="4" spans="1:6" x14ac:dyDescent="0.25">
      <c r="A4" s="210" t="s">
        <v>477</v>
      </c>
      <c r="B4" s="210" t="s">
        <v>475</v>
      </c>
      <c r="C4" s="214">
        <v>221319</v>
      </c>
      <c r="D4" s="214">
        <v>231913</v>
      </c>
      <c r="E4" s="214">
        <v>255593</v>
      </c>
      <c r="F4" s="214">
        <v>282300</v>
      </c>
    </row>
    <row r="5" spans="1:6" x14ac:dyDescent="0.25">
      <c r="A5" s="210" t="s">
        <v>477</v>
      </c>
      <c r="B5" s="210" t="s">
        <v>476</v>
      </c>
      <c r="C5" s="214">
        <v>214787</v>
      </c>
      <c r="D5" s="214">
        <v>225935</v>
      </c>
      <c r="E5" s="214">
        <v>252297</v>
      </c>
      <c r="F5" s="214">
        <v>284441</v>
      </c>
    </row>
    <row r="6" spans="1:6" x14ac:dyDescent="0.25">
      <c r="A6" s="210" t="s">
        <v>478</v>
      </c>
      <c r="B6" s="210" t="s">
        <v>475</v>
      </c>
      <c r="C6" s="214">
        <v>8037448</v>
      </c>
      <c r="D6" s="214">
        <v>8251078</v>
      </c>
      <c r="E6" s="214">
        <v>8398523</v>
      </c>
      <c r="F6" s="214">
        <v>8518105</v>
      </c>
    </row>
    <row r="7" spans="1:6" x14ac:dyDescent="0.25">
      <c r="A7" s="210" t="s">
        <v>478</v>
      </c>
      <c r="B7" s="210" t="s">
        <v>476</v>
      </c>
      <c r="C7" s="214">
        <v>7888740</v>
      </c>
      <c r="D7" s="214">
        <v>8116075</v>
      </c>
      <c r="E7" s="214">
        <v>8284404</v>
      </c>
      <c r="F7" s="214">
        <v>8420387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960-1BB9-4E7A-9F89-6371E6CA0CBE}">
  <dimension ref="A1:K33"/>
  <sheetViews>
    <sheetView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6.7109375" bestFit="1" customWidth="1"/>
    <col min="4" max="4" width="11.85546875" bestFit="1" customWidth="1"/>
    <col min="8" max="8" width="17.7109375" bestFit="1" customWidth="1"/>
    <col min="9" max="11" width="14.7109375" customWidth="1"/>
  </cols>
  <sheetData>
    <row r="1" spans="1:4" x14ac:dyDescent="0.25">
      <c r="A1" t="s">
        <v>472</v>
      </c>
      <c r="B1" t="s">
        <v>473</v>
      </c>
      <c r="C1" t="s">
        <v>131</v>
      </c>
      <c r="D1" t="s">
        <v>483</v>
      </c>
    </row>
    <row r="2" spans="1:4" x14ac:dyDescent="0.25">
      <c r="A2" s="105" t="s">
        <v>474</v>
      </c>
      <c r="B2" s="105" t="s">
        <v>475</v>
      </c>
      <c r="C2" s="105" t="s">
        <v>479</v>
      </c>
      <c r="D2" s="209">
        <v>5247226</v>
      </c>
    </row>
    <row r="3" spans="1:4" x14ac:dyDescent="0.25">
      <c r="A3" s="105" t="s">
        <v>474</v>
      </c>
      <c r="B3" s="105" t="s">
        <v>475</v>
      </c>
      <c r="C3" s="105" t="s">
        <v>480</v>
      </c>
      <c r="D3" s="209">
        <v>5372650</v>
      </c>
    </row>
    <row r="4" spans="1:4" x14ac:dyDescent="0.25">
      <c r="A4" s="105" t="s">
        <v>474</v>
      </c>
      <c r="B4" s="105" t="s">
        <v>475</v>
      </c>
      <c r="C4" s="105" t="s">
        <v>481</v>
      </c>
      <c r="D4" s="209">
        <v>5566774</v>
      </c>
    </row>
    <row r="5" spans="1:4" x14ac:dyDescent="0.25">
      <c r="A5" s="105" t="s">
        <v>474</v>
      </c>
      <c r="B5" s="105" t="s">
        <v>475</v>
      </c>
      <c r="C5" s="105" t="s">
        <v>482</v>
      </c>
      <c r="D5" s="209">
        <v>5739297</v>
      </c>
    </row>
    <row r="6" spans="1:4" x14ac:dyDescent="0.25">
      <c r="A6" s="105" t="s">
        <v>474</v>
      </c>
      <c r="B6" s="105" t="s">
        <v>476</v>
      </c>
      <c r="C6" s="105" t="s">
        <v>479</v>
      </c>
      <c r="D6" s="209">
        <v>5034820</v>
      </c>
    </row>
    <row r="7" spans="1:4" x14ac:dyDescent="0.25">
      <c r="A7" s="105" t="s">
        <v>474</v>
      </c>
      <c r="B7" s="105" t="s">
        <v>476</v>
      </c>
      <c r="C7" s="105" t="s">
        <v>480</v>
      </c>
      <c r="D7" s="209">
        <v>5174235</v>
      </c>
    </row>
    <row r="8" spans="1:4" x14ac:dyDescent="0.25">
      <c r="A8" s="105" t="s">
        <v>474</v>
      </c>
      <c r="B8" s="105" t="s">
        <v>476</v>
      </c>
      <c r="C8" s="105" t="s">
        <v>481</v>
      </c>
      <c r="D8" s="209">
        <v>5371961</v>
      </c>
    </row>
    <row r="9" spans="1:4" x14ac:dyDescent="0.25">
      <c r="A9" s="105" t="s">
        <v>474</v>
      </c>
      <c r="B9" s="105" t="s">
        <v>476</v>
      </c>
      <c r="C9" s="105" t="s">
        <v>482</v>
      </c>
      <c r="D9" s="209">
        <v>5548634</v>
      </c>
    </row>
    <row r="10" spans="1:4" x14ac:dyDescent="0.25">
      <c r="A10" s="105" t="s">
        <v>477</v>
      </c>
      <c r="B10" s="105" t="s">
        <v>475</v>
      </c>
      <c r="C10" s="105" t="s">
        <v>479</v>
      </c>
      <c r="D10" s="209">
        <v>221319</v>
      </c>
    </row>
    <row r="11" spans="1:4" x14ac:dyDescent="0.25">
      <c r="A11" s="105" t="s">
        <v>477</v>
      </c>
      <c r="B11" s="105" t="s">
        <v>475</v>
      </c>
      <c r="C11" s="105" t="s">
        <v>480</v>
      </c>
      <c r="D11" s="209">
        <v>231913</v>
      </c>
    </row>
    <row r="12" spans="1:4" x14ac:dyDescent="0.25">
      <c r="A12" s="105" t="s">
        <v>477</v>
      </c>
      <c r="B12" s="105" t="s">
        <v>475</v>
      </c>
      <c r="C12" s="105" t="s">
        <v>481</v>
      </c>
      <c r="D12" s="209">
        <v>255593</v>
      </c>
    </row>
    <row r="13" spans="1:4" x14ac:dyDescent="0.25">
      <c r="A13" s="105" t="s">
        <v>477</v>
      </c>
      <c r="B13" s="105" t="s">
        <v>475</v>
      </c>
      <c r="C13" s="105" t="s">
        <v>482</v>
      </c>
      <c r="D13" s="209">
        <v>282300</v>
      </c>
    </row>
    <row r="14" spans="1:4" x14ac:dyDescent="0.25">
      <c r="A14" s="105" t="s">
        <v>477</v>
      </c>
      <c r="B14" s="105" t="s">
        <v>476</v>
      </c>
      <c r="C14" s="105" t="s">
        <v>479</v>
      </c>
      <c r="D14" s="209">
        <v>214787</v>
      </c>
    </row>
    <row r="15" spans="1:4" x14ac:dyDescent="0.25">
      <c r="A15" s="105" t="s">
        <v>477</v>
      </c>
      <c r="B15" s="105" t="s">
        <v>476</v>
      </c>
      <c r="C15" s="105" t="s">
        <v>480</v>
      </c>
      <c r="D15" s="209">
        <v>225935</v>
      </c>
    </row>
    <row r="16" spans="1:4" x14ac:dyDescent="0.25">
      <c r="A16" s="105" t="s">
        <v>477</v>
      </c>
      <c r="B16" s="105" t="s">
        <v>476</v>
      </c>
      <c r="C16" s="105" t="s">
        <v>481</v>
      </c>
      <c r="D16" s="209">
        <v>252297</v>
      </c>
    </row>
    <row r="17" spans="1:11" x14ac:dyDescent="0.25">
      <c r="A17" s="105" t="s">
        <v>477</v>
      </c>
      <c r="B17" s="105" t="s">
        <v>476</v>
      </c>
      <c r="C17" s="105" t="s">
        <v>482</v>
      </c>
      <c r="D17" s="209">
        <v>284441</v>
      </c>
    </row>
    <row r="18" spans="1:11" x14ac:dyDescent="0.25">
      <c r="A18" s="105" t="s">
        <v>478</v>
      </c>
      <c r="B18" s="105" t="s">
        <v>475</v>
      </c>
      <c r="C18" s="105" t="s">
        <v>479</v>
      </c>
      <c r="D18" s="209">
        <v>8037448</v>
      </c>
    </row>
    <row r="19" spans="1:11" x14ac:dyDescent="0.25">
      <c r="A19" s="105" t="s">
        <v>478</v>
      </c>
      <c r="B19" s="105" t="s">
        <v>475</v>
      </c>
      <c r="C19" s="105" t="s">
        <v>480</v>
      </c>
      <c r="D19" s="209">
        <v>8251078</v>
      </c>
    </row>
    <row r="20" spans="1:11" x14ac:dyDescent="0.25">
      <c r="A20" s="105" t="s">
        <v>478</v>
      </c>
      <c r="B20" s="105" t="s">
        <v>475</v>
      </c>
      <c r="C20" s="105" t="s">
        <v>481</v>
      </c>
      <c r="D20" s="209">
        <v>8398523</v>
      </c>
    </row>
    <row r="21" spans="1:11" x14ac:dyDescent="0.25">
      <c r="A21" s="105" t="s">
        <v>478</v>
      </c>
      <c r="B21" s="105" t="s">
        <v>475</v>
      </c>
      <c r="C21" s="105" t="s">
        <v>482</v>
      </c>
      <c r="D21" s="209">
        <v>8518105</v>
      </c>
    </row>
    <row r="22" spans="1:11" x14ac:dyDescent="0.25">
      <c r="A22" s="105" t="s">
        <v>478</v>
      </c>
      <c r="B22" s="105" t="s">
        <v>476</v>
      </c>
      <c r="C22" s="105" t="s">
        <v>479</v>
      </c>
      <c r="D22" s="209">
        <v>7888740</v>
      </c>
    </row>
    <row r="23" spans="1:11" x14ac:dyDescent="0.25">
      <c r="A23" s="105" t="s">
        <v>478</v>
      </c>
      <c r="B23" s="105" t="s">
        <v>476</v>
      </c>
      <c r="C23" s="105" t="s">
        <v>480</v>
      </c>
      <c r="D23" s="209">
        <v>8116075</v>
      </c>
    </row>
    <row r="24" spans="1:11" x14ac:dyDescent="0.25">
      <c r="A24" s="105" t="s">
        <v>478</v>
      </c>
      <c r="B24" s="105" t="s">
        <v>476</v>
      </c>
      <c r="C24" s="105" t="s">
        <v>481</v>
      </c>
      <c r="D24" s="209">
        <v>8284404</v>
      </c>
    </row>
    <row r="25" spans="1:11" x14ac:dyDescent="0.25">
      <c r="A25" s="105" t="s">
        <v>478</v>
      </c>
      <c r="B25" s="105" t="s">
        <v>476</v>
      </c>
      <c r="C25" s="105" t="s">
        <v>482</v>
      </c>
      <c r="D25" s="209">
        <v>8420387</v>
      </c>
      <c r="H25" s="11" t="s">
        <v>472</v>
      </c>
      <c r="I25" t="s">
        <v>484</v>
      </c>
    </row>
    <row r="27" spans="1:11" x14ac:dyDescent="0.25">
      <c r="H27" s="11" t="s">
        <v>485</v>
      </c>
      <c r="I27" s="11" t="s">
        <v>109</v>
      </c>
    </row>
    <row r="28" spans="1:11" x14ac:dyDescent="0.25">
      <c r="H28" s="11" t="s">
        <v>96</v>
      </c>
      <c r="I28" s="216" t="s">
        <v>476</v>
      </c>
      <c r="J28" s="216" t="s">
        <v>475</v>
      </c>
      <c r="K28" s="216" t="s">
        <v>8</v>
      </c>
    </row>
    <row r="29" spans="1:11" x14ac:dyDescent="0.25">
      <c r="H29" s="3" t="s">
        <v>479</v>
      </c>
      <c r="I29" s="215">
        <v>13138347</v>
      </c>
      <c r="J29" s="215">
        <v>13505993</v>
      </c>
      <c r="K29" s="215">
        <v>26644340</v>
      </c>
    </row>
    <row r="30" spans="1:11" x14ac:dyDescent="0.25">
      <c r="H30" s="3" t="s">
        <v>480</v>
      </c>
      <c r="I30" s="215">
        <v>13516245</v>
      </c>
      <c r="J30" s="215">
        <v>13855641</v>
      </c>
      <c r="K30" s="215">
        <v>27371886</v>
      </c>
    </row>
    <row r="31" spans="1:11" x14ac:dyDescent="0.25">
      <c r="H31" s="3" t="s">
        <v>481</v>
      </c>
      <c r="I31" s="215">
        <v>13908662</v>
      </c>
      <c r="J31" s="215">
        <v>14220890</v>
      </c>
      <c r="K31" s="215">
        <v>28129552</v>
      </c>
    </row>
    <row r="32" spans="1:11" x14ac:dyDescent="0.25">
      <c r="H32" s="3" t="s">
        <v>482</v>
      </c>
      <c r="I32" s="215">
        <v>14253462</v>
      </c>
      <c r="J32" s="215">
        <v>14539702</v>
      </c>
      <c r="K32" s="215">
        <v>28793164</v>
      </c>
    </row>
    <row r="33" spans="8:11" x14ac:dyDescent="0.25">
      <c r="H33" s="3" t="s">
        <v>8</v>
      </c>
      <c r="I33" s="215">
        <v>54816716</v>
      </c>
      <c r="J33" s="215">
        <v>56122226</v>
      </c>
      <c r="K33" s="215">
        <v>110938942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45" customWidth="1"/>
    <col min="2" max="3" width="14.42578125" style="145" customWidth="1"/>
    <col min="4" max="16384" width="9.140625" style="145"/>
  </cols>
  <sheetData>
    <row r="1" spans="1:3" ht="18" x14ac:dyDescent="0.15">
      <c r="A1" s="247" t="s">
        <v>342</v>
      </c>
      <c r="B1" s="247"/>
      <c r="C1" s="247"/>
    </row>
    <row r="3" spans="1:3" x14ac:dyDescent="0.15">
      <c r="A3" s="161" t="s">
        <v>343</v>
      </c>
      <c r="B3" s="161"/>
    </row>
    <row r="4" spans="1:3" ht="15" x14ac:dyDescent="0.25">
      <c r="A4" s="145" t="s">
        <v>344</v>
      </c>
      <c r="B4" s="162">
        <v>2.5</v>
      </c>
    </row>
    <row r="5" spans="1:3" ht="15" x14ac:dyDescent="0.25">
      <c r="A5" s="145" t="s">
        <v>345</v>
      </c>
      <c r="B5" s="162">
        <v>1.7</v>
      </c>
    </row>
    <row r="6" spans="1:3" ht="15" x14ac:dyDescent="0.25">
      <c r="A6" s="145" t="s">
        <v>346</v>
      </c>
      <c r="B6" s="163">
        <v>30000</v>
      </c>
    </row>
    <row r="8" spans="1:3" x14ac:dyDescent="0.15">
      <c r="A8" s="164" t="s">
        <v>347</v>
      </c>
      <c r="B8" s="101"/>
      <c r="C8" s="101">
        <f>52*Aantal_Orders*(Opbrengst_per_Order-Kosten_per_Order)</f>
        <v>1248000</v>
      </c>
    </row>
    <row r="9" spans="1:3" ht="15" x14ac:dyDescent="0.25">
      <c r="A9" s="161"/>
      <c r="B9" s="101"/>
      <c r="C9" s="82"/>
    </row>
    <row r="10" spans="1:3" x14ac:dyDescent="0.15">
      <c r="A10" s="161" t="s">
        <v>348</v>
      </c>
      <c r="B10" s="101"/>
    </row>
    <row r="11" spans="1:3" ht="15" x14ac:dyDescent="0.25">
      <c r="A11" s="145" t="s">
        <v>209</v>
      </c>
      <c r="B11" s="162">
        <v>300000</v>
      </c>
    </row>
    <row r="12" spans="1:3" ht="15" x14ac:dyDescent="0.25">
      <c r="A12" s="145" t="s">
        <v>334</v>
      </c>
      <c r="B12" s="162">
        <v>72000</v>
      </c>
    </row>
    <row r="13" spans="1:3" ht="15" x14ac:dyDescent="0.25">
      <c r="A13" s="145" t="s">
        <v>335</v>
      </c>
      <c r="B13" s="162">
        <v>20000</v>
      </c>
    </row>
    <row r="14" spans="1:3" ht="15" x14ac:dyDescent="0.25">
      <c r="A14" s="145" t="s">
        <v>336</v>
      </c>
      <c r="B14" s="162">
        <v>200000</v>
      </c>
    </row>
    <row r="15" spans="1:3" x14ac:dyDescent="0.15">
      <c r="A15" s="164" t="s">
        <v>349</v>
      </c>
      <c r="C15" s="165">
        <f>SUM(B11:B14)</f>
        <v>592000</v>
      </c>
    </row>
    <row r="17" spans="1:3" x14ac:dyDescent="0.15">
      <c r="A17" s="164" t="s">
        <v>350</v>
      </c>
      <c r="C17" s="165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45"/>
    <col min="3" max="3" width="19.140625" style="145" customWidth="1"/>
    <col min="4" max="7" width="12.7109375" style="145" customWidth="1" outlineLevel="1"/>
    <col min="8" max="16384" width="9.140625" style="145"/>
  </cols>
  <sheetData>
    <row r="1" spans="2:7" ht="11.25" thickBot="1" x14ac:dyDescent="0.2"/>
    <row r="2" spans="2:7" ht="11.25" x14ac:dyDescent="0.15">
      <c r="B2" s="146" t="s">
        <v>322</v>
      </c>
      <c r="C2" s="146"/>
      <c r="D2" s="147"/>
      <c r="E2" s="147"/>
      <c r="F2" s="147"/>
      <c r="G2" s="147"/>
    </row>
    <row r="3" spans="2:7" ht="31.5" collapsed="1" x14ac:dyDescent="0.15">
      <c r="B3" s="148"/>
      <c r="C3" s="148"/>
      <c r="D3" s="149" t="s">
        <v>323</v>
      </c>
      <c r="E3" s="149" t="s">
        <v>324</v>
      </c>
      <c r="F3" s="149" t="s">
        <v>325</v>
      </c>
      <c r="G3" s="149" t="s">
        <v>326</v>
      </c>
    </row>
    <row r="4" spans="2:7" ht="94.5" hidden="1" outlineLevel="1" x14ac:dyDescent="0.15">
      <c r="B4" s="150"/>
      <c r="C4" s="150"/>
      <c r="D4" s="151"/>
      <c r="E4" s="152" t="s">
        <v>327</v>
      </c>
      <c r="F4" s="152" t="s">
        <v>328</v>
      </c>
      <c r="G4" s="152" t="s">
        <v>329</v>
      </c>
    </row>
    <row r="5" spans="2:7" x14ac:dyDescent="0.15">
      <c r="B5" s="153" t="s">
        <v>330</v>
      </c>
      <c r="C5" s="153"/>
      <c r="D5" s="154"/>
      <c r="E5" s="154"/>
      <c r="F5" s="154"/>
      <c r="G5" s="154"/>
    </row>
    <row r="6" spans="2:7" outlineLevel="1" x14ac:dyDescent="0.15">
      <c r="B6" s="150"/>
      <c r="C6" s="150" t="s">
        <v>331</v>
      </c>
      <c r="D6" s="155">
        <v>2.5</v>
      </c>
      <c r="E6" s="156">
        <v>2.5</v>
      </c>
      <c r="F6" s="156">
        <v>2.75</v>
      </c>
      <c r="G6" s="156">
        <v>2.625</v>
      </c>
    </row>
    <row r="7" spans="2:7" outlineLevel="1" x14ac:dyDescent="0.15">
      <c r="B7" s="150"/>
      <c r="C7" s="150" t="s">
        <v>332</v>
      </c>
      <c r="D7" s="155">
        <v>1.7</v>
      </c>
      <c r="E7" s="156">
        <v>1.7</v>
      </c>
      <c r="F7" s="156">
        <v>1.7</v>
      </c>
      <c r="G7" s="156">
        <v>1.615</v>
      </c>
    </row>
    <row r="8" spans="2:7" outlineLevel="1" x14ac:dyDescent="0.15">
      <c r="B8" s="150"/>
      <c r="C8" s="150" t="s">
        <v>333</v>
      </c>
      <c r="D8" s="157">
        <v>30000</v>
      </c>
      <c r="E8" s="158">
        <v>30000</v>
      </c>
      <c r="F8" s="158">
        <v>30000</v>
      </c>
      <c r="G8" s="158">
        <v>30000</v>
      </c>
    </row>
    <row r="9" spans="2:7" outlineLevel="1" x14ac:dyDescent="0.15">
      <c r="B9" s="150"/>
      <c r="C9" s="150" t="s">
        <v>209</v>
      </c>
      <c r="D9" s="155">
        <v>300000</v>
      </c>
      <c r="E9" s="156">
        <v>300000</v>
      </c>
      <c r="F9" s="156">
        <v>270000</v>
      </c>
      <c r="G9" s="156">
        <v>300000</v>
      </c>
    </row>
    <row r="10" spans="2:7" outlineLevel="1" x14ac:dyDescent="0.15">
      <c r="B10" s="150"/>
      <c r="C10" s="150" t="s">
        <v>334</v>
      </c>
      <c r="D10" s="155">
        <v>72000</v>
      </c>
      <c r="E10" s="156">
        <v>72000</v>
      </c>
      <c r="F10" s="156">
        <v>72000</v>
      </c>
      <c r="G10" s="156">
        <v>72000</v>
      </c>
    </row>
    <row r="11" spans="2:7" outlineLevel="1" x14ac:dyDescent="0.15">
      <c r="B11" s="150"/>
      <c r="C11" s="150" t="s">
        <v>335</v>
      </c>
      <c r="D11" s="155">
        <v>20000</v>
      </c>
      <c r="E11" s="156">
        <v>20000</v>
      </c>
      <c r="F11" s="156">
        <v>15000</v>
      </c>
      <c r="G11" s="156">
        <v>22000</v>
      </c>
    </row>
    <row r="12" spans="2:7" outlineLevel="1" x14ac:dyDescent="0.15">
      <c r="B12" s="150"/>
      <c r="C12" s="150" t="s">
        <v>336</v>
      </c>
      <c r="D12" s="155">
        <v>200000</v>
      </c>
      <c r="E12" s="156">
        <v>200000</v>
      </c>
      <c r="F12" s="156">
        <v>200000</v>
      </c>
      <c r="G12" s="156">
        <v>200000</v>
      </c>
    </row>
    <row r="13" spans="2:7" x14ac:dyDescent="0.15">
      <c r="B13" s="153" t="s">
        <v>337</v>
      </c>
      <c r="C13" s="153"/>
      <c r="D13" s="154"/>
      <c r="E13" s="154"/>
      <c r="F13" s="154"/>
      <c r="G13" s="154"/>
    </row>
    <row r="14" spans="2:7" ht="11.25" outlineLevel="1" thickBot="1" x14ac:dyDescent="0.2">
      <c r="B14" s="159"/>
      <c r="C14" s="159" t="s">
        <v>338</v>
      </c>
      <c r="D14" s="160">
        <v>656000</v>
      </c>
      <c r="E14" s="160">
        <v>656000</v>
      </c>
      <c r="F14" s="160">
        <v>1081000</v>
      </c>
      <c r="G14" s="160">
        <v>981600</v>
      </c>
    </row>
    <row r="15" spans="2:7" x14ac:dyDescent="0.15">
      <c r="B15" s="145" t="s">
        <v>339</v>
      </c>
    </row>
    <row r="16" spans="2:7" x14ac:dyDescent="0.15">
      <c r="B16" s="145" t="s">
        <v>340</v>
      </c>
    </row>
    <row r="17" spans="2:2" x14ac:dyDescent="0.15">
      <c r="B17" s="145" t="s">
        <v>341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5" customWidth="1"/>
    <col min="4" max="16384" width="9.140625" style="105"/>
  </cols>
  <sheetData>
    <row r="1" spans="1:3" x14ac:dyDescent="0.25">
      <c r="A1" s="105" t="s">
        <v>141</v>
      </c>
      <c r="C1" s="105">
        <v>4000</v>
      </c>
    </row>
    <row r="2" spans="1:3" x14ac:dyDescent="0.25">
      <c r="A2" s="105" t="s">
        <v>84</v>
      </c>
      <c r="B2" s="106">
        <v>0.25</v>
      </c>
      <c r="C2" s="105">
        <f>B2*C1</f>
        <v>1000</v>
      </c>
    </row>
    <row r="3" spans="1:3" x14ac:dyDescent="0.25">
      <c r="A3" s="105" t="s">
        <v>142</v>
      </c>
      <c r="C3" s="105">
        <f>C1+C2</f>
        <v>5000</v>
      </c>
    </row>
    <row r="5" spans="1:3" x14ac:dyDescent="0.25">
      <c r="A5" s="105" t="s">
        <v>143</v>
      </c>
      <c r="B5" s="106">
        <v>0.21</v>
      </c>
      <c r="C5" s="105">
        <f>B5*C3</f>
        <v>1050</v>
      </c>
    </row>
    <row r="6" spans="1:3" x14ac:dyDescent="0.25">
      <c r="A6" s="105" t="s">
        <v>144</v>
      </c>
      <c r="C6" s="105">
        <f>C3+C5</f>
        <v>6050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17">
        <v>20</v>
      </c>
      <c r="C2" s="117">
        <v>65</v>
      </c>
      <c r="D2" s="117">
        <f>B2*C2</f>
        <v>1300</v>
      </c>
    </row>
    <row r="3" spans="1:4" x14ac:dyDescent="0.25">
      <c r="A3" t="s">
        <v>63</v>
      </c>
      <c r="B3" s="117">
        <v>10</v>
      </c>
      <c r="C3" s="117">
        <v>80</v>
      </c>
      <c r="D3" s="117">
        <f t="shared" ref="D3:D4" si="0">B3*C3</f>
        <v>800</v>
      </c>
    </row>
    <row r="4" spans="1:4" x14ac:dyDescent="0.25">
      <c r="A4" t="s">
        <v>106</v>
      </c>
      <c r="B4" s="117">
        <v>4</v>
      </c>
      <c r="C4" s="117">
        <v>70</v>
      </c>
      <c r="D4" s="117">
        <f t="shared" si="0"/>
        <v>280</v>
      </c>
    </row>
    <row r="5" spans="1:4" x14ac:dyDescent="0.25">
      <c r="A5" t="s">
        <v>148</v>
      </c>
      <c r="B5" s="117"/>
      <c r="C5" s="117"/>
      <c r="D5" s="117">
        <f>D2+D3+D4</f>
        <v>2380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5" bestFit="1" customWidth="1"/>
    <col min="2" max="2" width="8.85546875" style="105" bestFit="1" customWidth="1"/>
    <col min="3" max="3" width="11.140625" style="105" bestFit="1" customWidth="1"/>
    <col min="4" max="4" width="10.28515625" style="105" bestFit="1" customWidth="1"/>
    <col min="5" max="16384" width="9.140625" style="105"/>
  </cols>
  <sheetData>
    <row r="1" spans="1:4" x14ac:dyDescent="0.25">
      <c r="B1" s="179" t="s">
        <v>363</v>
      </c>
      <c r="C1" s="187">
        <v>0.08</v>
      </c>
    </row>
    <row r="2" spans="1:4" x14ac:dyDescent="0.25">
      <c r="A2" s="179" t="s">
        <v>360</v>
      </c>
      <c r="B2" s="179" t="s">
        <v>361</v>
      </c>
      <c r="C2" s="179" t="s">
        <v>362</v>
      </c>
    </row>
    <row r="3" spans="1:4" x14ac:dyDescent="0.25">
      <c r="A3" s="105">
        <v>0</v>
      </c>
      <c r="B3" s="186">
        <v>-5000</v>
      </c>
      <c r="C3" s="24">
        <f>PV($C$1,A3,,-B3)</f>
        <v>-5000</v>
      </c>
    </row>
    <row r="4" spans="1:4" x14ac:dyDescent="0.25">
      <c r="A4" s="105">
        <v>1</v>
      </c>
      <c r="B4" s="186">
        <v>1400</v>
      </c>
      <c r="C4" s="24">
        <f t="shared" ref="C4:C7" si="0">PV($C$1,A4,,-B4)</f>
        <v>1296.2962962962963</v>
      </c>
    </row>
    <row r="5" spans="1:4" x14ac:dyDescent="0.25">
      <c r="A5" s="105">
        <v>2</v>
      </c>
      <c r="B5" s="186">
        <v>1500</v>
      </c>
      <c r="C5" s="24">
        <f t="shared" si="0"/>
        <v>1286.0082304526748</v>
      </c>
    </row>
    <row r="6" spans="1:4" x14ac:dyDescent="0.25">
      <c r="A6" s="105">
        <v>3</v>
      </c>
      <c r="B6" s="186">
        <v>1900</v>
      </c>
      <c r="C6" s="24">
        <f t="shared" si="0"/>
        <v>1508.2812579383221</v>
      </c>
    </row>
    <row r="7" spans="1:4" x14ac:dyDescent="0.25">
      <c r="A7" s="105">
        <v>4</v>
      </c>
      <c r="B7" s="186">
        <v>2000</v>
      </c>
      <c r="C7" s="24">
        <f t="shared" si="0"/>
        <v>1470.0597055929065</v>
      </c>
    </row>
    <row r="8" spans="1:4" x14ac:dyDescent="0.25">
      <c r="B8" s="105" t="s">
        <v>365</v>
      </c>
      <c r="C8" s="24">
        <f>SUM(C3:C7)</f>
        <v>560.64549028020019</v>
      </c>
      <c r="D8" s="188"/>
    </row>
    <row r="9" spans="1:4" x14ac:dyDescent="0.25">
      <c r="B9" s="105" t="s">
        <v>365</v>
      </c>
      <c r="C9" s="24">
        <f>B3+NPV($C$1,B4,B5,B6,B7)</f>
        <v>560.64549028019974</v>
      </c>
      <c r="D9" s="188"/>
    </row>
    <row r="10" spans="1:4" x14ac:dyDescent="0.25">
      <c r="B10" s="105" t="s">
        <v>364</v>
      </c>
      <c r="C10" s="189">
        <f>IRR(B3:B7)</f>
        <v>0.12613066814771079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183"/>
  </cols>
  <sheetData>
    <row r="4" spans="4:16" x14ac:dyDescent="0.25">
      <c r="D4" s="193" t="s">
        <v>366</v>
      </c>
      <c r="L4" s="193" t="s">
        <v>367</v>
      </c>
    </row>
    <row r="9" spans="4:16" x14ac:dyDescent="0.25">
      <c r="D9" s="190"/>
      <c r="E9" s="191"/>
      <c r="F9" s="191"/>
      <c r="G9" s="191"/>
      <c r="L9" s="190"/>
      <c r="M9" s="191"/>
      <c r="N9" s="191"/>
      <c r="O9" s="191"/>
    </row>
    <row r="10" spans="4:16" x14ac:dyDescent="0.25">
      <c r="D10" s="191"/>
      <c r="E10" s="190"/>
      <c r="F10" s="190"/>
      <c r="G10" s="190"/>
      <c r="L10" s="191"/>
      <c r="M10" s="190"/>
      <c r="N10" s="190"/>
      <c r="O10" s="190"/>
    </row>
    <row r="11" spans="4:16" x14ac:dyDescent="0.25">
      <c r="D11" s="191"/>
      <c r="E11" s="190"/>
      <c r="F11" s="190"/>
      <c r="G11" s="190"/>
      <c r="L11" s="191"/>
      <c r="M11" s="190"/>
      <c r="N11" s="190"/>
      <c r="O11" s="190"/>
      <c r="P11" s="192"/>
    </row>
    <row r="12" spans="4:16" x14ac:dyDescent="0.25">
      <c r="D12" s="191"/>
      <c r="E12" s="190"/>
      <c r="F12" s="190"/>
      <c r="G12" s="190"/>
      <c r="L12" s="191"/>
      <c r="M12" s="190"/>
      <c r="N12" s="190"/>
      <c r="O12" s="190"/>
    </row>
    <row r="13" spans="4:16" x14ac:dyDescent="0.25">
      <c r="D13" s="191"/>
      <c r="E13" s="190"/>
      <c r="F13" s="190"/>
      <c r="G13" s="190"/>
      <c r="L13" s="191"/>
      <c r="M13" s="190"/>
      <c r="N13" s="190"/>
      <c r="O13" s="190"/>
    </row>
    <row r="14" spans="4:16" x14ac:dyDescent="0.25">
      <c r="D14" s="191"/>
      <c r="E14" s="190"/>
      <c r="F14" s="190"/>
      <c r="G14" s="190"/>
      <c r="L14" s="191"/>
      <c r="M14" s="190"/>
      <c r="N14" s="190"/>
      <c r="O14" s="190"/>
    </row>
    <row r="15" spans="4:16" x14ac:dyDescent="0.25">
      <c r="D15" s="191"/>
      <c r="E15" s="190"/>
      <c r="F15" s="190"/>
      <c r="G15" s="190"/>
      <c r="L15" s="191"/>
      <c r="M15" s="190"/>
      <c r="N15" s="190"/>
      <c r="O15" s="190"/>
    </row>
    <row r="16" spans="4:16" x14ac:dyDescent="0.25">
      <c r="D16" s="191"/>
      <c r="E16" s="190"/>
      <c r="F16" s="190"/>
      <c r="G16" s="190"/>
      <c r="L16" s="191"/>
      <c r="M16" s="190"/>
      <c r="N16" s="190"/>
      <c r="O16" s="190"/>
    </row>
    <row r="25" spans="4:7" x14ac:dyDescent="0.25">
      <c r="D25" s="190"/>
      <c r="E25" s="191"/>
      <c r="F25" s="191"/>
      <c r="G25" s="191"/>
    </row>
    <row r="26" spans="4:7" x14ac:dyDescent="0.25">
      <c r="D26" s="191"/>
      <c r="E26" s="190"/>
      <c r="F26" s="190"/>
      <c r="G26" s="190"/>
    </row>
    <row r="27" spans="4:7" x14ac:dyDescent="0.25">
      <c r="D27" s="191"/>
      <c r="E27" s="190"/>
      <c r="F27" s="190"/>
      <c r="G27" s="190"/>
    </row>
    <row r="28" spans="4:7" x14ac:dyDescent="0.25">
      <c r="D28" s="191"/>
      <c r="E28" s="190"/>
      <c r="F28" s="190"/>
      <c r="G28" s="190"/>
    </row>
    <row r="29" spans="4:7" x14ac:dyDescent="0.25">
      <c r="D29" s="191"/>
      <c r="E29" s="190"/>
      <c r="F29" s="190"/>
      <c r="G29" s="190"/>
    </row>
    <row r="30" spans="4:7" x14ac:dyDescent="0.25">
      <c r="D30" s="191"/>
      <c r="E30" s="190"/>
      <c r="F30" s="190"/>
      <c r="G30" s="190"/>
    </row>
    <row r="31" spans="4:7" x14ac:dyDescent="0.25">
      <c r="D31" s="191"/>
      <c r="E31" s="190"/>
      <c r="F31" s="190"/>
      <c r="G31" s="190"/>
    </row>
    <row r="32" spans="4:7" x14ac:dyDescent="0.25">
      <c r="D32" s="191"/>
      <c r="E32" s="190"/>
      <c r="F32" s="190"/>
      <c r="G32" s="190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5">
        <v>450</v>
      </c>
    </row>
    <row r="4" spans="1:2" x14ac:dyDescent="0.25">
      <c r="A4" t="s">
        <v>67</v>
      </c>
      <c r="B4" s="105">
        <v>175</v>
      </c>
    </row>
    <row r="5" spans="1:2" x14ac:dyDescent="0.25">
      <c r="A5" t="s">
        <v>68</v>
      </c>
      <c r="B5" s="105">
        <v>5</v>
      </c>
    </row>
    <row r="6" spans="1:2" x14ac:dyDescent="0.25">
      <c r="B6" s="105"/>
    </row>
    <row r="7" spans="1:2" x14ac:dyDescent="0.25">
      <c r="A7" s="26" t="s">
        <v>69</v>
      </c>
      <c r="B7" s="105">
        <f>B5*(B3-B4)</f>
        <v>1375</v>
      </c>
    </row>
    <row r="8" spans="1:2" x14ac:dyDescent="0.25">
      <c r="A8" s="105">
        <v>5</v>
      </c>
      <c r="B8" s="105">
        <f t="dataTable" ref="B8:B17" dt2D="0" dtr="0" r1="B5"/>
        <v>1375</v>
      </c>
    </row>
    <row r="9" spans="1:2" x14ac:dyDescent="0.25">
      <c r="A9" s="105">
        <v>10</v>
      </c>
      <c r="B9" s="105">
        <v>2750</v>
      </c>
    </row>
    <row r="10" spans="1:2" x14ac:dyDescent="0.25">
      <c r="A10" s="105">
        <v>15</v>
      </c>
      <c r="B10" s="105">
        <v>4125</v>
      </c>
    </row>
    <row r="11" spans="1:2" x14ac:dyDescent="0.25">
      <c r="A11" s="105">
        <v>20</v>
      </c>
      <c r="B11" s="105">
        <v>5500</v>
      </c>
    </row>
    <row r="12" spans="1:2" x14ac:dyDescent="0.25">
      <c r="A12" s="105">
        <v>25</v>
      </c>
      <c r="B12" s="105">
        <v>6875</v>
      </c>
    </row>
    <row r="13" spans="1:2" x14ac:dyDescent="0.25">
      <c r="A13" s="105">
        <v>30</v>
      </c>
      <c r="B13" s="105">
        <v>8250</v>
      </c>
    </row>
    <row r="14" spans="1:2" x14ac:dyDescent="0.25">
      <c r="A14" s="105">
        <v>35</v>
      </c>
      <c r="B14" s="105">
        <v>9625</v>
      </c>
    </row>
    <row r="15" spans="1:2" x14ac:dyDescent="0.25">
      <c r="A15" s="105">
        <v>40</v>
      </c>
      <c r="B15" s="105">
        <v>11000</v>
      </c>
    </row>
    <row r="16" spans="1:2" x14ac:dyDescent="0.25">
      <c r="A16" s="105">
        <v>45</v>
      </c>
      <c r="B16" s="105">
        <v>12375</v>
      </c>
    </row>
    <row r="17" spans="1:2" x14ac:dyDescent="0.25">
      <c r="A17" s="105">
        <v>50</v>
      </c>
      <c r="B17" s="105">
        <v>13750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5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5"/>
      <c r="C3" s="105">
        <f>2*B1-1</f>
        <v>-1</v>
      </c>
      <c r="D3" s="105">
        <f>-3*B1+2</f>
        <v>2</v>
      </c>
      <c r="E3" s="105">
        <f>B1^2</f>
        <v>0</v>
      </c>
      <c r="F3" s="105">
        <f>B1^2-2*B1+1</f>
        <v>1</v>
      </c>
    </row>
    <row r="4" spans="1:6" x14ac:dyDescent="0.25">
      <c r="B4" s="105">
        <v>0</v>
      </c>
      <c r="C4" s="105">
        <f t="dataTable" ref="C4:F9" dt2D="0" dtr="0" r1="B1"/>
        <v>-1</v>
      </c>
      <c r="D4" s="105">
        <v>2</v>
      </c>
      <c r="E4" s="105">
        <v>0</v>
      </c>
      <c r="F4" s="105">
        <v>1</v>
      </c>
    </row>
    <row r="5" spans="1:6" x14ac:dyDescent="0.25">
      <c r="B5" s="105">
        <v>1</v>
      </c>
      <c r="C5" s="105">
        <v>1</v>
      </c>
      <c r="D5" s="105">
        <v>-1</v>
      </c>
      <c r="E5" s="105">
        <v>1</v>
      </c>
      <c r="F5" s="105">
        <v>0</v>
      </c>
    </row>
    <row r="6" spans="1:6" x14ac:dyDescent="0.25">
      <c r="B6" s="105">
        <v>2</v>
      </c>
      <c r="C6" s="105">
        <v>3</v>
      </c>
      <c r="D6" s="105">
        <v>-4</v>
      </c>
      <c r="E6" s="105">
        <v>4</v>
      </c>
      <c r="F6" s="105">
        <v>1</v>
      </c>
    </row>
    <row r="7" spans="1:6" x14ac:dyDescent="0.25">
      <c r="B7" s="105">
        <v>3</v>
      </c>
      <c r="C7" s="105">
        <v>5</v>
      </c>
      <c r="D7" s="105">
        <v>-7</v>
      </c>
      <c r="E7" s="105">
        <v>9</v>
      </c>
      <c r="F7" s="105">
        <v>4</v>
      </c>
    </row>
    <row r="8" spans="1:6" x14ac:dyDescent="0.25">
      <c r="B8" s="105">
        <v>4</v>
      </c>
      <c r="C8" s="105">
        <v>7</v>
      </c>
      <c r="D8" s="105">
        <v>-10</v>
      </c>
      <c r="E8" s="105">
        <v>16</v>
      </c>
      <c r="F8" s="105">
        <v>9</v>
      </c>
    </row>
    <row r="9" spans="1:6" x14ac:dyDescent="0.25">
      <c r="B9" s="105">
        <v>5</v>
      </c>
      <c r="C9" s="105">
        <v>9</v>
      </c>
      <c r="D9" s="105">
        <v>-13</v>
      </c>
      <c r="E9" s="105">
        <v>25</v>
      </c>
      <c r="F9" s="105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5">
        <v>450</v>
      </c>
    </row>
    <row r="4" spans="1:7" x14ac:dyDescent="0.25">
      <c r="A4" t="s">
        <v>67</v>
      </c>
      <c r="B4" s="105">
        <v>175</v>
      </c>
    </row>
    <row r="5" spans="1:7" x14ac:dyDescent="0.25">
      <c r="A5" t="s">
        <v>68</v>
      </c>
      <c r="B5" s="105">
        <v>5</v>
      </c>
    </row>
    <row r="7" spans="1:7" x14ac:dyDescent="0.25">
      <c r="A7" s="129">
        <f>B5*(B3-B4)</f>
        <v>1375</v>
      </c>
      <c r="B7" s="105">
        <v>350</v>
      </c>
      <c r="C7" s="105">
        <v>400</v>
      </c>
      <c r="D7" s="105">
        <v>450</v>
      </c>
      <c r="E7" s="105">
        <v>500</v>
      </c>
      <c r="F7" s="105">
        <v>550</v>
      </c>
      <c r="G7" s="105">
        <v>600</v>
      </c>
    </row>
    <row r="8" spans="1:7" x14ac:dyDescent="0.25">
      <c r="A8" s="105">
        <v>5</v>
      </c>
      <c r="B8" s="105">
        <f t="dataTable" ref="B8:G17" dt2D="1" dtr="1" r1="B3" r2="B5"/>
        <v>875</v>
      </c>
      <c r="C8" s="105">
        <v>1125</v>
      </c>
      <c r="D8" s="105">
        <v>1375</v>
      </c>
      <c r="E8" s="105">
        <v>1625</v>
      </c>
      <c r="F8" s="105">
        <v>1875</v>
      </c>
      <c r="G8" s="105">
        <v>2125</v>
      </c>
    </row>
    <row r="9" spans="1:7" x14ac:dyDescent="0.25">
      <c r="A9" s="105">
        <v>10</v>
      </c>
      <c r="B9" s="105">
        <v>1750</v>
      </c>
      <c r="C9" s="105">
        <v>2250</v>
      </c>
      <c r="D9" s="105">
        <v>2750</v>
      </c>
      <c r="E9" s="105">
        <v>3250</v>
      </c>
      <c r="F9" s="105">
        <v>3750</v>
      </c>
      <c r="G9" s="105">
        <v>4250</v>
      </c>
    </row>
    <row r="10" spans="1:7" x14ac:dyDescent="0.25">
      <c r="A10" s="105">
        <v>15</v>
      </c>
      <c r="B10" s="105">
        <v>2625</v>
      </c>
      <c r="C10" s="105">
        <v>3375</v>
      </c>
      <c r="D10" s="105">
        <v>4125</v>
      </c>
      <c r="E10" s="105">
        <v>4875</v>
      </c>
      <c r="F10" s="105">
        <v>5625</v>
      </c>
      <c r="G10" s="105">
        <v>6375</v>
      </c>
    </row>
    <row r="11" spans="1:7" x14ac:dyDescent="0.25">
      <c r="A11" s="105">
        <v>20</v>
      </c>
      <c r="B11" s="105">
        <v>3500</v>
      </c>
      <c r="C11" s="105">
        <v>4500</v>
      </c>
      <c r="D11" s="105">
        <v>5500</v>
      </c>
      <c r="E11" s="105">
        <v>6500</v>
      </c>
      <c r="F11" s="105">
        <v>7500</v>
      </c>
      <c r="G11" s="105">
        <v>8500</v>
      </c>
    </row>
    <row r="12" spans="1:7" x14ac:dyDescent="0.25">
      <c r="A12" s="105">
        <v>25</v>
      </c>
      <c r="B12" s="105">
        <v>4375</v>
      </c>
      <c r="C12" s="105">
        <v>5625</v>
      </c>
      <c r="D12" s="105">
        <v>6875</v>
      </c>
      <c r="E12" s="105">
        <v>8125</v>
      </c>
      <c r="F12" s="105">
        <v>9375</v>
      </c>
      <c r="G12" s="105">
        <v>10625</v>
      </c>
    </row>
    <row r="13" spans="1:7" x14ac:dyDescent="0.25">
      <c r="A13" s="105">
        <v>30</v>
      </c>
      <c r="B13" s="105">
        <v>5250</v>
      </c>
      <c r="C13" s="105">
        <v>6750</v>
      </c>
      <c r="D13" s="105">
        <v>8250</v>
      </c>
      <c r="E13" s="105">
        <v>9750</v>
      </c>
      <c r="F13" s="105">
        <v>11250</v>
      </c>
      <c r="G13" s="105">
        <v>12750</v>
      </c>
    </row>
    <row r="14" spans="1:7" x14ac:dyDescent="0.25">
      <c r="A14" s="105">
        <v>35</v>
      </c>
      <c r="B14" s="105">
        <v>6125</v>
      </c>
      <c r="C14" s="105">
        <v>7875</v>
      </c>
      <c r="D14" s="105">
        <v>9625</v>
      </c>
      <c r="E14" s="105">
        <v>11375</v>
      </c>
      <c r="F14" s="105">
        <v>13125</v>
      </c>
      <c r="G14" s="105">
        <v>14875</v>
      </c>
    </row>
    <row r="15" spans="1:7" x14ac:dyDescent="0.25">
      <c r="A15" s="105">
        <v>40</v>
      </c>
      <c r="B15" s="105">
        <v>7000</v>
      </c>
      <c r="C15" s="105">
        <v>9000</v>
      </c>
      <c r="D15" s="105">
        <v>11000</v>
      </c>
      <c r="E15" s="105">
        <v>13000</v>
      </c>
      <c r="F15" s="105">
        <v>15000</v>
      </c>
      <c r="G15" s="105">
        <v>17000</v>
      </c>
    </row>
    <row r="16" spans="1:7" x14ac:dyDescent="0.25">
      <c r="A16" s="105">
        <v>45</v>
      </c>
      <c r="B16" s="105">
        <v>7875</v>
      </c>
      <c r="C16" s="105">
        <v>10125</v>
      </c>
      <c r="D16" s="105">
        <v>12375</v>
      </c>
      <c r="E16" s="105">
        <v>14625</v>
      </c>
      <c r="F16" s="105">
        <v>16875</v>
      </c>
      <c r="G16" s="105">
        <v>19125</v>
      </c>
    </row>
    <row r="17" spans="1:7" x14ac:dyDescent="0.25">
      <c r="A17" s="105">
        <v>50</v>
      </c>
      <c r="B17" s="105">
        <v>8750</v>
      </c>
      <c r="C17" s="105">
        <v>11250</v>
      </c>
      <c r="D17" s="105">
        <v>13750</v>
      </c>
      <c r="E17" s="105">
        <v>16250</v>
      </c>
      <c r="F17" s="105">
        <v>18750</v>
      </c>
      <c r="G17" s="105">
        <v>21250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68" bestFit="1" customWidth="1"/>
    <col min="2" max="2" width="7.85546875" style="168" bestFit="1" customWidth="1"/>
    <col min="3" max="9" width="7.5703125" style="168" customWidth="1"/>
    <col min="10" max="16384" width="9.140625" style="168"/>
  </cols>
  <sheetData>
    <row r="1" spans="1:9" x14ac:dyDescent="0.2">
      <c r="A1" s="166" t="s">
        <v>76</v>
      </c>
      <c r="B1" s="167">
        <v>200000</v>
      </c>
    </row>
    <row r="2" spans="1:9" x14ac:dyDescent="0.2">
      <c r="A2" s="166" t="s">
        <v>77</v>
      </c>
      <c r="B2" s="169">
        <v>2.2499999999999999E-2</v>
      </c>
    </row>
    <row r="4" spans="1:9" x14ac:dyDescent="0.2">
      <c r="A4" s="168" t="s">
        <v>78</v>
      </c>
      <c r="B4" s="170">
        <v>0.35</v>
      </c>
    </row>
    <row r="5" spans="1:9" x14ac:dyDescent="0.2">
      <c r="A5" s="168" t="s">
        <v>79</v>
      </c>
      <c r="B5" s="170">
        <v>0.55000000000000004</v>
      </c>
    </row>
    <row r="6" spans="1:9" x14ac:dyDescent="0.2">
      <c r="A6" s="168" t="s">
        <v>81</v>
      </c>
      <c r="B6" s="170">
        <v>44</v>
      </c>
    </row>
    <row r="7" spans="1:9" x14ac:dyDescent="0.2">
      <c r="B7" s="171"/>
    </row>
    <row r="8" spans="1:9" x14ac:dyDescent="0.2">
      <c r="A8" s="168" t="s">
        <v>80</v>
      </c>
      <c r="B8" s="172">
        <f>B2*B1</f>
        <v>4500</v>
      </c>
    </row>
    <row r="9" spans="1:9" x14ac:dyDescent="0.2">
      <c r="A9" s="168" t="s">
        <v>82</v>
      </c>
      <c r="B9" s="173">
        <f>B8*B6</f>
        <v>198000</v>
      </c>
    </row>
    <row r="10" spans="1:9" x14ac:dyDescent="0.2">
      <c r="A10" s="168" t="s">
        <v>83</v>
      </c>
      <c r="B10" s="173">
        <f>B1*(B4+B5)</f>
        <v>180000</v>
      </c>
    </row>
    <row r="11" spans="1:9" x14ac:dyDescent="0.2">
      <c r="A11" s="166" t="s">
        <v>84</v>
      </c>
      <c r="B11" s="174">
        <f>B9-B10</f>
        <v>18000</v>
      </c>
    </row>
    <row r="14" spans="1:9" ht="12.75" thickBot="1" x14ac:dyDescent="0.25">
      <c r="B14" s="175">
        <f>B11</f>
        <v>18000</v>
      </c>
      <c r="C14" s="176">
        <v>1.4999999999999999E-2</v>
      </c>
      <c r="D14" s="176">
        <v>1.7500000000000002E-2</v>
      </c>
      <c r="E14" s="176">
        <v>0.02</v>
      </c>
      <c r="F14" s="176">
        <v>2.2499999999999999E-2</v>
      </c>
      <c r="G14" s="176">
        <v>2.5000000000000001E-2</v>
      </c>
      <c r="H14" s="176">
        <v>2.75E-2</v>
      </c>
      <c r="I14" s="176">
        <v>0.03</v>
      </c>
    </row>
    <row r="15" spans="1:9" x14ac:dyDescent="0.2">
      <c r="B15" s="177">
        <v>100000</v>
      </c>
      <c r="C15" s="178">
        <f t="dataTable" ref="C15:I23" dt2D="1" dtr="1" r1="B2" r2="B1"/>
        <v>-24000</v>
      </c>
      <c r="D15" s="178">
        <v>-12999.999999999985</v>
      </c>
      <c r="E15" s="178">
        <v>-2000</v>
      </c>
      <c r="F15" s="178">
        <v>9000</v>
      </c>
      <c r="G15" s="178">
        <v>20000</v>
      </c>
      <c r="H15" s="178">
        <v>31000</v>
      </c>
      <c r="I15" s="178">
        <v>42000</v>
      </c>
    </row>
    <row r="16" spans="1:9" x14ac:dyDescent="0.2">
      <c r="B16" s="177">
        <v>125000</v>
      </c>
      <c r="C16" s="178">
        <v>-30000</v>
      </c>
      <c r="D16" s="178">
        <v>-16250</v>
      </c>
      <c r="E16" s="178">
        <v>-2500</v>
      </c>
      <c r="F16" s="178">
        <v>11250</v>
      </c>
      <c r="G16" s="178">
        <v>25000</v>
      </c>
      <c r="H16" s="178">
        <v>38750</v>
      </c>
      <c r="I16" s="178">
        <v>52500</v>
      </c>
    </row>
    <row r="17" spans="2:9" x14ac:dyDescent="0.2">
      <c r="B17" s="177">
        <v>150000</v>
      </c>
      <c r="C17" s="178">
        <v>-36000</v>
      </c>
      <c r="D17" s="178">
        <v>-19499.999999999985</v>
      </c>
      <c r="E17" s="178">
        <v>-3000</v>
      </c>
      <c r="F17" s="178">
        <v>13500</v>
      </c>
      <c r="G17" s="178">
        <v>30000</v>
      </c>
      <c r="H17" s="178">
        <v>46500</v>
      </c>
      <c r="I17" s="178">
        <v>63000</v>
      </c>
    </row>
    <row r="18" spans="2:9" x14ac:dyDescent="0.2">
      <c r="B18" s="177">
        <v>175000</v>
      </c>
      <c r="C18" s="178">
        <v>-42000</v>
      </c>
      <c r="D18" s="178">
        <v>-22749.999999999971</v>
      </c>
      <c r="E18" s="178">
        <v>-3500</v>
      </c>
      <c r="F18" s="178">
        <v>15750</v>
      </c>
      <c r="G18" s="178">
        <v>35000</v>
      </c>
      <c r="H18" s="178">
        <v>54250</v>
      </c>
      <c r="I18" s="178">
        <v>73500</v>
      </c>
    </row>
    <row r="19" spans="2:9" x14ac:dyDescent="0.2">
      <c r="B19" s="177">
        <v>200000</v>
      </c>
      <c r="C19" s="178">
        <v>-48000</v>
      </c>
      <c r="D19" s="178">
        <v>-25999.999999999971</v>
      </c>
      <c r="E19" s="178">
        <v>-4000</v>
      </c>
      <c r="F19" s="178">
        <v>18000</v>
      </c>
      <c r="G19" s="178">
        <v>40000</v>
      </c>
      <c r="H19" s="178">
        <v>62000</v>
      </c>
      <c r="I19" s="178">
        <v>84000</v>
      </c>
    </row>
    <row r="20" spans="2:9" x14ac:dyDescent="0.2">
      <c r="B20" s="177">
        <v>225000</v>
      </c>
      <c r="C20" s="178">
        <v>-54000</v>
      </c>
      <c r="D20" s="178">
        <v>-29249.999999999971</v>
      </c>
      <c r="E20" s="178">
        <v>-4500</v>
      </c>
      <c r="F20" s="178">
        <v>20250</v>
      </c>
      <c r="G20" s="178">
        <v>45000</v>
      </c>
      <c r="H20" s="178">
        <v>69750</v>
      </c>
      <c r="I20" s="178">
        <v>94500</v>
      </c>
    </row>
    <row r="21" spans="2:9" x14ac:dyDescent="0.2">
      <c r="B21" s="177">
        <v>250000</v>
      </c>
      <c r="C21" s="178">
        <v>-60000</v>
      </c>
      <c r="D21" s="178">
        <v>-32500</v>
      </c>
      <c r="E21" s="178">
        <v>-5000</v>
      </c>
      <c r="F21" s="178">
        <v>22500</v>
      </c>
      <c r="G21" s="178">
        <v>50000</v>
      </c>
      <c r="H21" s="178">
        <v>77500</v>
      </c>
      <c r="I21" s="178">
        <v>105000</v>
      </c>
    </row>
    <row r="22" spans="2:9" x14ac:dyDescent="0.2">
      <c r="B22" s="177">
        <v>275000</v>
      </c>
      <c r="C22" s="178">
        <v>-66000</v>
      </c>
      <c r="D22" s="178">
        <v>-35749.999999999971</v>
      </c>
      <c r="E22" s="178">
        <v>-5500</v>
      </c>
      <c r="F22" s="178">
        <v>24750</v>
      </c>
      <c r="G22" s="178">
        <v>55000</v>
      </c>
      <c r="H22" s="178">
        <v>85250</v>
      </c>
      <c r="I22" s="178">
        <v>115500</v>
      </c>
    </row>
    <row r="23" spans="2:9" x14ac:dyDescent="0.2">
      <c r="B23" s="177">
        <v>300000</v>
      </c>
      <c r="C23" s="178">
        <v>-72000</v>
      </c>
      <c r="D23" s="178">
        <v>-38999.999999999971</v>
      </c>
      <c r="E23" s="178">
        <v>-6000</v>
      </c>
      <c r="F23" s="178">
        <v>27000</v>
      </c>
      <c r="G23" s="178">
        <v>60000</v>
      </c>
      <c r="H23" s="178">
        <v>93000</v>
      </c>
      <c r="I23" s="178">
        <v>126000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0">
        <v>2010</v>
      </c>
      <c r="C5" s="82">
        <f>inleg</f>
        <v>1000</v>
      </c>
    </row>
    <row r="6" spans="1:3" x14ac:dyDescent="0.15">
      <c r="A6" s="130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0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0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0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0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0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0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0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0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0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1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1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1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1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1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1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1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1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1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1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1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1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1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1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1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1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1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1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1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1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1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1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1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1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1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1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1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1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1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1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1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1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1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1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1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1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1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1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1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1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1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1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1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1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1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1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1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1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1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1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1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1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1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1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1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1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1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1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1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1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1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1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1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1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1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1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1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1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1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1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1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1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1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1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1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1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1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1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1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1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1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1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1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1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1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1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1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1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1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1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1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1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1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1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1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1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1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1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1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1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1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1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1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1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1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1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1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1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1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1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1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1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1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1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1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1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1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1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1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1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1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1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1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1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1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1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1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1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1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1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1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1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1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1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1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1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1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1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1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1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1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1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1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1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1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1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1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1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1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1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1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1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1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1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1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1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1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1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1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1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1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1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1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1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1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1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1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1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1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1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1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1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1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1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1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1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1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1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1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1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1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1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1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1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1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1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1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1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1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1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1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1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1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1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1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1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1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1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1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1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1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1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1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1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1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1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1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1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1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1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1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1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1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1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1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1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1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1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1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1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1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1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1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1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1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1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1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1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1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1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1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1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1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1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1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1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1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1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1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1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1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1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1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1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1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1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1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1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1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1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1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1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1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1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1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1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1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1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1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1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1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1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1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1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1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1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1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1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1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1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1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1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1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1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1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1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1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1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1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1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1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1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1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1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1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1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1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1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1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1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1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1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1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1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1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1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1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1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1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1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1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1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1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1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1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1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1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1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1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1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1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1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1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1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1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1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1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1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1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1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1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1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1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1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1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1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1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1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1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1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1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1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1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1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1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1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1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1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1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1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1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1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1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1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1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1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1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1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1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1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1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1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1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1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1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1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1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1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1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1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1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1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1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1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1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1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1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1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1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1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1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1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1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1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1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1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1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1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1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1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1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1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1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1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1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1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1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1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1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1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1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1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1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1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1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1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1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1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1">
        <v>2010369</v>
      </c>
      <c r="E400" s="34">
        <v>40516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0">
        <f>YEAR(B2)</f>
        <v>2011</v>
      </c>
      <c r="D2" s="120">
        <f>MONTH(B2)</f>
        <v>2</v>
      </c>
      <c r="E2" s="120">
        <f>DAY(B2)</f>
        <v>1</v>
      </c>
    </row>
    <row r="3" spans="1:5" x14ac:dyDescent="0.25">
      <c r="A3" t="s">
        <v>180</v>
      </c>
      <c r="B3" s="36">
        <v>40602</v>
      </c>
      <c r="C3" s="120">
        <f>YEAR(B3)</f>
        <v>2011</v>
      </c>
      <c r="D3" s="120">
        <f>MONTH(B3)</f>
        <v>2</v>
      </c>
      <c r="E3" s="120">
        <f>DAY(B3)</f>
        <v>28</v>
      </c>
    </row>
    <row r="4" spans="1:5" x14ac:dyDescent="0.25">
      <c r="A4" t="s">
        <v>181</v>
      </c>
      <c r="B4" s="120">
        <f>B3-B2</f>
        <v>27</v>
      </c>
    </row>
    <row r="5" spans="1:5" x14ac:dyDescent="0.25">
      <c r="A5" t="s">
        <v>182</v>
      </c>
      <c r="B5" s="120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0">
        <f>HOUR(B8)</f>
        <v>9</v>
      </c>
      <c r="D8" s="120">
        <f>MINUTE(B8)</f>
        <v>10</v>
      </c>
      <c r="E8" s="120">
        <f>SECOND(B8)</f>
        <v>20</v>
      </c>
    </row>
    <row r="9" spans="1:5" x14ac:dyDescent="0.25">
      <c r="A9" t="s">
        <v>177</v>
      </c>
      <c r="B9" s="52">
        <v>0.63923611111111112</v>
      </c>
      <c r="C9" s="120">
        <f>HOUR(B9)</f>
        <v>15</v>
      </c>
      <c r="D9" s="120">
        <f>MINUTE(B9)</f>
        <v>20</v>
      </c>
      <c r="E9" s="120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5">
        <v>4</v>
      </c>
      <c r="B2" t="str">
        <f>IF(A2&lt;5.5,"onvoldoende","voldoende")</f>
        <v>onvoldoende</v>
      </c>
    </row>
    <row r="3" spans="1:2" ht="15" x14ac:dyDescent="0.25">
      <c r="A3" s="105">
        <v>6</v>
      </c>
      <c r="B3" t="str">
        <f t="shared" ref="B3:B6" si="0">IF(A3&lt;5.5,"onvoldoende","voldoende")</f>
        <v>voldoende</v>
      </c>
    </row>
    <row r="4" spans="1:2" ht="15" x14ac:dyDescent="0.25">
      <c r="A4" s="105">
        <v>5.5</v>
      </c>
      <c r="B4" t="str">
        <f t="shared" si="0"/>
        <v>voldoende</v>
      </c>
    </row>
    <row r="5" spans="1:2" ht="15" x14ac:dyDescent="0.25">
      <c r="A5" s="105">
        <v>7</v>
      </c>
      <c r="B5" t="str">
        <f t="shared" si="0"/>
        <v>voldoende</v>
      </c>
    </row>
    <row r="6" spans="1:2" ht="15" x14ac:dyDescent="0.25">
      <c r="A6" s="105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5">
        <v>1.1100000000000001</v>
      </c>
    </row>
    <row r="2" spans="1:1" x14ac:dyDescent="0.25">
      <c r="A2" s="105">
        <v>2.2200000000000002</v>
      </c>
    </row>
    <row r="3" spans="1:1" x14ac:dyDescent="0.25">
      <c r="A3" s="105">
        <v>3.33</v>
      </c>
    </row>
    <row r="4" spans="1:1" x14ac:dyDescent="0.25">
      <c r="A4" s="105">
        <v>4.4400000000000004</v>
      </c>
    </row>
    <row r="5" spans="1:1" x14ac:dyDescent="0.25">
      <c r="A5" s="105">
        <v>5.55</v>
      </c>
    </row>
    <row r="6" spans="1:1" x14ac:dyDescent="0.25">
      <c r="A6" s="105">
        <f>ROUNDDOWN(SUM(A1:A5),0)</f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19">
        <v>38</v>
      </c>
    </row>
    <row r="2" spans="1:2" x14ac:dyDescent="0.2">
      <c r="B2" s="119">
        <v>10</v>
      </c>
    </row>
    <row r="3" spans="1:2" x14ac:dyDescent="0.2">
      <c r="B3" s="119">
        <v>60</v>
      </c>
    </row>
    <row r="4" spans="1:2" x14ac:dyDescent="0.2">
      <c r="B4" s="119">
        <v>90</v>
      </c>
    </row>
    <row r="5" spans="1:2" x14ac:dyDescent="0.2">
      <c r="B5" s="119">
        <v>88</v>
      </c>
    </row>
    <row r="6" spans="1:2" x14ac:dyDescent="0.2">
      <c r="B6" s="119">
        <v>96</v>
      </c>
    </row>
    <row r="7" spans="1:2" x14ac:dyDescent="0.2">
      <c r="B7" s="119">
        <v>2</v>
      </c>
    </row>
    <row r="8" spans="1:2" x14ac:dyDescent="0.2">
      <c r="B8" s="119">
        <v>41</v>
      </c>
    </row>
    <row r="9" spans="1:2" x14ac:dyDescent="0.2">
      <c r="A9" s="51" t="s">
        <v>172</v>
      </c>
      <c r="B9" s="118">
        <f>AVERAGE(B1:B8)</f>
        <v>53.125</v>
      </c>
    </row>
    <row r="10" spans="1:2" x14ac:dyDescent="0.2">
      <c r="A10" s="51" t="s">
        <v>173</v>
      </c>
      <c r="B10" s="119">
        <f>COUNT(B1:B8)</f>
        <v>8</v>
      </c>
    </row>
    <row r="11" spans="1:2" x14ac:dyDescent="0.2">
      <c r="A11" s="51" t="s">
        <v>174</v>
      </c>
      <c r="B11" s="119">
        <f>MIN(B1:B8)</f>
        <v>2</v>
      </c>
    </row>
    <row r="12" spans="1:2" x14ac:dyDescent="0.2">
      <c r="A12" s="51" t="s">
        <v>175</v>
      </c>
      <c r="B12" s="119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1">
        <f>LEN(A2)</f>
        <v>10</v>
      </c>
      <c r="C2" s="121">
        <f>SEARCH(" ",A2,1)</f>
        <v>6</v>
      </c>
      <c r="D2" s="122" t="str">
        <f>LEFT(A2,C2-1)</f>
        <v>roger</v>
      </c>
      <c r="E2" s="122" t="str">
        <f>RIGHT(A2,B2-C2)</f>
        <v>rood</v>
      </c>
    </row>
    <row r="3" spans="1:5" x14ac:dyDescent="0.2">
      <c r="A3" s="50" t="s">
        <v>199</v>
      </c>
      <c r="B3" s="121">
        <f>LEN(A3)</f>
        <v>12</v>
      </c>
      <c r="C3" s="121">
        <f>SEARCH(" ",A3,1)</f>
        <v>7</v>
      </c>
      <c r="D3" s="122" t="str">
        <f>LEFT(A3,C3-1)</f>
        <v>gerrit</v>
      </c>
      <c r="E3" s="122" t="str">
        <f>RIGHT(A3,B3-C3)</f>
        <v>groen</v>
      </c>
    </row>
    <row r="4" spans="1:5" x14ac:dyDescent="0.2">
      <c r="A4" s="50" t="s">
        <v>200</v>
      </c>
      <c r="B4" s="121">
        <f>LEN(A4)</f>
        <v>14</v>
      </c>
      <c r="C4" s="121">
        <f>SEARCH(" ",A4,1)</f>
        <v>6</v>
      </c>
      <c r="D4" s="122" t="str">
        <f>LEFT(A4,C4-1)</f>
        <v>trudy</v>
      </c>
      <c r="E4" s="122" t="str">
        <f>RIGHT(A4,B4-C4)</f>
        <v>turkoois</v>
      </c>
    </row>
    <row r="5" spans="1:5" x14ac:dyDescent="0.2">
      <c r="A5" s="50" t="s">
        <v>201</v>
      </c>
      <c r="B5" s="121">
        <f>LEN(A5)</f>
        <v>12</v>
      </c>
      <c r="C5" s="121">
        <f>SEARCH(" ",A5,1)</f>
        <v>5</v>
      </c>
      <c r="D5" s="122" t="str">
        <f>LEFT(A5,C5-1)</f>
        <v>mari</v>
      </c>
      <c r="E5" s="122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2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3">
        <v>208</v>
      </c>
    </row>
    <row r="4" spans="2:5" x14ac:dyDescent="0.25">
      <c r="C4" t="s">
        <v>40</v>
      </c>
      <c r="D4" s="129">
        <f>VLOOKUP(Zoeknr,Zoeklijst,1,FALSE)</f>
        <v>208</v>
      </c>
    </row>
    <row r="5" spans="2:5" x14ac:dyDescent="0.25">
      <c r="C5" t="s">
        <v>55</v>
      </c>
      <c r="D5" s="129">
        <f>VLOOKUP(Zoeknr,Zoeklijst,2,FALSE)</f>
        <v>250</v>
      </c>
    </row>
    <row r="6" spans="2:5" x14ac:dyDescent="0.25">
      <c r="C6" t="s">
        <v>41</v>
      </c>
      <c r="D6" s="132" t="str">
        <f>VLOOKUP(Zoeknr,Zoeklijst,3,FALSE)</f>
        <v>Hitachi Travelstar 7K500</v>
      </c>
    </row>
    <row r="7" spans="2:5" x14ac:dyDescent="0.25">
      <c r="C7" t="s">
        <v>42</v>
      </c>
      <c r="D7" s="144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2">
        <v>121</v>
      </c>
      <c r="C11" s="132">
        <v>120</v>
      </c>
      <c r="D11" t="s">
        <v>45</v>
      </c>
      <c r="E11" s="24">
        <v>46</v>
      </c>
    </row>
    <row r="12" spans="2:5" x14ac:dyDescent="0.25">
      <c r="B12" s="132">
        <v>143</v>
      </c>
      <c r="C12" s="132">
        <v>120</v>
      </c>
      <c r="D12" t="s">
        <v>43</v>
      </c>
      <c r="E12" s="24">
        <v>56.36</v>
      </c>
    </row>
    <row r="13" spans="2:5" x14ac:dyDescent="0.25">
      <c r="B13" s="132">
        <v>164</v>
      </c>
      <c r="C13" s="132">
        <v>147</v>
      </c>
      <c r="D13" t="s">
        <v>46</v>
      </c>
      <c r="E13" s="24">
        <v>216</v>
      </c>
    </row>
    <row r="14" spans="2:5" x14ac:dyDescent="0.25">
      <c r="B14" s="132">
        <v>191</v>
      </c>
      <c r="C14" s="132">
        <v>160</v>
      </c>
      <c r="D14" t="s">
        <v>44</v>
      </c>
      <c r="E14" s="24">
        <v>104.85</v>
      </c>
    </row>
    <row r="15" spans="2:5" x14ac:dyDescent="0.25">
      <c r="B15" s="132">
        <v>208</v>
      </c>
      <c r="C15" s="132">
        <v>250</v>
      </c>
      <c r="D15" t="s">
        <v>47</v>
      </c>
      <c r="E15" s="24">
        <v>47.49</v>
      </c>
    </row>
    <row r="16" spans="2:5" x14ac:dyDescent="0.25">
      <c r="B16" s="132">
        <v>220</v>
      </c>
      <c r="C16" s="132">
        <v>250</v>
      </c>
      <c r="D16" t="s">
        <v>49</v>
      </c>
      <c r="E16" s="24">
        <v>35.130000000000003</v>
      </c>
    </row>
    <row r="17" spans="2:5" x14ac:dyDescent="0.25">
      <c r="B17" s="132">
        <v>232</v>
      </c>
      <c r="C17" s="132">
        <v>250</v>
      </c>
      <c r="D17" t="s">
        <v>48</v>
      </c>
      <c r="E17" s="24">
        <v>59.18</v>
      </c>
    </row>
    <row r="18" spans="2:5" x14ac:dyDescent="0.25">
      <c r="B18" s="132">
        <v>343</v>
      </c>
      <c r="C18" s="132">
        <v>300</v>
      </c>
      <c r="D18" t="s">
        <v>50</v>
      </c>
      <c r="E18" s="24">
        <v>133.97999999999999</v>
      </c>
    </row>
    <row r="19" spans="2:5" x14ac:dyDescent="0.25">
      <c r="B19" s="132">
        <v>405</v>
      </c>
      <c r="C19" s="132">
        <v>400</v>
      </c>
      <c r="D19" t="s">
        <v>53</v>
      </c>
      <c r="E19" s="24">
        <v>459.35</v>
      </c>
    </row>
    <row r="20" spans="2:5" x14ac:dyDescent="0.25">
      <c r="B20" s="132">
        <v>417</v>
      </c>
      <c r="C20" s="132">
        <v>450</v>
      </c>
      <c r="D20" t="s">
        <v>51</v>
      </c>
      <c r="E20" s="24">
        <v>226.83</v>
      </c>
    </row>
    <row r="21" spans="2:5" x14ac:dyDescent="0.25">
      <c r="B21" s="132">
        <v>423</v>
      </c>
      <c r="C21" s="132">
        <v>450</v>
      </c>
      <c r="D21" t="s">
        <v>54</v>
      </c>
      <c r="E21" s="24">
        <v>379</v>
      </c>
    </row>
    <row r="22" spans="2:5" x14ac:dyDescent="0.25">
      <c r="B22" s="132">
        <v>436</v>
      </c>
      <c r="C22" s="132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5">
        <f>HLOOKUP($C$2,$C$8:$E$11,2,FALSE)</f>
        <v>42</v>
      </c>
    </row>
    <row r="5" spans="2:5" x14ac:dyDescent="0.25">
      <c r="B5" t="s">
        <v>59</v>
      </c>
      <c r="C5" s="105">
        <f>HLOOKUP($C$2,$C$8:$E$11,3,FALSE)</f>
        <v>182</v>
      </c>
    </row>
    <row r="6" spans="2:5" x14ac:dyDescent="0.25">
      <c r="B6" t="s">
        <v>60</v>
      </c>
      <c r="C6" s="105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5">
        <v>35</v>
      </c>
      <c r="D9" s="105">
        <v>42</v>
      </c>
      <c r="E9" s="105">
        <v>56</v>
      </c>
    </row>
    <row r="10" spans="2:5" x14ac:dyDescent="0.25">
      <c r="B10" t="s">
        <v>59</v>
      </c>
      <c r="C10" s="105">
        <v>178</v>
      </c>
      <c r="D10" s="105">
        <v>182</v>
      </c>
      <c r="E10" s="105">
        <v>174</v>
      </c>
    </row>
    <row r="11" spans="2:5" x14ac:dyDescent="0.25">
      <c r="B11" t="s">
        <v>60</v>
      </c>
      <c r="C11" s="105">
        <v>43</v>
      </c>
      <c r="D11" s="105">
        <v>44</v>
      </c>
      <c r="E11" s="105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5" customWidth="1"/>
    <col min="2" max="5" width="8.7109375" style="85" customWidth="1"/>
    <col min="6" max="16384" width="9.140625" style="85"/>
  </cols>
  <sheetData>
    <row r="1" spans="1:5" x14ac:dyDescent="0.2">
      <c r="B1" s="88" t="s">
        <v>273</v>
      </c>
      <c r="C1" s="88" t="s">
        <v>274</v>
      </c>
      <c r="D1" s="88" t="s">
        <v>275</v>
      </c>
      <c r="E1" s="88" t="s">
        <v>276</v>
      </c>
    </row>
    <row r="2" spans="1:5" x14ac:dyDescent="0.2">
      <c r="A2" s="85" t="s">
        <v>132</v>
      </c>
      <c r="B2" s="134">
        <v>152</v>
      </c>
      <c r="C2" s="134">
        <v>36</v>
      </c>
      <c r="D2" s="134">
        <v>123</v>
      </c>
      <c r="E2" s="134">
        <v>67</v>
      </c>
    </row>
    <row r="3" spans="1:5" x14ac:dyDescent="0.2">
      <c r="A3" s="85" t="s">
        <v>133</v>
      </c>
      <c r="B3" s="134">
        <v>160</v>
      </c>
      <c r="C3" s="134">
        <v>46</v>
      </c>
      <c r="D3" s="134">
        <v>133</v>
      </c>
      <c r="E3" s="134">
        <v>75</v>
      </c>
    </row>
    <row r="4" spans="1:5" x14ac:dyDescent="0.2">
      <c r="A4" s="85" t="s">
        <v>134</v>
      </c>
      <c r="B4" s="134">
        <v>148</v>
      </c>
      <c r="C4" s="134">
        <v>46</v>
      </c>
      <c r="D4" s="134">
        <v>137</v>
      </c>
      <c r="E4" s="134">
        <v>78</v>
      </c>
    </row>
    <row r="5" spans="1:5" x14ac:dyDescent="0.2">
      <c r="A5" s="85" t="s">
        <v>135</v>
      </c>
      <c r="B5" s="134">
        <v>155</v>
      </c>
      <c r="C5" s="134">
        <v>42</v>
      </c>
      <c r="D5" s="134">
        <v>124</v>
      </c>
      <c r="E5" s="134">
        <v>83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195" customWidth="1"/>
    <col min="2" max="3" width="12.7109375" style="195" customWidth="1"/>
    <col min="4" max="4" width="6.7109375" style="195" customWidth="1"/>
    <col min="5" max="5" width="9.28515625" style="195" customWidth="1"/>
    <col min="6" max="6" width="10.140625" style="195" customWidth="1"/>
    <col min="7" max="7" width="7.5703125" style="195" customWidth="1"/>
    <col min="8" max="8" width="10.140625" style="195" customWidth="1"/>
    <col min="9" max="9" width="13.42578125" style="195" bestFit="1" customWidth="1"/>
    <col min="10" max="16384" width="9.140625" style="195"/>
  </cols>
  <sheetData>
    <row r="1" spans="1:8" x14ac:dyDescent="0.15">
      <c r="A1" s="194" t="s">
        <v>250</v>
      </c>
      <c r="B1" s="194" t="s">
        <v>251</v>
      </c>
      <c r="C1" s="194" t="s">
        <v>252</v>
      </c>
      <c r="D1" s="194" t="s">
        <v>173</v>
      </c>
      <c r="E1" s="194" t="s">
        <v>253</v>
      </c>
      <c r="F1" s="194" t="s">
        <v>254</v>
      </c>
      <c r="G1" s="194" t="s">
        <v>143</v>
      </c>
      <c r="H1" s="194" t="s">
        <v>255</v>
      </c>
    </row>
    <row r="2" spans="1:8" ht="15" x14ac:dyDescent="0.25">
      <c r="A2" s="196">
        <v>40588</v>
      </c>
      <c r="B2" s="195" t="s">
        <v>256</v>
      </c>
      <c r="C2" s="195" t="s">
        <v>257</v>
      </c>
      <c r="D2" s="197">
        <v>2</v>
      </c>
      <c r="E2" s="198">
        <v>44.5</v>
      </c>
      <c r="F2" s="199">
        <f>D2*E2</f>
        <v>89</v>
      </c>
      <c r="G2" s="199">
        <f>21%*F2</f>
        <v>18.689999999999998</v>
      </c>
      <c r="H2" s="199">
        <f>F2+G2</f>
        <v>107.69</v>
      </c>
    </row>
    <row r="3" spans="1:8" ht="15" x14ac:dyDescent="0.25">
      <c r="A3" s="196">
        <v>40589</v>
      </c>
      <c r="B3" s="195" t="s">
        <v>258</v>
      </c>
      <c r="C3" s="195" t="s">
        <v>259</v>
      </c>
      <c r="D3" s="197">
        <v>3</v>
      </c>
      <c r="E3" s="198">
        <v>82.7</v>
      </c>
      <c r="F3" s="199">
        <f>D3*E3</f>
        <v>248.10000000000002</v>
      </c>
      <c r="G3" s="199">
        <f t="shared" ref="G3:G4" si="0">21%*F3</f>
        <v>52.101000000000006</v>
      </c>
      <c r="H3" s="199">
        <f>F3+G3</f>
        <v>300.20100000000002</v>
      </c>
    </row>
    <row r="4" spans="1:8" ht="15" x14ac:dyDescent="0.25">
      <c r="A4" s="196">
        <v>40589</v>
      </c>
      <c r="B4" s="195" t="s">
        <v>260</v>
      </c>
      <c r="C4" s="195" t="s">
        <v>261</v>
      </c>
      <c r="D4" s="197">
        <v>2</v>
      </c>
      <c r="E4" s="198">
        <v>98.4</v>
      </c>
      <c r="F4" s="199">
        <f>D4*E4</f>
        <v>196.8</v>
      </c>
      <c r="G4" s="199">
        <f t="shared" si="0"/>
        <v>41.328000000000003</v>
      </c>
      <c r="H4" s="199">
        <f>F4+G4</f>
        <v>238.12800000000001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AD4"/>
  <sheetViews>
    <sheetView showGridLines="0" workbookViewId="0">
      <selection activeCell="O12" sqref="O12"/>
    </sheetView>
  </sheetViews>
  <sheetFormatPr defaultRowHeight="15" x14ac:dyDescent="0.25"/>
  <cols>
    <col min="1" max="31" width="4.7109375" style="105" customWidth="1"/>
    <col min="32" max="16384" width="9.140625" style="105"/>
  </cols>
  <sheetData>
    <row r="1" spans="2:30" ht="15.75" thickBot="1" x14ac:dyDescent="0.3"/>
    <row r="2" spans="2:30" ht="15.75" thickBot="1" x14ac:dyDescent="0.3">
      <c r="B2" s="136" cm="1">
        <f t="array" ref="B2:F2">{1,2,3,4,5}</f>
        <v>1</v>
      </c>
      <c r="C2" s="136">
        <v>2</v>
      </c>
      <c r="D2" s="136">
        <v>3</v>
      </c>
      <c r="E2" s="136">
        <v>4</v>
      </c>
      <c r="F2" s="136">
        <v>5</v>
      </c>
      <c r="H2" s="136" cm="1">
        <f t="array" ref="H2:H4">{1;3;6}</f>
        <v>1</v>
      </c>
      <c r="J2" s="136" cm="1">
        <f t="array" ref="J2:N4">{1,2,3,4,5;3,5,7,9,11;6,9,12,15,18}</f>
        <v>1</v>
      </c>
      <c r="K2" s="136">
        <v>2</v>
      </c>
      <c r="L2" s="136">
        <v>3</v>
      </c>
      <c r="M2" s="136">
        <v>4</v>
      </c>
      <c r="N2" s="136">
        <v>5</v>
      </c>
      <c r="R2" s="220" cm="1">
        <f t="array" ref="R2:V2">{1,2,3,4,5}</f>
        <v>1</v>
      </c>
      <c r="S2" s="221">
        <v>2</v>
      </c>
      <c r="T2" s="221">
        <v>3</v>
      </c>
      <c r="U2" s="221">
        <v>4</v>
      </c>
      <c r="V2" s="222">
        <v>5</v>
      </c>
      <c r="X2" s="217" cm="1">
        <f t="array" ref="X2:X4">{1;3;6}</f>
        <v>1</v>
      </c>
      <c r="Z2" s="223" cm="1">
        <f t="array" ref="Z2:AD4">{1,2,3,4,5;3,5,7,9,11;6,9,12,15,18}</f>
        <v>1</v>
      </c>
      <c r="AA2" s="224">
        <v>2</v>
      </c>
      <c r="AB2" s="224">
        <v>3</v>
      </c>
      <c r="AC2" s="224">
        <v>4</v>
      </c>
      <c r="AD2" s="225">
        <v>5</v>
      </c>
    </row>
    <row r="3" spans="2:30" x14ac:dyDescent="0.25">
      <c r="H3" s="136">
        <v>3</v>
      </c>
      <c r="J3" s="136">
        <v>3</v>
      </c>
      <c r="K3" s="136">
        <v>5</v>
      </c>
      <c r="L3" s="136">
        <v>7</v>
      </c>
      <c r="M3" s="136">
        <v>9</v>
      </c>
      <c r="N3" s="136">
        <v>11</v>
      </c>
      <c r="X3" s="218">
        <v>3</v>
      </c>
      <c r="Z3" s="226">
        <v>3</v>
      </c>
      <c r="AA3" s="136">
        <v>5</v>
      </c>
      <c r="AB3" s="136">
        <v>7</v>
      </c>
      <c r="AC3" s="136">
        <v>9</v>
      </c>
      <c r="AD3" s="227">
        <v>11</v>
      </c>
    </row>
    <row r="4" spans="2:30" ht="15.75" thickBot="1" x14ac:dyDescent="0.3">
      <c r="H4" s="136">
        <v>6</v>
      </c>
      <c r="J4" s="136">
        <v>6</v>
      </c>
      <c r="K4" s="136">
        <v>9</v>
      </c>
      <c r="L4" s="136">
        <v>12</v>
      </c>
      <c r="M4" s="136">
        <v>15</v>
      </c>
      <c r="N4" s="136">
        <v>18</v>
      </c>
      <c r="X4" s="219">
        <v>6</v>
      </c>
      <c r="Z4" s="228">
        <v>6</v>
      </c>
      <c r="AA4" s="229">
        <v>9</v>
      </c>
      <c r="AB4" s="229">
        <v>12</v>
      </c>
      <c r="AC4" s="229">
        <v>15</v>
      </c>
      <c r="AD4" s="230">
        <v>18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A3" sqref="A3"/>
    </sheetView>
  </sheetViews>
  <sheetFormatPr defaultRowHeight="10.5" x14ac:dyDescent="0.15"/>
  <cols>
    <col min="1" max="2" width="6.7109375" style="109" customWidth="1"/>
    <col min="3" max="3" width="4.140625" style="109" customWidth="1"/>
    <col min="4" max="5" width="6.7109375" style="109" customWidth="1"/>
    <col min="6" max="16384" width="9.140625" style="109"/>
  </cols>
  <sheetData>
    <row r="1" spans="1:5" x14ac:dyDescent="0.15">
      <c r="A1" s="130" t="s">
        <v>280</v>
      </c>
      <c r="B1" s="130" t="s">
        <v>281</v>
      </c>
      <c r="C1" s="130"/>
      <c r="D1" s="130" t="s">
        <v>282</v>
      </c>
      <c r="E1" s="130" t="s">
        <v>283</v>
      </c>
    </row>
    <row r="2" spans="1:5" x14ac:dyDescent="0.15">
      <c r="A2" s="130">
        <v>5</v>
      </c>
      <c r="B2" s="130">
        <v>7</v>
      </c>
      <c r="C2" s="130"/>
      <c r="D2" s="130" cm="1">
        <f t="array" ref="D2:D4">A2:A4+B2:B4</f>
        <v>12</v>
      </c>
      <c r="E2" s="130" cm="1">
        <f t="array" ref="E2:E4">A2:A4*B2:B4</f>
        <v>35</v>
      </c>
    </row>
    <row r="3" spans="1:5" x14ac:dyDescent="0.15">
      <c r="A3" s="130">
        <v>8</v>
      </c>
      <c r="B3" s="130">
        <v>6</v>
      </c>
      <c r="C3" s="130"/>
      <c r="D3" s="130">
        <v>14</v>
      </c>
      <c r="E3" s="130">
        <v>48</v>
      </c>
    </row>
    <row r="4" spans="1:5" x14ac:dyDescent="0.15">
      <c r="A4" s="130">
        <v>9</v>
      </c>
      <c r="B4" s="130">
        <v>2</v>
      </c>
      <c r="C4" s="130"/>
      <c r="D4" s="130">
        <v>11</v>
      </c>
      <c r="E4" s="130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1CC9-D376-4CD2-BCA4-9CE6C3D59C43}">
  <dimension ref="A1:C3"/>
  <sheetViews>
    <sheetView workbookViewId="0"/>
  </sheetViews>
  <sheetFormatPr defaultRowHeight="15" x14ac:dyDescent="0.25"/>
  <cols>
    <col min="1" max="16384" width="9.140625" style="234"/>
  </cols>
  <sheetData>
    <row r="1" spans="1:3" x14ac:dyDescent="0.25">
      <c r="A1" s="234" cm="1">
        <f t="array" ref="A1:C3">_xlfn.MUNIT(3)</f>
        <v>1</v>
      </c>
      <c r="B1" s="234">
        <v>0</v>
      </c>
      <c r="C1" s="234">
        <v>0</v>
      </c>
    </row>
    <row r="2" spans="1:3" x14ac:dyDescent="0.25">
      <c r="A2" s="234">
        <v>0</v>
      </c>
      <c r="B2" s="234">
        <v>1</v>
      </c>
      <c r="C2" s="234">
        <v>0</v>
      </c>
    </row>
    <row r="3" spans="1:3" x14ac:dyDescent="0.25">
      <c r="A3" s="234">
        <v>0</v>
      </c>
      <c r="B3" s="234">
        <v>0</v>
      </c>
      <c r="C3" s="23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6CEF-3319-486F-9E9A-23FAA7251A54}">
  <dimension ref="A1:E11"/>
  <sheetViews>
    <sheetView workbookViewId="0">
      <selection activeCell="E17" sqref="E17"/>
    </sheetView>
  </sheetViews>
  <sheetFormatPr defaultRowHeight="15" x14ac:dyDescent="0.25"/>
  <cols>
    <col min="1" max="1" width="5.7109375" style="234" bestFit="1" customWidth="1"/>
    <col min="2" max="2" width="7.85546875" style="234" bestFit="1" customWidth="1"/>
    <col min="3" max="3" width="10.5703125" style="234" bestFit="1" customWidth="1"/>
    <col min="4" max="4" width="2.7109375" style="234" customWidth="1"/>
    <col min="5" max="5" width="28.28515625" style="234" bestFit="1" customWidth="1"/>
    <col min="6" max="16384" width="9.140625" style="234"/>
  </cols>
  <sheetData>
    <row r="1" spans="1:5" x14ac:dyDescent="0.25">
      <c r="A1" s="234" t="s">
        <v>445</v>
      </c>
      <c r="B1" s="234" t="s">
        <v>486</v>
      </c>
      <c r="C1" s="234" t="s">
        <v>487</v>
      </c>
    </row>
    <row r="2" spans="1:5" x14ac:dyDescent="0.25">
      <c r="A2" s="234">
        <v>83</v>
      </c>
      <c r="B2" s="234">
        <v>70</v>
      </c>
      <c r="C2" s="234" cm="1">
        <f t="array" ref="C2:C6">FREQUENCY(A2:A11,B2:B5)</f>
        <v>4</v>
      </c>
      <c r="E2" s="235" t="s">
        <v>488</v>
      </c>
    </row>
    <row r="3" spans="1:5" x14ac:dyDescent="0.25">
      <c r="A3" s="234">
        <v>71</v>
      </c>
      <c r="B3" s="234">
        <v>80</v>
      </c>
      <c r="C3" s="234">
        <v>3</v>
      </c>
      <c r="E3" s="235" t="s">
        <v>489</v>
      </c>
    </row>
    <row r="4" spans="1:5" x14ac:dyDescent="0.25">
      <c r="A4" s="234">
        <v>80</v>
      </c>
      <c r="B4" s="234">
        <v>90</v>
      </c>
      <c r="C4" s="234">
        <v>2</v>
      </c>
      <c r="E4" s="235" t="s">
        <v>490</v>
      </c>
    </row>
    <row r="5" spans="1:5" x14ac:dyDescent="0.25">
      <c r="A5" s="234">
        <v>61</v>
      </c>
      <c r="B5" s="234">
        <v>100</v>
      </c>
      <c r="C5" s="234">
        <v>1</v>
      </c>
      <c r="E5" s="235" t="s">
        <v>491</v>
      </c>
    </row>
    <row r="6" spans="1:5" x14ac:dyDescent="0.25">
      <c r="A6" s="234">
        <v>72</v>
      </c>
      <c r="C6" s="234">
        <v>0</v>
      </c>
      <c r="E6" s="235" t="s">
        <v>492</v>
      </c>
    </row>
    <row r="7" spans="1:5" x14ac:dyDescent="0.25">
      <c r="A7" s="234">
        <v>64</v>
      </c>
    </row>
    <row r="8" spans="1:5" x14ac:dyDescent="0.25">
      <c r="A8" s="234">
        <v>61</v>
      </c>
    </row>
    <row r="9" spans="1:5" x14ac:dyDescent="0.25">
      <c r="A9" s="234">
        <v>91</v>
      </c>
    </row>
    <row r="10" spans="1:5" x14ac:dyDescent="0.25">
      <c r="A10" s="234">
        <v>89</v>
      </c>
    </row>
    <row r="11" spans="1:5" x14ac:dyDescent="0.25">
      <c r="A11" s="234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30">
        <v>1</v>
      </c>
      <c r="B1" s="130">
        <v>2</v>
      </c>
      <c r="C1" s="130">
        <v>3</v>
      </c>
      <c r="D1" s="130" t="s">
        <v>75</v>
      </c>
      <c r="E1" s="130">
        <v>4</v>
      </c>
      <c r="F1" s="137" t="s">
        <v>284</v>
      </c>
      <c r="G1" s="130" cm="1">
        <f t="array" ref="G1:I1">A1:C1*E1</f>
        <v>4</v>
      </c>
      <c r="H1" s="130">
        <v>8</v>
      </c>
      <c r="I1" s="130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G1" sqref="G1"/>
    </sheetView>
  </sheetViews>
  <sheetFormatPr defaultRowHeight="10.5" x14ac:dyDescent="0.15"/>
  <cols>
    <col min="1" max="3" width="5" style="109" customWidth="1"/>
    <col min="4" max="4" width="3.28515625" style="109" customWidth="1"/>
    <col min="5" max="5" width="5" style="109" customWidth="1"/>
    <col min="6" max="6" width="3.28515625" style="109" customWidth="1"/>
    <col min="7" max="9" width="5" style="109" customWidth="1"/>
    <col min="10" max="16384" width="9.140625" style="109"/>
  </cols>
  <sheetData>
    <row r="1" spans="1:9" x14ac:dyDescent="0.15">
      <c r="A1" s="109">
        <v>1</v>
      </c>
      <c r="B1" s="109">
        <v>5</v>
      </c>
      <c r="C1" s="109">
        <v>9</v>
      </c>
      <c r="D1" s="130" t="s">
        <v>75</v>
      </c>
      <c r="E1" s="109">
        <v>10</v>
      </c>
      <c r="F1" s="137" t="s">
        <v>284</v>
      </c>
      <c r="G1" s="109" cm="1">
        <f t="array" ref="G1:I4">A1:C4*E1:E4</f>
        <v>10</v>
      </c>
      <c r="H1" s="109">
        <v>50</v>
      </c>
      <c r="I1" s="109">
        <v>90</v>
      </c>
    </row>
    <row r="2" spans="1:9" x14ac:dyDescent="0.15">
      <c r="A2" s="109">
        <v>2</v>
      </c>
      <c r="B2" s="109">
        <v>6</v>
      </c>
      <c r="C2" s="109">
        <v>10</v>
      </c>
      <c r="D2" s="130" t="s">
        <v>75</v>
      </c>
      <c r="E2" s="109">
        <v>20</v>
      </c>
      <c r="F2" s="137" t="s">
        <v>284</v>
      </c>
      <c r="G2" s="109">
        <v>40</v>
      </c>
      <c r="H2" s="109">
        <v>120</v>
      </c>
      <c r="I2" s="109">
        <v>200</v>
      </c>
    </row>
    <row r="3" spans="1:9" x14ac:dyDescent="0.15">
      <c r="A3" s="109">
        <v>3</v>
      </c>
      <c r="B3" s="109">
        <v>7</v>
      </c>
      <c r="C3" s="109">
        <v>11</v>
      </c>
      <c r="D3" s="130" t="s">
        <v>75</v>
      </c>
      <c r="E3" s="109">
        <v>30</v>
      </c>
      <c r="F3" s="137" t="s">
        <v>284</v>
      </c>
      <c r="G3" s="109">
        <v>90</v>
      </c>
      <c r="H3" s="109">
        <v>210</v>
      </c>
      <c r="I3" s="109">
        <v>330</v>
      </c>
    </row>
    <row r="4" spans="1:9" x14ac:dyDescent="0.15">
      <c r="A4" s="109">
        <v>4</v>
      </c>
      <c r="B4" s="109">
        <v>8</v>
      </c>
      <c r="C4" s="109">
        <v>12</v>
      </c>
      <c r="D4" s="130" t="s">
        <v>75</v>
      </c>
      <c r="E4" s="109">
        <v>40</v>
      </c>
      <c r="F4" s="137" t="s">
        <v>284</v>
      </c>
      <c r="G4" s="109">
        <v>160</v>
      </c>
      <c r="H4" s="109">
        <v>320</v>
      </c>
      <c r="I4" s="109">
        <v>480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C6" sqref="C6"/>
    </sheetView>
  </sheetViews>
  <sheetFormatPr defaultRowHeight="10.5" x14ac:dyDescent="0.15"/>
  <cols>
    <col min="1" max="1" width="13.140625" style="109" bestFit="1" customWidth="1"/>
    <col min="2" max="2" width="7.5703125" style="109" customWidth="1"/>
    <col min="3" max="4" width="11.85546875" style="109" customWidth="1"/>
    <col min="5" max="16384" width="9.140625" style="109"/>
  </cols>
  <sheetData>
    <row r="1" spans="1:4" x14ac:dyDescent="0.15">
      <c r="A1" s="231" t="s">
        <v>285</v>
      </c>
      <c r="B1" s="232" t="s">
        <v>173</v>
      </c>
      <c r="C1" s="232" t="s">
        <v>286</v>
      </c>
      <c r="D1" s="232" t="s">
        <v>287</v>
      </c>
    </row>
    <row r="2" spans="1:4" ht="15" x14ac:dyDescent="0.25">
      <c r="A2" s="109" t="s">
        <v>288</v>
      </c>
      <c r="B2" s="109">
        <v>1200</v>
      </c>
      <c r="C2" s="24">
        <v>5.12</v>
      </c>
      <c r="D2" s="24">
        <v>5.07</v>
      </c>
    </row>
    <row r="3" spans="1:4" ht="15" x14ac:dyDescent="0.25">
      <c r="A3" s="109" t="s">
        <v>289</v>
      </c>
      <c r="B3" s="109">
        <v>120</v>
      </c>
      <c r="C3" s="24">
        <v>42.51</v>
      </c>
      <c r="D3" s="24">
        <v>41.95</v>
      </c>
    </row>
    <row r="4" spans="1:4" ht="15" x14ac:dyDescent="0.25">
      <c r="A4" s="109" t="s">
        <v>274</v>
      </c>
      <c r="B4" s="109">
        <v>300</v>
      </c>
      <c r="C4" s="24">
        <v>22.35</v>
      </c>
      <c r="D4" s="24">
        <v>22.13</v>
      </c>
    </row>
    <row r="5" spans="1:4" ht="15" x14ac:dyDescent="0.25">
      <c r="A5" s="109" t="s">
        <v>290</v>
      </c>
      <c r="B5" s="109">
        <v>450</v>
      </c>
      <c r="C5" s="24">
        <v>24.85</v>
      </c>
      <c r="D5" s="24">
        <v>24.6</v>
      </c>
    </row>
    <row r="6" spans="1:4" x14ac:dyDescent="0.15">
      <c r="A6" s="231" t="s">
        <v>291</v>
      </c>
      <c r="C6" s="233" cm="1">
        <f t="array" ref="C6">SUM(B2:B5*C2:C5)</f>
        <v>29132.7</v>
      </c>
      <c r="D6" s="233" cm="1">
        <f t="array" ref="D6">SUM(B2:B5*D2:D5)</f>
        <v>28827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11" style="234" bestFit="1" customWidth="1"/>
    <col min="2" max="6" width="7.5703125" style="234" customWidth="1"/>
    <col min="7" max="16384" width="9.140625" style="234"/>
  </cols>
  <sheetData>
    <row r="1" spans="1:6" x14ac:dyDescent="0.25">
      <c r="A1" s="234" t="s">
        <v>292</v>
      </c>
      <c r="B1" s="261">
        <v>2</v>
      </c>
      <c r="C1" s="261">
        <v>2</v>
      </c>
      <c r="D1" s="261">
        <v>3</v>
      </c>
      <c r="E1" s="261">
        <v>2</v>
      </c>
      <c r="F1" s="261"/>
    </row>
    <row r="2" spans="1:6" x14ac:dyDescent="0.25">
      <c r="B2" s="262" t="s">
        <v>293</v>
      </c>
      <c r="C2" s="262" t="s">
        <v>294</v>
      </c>
      <c r="D2" s="262" t="s">
        <v>295</v>
      </c>
      <c r="E2" s="262" t="s">
        <v>296</v>
      </c>
      <c r="F2" s="262" t="s">
        <v>297</v>
      </c>
    </row>
    <row r="3" spans="1:6" x14ac:dyDescent="0.25">
      <c r="A3" s="234" t="s">
        <v>298</v>
      </c>
      <c r="B3" s="261">
        <v>6</v>
      </c>
      <c r="C3" s="261">
        <v>7</v>
      </c>
      <c r="D3" s="261">
        <v>5</v>
      </c>
      <c r="E3" s="261">
        <v>4</v>
      </c>
      <c r="F3" s="263" cm="1">
        <f t="array" ref="F3">SUM(B3:E3*$B$1:$E$1)/SUM($B$1:$E$1)</f>
        <v>5.4444444444444446</v>
      </c>
    </row>
    <row r="4" spans="1:6" x14ac:dyDescent="0.25">
      <c r="A4" s="234" t="s">
        <v>299</v>
      </c>
      <c r="B4" s="261">
        <v>7</v>
      </c>
      <c r="C4" s="261">
        <v>5</v>
      </c>
      <c r="D4" s="261">
        <v>6</v>
      </c>
      <c r="E4" s="261">
        <v>6</v>
      </c>
      <c r="F4" s="263" cm="1">
        <f t="array" ref="F4">SUM(B4:E4*$B$1:$E$1)/SUM($B$1:$E$1)</f>
        <v>6</v>
      </c>
    </row>
    <row r="5" spans="1:6" x14ac:dyDescent="0.25">
      <c r="A5" s="234" t="s">
        <v>267</v>
      </c>
      <c r="B5" s="261">
        <v>8</v>
      </c>
      <c r="C5" s="261">
        <v>8</v>
      </c>
      <c r="D5" s="261">
        <v>6</v>
      </c>
      <c r="E5" s="261">
        <v>7</v>
      </c>
      <c r="F5" s="263" cm="1">
        <f t="array" ref="F5">SUM(B5:E5*$B$1:$E$1)/SUM($B$1:$E$1)</f>
        <v>7.1111111111111107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C11" sqref="C11"/>
    </sheetView>
  </sheetViews>
  <sheetFormatPr defaultRowHeight="10.5" x14ac:dyDescent="0.15"/>
  <cols>
    <col min="1" max="1" width="9.28515625" style="109" customWidth="1"/>
    <col min="2" max="2" width="8.42578125" style="109" customWidth="1"/>
    <col min="3" max="3" width="6.7109375" style="109" customWidth="1"/>
    <col min="4" max="16384" width="9.140625" style="109"/>
  </cols>
  <sheetData>
    <row r="1" spans="1:3" x14ac:dyDescent="0.15">
      <c r="B1" s="124" t="s">
        <v>300</v>
      </c>
      <c r="C1" s="124" t="s">
        <v>192</v>
      </c>
    </row>
    <row r="2" spans="1:3" x14ac:dyDescent="0.15">
      <c r="A2" s="109" t="s">
        <v>301</v>
      </c>
      <c r="B2" s="130" t="s">
        <v>302</v>
      </c>
      <c r="C2" s="130">
        <v>164</v>
      </c>
    </row>
    <row r="3" spans="1:3" x14ac:dyDescent="0.15">
      <c r="A3" s="109" t="s">
        <v>303</v>
      </c>
      <c r="B3" s="130" t="s">
        <v>304</v>
      </c>
      <c r="C3" s="130">
        <v>186</v>
      </c>
    </row>
    <row r="4" spans="1:3" x14ac:dyDescent="0.15">
      <c r="A4" s="109" t="s">
        <v>305</v>
      </c>
      <c r="B4" s="130" t="s">
        <v>302</v>
      </c>
      <c r="C4" s="130">
        <v>169</v>
      </c>
    </row>
    <row r="5" spans="1:3" x14ac:dyDescent="0.15">
      <c r="A5" s="109" t="s">
        <v>306</v>
      </c>
      <c r="B5" s="130" t="s">
        <v>302</v>
      </c>
      <c r="C5" s="130">
        <v>178</v>
      </c>
    </row>
    <row r="6" spans="1:3" x14ac:dyDescent="0.15">
      <c r="A6" s="109" t="s">
        <v>307</v>
      </c>
      <c r="B6" s="130" t="s">
        <v>304</v>
      </c>
      <c r="C6" s="130">
        <v>180</v>
      </c>
    </row>
    <row r="7" spans="1:3" x14ac:dyDescent="0.15">
      <c r="A7" s="109" t="s">
        <v>308</v>
      </c>
      <c r="B7" s="130" t="s">
        <v>302</v>
      </c>
      <c r="C7" s="130">
        <v>170</v>
      </c>
    </row>
    <row r="8" spans="1:3" x14ac:dyDescent="0.15">
      <c r="A8" s="109" t="s">
        <v>309</v>
      </c>
      <c r="B8" s="130" t="s">
        <v>304</v>
      </c>
      <c r="C8" s="130">
        <v>178</v>
      </c>
    </row>
    <row r="9" spans="1:3" x14ac:dyDescent="0.15">
      <c r="A9" s="109" t="s">
        <v>310</v>
      </c>
      <c r="B9" s="130" t="s">
        <v>302</v>
      </c>
      <c r="C9" s="130">
        <v>161</v>
      </c>
    </row>
    <row r="11" spans="1:3" x14ac:dyDescent="0.15">
      <c r="A11" s="109" t="s">
        <v>172</v>
      </c>
      <c r="B11" s="130" t="s">
        <v>304</v>
      </c>
      <c r="C11" s="102" cm="1">
        <f t="array" ref="C11">AVERAGE(IF($B$2:$B$9="m",$C$2:$C$9))</f>
        <v>181.33333333333334</v>
      </c>
    </row>
    <row r="12" spans="1:3" x14ac:dyDescent="0.15">
      <c r="A12" s="109" t="s">
        <v>172</v>
      </c>
      <c r="B12" s="130" t="s">
        <v>302</v>
      </c>
      <c r="C12" s="102" cm="1">
        <f t="array" ref="C12">AVERAGE(IF($B$2:$B$9="v",$C$2:$C$9))</f>
        <v>168.4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CA88-55E1-478B-9613-8460E0618EE4}">
  <dimension ref="A1:T34"/>
  <sheetViews>
    <sheetView topLeftCell="A24" workbookViewId="0">
      <selection activeCell="E25" sqref="E25"/>
    </sheetView>
  </sheetViews>
  <sheetFormatPr defaultRowHeight="15" x14ac:dyDescent="0.25"/>
  <cols>
    <col min="1" max="2" width="12.7109375" style="105" customWidth="1"/>
    <col min="3" max="3" width="6.85546875" style="105" customWidth="1"/>
    <col min="4" max="4" width="9.140625" style="105"/>
    <col min="5" max="5" width="6.85546875" style="105" customWidth="1"/>
    <col min="6" max="7" width="6.7109375" style="105" customWidth="1"/>
    <col min="8" max="16384" width="9.140625" style="105"/>
  </cols>
  <sheetData>
    <row r="1" spans="1:7" x14ac:dyDescent="0.25">
      <c r="A1" s="105" t="s">
        <v>493</v>
      </c>
      <c r="B1" s="105" t="str" cm="1">
        <f t="array" ref="B1:B5">_xlfn.UNIQUE(A1:A10)</f>
        <v>Appel</v>
      </c>
    </row>
    <row r="2" spans="1:7" x14ac:dyDescent="0.25">
      <c r="A2" s="105" t="s">
        <v>494</v>
      </c>
      <c r="B2" s="105" t="str">
        <v>Druif</v>
      </c>
    </row>
    <row r="3" spans="1:7" x14ac:dyDescent="0.25">
      <c r="A3" s="105" t="s">
        <v>493</v>
      </c>
      <c r="B3" s="105" t="str">
        <v>Banaan</v>
      </c>
    </row>
    <row r="4" spans="1:7" x14ac:dyDescent="0.25">
      <c r="A4" s="105" t="s">
        <v>495</v>
      </c>
      <c r="B4" s="105" t="str">
        <v>Citroen</v>
      </c>
    </row>
    <row r="5" spans="1:7" x14ac:dyDescent="0.25">
      <c r="A5" s="105" t="s">
        <v>496</v>
      </c>
      <c r="B5" s="105" t="str">
        <v>Peer</v>
      </c>
    </row>
    <row r="6" spans="1:7" x14ac:dyDescent="0.25">
      <c r="A6" s="105" t="s">
        <v>494</v>
      </c>
    </row>
    <row r="7" spans="1:7" x14ac:dyDescent="0.25">
      <c r="A7" s="105" t="s">
        <v>496</v>
      </c>
    </row>
    <row r="8" spans="1:7" x14ac:dyDescent="0.25">
      <c r="A8" s="105" t="s">
        <v>497</v>
      </c>
    </row>
    <row r="9" spans="1:7" x14ac:dyDescent="0.25">
      <c r="A9" s="105" t="s">
        <v>493</v>
      </c>
    </row>
    <row r="10" spans="1:7" x14ac:dyDescent="0.25">
      <c r="A10" s="105" t="s">
        <v>495</v>
      </c>
    </row>
    <row r="12" spans="1:7" x14ac:dyDescent="0.25">
      <c r="D12" s="105" cm="1">
        <f t="array" aca="1" ref="D12:G14" ca="1">_xlfn.RANDARRAY(3,4,10,50,TRUE)</f>
        <v>50</v>
      </c>
      <c r="E12" s="105">
        <f ca="1"/>
        <v>42</v>
      </c>
      <c r="F12" s="105">
        <f ca="1"/>
        <v>24</v>
      </c>
      <c r="G12" s="105">
        <f ca="1"/>
        <v>27</v>
      </c>
    </row>
    <row r="13" spans="1:7" x14ac:dyDescent="0.25">
      <c r="D13" s="105">
        <f ca="1"/>
        <v>49</v>
      </c>
      <c r="E13" s="105">
        <f ca="1"/>
        <v>13</v>
      </c>
      <c r="F13" s="105">
        <f ca="1"/>
        <v>38</v>
      </c>
      <c r="G13" s="105">
        <f ca="1"/>
        <v>28</v>
      </c>
    </row>
    <row r="14" spans="1:7" x14ac:dyDescent="0.25">
      <c r="D14" s="105">
        <f ca="1"/>
        <v>38</v>
      </c>
      <c r="E14" s="105">
        <f ca="1"/>
        <v>23</v>
      </c>
      <c r="F14" s="105">
        <f ca="1"/>
        <v>16</v>
      </c>
      <c r="G14" s="105">
        <f ca="1"/>
        <v>19</v>
      </c>
    </row>
    <row r="17" spans="1:20" x14ac:dyDescent="0.25">
      <c r="D17" s="105" cm="1">
        <f t="array" ref="D17:F20">_xlfn.SEQUENCE(4,3,5,10)</f>
        <v>5</v>
      </c>
      <c r="E17" s="105">
        <v>15</v>
      </c>
      <c r="F17" s="105">
        <v>25</v>
      </c>
    </row>
    <row r="18" spans="1:20" x14ac:dyDescent="0.25">
      <c r="D18" s="105">
        <v>35</v>
      </c>
      <c r="E18" s="105">
        <v>45</v>
      </c>
      <c r="F18" s="105">
        <v>55</v>
      </c>
    </row>
    <row r="19" spans="1:20" x14ac:dyDescent="0.25">
      <c r="D19" s="105">
        <v>65</v>
      </c>
      <c r="E19" s="105">
        <v>75</v>
      </c>
      <c r="F19" s="105">
        <v>85</v>
      </c>
    </row>
    <row r="20" spans="1:20" x14ac:dyDescent="0.25">
      <c r="D20" s="105">
        <v>95</v>
      </c>
      <c r="E20" s="105">
        <v>105</v>
      </c>
      <c r="F20" s="105">
        <v>115</v>
      </c>
    </row>
    <row r="24" spans="1:20" x14ac:dyDescent="0.25">
      <c r="A24" s="179" t="s">
        <v>506</v>
      </c>
      <c r="B24" s="179" t="s">
        <v>300</v>
      </c>
      <c r="C24" s="179" t="s">
        <v>192</v>
      </c>
    </row>
    <row r="25" spans="1:20" x14ac:dyDescent="0.25">
      <c r="A25" t="s">
        <v>498</v>
      </c>
      <c r="B25" t="s">
        <v>302</v>
      </c>
      <c r="C25">
        <v>163</v>
      </c>
      <c r="E25" s="105" t="str" cm="1">
        <f t="array" ref="E25:G34">_xlfn.SORTBY(A25:C34,B25:B34,1,C25:C34,-1)</f>
        <v>Stan</v>
      </c>
      <c r="F25" s="105" t="str">
        <v>m</v>
      </c>
      <c r="G25" s="105">
        <v>186</v>
      </c>
      <c r="J25" s="105" t="str" cm="1">
        <f t="array" ref="J25:J34">_xlfn.SORTBY(A25:A34,C25:C34)</f>
        <v>An</v>
      </c>
      <c r="M25" s="105" t="str" cm="1">
        <f t="array" ref="M25:O34">_xlfn._xlws.SORT(A25:C34,3)</f>
        <v>An</v>
      </c>
      <c r="N25" s="105" t="str">
        <v>v</v>
      </c>
      <c r="O25" s="105">
        <v>163</v>
      </c>
      <c r="R25" s="105" t="str" cm="1">
        <f t="array" ref="R25:T27">_xlfn._xlws.FILTER(A25:C34,(B25:B34="v")*(C25:C34&lt;170),"Geen")</f>
        <v>An</v>
      </c>
      <c r="S25" s="105" t="str">
        <v>v</v>
      </c>
      <c r="T25" s="105">
        <v>163</v>
      </c>
    </row>
    <row r="26" spans="1:20" x14ac:dyDescent="0.25">
      <c r="A26" t="s">
        <v>505</v>
      </c>
      <c r="B26" t="s">
        <v>302</v>
      </c>
      <c r="C26">
        <v>164</v>
      </c>
      <c r="E26" s="105" t="str">
        <v>Otto</v>
      </c>
      <c r="F26" s="105" t="str">
        <v>m</v>
      </c>
      <c r="G26" s="105">
        <v>185</v>
      </c>
      <c r="J26" s="105" t="str">
        <v>Trudy</v>
      </c>
      <c r="M26" s="105" t="str">
        <v>Trudy</v>
      </c>
      <c r="N26" s="105" t="str">
        <v>v</v>
      </c>
      <c r="O26" s="105">
        <v>164</v>
      </c>
      <c r="R26" s="105" t="str">
        <v>Trudy</v>
      </c>
      <c r="S26" s="105" t="str">
        <v>v</v>
      </c>
      <c r="T26" s="105">
        <v>164</v>
      </c>
    </row>
    <row r="27" spans="1:20" x14ac:dyDescent="0.25">
      <c r="A27" t="s">
        <v>502</v>
      </c>
      <c r="B27" t="s">
        <v>304</v>
      </c>
      <c r="C27">
        <v>185</v>
      </c>
      <c r="E27" s="105" t="str">
        <v>Ivo</v>
      </c>
      <c r="F27" s="105" t="str">
        <v>m</v>
      </c>
      <c r="G27" s="105">
        <v>181</v>
      </c>
      <c r="J27" s="105" t="str">
        <v>Mari</v>
      </c>
      <c r="M27" s="105" t="str">
        <v>Mari</v>
      </c>
      <c r="N27" s="105" t="str">
        <v>v</v>
      </c>
      <c r="O27" s="105">
        <v>167</v>
      </c>
      <c r="R27" s="105" t="str">
        <v>Mari</v>
      </c>
      <c r="S27" s="105" t="str">
        <v>v</v>
      </c>
      <c r="T27" s="105">
        <v>167</v>
      </c>
    </row>
    <row r="28" spans="1:20" x14ac:dyDescent="0.25">
      <c r="A28" t="s">
        <v>470</v>
      </c>
      <c r="B28" t="s">
        <v>302</v>
      </c>
      <c r="C28">
        <v>181</v>
      </c>
      <c r="E28" s="105" t="str">
        <v>Roger</v>
      </c>
      <c r="F28" s="105" t="str">
        <v>m</v>
      </c>
      <c r="G28" s="105">
        <v>178</v>
      </c>
      <c r="J28" s="105" t="str">
        <v>Peter</v>
      </c>
      <c r="M28" s="105" t="str">
        <v>Peter</v>
      </c>
      <c r="N28" s="105" t="str">
        <v>m</v>
      </c>
      <c r="O28" s="105">
        <v>172</v>
      </c>
    </row>
    <row r="29" spans="1:20" x14ac:dyDescent="0.25">
      <c r="A29" t="s">
        <v>469</v>
      </c>
      <c r="B29" t="s">
        <v>304</v>
      </c>
      <c r="C29">
        <v>178</v>
      </c>
      <c r="E29" s="105" t="str">
        <v>Chris</v>
      </c>
      <c r="F29" s="105" t="str">
        <v>m</v>
      </c>
      <c r="G29" s="105">
        <v>178</v>
      </c>
      <c r="J29" s="105" t="str">
        <v>Roger</v>
      </c>
      <c r="M29" s="105" t="str">
        <v>Roger</v>
      </c>
      <c r="N29" s="105" t="str">
        <v>m</v>
      </c>
      <c r="O29" s="105">
        <v>178</v>
      </c>
    </row>
    <row r="30" spans="1:20" x14ac:dyDescent="0.25">
      <c r="A30" t="s">
        <v>504</v>
      </c>
      <c r="B30" t="s">
        <v>304</v>
      </c>
      <c r="C30">
        <v>186</v>
      </c>
      <c r="E30" s="105" t="str">
        <v>Peter</v>
      </c>
      <c r="F30" s="105" t="str">
        <v>m</v>
      </c>
      <c r="G30" s="105">
        <v>172</v>
      </c>
      <c r="J30" s="105" t="str">
        <v>Chris</v>
      </c>
      <c r="M30" s="105" t="str">
        <v>Chris</v>
      </c>
      <c r="N30" s="105" t="str">
        <v>m</v>
      </c>
      <c r="O30" s="105">
        <v>178</v>
      </c>
    </row>
    <row r="31" spans="1:20" x14ac:dyDescent="0.25">
      <c r="A31" t="s">
        <v>499</v>
      </c>
      <c r="B31" t="s">
        <v>304</v>
      </c>
      <c r="C31">
        <v>178</v>
      </c>
      <c r="E31" s="105" t="str">
        <v>Vicky</v>
      </c>
      <c r="F31" s="105" t="str">
        <v>v</v>
      </c>
      <c r="G31" s="105">
        <v>181</v>
      </c>
      <c r="J31" s="105" t="str">
        <v>Vicky</v>
      </c>
      <c r="M31" s="105" t="str">
        <v>Vicky</v>
      </c>
      <c r="N31" s="105" t="str">
        <v>v</v>
      </c>
      <c r="O31" s="105">
        <v>181</v>
      </c>
    </row>
    <row r="32" spans="1:20" x14ac:dyDescent="0.25">
      <c r="A32" t="s">
        <v>500</v>
      </c>
      <c r="B32" t="s">
        <v>304</v>
      </c>
      <c r="C32">
        <v>181</v>
      </c>
      <c r="E32" s="105" t="str">
        <v>Mari</v>
      </c>
      <c r="F32" s="105" t="str">
        <v>v</v>
      </c>
      <c r="G32" s="105">
        <v>167</v>
      </c>
      <c r="J32" s="105" t="str">
        <v>Ivo</v>
      </c>
      <c r="M32" s="105" t="str">
        <v>Ivo</v>
      </c>
      <c r="N32" s="105" t="str">
        <v>m</v>
      </c>
      <c r="O32" s="105">
        <v>181</v>
      </c>
    </row>
    <row r="33" spans="1:15" x14ac:dyDescent="0.25">
      <c r="A33" t="s">
        <v>501</v>
      </c>
      <c r="B33" t="s">
        <v>302</v>
      </c>
      <c r="C33">
        <v>167</v>
      </c>
      <c r="E33" s="105" t="str">
        <v>Trudy</v>
      </c>
      <c r="F33" s="105" t="str">
        <v>v</v>
      </c>
      <c r="G33" s="105">
        <v>164</v>
      </c>
      <c r="J33" s="105" t="str">
        <v>Otto</v>
      </c>
      <c r="M33" s="105" t="str">
        <v>Otto</v>
      </c>
      <c r="N33" s="105" t="str">
        <v>m</v>
      </c>
      <c r="O33" s="105">
        <v>185</v>
      </c>
    </row>
    <row r="34" spans="1:15" x14ac:dyDescent="0.25">
      <c r="A34" t="s">
        <v>503</v>
      </c>
      <c r="B34" t="s">
        <v>304</v>
      </c>
      <c r="C34">
        <v>172</v>
      </c>
      <c r="E34" s="105" t="str">
        <v>An</v>
      </c>
      <c r="F34" s="105" t="str">
        <v>v</v>
      </c>
      <c r="G34" s="105">
        <v>163</v>
      </c>
      <c r="J34" s="105" t="str">
        <v>Stan</v>
      </c>
      <c r="M34" s="105" t="str">
        <v>Stan</v>
      </c>
      <c r="N34" s="105" t="str">
        <v>m</v>
      </c>
      <c r="O34" s="105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5">
        <v>62</v>
      </c>
    </row>
    <row r="3" spans="1:2" x14ac:dyDescent="0.25">
      <c r="A3" s="41">
        <v>8.3000000000000007</v>
      </c>
      <c r="B3" s="135">
        <v>68</v>
      </c>
    </row>
    <row r="4" spans="1:2" x14ac:dyDescent="0.25">
      <c r="A4" s="41">
        <v>10.7</v>
      </c>
      <c r="B4" s="135">
        <v>74</v>
      </c>
    </row>
    <row r="5" spans="1:2" x14ac:dyDescent="0.25">
      <c r="A5" s="41">
        <v>9.4</v>
      </c>
      <c r="B5" s="135">
        <v>71</v>
      </c>
    </row>
    <row r="6" spans="1:2" x14ac:dyDescent="0.25">
      <c r="A6" s="41">
        <v>12.6</v>
      </c>
      <c r="B6" s="135">
        <v>82</v>
      </c>
    </row>
    <row r="7" spans="1:2" x14ac:dyDescent="0.25">
      <c r="A7" s="41">
        <v>11.1</v>
      </c>
      <c r="B7" s="135">
        <v>76</v>
      </c>
    </row>
    <row r="8" spans="1:2" x14ac:dyDescent="0.25">
      <c r="A8" s="41">
        <v>10.3</v>
      </c>
      <c r="B8" s="135">
        <v>72</v>
      </c>
    </row>
    <row r="9" spans="1:2" x14ac:dyDescent="0.25">
      <c r="A9" s="41">
        <v>13.1</v>
      </c>
      <c r="B9" s="135">
        <v>79</v>
      </c>
    </row>
    <row r="10" spans="1:2" x14ac:dyDescent="0.25">
      <c r="A10" s="41">
        <v>9.6</v>
      </c>
      <c r="B10" s="135">
        <v>68</v>
      </c>
    </row>
    <row r="11" spans="1:2" x14ac:dyDescent="0.25">
      <c r="A11" s="41">
        <v>12.4</v>
      </c>
      <c r="B11" s="135">
        <v>77</v>
      </c>
    </row>
    <row r="19" spans="2:3" x14ac:dyDescent="0.25">
      <c r="B19" t="s">
        <v>129</v>
      </c>
      <c r="C19" s="105">
        <f>SLOPE(B2:B11,A2:A11)</f>
        <v>2.9550321199143461</v>
      </c>
    </row>
    <row r="20" spans="2:3" x14ac:dyDescent="0.25">
      <c r="B20" t="s">
        <v>130</v>
      </c>
      <c r="C20" s="105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0"/>
      <c r="C2" s="99"/>
      <c r="D2" s="98"/>
    </row>
    <row r="3" spans="2:9" ht="39.950000000000003" customHeight="1" thickBot="1" x14ac:dyDescent="0.3">
      <c r="B3" s="94"/>
      <c r="C3" s="97" t="s">
        <v>278</v>
      </c>
      <c r="D3" s="92"/>
      <c r="H3" s="252" t="s">
        <v>277</v>
      </c>
      <c r="I3" s="249"/>
    </row>
    <row r="4" spans="2:9" ht="9" customHeight="1" thickBot="1" x14ac:dyDescent="0.3">
      <c r="B4" s="94"/>
      <c r="C4" s="96"/>
      <c r="D4" s="92"/>
      <c r="G4" s="252" t="s">
        <v>279</v>
      </c>
      <c r="H4" s="249"/>
      <c r="I4" s="95"/>
    </row>
    <row r="5" spans="2:9" ht="39.950000000000003" customHeight="1" thickBot="1" x14ac:dyDescent="0.3">
      <c r="B5" s="94"/>
      <c r="C5" s="93" t="s">
        <v>279</v>
      </c>
      <c r="D5" s="92"/>
      <c r="G5" s="253"/>
      <c r="H5" s="254"/>
    </row>
    <row r="6" spans="2:9" ht="9" customHeight="1" thickBot="1" x14ac:dyDescent="0.3">
      <c r="B6" s="94"/>
      <c r="C6" s="96"/>
      <c r="D6" s="92"/>
      <c r="F6" s="248" t="s">
        <v>278</v>
      </c>
      <c r="G6" s="249"/>
      <c r="H6" s="95"/>
    </row>
    <row r="7" spans="2:9" ht="39.950000000000003" customHeight="1" thickBot="1" x14ac:dyDescent="0.3">
      <c r="B7" s="94"/>
      <c r="C7" s="93" t="s">
        <v>277</v>
      </c>
      <c r="D7" s="92"/>
      <c r="F7" s="250"/>
      <c r="G7" s="251"/>
    </row>
    <row r="8" spans="2:9" ht="9" customHeight="1" thickBot="1" x14ac:dyDescent="0.3">
      <c r="B8" s="91"/>
      <c r="C8" s="90"/>
      <c r="D8" s="89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91B-DD18-43ED-93DF-5C3214F314F9}">
  <dimension ref="A1:L115"/>
  <sheetViews>
    <sheetView workbookViewId="0">
      <selection activeCell="M26" sqref="M26"/>
    </sheetView>
  </sheetViews>
  <sheetFormatPr defaultRowHeight="10.5" x14ac:dyDescent="0.15"/>
  <cols>
    <col min="1" max="1" width="8.42578125" style="239" customWidth="1"/>
    <col min="2" max="2" width="13.140625" style="239" customWidth="1"/>
    <col min="3" max="3" width="11.42578125" style="239" customWidth="1"/>
    <col min="4" max="4" width="20.5703125" style="239" bestFit="1" customWidth="1"/>
    <col min="5" max="5" width="13.5703125" style="239" bestFit="1" customWidth="1"/>
    <col min="6" max="6" width="9.28515625" style="239" bestFit="1" customWidth="1"/>
    <col min="7" max="7" width="11.140625" style="242" bestFit="1" customWidth="1"/>
    <col min="8" max="8" width="12.85546875" style="241" customWidth="1"/>
    <col min="9" max="10" width="9.140625" style="145"/>
    <col min="11" max="11" width="13.5703125" style="145" bestFit="1" customWidth="1"/>
    <col min="12" max="12" width="20.5703125" style="145" bestFit="1" customWidth="1"/>
    <col min="13" max="16384" width="9.140625" style="145"/>
  </cols>
  <sheetData>
    <row r="1" spans="1:12" x14ac:dyDescent="0.15">
      <c r="A1" s="236" t="s">
        <v>507</v>
      </c>
      <c r="B1" s="236" t="s">
        <v>508</v>
      </c>
      <c r="C1" s="236" t="s">
        <v>509</v>
      </c>
      <c r="D1" s="236" t="s">
        <v>510</v>
      </c>
      <c r="E1" s="236" t="s">
        <v>511</v>
      </c>
      <c r="F1" s="236" t="s">
        <v>512</v>
      </c>
      <c r="G1" s="237" t="s">
        <v>513</v>
      </c>
      <c r="H1" s="238" t="s">
        <v>179</v>
      </c>
    </row>
    <row r="2" spans="1:12" ht="15" x14ac:dyDescent="0.25">
      <c r="A2" s="239">
        <v>1975</v>
      </c>
      <c r="B2" s="239" t="s">
        <v>514</v>
      </c>
      <c r="C2" s="239" t="s">
        <v>515</v>
      </c>
      <c r="D2" s="239" t="s">
        <v>516</v>
      </c>
      <c r="E2" s="239" t="s">
        <v>517</v>
      </c>
      <c r="F2" s="239" t="s">
        <v>518</v>
      </c>
      <c r="G2" s="240">
        <v>21887.95</v>
      </c>
      <c r="H2" s="241">
        <v>33365</v>
      </c>
      <c r="K2" s="145" t="s">
        <v>519</v>
      </c>
      <c r="L2" s="145" t="s">
        <v>520</v>
      </c>
    </row>
    <row r="3" spans="1:12" ht="15" x14ac:dyDescent="0.25">
      <c r="A3" s="239">
        <v>1976</v>
      </c>
      <c r="B3" s="239" t="s">
        <v>521</v>
      </c>
      <c r="C3" s="239" t="s">
        <v>522</v>
      </c>
      <c r="D3" s="239" t="s">
        <v>523</v>
      </c>
      <c r="E3" s="239" t="s">
        <v>524</v>
      </c>
      <c r="F3" s="239" t="s">
        <v>525</v>
      </c>
      <c r="G3" s="240">
        <v>23035.88</v>
      </c>
      <c r="H3" s="241">
        <v>33357</v>
      </c>
    </row>
    <row r="4" spans="1:12" ht="15" x14ac:dyDescent="0.25">
      <c r="A4" s="239">
        <v>1168</v>
      </c>
      <c r="B4" s="239" t="s">
        <v>526</v>
      </c>
      <c r="C4" s="239" t="s">
        <v>527</v>
      </c>
      <c r="D4" s="239" t="s">
        <v>523</v>
      </c>
      <c r="E4" s="239" t="s">
        <v>524</v>
      </c>
      <c r="F4" s="239" t="s">
        <v>528</v>
      </c>
      <c r="G4" s="240">
        <v>23035.88</v>
      </c>
      <c r="H4" s="241">
        <v>33338</v>
      </c>
      <c r="K4" s="145" t="str" cm="1">
        <f t="array" ref="K4:K9">_xlfn._xlws.SORT(_xlfn.UNIQUE(Personeelstabel[Afdeling]))</f>
        <v>Accounting</v>
      </c>
      <c r="L4" s="145" t="str" cm="1">
        <f t="array" ref="L4:L23">_xlfn._xlws.SORT(_xlfn.UNIQUE(Personeelstabel[Functie]))</f>
        <v>Accountant</v>
      </c>
    </row>
    <row r="5" spans="1:12" ht="15" x14ac:dyDescent="0.25">
      <c r="A5" s="239">
        <v>1169</v>
      </c>
      <c r="B5" s="239" t="s">
        <v>529</v>
      </c>
      <c r="C5" s="239" t="s">
        <v>503</v>
      </c>
      <c r="D5" s="239" t="s">
        <v>530</v>
      </c>
      <c r="E5" s="239" t="s">
        <v>524</v>
      </c>
      <c r="F5" s="239" t="s">
        <v>518</v>
      </c>
      <c r="G5" s="240">
        <v>34002.050000000003</v>
      </c>
      <c r="H5" s="241">
        <v>33890</v>
      </c>
      <c r="K5" s="145" t="str">
        <v>Administratie</v>
      </c>
      <c r="L5" s="145" t="str">
        <v>Admin. medew.</v>
      </c>
    </row>
    <row r="6" spans="1:12" ht="15" x14ac:dyDescent="0.25">
      <c r="A6" s="239">
        <v>1167</v>
      </c>
      <c r="B6" s="239" t="s">
        <v>531</v>
      </c>
      <c r="C6" s="239" t="s">
        <v>532</v>
      </c>
      <c r="D6" s="239" t="s">
        <v>533</v>
      </c>
      <c r="E6" s="239" t="s">
        <v>534</v>
      </c>
      <c r="F6" s="239" t="s">
        <v>518</v>
      </c>
      <c r="G6" s="240">
        <v>31913.88</v>
      </c>
      <c r="H6" s="241">
        <v>33346</v>
      </c>
      <c r="K6" s="145" t="str">
        <v>Marketing</v>
      </c>
      <c r="L6" s="145" t="str">
        <v>Admin. medew. groep</v>
      </c>
    </row>
    <row r="7" spans="1:12" ht="15" x14ac:dyDescent="0.25">
      <c r="A7" s="239">
        <v>1931</v>
      </c>
      <c r="B7" s="239" t="s">
        <v>535</v>
      </c>
      <c r="C7" s="239" t="s">
        <v>536</v>
      </c>
      <c r="D7" s="239" t="s">
        <v>537</v>
      </c>
      <c r="E7" s="239" t="s">
        <v>517</v>
      </c>
      <c r="F7" s="239" t="s">
        <v>518</v>
      </c>
      <c r="G7" s="240">
        <v>26101.439999999999</v>
      </c>
      <c r="H7" s="241">
        <v>32679</v>
      </c>
      <c r="K7" s="145" t="str">
        <v>Onderz. &amp; ontwik.</v>
      </c>
      <c r="L7" s="145" t="str">
        <v>Assist. accountant</v>
      </c>
    </row>
    <row r="8" spans="1:12" ht="15" x14ac:dyDescent="0.25">
      <c r="A8" s="239">
        <v>1967</v>
      </c>
      <c r="B8" s="239" t="s">
        <v>538</v>
      </c>
      <c r="C8" s="239" t="s">
        <v>539</v>
      </c>
      <c r="D8" s="239" t="s">
        <v>540</v>
      </c>
      <c r="E8" s="239" t="s">
        <v>541</v>
      </c>
      <c r="F8" s="239" t="s">
        <v>518</v>
      </c>
      <c r="G8" s="240">
        <v>23212.32</v>
      </c>
      <c r="H8" s="241">
        <v>33551</v>
      </c>
      <c r="K8" s="145" t="str">
        <v>Ontwerpafdeling</v>
      </c>
      <c r="L8" s="145" t="str">
        <v>Assist. technicus</v>
      </c>
    </row>
    <row r="9" spans="1:12" ht="15" x14ac:dyDescent="0.25">
      <c r="A9" s="239">
        <v>1676</v>
      </c>
      <c r="B9" s="239" t="s">
        <v>542</v>
      </c>
      <c r="C9" s="239" t="s">
        <v>543</v>
      </c>
      <c r="D9" s="239" t="s">
        <v>540</v>
      </c>
      <c r="E9" s="239" t="s">
        <v>541</v>
      </c>
      <c r="F9" s="239" t="s">
        <v>518</v>
      </c>
      <c r="G9" s="240">
        <v>23212.32</v>
      </c>
      <c r="H9" s="241">
        <v>29877</v>
      </c>
      <c r="K9" s="145" t="str">
        <v>Vormgeving</v>
      </c>
      <c r="L9" s="145" t="str">
        <v>Assist. vormgeving</v>
      </c>
    </row>
    <row r="10" spans="1:12" ht="15" x14ac:dyDescent="0.25">
      <c r="A10" s="239">
        <v>1075</v>
      </c>
      <c r="B10" s="239" t="s">
        <v>544</v>
      </c>
      <c r="C10" s="239" t="s">
        <v>545</v>
      </c>
      <c r="D10" s="239" t="s">
        <v>546</v>
      </c>
      <c r="E10" s="239" t="s">
        <v>547</v>
      </c>
      <c r="F10" s="239" t="s">
        <v>525</v>
      </c>
      <c r="G10" s="240">
        <v>23239.439999999999</v>
      </c>
      <c r="H10" s="241">
        <v>33823</v>
      </c>
      <c r="L10" s="145" t="str">
        <v>Bureaumanager</v>
      </c>
    </row>
    <row r="11" spans="1:12" ht="15" x14ac:dyDescent="0.25">
      <c r="A11" s="239">
        <v>1966</v>
      </c>
      <c r="B11" s="239" t="s">
        <v>548</v>
      </c>
      <c r="C11" s="239" t="s">
        <v>549</v>
      </c>
      <c r="D11" s="239" t="s">
        <v>546</v>
      </c>
      <c r="E11" s="239" t="s">
        <v>547</v>
      </c>
      <c r="F11" s="239" t="s">
        <v>528</v>
      </c>
      <c r="G11" s="240">
        <v>23239.439999999999</v>
      </c>
      <c r="H11" s="241">
        <v>33559</v>
      </c>
      <c r="L11" s="145" t="str">
        <v>Groepmanager</v>
      </c>
    </row>
    <row r="12" spans="1:12" ht="15" x14ac:dyDescent="0.25">
      <c r="A12" s="239">
        <v>1816</v>
      </c>
      <c r="B12" s="239" t="s">
        <v>550</v>
      </c>
      <c r="C12" s="239" t="s">
        <v>551</v>
      </c>
      <c r="D12" s="239" t="s">
        <v>530</v>
      </c>
      <c r="E12" s="239" t="s">
        <v>524</v>
      </c>
      <c r="F12" s="239" t="s">
        <v>528</v>
      </c>
      <c r="G12" s="240">
        <v>35480.400000000001</v>
      </c>
      <c r="H12" s="241">
        <v>33062</v>
      </c>
      <c r="L12" s="145" t="str">
        <v>Leidinggev. ontwerpafd.</v>
      </c>
    </row>
    <row r="13" spans="1:12" ht="15" x14ac:dyDescent="0.25">
      <c r="A13" s="239">
        <v>1814</v>
      </c>
      <c r="B13" s="239" t="s">
        <v>552</v>
      </c>
      <c r="C13" s="239" t="s">
        <v>553</v>
      </c>
      <c r="D13" s="239" t="s">
        <v>554</v>
      </c>
      <c r="E13" s="239" t="s">
        <v>524</v>
      </c>
      <c r="F13" s="239" t="s">
        <v>528</v>
      </c>
      <c r="G13" s="240">
        <v>21303.599999999999</v>
      </c>
      <c r="H13" s="241">
        <v>32571</v>
      </c>
      <c r="L13" s="145" t="str">
        <v>Machinetechnicus</v>
      </c>
    </row>
    <row r="14" spans="1:12" ht="15" x14ac:dyDescent="0.25">
      <c r="A14" s="239">
        <v>1968</v>
      </c>
      <c r="B14" s="239" t="s">
        <v>555</v>
      </c>
      <c r="C14" s="239" t="s">
        <v>556</v>
      </c>
      <c r="D14" s="239" t="s">
        <v>557</v>
      </c>
      <c r="E14" s="239" t="s">
        <v>534</v>
      </c>
      <c r="F14" s="239" t="s">
        <v>518</v>
      </c>
      <c r="G14" s="240">
        <v>35989.199999999997</v>
      </c>
      <c r="H14" s="241">
        <v>33970</v>
      </c>
      <c r="L14" s="145" t="str">
        <v>Manager ontwerpafd.</v>
      </c>
    </row>
    <row r="15" spans="1:12" ht="15" x14ac:dyDescent="0.25">
      <c r="A15" s="239">
        <v>1675</v>
      </c>
      <c r="B15" s="239" t="s">
        <v>558</v>
      </c>
      <c r="C15" s="239" t="s">
        <v>559</v>
      </c>
      <c r="D15" s="239" t="s">
        <v>533</v>
      </c>
      <c r="E15" s="239" t="s">
        <v>534</v>
      </c>
      <c r="F15" s="239" t="s">
        <v>518</v>
      </c>
      <c r="G15" s="240">
        <v>33301.440000000002</v>
      </c>
      <c r="H15" s="241">
        <v>29885</v>
      </c>
      <c r="L15" s="145" t="str">
        <v>Onderzoeker</v>
      </c>
    </row>
    <row r="16" spans="1:12" ht="15" x14ac:dyDescent="0.25">
      <c r="A16" s="239">
        <v>1677</v>
      </c>
      <c r="B16" s="239" t="s">
        <v>560</v>
      </c>
      <c r="C16" s="239" t="s">
        <v>561</v>
      </c>
      <c r="D16" s="239" t="s">
        <v>562</v>
      </c>
      <c r="E16" s="239" t="s">
        <v>563</v>
      </c>
      <c r="F16" s="239" t="s">
        <v>528</v>
      </c>
      <c r="G16" s="240">
        <v>37895.519999999997</v>
      </c>
      <c r="H16" s="241">
        <v>32087</v>
      </c>
      <c r="L16" s="145" t="str">
        <v>Produkt-marketer</v>
      </c>
    </row>
    <row r="17" spans="1:12" ht="15" x14ac:dyDescent="0.25">
      <c r="A17" s="239">
        <v>1793</v>
      </c>
      <c r="B17" s="239" t="s">
        <v>564</v>
      </c>
      <c r="C17" s="239" t="s">
        <v>565</v>
      </c>
      <c r="D17" s="239" t="s">
        <v>540</v>
      </c>
      <c r="E17" s="239" t="s">
        <v>541</v>
      </c>
      <c r="F17" s="239" t="s">
        <v>528</v>
      </c>
      <c r="G17" s="240">
        <v>24179.5</v>
      </c>
      <c r="H17" s="241">
        <v>33223</v>
      </c>
      <c r="L17" s="145" t="str">
        <v>Senior medew. ontwerpafd.</v>
      </c>
    </row>
    <row r="18" spans="1:12" ht="15" x14ac:dyDescent="0.25">
      <c r="A18" s="239">
        <v>1792</v>
      </c>
      <c r="B18" s="239" t="s">
        <v>566</v>
      </c>
      <c r="C18" s="239" t="s">
        <v>567</v>
      </c>
      <c r="D18" s="239" t="s">
        <v>568</v>
      </c>
      <c r="E18" s="239" t="s">
        <v>547</v>
      </c>
      <c r="F18" s="239" t="s">
        <v>518</v>
      </c>
      <c r="G18" s="240">
        <v>28859.25</v>
      </c>
      <c r="H18" s="241">
        <v>33231</v>
      </c>
      <c r="L18" s="145" t="str">
        <v>Software-ontwikkelaar</v>
      </c>
    </row>
    <row r="19" spans="1:12" ht="15" x14ac:dyDescent="0.25">
      <c r="A19" s="239">
        <v>1794</v>
      </c>
      <c r="B19" s="239" t="s">
        <v>569</v>
      </c>
      <c r="C19" s="239" t="s">
        <v>570</v>
      </c>
      <c r="D19" s="239" t="s">
        <v>557</v>
      </c>
      <c r="E19" s="239" t="s">
        <v>534</v>
      </c>
      <c r="F19" s="239" t="s">
        <v>528</v>
      </c>
      <c r="G19" s="240">
        <v>37488.75</v>
      </c>
      <c r="H19" s="241">
        <v>31034</v>
      </c>
      <c r="L19" s="145" t="str">
        <v>Specialist vormgeving</v>
      </c>
    </row>
    <row r="20" spans="1:12" ht="15" x14ac:dyDescent="0.25">
      <c r="A20" s="239">
        <v>1426</v>
      </c>
      <c r="B20" s="239" t="s">
        <v>571</v>
      </c>
      <c r="C20" s="239" t="s">
        <v>503</v>
      </c>
      <c r="D20" s="239" t="s">
        <v>533</v>
      </c>
      <c r="E20" s="239" t="s">
        <v>534</v>
      </c>
      <c r="F20" s="239" t="s">
        <v>528</v>
      </c>
      <c r="G20" s="240">
        <v>34689</v>
      </c>
      <c r="H20" s="241">
        <v>28376</v>
      </c>
      <c r="L20" s="145" t="str">
        <v>Technicus</v>
      </c>
    </row>
    <row r="21" spans="1:12" ht="15" x14ac:dyDescent="0.25">
      <c r="A21" s="239">
        <v>1530</v>
      </c>
      <c r="B21" s="239" t="s">
        <v>572</v>
      </c>
      <c r="C21" s="239" t="s">
        <v>573</v>
      </c>
      <c r="D21" s="239" t="s">
        <v>540</v>
      </c>
      <c r="E21" s="239" t="s">
        <v>541</v>
      </c>
      <c r="F21" s="239" t="s">
        <v>525</v>
      </c>
      <c r="G21" s="240">
        <v>25146.68</v>
      </c>
      <c r="H21" s="241">
        <v>33258</v>
      </c>
      <c r="L21" s="145" t="str">
        <v>Unitmanager</v>
      </c>
    </row>
    <row r="22" spans="1:12" ht="15" x14ac:dyDescent="0.25">
      <c r="A22" s="239">
        <v>1054</v>
      </c>
      <c r="B22" s="239" t="s">
        <v>574</v>
      </c>
      <c r="C22" s="239" t="s">
        <v>575</v>
      </c>
      <c r="D22" s="239" t="s">
        <v>546</v>
      </c>
      <c r="E22" s="239" t="s">
        <v>547</v>
      </c>
      <c r="F22" s="239" t="s">
        <v>518</v>
      </c>
      <c r="G22" s="240">
        <v>25176.06</v>
      </c>
      <c r="H22" s="241">
        <v>33344</v>
      </c>
      <c r="L22" s="145" t="str">
        <v>Vertegenwoordiger</v>
      </c>
    </row>
    <row r="23" spans="1:12" ht="15" x14ac:dyDescent="0.25">
      <c r="A23" s="239">
        <v>1977</v>
      </c>
      <c r="B23" s="239" t="s">
        <v>576</v>
      </c>
      <c r="C23" s="239" t="s">
        <v>577</v>
      </c>
      <c r="D23" s="239" t="s">
        <v>568</v>
      </c>
      <c r="E23" s="239" t="s">
        <v>547</v>
      </c>
      <c r="F23" s="239" t="s">
        <v>518</v>
      </c>
      <c r="G23" s="240">
        <v>30013.62</v>
      </c>
      <c r="H23" s="241">
        <v>29385</v>
      </c>
      <c r="L23" s="145" t="str">
        <v>Wetensch. onderzoeker</v>
      </c>
    </row>
    <row r="24" spans="1:12" ht="15" x14ac:dyDescent="0.25">
      <c r="A24" s="239">
        <v>1529</v>
      </c>
      <c r="B24" s="239" t="s">
        <v>578</v>
      </c>
      <c r="C24" s="239" t="s">
        <v>579</v>
      </c>
      <c r="D24" s="239" t="s">
        <v>540</v>
      </c>
      <c r="E24" s="239" t="s">
        <v>524</v>
      </c>
      <c r="F24" s="239" t="s">
        <v>525</v>
      </c>
      <c r="G24" s="240">
        <v>25146.68</v>
      </c>
      <c r="H24" s="241">
        <v>31805</v>
      </c>
    </row>
    <row r="25" spans="1:12" ht="15" x14ac:dyDescent="0.25">
      <c r="A25" s="239">
        <v>1978</v>
      </c>
      <c r="B25" s="239" t="s">
        <v>580</v>
      </c>
      <c r="C25" s="239" t="s">
        <v>298</v>
      </c>
      <c r="D25" s="239" t="s">
        <v>581</v>
      </c>
      <c r="E25" s="239" t="s">
        <v>524</v>
      </c>
      <c r="F25" s="239" t="s">
        <v>528</v>
      </c>
      <c r="G25" s="240">
        <v>51878.84</v>
      </c>
      <c r="H25" s="241">
        <v>29377</v>
      </c>
    </row>
    <row r="26" spans="1:12" ht="15" x14ac:dyDescent="0.25">
      <c r="A26" s="239">
        <v>1055</v>
      </c>
      <c r="B26" s="239" t="s">
        <v>582</v>
      </c>
      <c r="C26" s="239" t="s">
        <v>583</v>
      </c>
      <c r="D26" s="239" t="s">
        <v>523</v>
      </c>
      <c r="E26" s="239" t="s">
        <v>534</v>
      </c>
      <c r="F26" s="239" t="s">
        <v>518</v>
      </c>
      <c r="G26" s="240">
        <v>26040.560000000001</v>
      </c>
      <c r="H26" s="241">
        <v>33336</v>
      </c>
    </row>
    <row r="27" spans="1:12" ht="15" x14ac:dyDescent="0.25">
      <c r="A27" s="239">
        <v>1531</v>
      </c>
      <c r="B27" s="239" t="s">
        <v>584</v>
      </c>
      <c r="C27" s="239" t="s">
        <v>585</v>
      </c>
      <c r="D27" s="239" t="s">
        <v>562</v>
      </c>
      <c r="E27" s="239" t="s">
        <v>563</v>
      </c>
      <c r="F27" s="239" t="s">
        <v>518</v>
      </c>
      <c r="G27" s="240">
        <v>41053.480000000003</v>
      </c>
      <c r="H27" s="241">
        <v>31543</v>
      </c>
    </row>
    <row r="28" spans="1:12" ht="15" x14ac:dyDescent="0.25">
      <c r="A28" s="239">
        <v>1290</v>
      </c>
      <c r="B28" s="239" t="s">
        <v>586</v>
      </c>
      <c r="C28" s="239" t="s">
        <v>587</v>
      </c>
      <c r="D28" s="239" t="s">
        <v>540</v>
      </c>
      <c r="E28" s="239" t="s">
        <v>541</v>
      </c>
      <c r="F28" s="239" t="s">
        <v>528</v>
      </c>
      <c r="G28" s="240">
        <v>26113.86</v>
      </c>
      <c r="H28" s="241">
        <v>31050</v>
      </c>
    </row>
    <row r="29" spans="1:12" ht="15" x14ac:dyDescent="0.25">
      <c r="A29" s="239">
        <v>1300</v>
      </c>
      <c r="B29" s="239" t="s">
        <v>588</v>
      </c>
      <c r="C29" s="239" t="s">
        <v>589</v>
      </c>
      <c r="D29" s="239" t="s">
        <v>537</v>
      </c>
      <c r="E29" s="239" t="s">
        <v>517</v>
      </c>
      <c r="F29" s="239" t="s">
        <v>525</v>
      </c>
      <c r="G29" s="240">
        <v>30451.68</v>
      </c>
      <c r="H29" s="241">
        <v>32855</v>
      </c>
    </row>
    <row r="30" spans="1:12" ht="15" x14ac:dyDescent="0.25">
      <c r="A30" s="239">
        <v>1152</v>
      </c>
      <c r="B30" s="239" t="s">
        <v>590</v>
      </c>
      <c r="C30" s="239" t="s">
        <v>591</v>
      </c>
      <c r="D30" s="239" t="s">
        <v>516</v>
      </c>
      <c r="E30" s="239" t="s">
        <v>517</v>
      </c>
      <c r="F30" s="239" t="s">
        <v>525</v>
      </c>
      <c r="G30" s="240">
        <v>26646.2</v>
      </c>
      <c r="H30" s="241">
        <v>32894</v>
      </c>
    </row>
    <row r="31" spans="1:12" ht="15" x14ac:dyDescent="0.25">
      <c r="A31" s="239">
        <v>1960</v>
      </c>
      <c r="B31" s="239" t="s">
        <v>592</v>
      </c>
      <c r="C31" s="239" t="s">
        <v>593</v>
      </c>
      <c r="D31" s="239" t="s">
        <v>523</v>
      </c>
      <c r="E31" s="239" t="s">
        <v>517</v>
      </c>
      <c r="F31" s="239" t="s">
        <v>518</v>
      </c>
      <c r="G31" s="240">
        <v>28043.68</v>
      </c>
      <c r="H31" s="241">
        <v>31729</v>
      </c>
    </row>
    <row r="32" spans="1:12" ht="15" x14ac:dyDescent="0.25">
      <c r="A32" s="239">
        <v>1153</v>
      </c>
      <c r="B32" s="239" t="s">
        <v>594</v>
      </c>
      <c r="C32" s="239" t="s">
        <v>595</v>
      </c>
      <c r="D32" s="239" t="s">
        <v>523</v>
      </c>
      <c r="E32" s="239" t="s">
        <v>517</v>
      </c>
      <c r="F32" s="239" t="s">
        <v>525</v>
      </c>
      <c r="G32" s="240">
        <v>28043.68</v>
      </c>
      <c r="H32" s="241">
        <v>32886</v>
      </c>
    </row>
    <row r="33" spans="1:8" ht="15" x14ac:dyDescent="0.25">
      <c r="A33" s="239">
        <v>1961</v>
      </c>
      <c r="B33" s="239" t="s">
        <v>538</v>
      </c>
      <c r="C33" s="239" t="s">
        <v>499</v>
      </c>
      <c r="D33" s="239" t="s">
        <v>540</v>
      </c>
      <c r="E33" s="239" t="s">
        <v>541</v>
      </c>
      <c r="F33" s="239" t="s">
        <v>528</v>
      </c>
      <c r="G33" s="240">
        <v>27081.040000000001</v>
      </c>
      <c r="H33" s="241">
        <v>31721</v>
      </c>
    </row>
    <row r="34" spans="1:8" ht="15" x14ac:dyDescent="0.25">
      <c r="A34" s="239">
        <v>1557</v>
      </c>
      <c r="B34" s="239" t="s">
        <v>596</v>
      </c>
      <c r="C34" s="239" t="s">
        <v>597</v>
      </c>
      <c r="D34" s="239" t="s">
        <v>540</v>
      </c>
      <c r="E34" s="239" t="s">
        <v>541</v>
      </c>
      <c r="F34" s="239" t="s">
        <v>518</v>
      </c>
      <c r="G34" s="240">
        <v>27081.040000000001</v>
      </c>
      <c r="H34" s="241">
        <v>29908</v>
      </c>
    </row>
    <row r="35" spans="1:8" ht="15" x14ac:dyDescent="0.25">
      <c r="A35" s="239">
        <v>1723</v>
      </c>
      <c r="B35" s="239" t="s">
        <v>598</v>
      </c>
      <c r="C35" s="239" t="s">
        <v>599</v>
      </c>
      <c r="D35" s="239" t="s">
        <v>600</v>
      </c>
      <c r="E35" s="239" t="s">
        <v>524</v>
      </c>
      <c r="F35" s="239" t="s">
        <v>528</v>
      </c>
      <c r="G35" s="240">
        <v>29362.2</v>
      </c>
      <c r="H35" s="241">
        <v>33091</v>
      </c>
    </row>
    <row r="36" spans="1:8" ht="15" x14ac:dyDescent="0.25">
      <c r="A36" s="239">
        <v>1556</v>
      </c>
      <c r="B36" s="239" t="s">
        <v>601</v>
      </c>
      <c r="C36" s="239" t="s">
        <v>602</v>
      </c>
      <c r="D36" s="239" t="s">
        <v>600</v>
      </c>
      <c r="E36" s="239" t="s">
        <v>524</v>
      </c>
      <c r="F36" s="239" t="s">
        <v>525</v>
      </c>
      <c r="G36" s="240">
        <v>29362.2</v>
      </c>
      <c r="H36" s="241">
        <v>29916</v>
      </c>
    </row>
    <row r="37" spans="1:8" ht="15" x14ac:dyDescent="0.25">
      <c r="A37" s="239">
        <v>1333</v>
      </c>
      <c r="B37" s="239" t="s">
        <v>603</v>
      </c>
      <c r="C37" s="239" t="s">
        <v>502</v>
      </c>
      <c r="D37" s="239" t="s">
        <v>600</v>
      </c>
      <c r="E37" s="239" t="s">
        <v>524</v>
      </c>
      <c r="F37" s="239" t="s">
        <v>518</v>
      </c>
      <c r="G37" s="240">
        <v>29362.2</v>
      </c>
      <c r="H37" s="241">
        <v>32979</v>
      </c>
    </row>
    <row r="38" spans="1:8" ht="15" x14ac:dyDescent="0.25">
      <c r="A38" s="239">
        <v>1299</v>
      </c>
      <c r="B38" s="239" t="s">
        <v>604</v>
      </c>
      <c r="C38" s="239" t="s">
        <v>605</v>
      </c>
      <c r="D38" s="239" t="s">
        <v>554</v>
      </c>
      <c r="E38" s="239" t="s">
        <v>524</v>
      </c>
      <c r="F38" s="239" t="s">
        <v>518</v>
      </c>
      <c r="G38" s="240">
        <v>24854.2</v>
      </c>
      <c r="H38" s="241">
        <v>32863</v>
      </c>
    </row>
    <row r="39" spans="1:8" ht="15" x14ac:dyDescent="0.25">
      <c r="A39" s="239">
        <v>1301</v>
      </c>
      <c r="B39" s="239" t="s">
        <v>606</v>
      </c>
      <c r="C39" s="239" t="s">
        <v>607</v>
      </c>
      <c r="D39" s="239" t="s">
        <v>540</v>
      </c>
      <c r="E39" s="239" t="s">
        <v>534</v>
      </c>
      <c r="F39" s="239" t="s">
        <v>528</v>
      </c>
      <c r="G39" s="240">
        <v>27081.040000000001</v>
      </c>
      <c r="H39" s="241">
        <v>30900</v>
      </c>
    </row>
    <row r="40" spans="1:8" ht="15" x14ac:dyDescent="0.25">
      <c r="A40" s="239">
        <v>1724</v>
      </c>
      <c r="B40" s="239" t="s">
        <v>608</v>
      </c>
      <c r="C40" s="239" t="s">
        <v>609</v>
      </c>
      <c r="D40" s="239" t="s">
        <v>523</v>
      </c>
      <c r="E40" s="239" t="s">
        <v>534</v>
      </c>
      <c r="F40" s="239" t="s">
        <v>525</v>
      </c>
      <c r="G40" s="240">
        <v>28043.68</v>
      </c>
      <c r="H40" s="241">
        <v>33083</v>
      </c>
    </row>
    <row r="41" spans="1:8" ht="15" x14ac:dyDescent="0.25">
      <c r="A41" s="239">
        <v>1558</v>
      </c>
      <c r="B41" s="239" t="s">
        <v>610</v>
      </c>
      <c r="C41" s="239" t="s">
        <v>611</v>
      </c>
      <c r="D41" s="239" t="s">
        <v>557</v>
      </c>
      <c r="E41" s="239" t="s">
        <v>534</v>
      </c>
      <c r="F41" s="239" t="s">
        <v>518</v>
      </c>
      <c r="G41" s="240">
        <v>41987.4</v>
      </c>
      <c r="H41" s="241">
        <v>30240</v>
      </c>
    </row>
    <row r="42" spans="1:8" ht="15" x14ac:dyDescent="0.25">
      <c r="A42" s="239">
        <v>1041</v>
      </c>
      <c r="B42" s="239" t="s">
        <v>612</v>
      </c>
      <c r="C42" s="239" t="s">
        <v>613</v>
      </c>
      <c r="D42" s="239" t="s">
        <v>523</v>
      </c>
      <c r="E42" s="239" t="s">
        <v>563</v>
      </c>
      <c r="F42" s="239" t="s">
        <v>525</v>
      </c>
      <c r="G42" s="240">
        <v>28043.68</v>
      </c>
      <c r="H42" s="241">
        <v>33710</v>
      </c>
    </row>
    <row r="43" spans="1:8" ht="15" x14ac:dyDescent="0.25">
      <c r="A43" s="239">
        <v>1334</v>
      </c>
      <c r="B43" s="239" t="s">
        <v>614</v>
      </c>
      <c r="C43" s="239" t="s">
        <v>615</v>
      </c>
      <c r="D43" s="239" t="s">
        <v>523</v>
      </c>
      <c r="E43" s="239" t="s">
        <v>563</v>
      </c>
      <c r="F43" s="239" t="s">
        <v>528</v>
      </c>
      <c r="G43" s="240">
        <v>28043.68</v>
      </c>
      <c r="H43" s="241">
        <v>32971</v>
      </c>
    </row>
    <row r="44" spans="1:8" ht="15" x14ac:dyDescent="0.25">
      <c r="A44" s="239">
        <v>1330</v>
      </c>
      <c r="B44" s="239" t="s">
        <v>616</v>
      </c>
      <c r="C44" s="239" t="s">
        <v>617</v>
      </c>
      <c r="D44" s="239" t="s">
        <v>537</v>
      </c>
      <c r="E44" s="239" t="s">
        <v>517</v>
      </c>
      <c r="F44" s="239" t="s">
        <v>518</v>
      </c>
      <c r="G44" s="240">
        <v>31539.24</v>
      </c>
      <c r="H44" s="241">
        <v>32553</v>
      </c>
    </row>
    <row r="45" spans="1:8" ht="15" x14ac:dyDescent="0.25">
      <c r="A45" s="239">
        <v>1674</v>
      </c>
      <c r="B45" s="239" t="s">
        <v>618</v>
      </c>
      <c r="C45" s="239" t="s">
        <v>619</v>
      </c>
      <c r="D45" s="239" t="s">
        <v>516</v>
      </c>
      <c r="E45" s="239" t="s">
        <v>517</v>
      </c>
      <c r="F45" s="239" t="s">
        <v>528</v>
      </c>
      <c r="G45" s="240">
        <v>27597.85</v>
      </c>
      <c r="H45" s="241">
        <v>33688</v>
      </c>
    </row>
    <row r="46" spans="1:8" ht="15" x14ac:dyDescent="0.25">
      <c r="A46" s="239">
        <v>1011</v>
      </c>
      <c r="B46" s="239" t="s">
        <v>620</v>
      </c>
      <c r="C46" s="239" t="s">
        <v>621</v>
      </c>
      <c r="D46" s="239" t="s">
        <v>516</v>
      </c>
      <c r="E46" s="239" t="s">
        <v>517</v>
      </c>
      <c r="F46" s="239" t="s">
        <v>518</v>
      </c>
      <c r="G46" s="240">
        <v>27597.85</v>
      </c>
      <c r="H46" s="241">
        <v>31446</v>
      </c>
    </row>
    <row r="47" spans="1:8" ht="15" x14ac:dyDescent="0.25">
      <c r="A47" s="239">
        <v>1675</v>
      </c>
      <c r="B47" s="239" t="s">
        <v>622</v>
      </c>
      <c r="C47" s="239" t="s">
        <v>623</v>
      </c>
      <c r="D47" s="239" t="s">
        <v>523</v>
      </c>
      <c r="E47" s="239" t="s">
        <v>517</v>
      </c>
      <c r="F47" s="239" t="s">
        <v>528</v>
      </c>
      <c r="G47" s="240">
        <v>29045.24</v>
      </c>
      <c r="H47" s="241">
        <v>33680</v>
      </c>
    </row>
    <row r="48" spans="1:8" ht="15" x14ac:dyDescent="0.25">
      <c r="A48" s="239">
        <v>1012</v>
      </c>
      <c r="B48" s="239" t="s">
        <v>624</v>
      </c>
      <c r="C48" s="239" t="s">
        <v>625</v>
      </c>
      <c r="D48" s="239" t="s">
        <v>626</v>
      </c>
      <c r="E48" s="239" t="s">
        <v>524</v>
      </c>
      <c r="F48" s="239" t="s">
        <v>525</v>
      </c>
      <c r="G48" s="240">
        <v>43394.15</v>
      </c>
      <c r="H48" s="241">
        <v>31438</v>
      </c>
    </row>
    <row r="49" spans="1:8" ht="15" x14ac:dyDescent="0.25">
      <c r="A49" s="239">
        <v>1331</v>
      </c>
      <c r="B49" s="239" t="s">
        <v>627</v>
      </c>
      <c r="C49" s="239" t="s">
        <v>628</v>
      </c>
      <c r="D49" s="239" t="s">
        <v>530</v>
      </c>
      <c r="E49" s="239" t="s">
        <v>524</v>
      </c>
      <c r="F49" s="239" t="s">
        <v>525</v>
      </c>
      <c r="G49" s="240">
        <v>42872.15</v>
      </c>
      <c r="H49" s="241">
        <v>32639</v>
      </c>
    </row>
    <row r="50" spans="1:8" ht="15" x14ac:dyDescent="0.25">
      <c r="A50" s="239">
        <v>1310</v>
      </c>
      <c r="B50" s="239" t="s">
        <v>574</v>
      </c>
      <c r="C50" s="239" t="s">
        <v>629</v>
      </c>
      <c r="D50" s="239" t="s">
        <v>600</v>
      </c>
      <c r="E50" s="239" t="s">
        <v>524</v>
      </c>
      <c r="F50" s="239" t="s">
        <v>528</v>
      </c>
      <c r="G50" s="240">
        <v>30410.85</v>
      </c>
      <c r="H50" s="241">
        <v>31689</v>
      </c>
    </row>
    <row r="51" spans="1:8" ht="15" x14ac:dyDescent="0.25">
      <c r="A51" s="239">
        <v>1329</v>
      </c>
      <c r="B51" s="239" t="s">
        <v>630</v>
      </c>
      <c r="C51" s="239" t="s">
        <v>631</v>
      </c>
      <c r="D51" s="239" t="s">
        <v>600</v>
      </c>
      <c r="E51" s="239" t="s">
        <v>524</v>
      </c>
      <c r="F51" s="239" t="s">
        <v>525</v>
      </c>
      <c r="G51" s="240">
        <v>30410.85</v>
      </c>
      <c r="H51" s="241">
        <v>32561</v>
      </c>
    </row>
    <row r="52" spans="1:8" ht="15" x14ac:dyDescent="0.25">
      <c r="A52" s="239">
        <v>1311</v>
      </c>
      <c r="B52" s="239" t="s">
        <v>632</v>
      </c>
      <c r="C52" s="239" t="s">
        <v>633</v>
      </c>
      <c r="D52" s="239" t="s">
        <v>557</v>
      </c>
      <c r="E52" s="239" t="s">
        <v>534</v>
      </c>
      <c r="F52" s="239" t="s">
        <v>525</v>
      </c>
      <c r="G52" s="240">
        <v>43486.95</v>
      </c>
      <c r="H52" s="241">
        <v>31681</v>
      </c>
    </row>
    <row r="53" spans="1:8" ht="15" x14ac:dyDescent="0.25">
      <c r="A53" s="239">
        <v>1657</v>
      </c>
      <c r="B53" s="239" t="s">
        <v>634</v>
      </c>
      <c r="C53" s="239" t="s">
        <v>635</v>
      </c>
      <c r="D53" s="239" t="s">
        <v>537</v>
      </c>
      <c r="E53" s="239" t="s">
        <v>517</v>
      </c>
      <c r="F53" s="239" t="s">
        <v>525</v>
      </c>
      <c r="G53" s="240">
        <v>32626.799999999999</v>
      </c>
      <c r="H53" s="241">
        <v>32117</v>
      </c>
    </row>
    <row r="54" spans="1:8" ht="15" x14ac:dyDescent="0.25">
      <c r="A54" s="239">
        <v>1516</v>
      </c>
      <c r="B54" s="239" t="s">
        <v>636</v>
      </c>
      <c r="C54" s="239" t="s">
        <v>637</v>
      </c>
      <c r="D54" s="239" t="s">
        <v>516</v>
      </c>
      <c r="E54" s="239" t="s">
        <v>517</v>
      </c>
      <c r="F54" s="239" t="s">
        <v>525</v>
      </c>
      <c r="G54" s="240">
        <v>28549.5</v>
      </c>
      <c r="H54" s="241">
        <v>31112</v>
      </c>
    </row>
    <row r="55" spans="1:8" ht="15" x14ac:dyDescent="0.25">
      <c r="A55" s="239">
        <v>1517</v>
      </c>
      <c r="B55" s="239" t="s">
        <v>638</v>
      </c>
      <c r="C55" s="239" t="s">
        <v>602</v>
      </c>
      <c r="D55" s="239" t="s">
        <v>639</v>
      </c>
      <c r="E55" s="239" t="s">
        <v>524</v>
      </c>
      <c r="F55" s="239" t="s">
        <v>525</v>
      </c>
      <c r="G55" s="240">
        <v>62589.599999999999</v>
      </c>
      <c r="H55" s="241">
        <v>31104</v>
      </c>
    </row>
    <row r="56" spans="1:8" ht="15" x14ac:dyDescent="0.25">
      <c r="A56" s="239">
        <v>1658</v>
      </c>
      <c r="B56" s="239" t="s">
        <v>640</v>
      </c>
      <c r="C56" s="239" t="s">
        <v>641</v>
      </c>
      <c r="D56" s="239" t="s">
        <v>530</v>
      </c>
      <c r="E56" s="239" t="s">
        <v>524</v>
      </c>
      <c r="F56" s="239" t="s">
        <v>518</v>
      </c>
      <c r="G56" s="240">
        <v>44350.5</v>
      </c>
      <c r="H56" s="241">
        <v>32300</v>
      </c>
    </row>
    <row r="57" spans="1:8" ht="15" x14ac:dyDescent="0.25">
      <c r="A57" s="239">
        <v>1518</v>
      </c>
      <c r="B57" s="239" t="s">
        <v>642</v>
      </c>
      <c r="C57" s="239" t="s">
        <v>643</v>
      </c>
      <c r="D57" s="239" t="s">
        <v>530</v>
      </c>
      <c r="E57" s="239" t="s">
        <v>524</v>
      </c>
      <c r="F57" s="239" t="s">
        <v>525</v>
      </c>
      <c r="G57" s="240">
        <v>44350.5</v>
      </c>
      <c r="H57" s="241">
        <v>33042</v>
      </c>
    </row>
    <row r="58" spans="1:8" ht="15" x14ac:dyDescent="0.25">
      <c r="A58" s="239">
        <v>1656</v>
      </c>
      <c r="B58" s="239" t="s">
        <v>644</v>
      </c>
      <c r="C58" s="239" t="s">
        <v>615</v>
      </c>
      <c r="D58" s="239" t="s">
        <v>540</v>
      </c>
      <c r="E58" s="239" t="s">
        <v>534</v>
      </c>
      <c r="F58" s="239" t="s">
        <v>518</v>
      </c>
      <c r="G58" s="240">
        <v>29015.4</v>
      </c>
      <c r="H58" s="241">
        <v>32125</v>
      </c>
    </row>
    <row r="59" spans="1:8" ht="15" x14ac:dyDescent="0.25">
      <c r="A59" s="239">
        <v>1079</v>
      </c>
      <c r="B59" s="239" t="s">
        <v>645</v>
      </c>
      <c r="C59" s="239" t="s">
        <v>629</v>
      </c>
      <c r="D59" s="239" t="s">
        <v>540</v>
      </c>
      <c r="E59" s="239" t="s">
        <v>541</v>
      </c>
      <c r="F59" s="239" t="s">
        <v>525</v>
      </c>
      <c r="G59" s="240">
        <v>29982.58</v>
      </c>
      <c r="H59" s="241">
        <v>31495</v>
      </c>
    </row>
    <row r="60" spans="1:8" ht="15" x14ac:dyDescent="0.25">
      <c r="A60" s="239">
        <v>1758</v>
      </c>
      <c r="B60" s="239" t="s">
        <v>646</v>
      </c>
      <c r="C60" s="239" t="s">
        <v>647</v>
      </c>
      <c r="D60" s="239" t="s">
        <v>568</v>
      </c>
      <c r="E60" s="239" t="s">
        <v>547</v>
      </c>
      <c r="F60" s="239" t="s">
        <v>525</v>
      </c>
      <c r="G60" s="240">
        <v>35785.47</v>
      </c>
      <c r="H60" s="241">
        <v>30028</v>
      </c>
    </row>
    <row r="61" spans="1:8" ht="15" x14ac:dyDescent="0.25">
      <c r="A61" s="239">
        <v>1673</v>
      </c>
      <c r="B61" s="239" t="s">
        <v>648</v>
      </c>
      <c r="C61" s="239" t="s">
        <v>587</v>
      </c>
      <c r="D61" s="239" t="s">
        <v>540</v>
      </c>
      <c r="E61" s="239" t="s">
        <v>524</v>
      </c>
      <c r="F61" s="239" t="s">
        <v>518</v>
      </c>
      <c r="G61" s="240">
        <v>29982.58</v>
      </c>
      <c r="H61" s="241">
        <v>32979</v>
      </c>
    </row>
    <row r="62" spans="1:8" ht="15" x14ac:dyDescent="0.25">
      <c r="A62" s="239">
        <v>1509</v>
      </c>
      <c r="B62" s="239" t="s">
        <v>649</v>
      </c>
      <c r="C62" s="239" t="s">
        <v>650</v>
      </c>
      <c r="D62" s="239" t="s">
        <v>540</v>
      </c>
      <c r="E62" s="239" t="s">
        <v>524</v>
      </c>
      <c r="F62" s="239" t="s">
        <v>528</v>
      </c>
      <c r="G62" s="240">
        <v>29982.58</v>
      </c>
      <c r="H62" s="241">
        <v>31217</v>
      </c>
    </row>
    <row r="63" spans="1:8" ht="15" x14ac:dyDescent="0.25">
      <c r="A63" s="239">
        <v>1759</v>
      </c>
      <c r="B63" s="239" t="s">
        <v>651</v>
      </c>
      <c r="C63" s="239" t="s">
        <v>652</v>
      </c>
      <c r="D63" s="239" t="s">
        <v>581</v>
      </c>
      <c r="E63" s="239" t="s">
        <v>524</v>
      </c>
      <c r="F63" s="239" t="s">
        <v>525</v>
      </c>
      <c r="G63" s="240">
        <v>61855.54</v>
      </c>
      <c r="H63" s="241">
        <v>30020</v>
      </c>
    </row>
    <row r="64" spans="1:8" ht="15" x14ac:dyDescent="0.25">
      <c r="A64" s="239">
        <v>1510</v>
      </c>
      <c r="B64" s="239" t="s">
        <v>653</v>
      </c>
      <c r="C64" s="239" t="s">
        <v>654</v>
      </c>
      <c r="D64" s="239" t="s">
        <v>626</v>
      </c>
      <c r="E64" s="239" t="s">
        <v>524</v>
      </c>
      <c r="F64" s="239" t="s">
        <v>518</v>
      </c>
      <c r="G64" s="240">
        <v>46386.85</v>
      </c>
      <c r="H64" s="241">
        <v>31209</v>
      </c>
    </row>
    <row r="65" spans="1:8" ht="15" x14ac:dyDescent="0.25">
      <c r="A65" s="239">
        <v>1078</v>
      </c>
      <c r="B65" s="239" t="s">
        <v>655</v>
      </c>
      <c r="C65" s="239" t="s">
        <v>656</v>
      </c>
      <c r="D65" s="239" t="s">
        <v>540</v>
      </c>
      <c r="E65" s="239" t="s">
        <v>534</v>
      </c>
      <c r="F65" s="239" t="s">
        <v>525</v>
      </c>
      <c r="G65" s="240">
        <v>29982.58</v>
      </c>
      <c r="H65" s="241">
        <v>31503</v>
      </c>
    </row>
    <row r="66" spans="1:8" ht="15" x14ac:dyDescent="0.25">
      <c r="A66" s="239">
        <v>1285</v>
      </c>
      <c r="B66" s="239" t="s">
        <v>657</v>
      </c>
      <c r="C66" s="239" t="s">
        <v>658</v>
      </c>
      <c r="D66" s="239" t="s">
        <v>659</v>
      </c>
      <c r="E66" s="239" t="s">
        <v>534</v>
      </c>
      <c r="F66" s="239" t="s">
        <v>525</v>
      </c>
      <c r="G66" s="240">
        <v>77179.149999999994</v>
      </c>
      <c r="H66" s="241">
        <v>31043</v>
      </c>
    </row>
    <row r="67" spans="1:8" ht="15" x14ac:dyDescent="0.25">
      <c r="A67" s="239">
        <v>1284</v>
      </c>
      <c r="B67" s="239" t="s">
        <v>660</v>
      </c>
      <c r="C67" s="239" t="s">
        <v>619</v>
      </c>
      <c r="D67" s="239" t="s">
        <v>557</v>
      </c>
      <c r="E67" s="239" t="s">
        <v>534</v>
      </c>
      <c r="F67" s="239" t="s">
        <v>528</v>
      </c>
      <c r="G67" s="240">
        <v>46486.05</v>
      </c>
      <c r="H67" s="241">
        <v>31051</v>
      </c>
    </row>
    <row r="68" spans="1:8" ht="15" x14ac:dyDescent="0.25">
      <c r="A68" s="239">
        <v>1674</v>
      </c>
      <c r="B68" s="239" t="s">
        <v>531</v>
      </c>
      <c r="C68" s="239" t="s">
        <v>661</v>
      </c>
      <c r="D68" s="239" t="s">
        <v>523</v>
      </c>
      <c r="E68" s="239" t="s">
        <v>563</v>
      </c>
      <c r="F68" s="239" t="s">
        <v>518</v>
      </c>
      <c r="G68" s="240">
        <v>31048.36</v>
      </c>
      <c r="H68" s="241">
        <v>32971</v>
      </c>
    </row>
    <row r="69" spans="1:8" ht="15" x14ac:dyDescent="0.25">
      <c r="A69" s="239">
        <v>1067</v>
      </c>
      <c r="B69" s="239" t="s">
        <v>662</v>
      </c>
      <c r="C69" s="239" t="s">
        <v>663</v>
      </c>
      <c r="D69" s="239" t="s">
        <v>568</v>
      </c>
      <c r="E69" s="239" t="s">
        <v>547</v>
      </c>
      <c r="F69" s="239" t="s">
        <v>528</v>
      </c>
      <c r="G69" s="240">
        <v>36939.839999999997</v>
      </c>
      <c r="H69" s="241">
        <v>32040</v>
      </c>
    </row>
    <row r="70" spans="1:8" ht="15" x14ac:dyDescent="0.25">
      <c r="A70" s="239">
        <v>1068</v>
      </c>
      <c r="B70" s="239" t="s">
        <v>664</v>
      </c>
      <c r="C70" s="239" t="s">
        <v>665</v>
      </c>
      <c r="D70" s="239" t="s">
        <v>626</v>
      </c>
      <c r="E70" s="239" t="s">
        <v>524</v>
      </c>
      <c r="F70" s="239" t="s">
        <v>525</v>
      </c>
      <c r="G70" s="240">
        <v>47883.199999999997</v>
      </c>
      <c r="H70" s="241">
        <v>32032</v>
      </c>
    </row>
    <row r="71" spans="1:8" ht="15" x14ac:dyDescent="0.25">
      <c r="A71" s="239">
        <v>1922</v>
      </c>
      <c r="B71" s="239" t="s">
        <v>574</v>
      </c>
      <c r="C71" s="239" t="s">
        <v>666</v>
      </c>
      <c r="D71" s="239" t="s">
        <v>554</v>
      </c>
      <c r="E71" s="239" t="s">
        <v>524</v>
      </c>
      <c r="F71" s="239" t="s">
        <v>525</v>
      </c>
      <c r="G71" s="240">
        <v>28404.799999999999</v>
      </c>
      <c r="H71" s="241">
        <v>31751</v>
      </c>
    </row>
    <row r="72" spans="1:8" ht="15" x14ac:dyDescent="0.25">
      <c r="A72" s="239">
        <v>1923</v>
      </c>
      <c r="B72" s="239" t="s">
        <v>62</v>
      </c>
      <c r="C72" s="239" t="s">
        <v>299</v>
      </c>
      <c r="D72" s="239" t="s">
        <v>557</v>
      </c>
      <c r="E72" s="239" t="s">
        <v>534</v>
      </c>
      <c r="F72" s="239" t="s">
        <v>528</v>
      </c>
      <c r="G72" s="240">
        <v>47985.599999999999</v>
      </c>
      <c r="H72" s="241">
        <v>31743</v>
      </c>
    </row>
    <row r="73" spans="1:8" ht="15" x14ac:dyDescent="0.25">
      <c r="A73" s="239">
        <v>1573</v>
      </c>
      <c r="B73" s="239" t="s">
        <v>667</v>
      </c>
      <c r="C73" s="239" t="s">
        <v>668</v>
      </c>
      <c r="D73" s="239" t="s">
        <v>537</v>
      </c>
      <c r="E73" s="239" t="s">
        <v>517</v>
      </c>
      <c r="F73" s="239" t="s">
        <v>528</v>
      </c>
      <c r="G73" s="240">
        <v>35889.480000000003</v>
      </c>
      <c r="H73" s="241">
        <v>32331</v>
      </c>
    </row>
    <row r="74" spans="1:8" ht="15" x14ac:dyDescent="0.25">
      <c r="A74" s="239">
        <v>1695</v>
      </c>
      <c r="B74" s="239" t="s">
        <v>669</v>
      </c>
      <c r="C74" s="239" t="s">
        <v>658</v>
      </c>
      <c r="D74" s="239" t="s">
        <v>568</v>
      </c>
      <c r="E74" s="239" t="s">
        <v>547</v>
      </c>
      <c r="F74" s="239" t="s">
        <v>528</v>
      </c>
      <c r="G74" s="240">
        <v>38094.21</v>
      </c>
      <c r="H74" s="241">
        <v>30975</v>
      </c>
    </row>
    <row r="75" spans="1:8" ht="15" x14ac:dyDescent="0.25">
      <c r="A75" s="239">
        <v>1360</v>
      </c>
      <c r="B75" s="239" t="s">
        <v>670</v>
      </c>
      <c r="C75" s="239" t="s">
        <v>671</v>
      </c>
      <c r="D75" s="239" t="s">
        <v>523</v>
      </c>
      <c r="E75" s="239" t="s">
        <v>524</v>
      </c>
      <c r="F75" s="239" t="s">
        <v>518</v>
      </c>
      <c r="G75" s="240">
        <v>33051.480000000003</v>
      </c>
      <c r="H75" s="241">
        <v>32356</v>
      </c>
    </row>
    <row r="76" spans="1:8" ht="15" x14ac:dyDescent="0.25">
      <c r="A76" s="239">
        <v>1574</v>
      </c>
      <c r="B76" s="239" t="s">
        <v>672</v>
      </c>
      <c r="C76" s="239" t="s">
        <v>673</v>
      </c>
      <c r="D76" s="239" t="s">
        <v>674</v>
      </c>
      <c r="E76" s="239" t="s">
        <v>524</v>
      </c>
      <c r="F76" s="239" t="s">
        <v>528</v>
      </c>
      <c r="G76" s="240">
        <v>50651.37</v>
      </c>
      <c r="H76" s="241">
        <v>31452</v>
      </c>
    </row>
    <row r="77" spans="1:8" ht="15" x14ac:dyDescent="0.25">
      <c r="A77" s="239">
        <v>1977</v>
      </c>
      <c r="B77" s="239" t="s">
        <v>675</v>
      </c>
      <c r="C77" s="239" t="s">
        <v>676</v>
      </c>
      <c r="D77" s="239" t="s">
        <v>530</v>
      </c>
      <c r="E77" s="239" t="s">
        <v>524</v>
      </c>
      <c r="F77" s="239" t="s">
        <v>528</v>
      </c>
      <c r="G77" s="240">
        <v>48785.55</v>
      </c>
      <c r="H77" s="241">
        <v>33490</v>
      </c>
    </row>
    <row r="78" spans="1:8" ht="15" x14ac:dyDescent="0.25">
      <c r="A78" s="239">
        <v>1572</v>
      </c>
      <c r="B78" s="239" t="s">
        <v>677</v>
      </c>
      <c r="C78" s="239" t="s">
        <v>678</v>
      </c>
      <c r="D78" s="239" t="s">
        <v>600</v>
      </c>
      <c r="E78" s="239" t="s">
        <v>524</v>
      </c>
      <c r="F78" s="239" t="s">
        <v>525</v>
      </c>
      <c r="G78" s="240">
        <v>34605.449999999997</v>
      </c>
      <c r="H78" s="241">
        <v>32339</v>
      </c>
    </row>
    <row r="79" spans="1:8" ht="15" x14ac:dyDescent="0.25">
      <c r="A79" s="239">
        <v>1906</v>
      </c>
      <c r="B79" s="239" t="s">
        <v>679</v>
      </c>
      <c r="C79" s="239" t="s">
        <v>680</v>
      </c>
      <c r="D79" s="239" t="s">
        <v>540</v>
      </c>
      <c r="E79" s="239" t="s">
        <v>534</v>
      </c>
      <c r="F79" s="239" t="s">
        <v>525</v>
      </c>
      <c r="G79" s="240">
        <v>31916.94</v>
      </c>
      <c r="H79" s="241">
        <v>32779</v>
      </c>
    </row>
    <row r="80" spans="1:8" ht="15" x14ac:dyDescent="0.25">
      <c r="A80" s="239">
        <v>1907</v>
      </c>
      <c r="B80" s="239" t="s">
        <v>681</v>
      </c>
      <c r="C80" s="239" t="s">
        <v>682</v>
      </c>
      <c r="D80" s="239" t="s">
        <v>523</v>
      </c>
      <c r="E80" s="239" t="s">
        <v>534</v>
      </c>
      <c r="F80" s="239" t="s">
        <v>525</v>
      </c>
      <c r="G80" s="240">
        <v>33051.480000000003</v>
      </c>
      <c r="H80" s="241">
        <v>32771</v>
      </c>
    </row>
    <row r="81" spans="1:8" ht="15" x14ac:dyDescent="0.25">
      <c r="A81" s="239">
        <v>1359</v>
      </c>
      <c r="B81" s="239" t="s">
        <v>683</v>
      </c>
      <c r="C81" s="239" t="s">
        <v>556</v>
      </c>
      <c r="D81" s="239" t="s">
        <v>557</v>
      </c>
      <c r="E81" s="239" t="s">
        <v>534</v>
      </c>
      <c r="F81" s="239" t="s">
        <v>525</v>
      </c>
      <c r="G81" s="240">
        <v>49485.15</v>
      </c>
      <c r="H81" s="241">
        <v>33094</v>
      </c>
    </row>
    <row r="82" spans="1:8" ht="15" x14ac:dyDescent="0.25">
      <c r="A82" s="239">
        <v>1361</v>
      </c>
      <c r="B82" s="239" t="s">
        <v>684</v>
      </c>
      <c r="C82" s="239" t="s">
        <v>685</v>
      </c>
      <c r="D82" s="239" t="s">
        <v>600</v>
      </c>
      <c r="E82" s="239" t="s">
        <v>563</v>
      </c>
      <c r="F82" s="239" t="s">
        <v>525</v>
      </c>
      <c r="G82" s="240">
        <v>34605.449999999997</v>
      </c>
      <c r="H82" s="241">
        <v>32346</v>
      </c>
    </row>
    <row r="83" spans="1:8" ht="15" x14ac:dyDescent="0.25">
      <c r="A83" s="239">
        <v>1368</v>
      </c>
      <c r="B83" s="239" t="s">
        <v>686</v>
      </c>
      <c r="C83" s="239" t="s">
        <v>687</v>
      </c>
      <c r="D83" s="239" t="s">
        <v>540</v>
      </c>
      <c r="E83" s="239" t="s">
        <v>541</v>
      </c>
      <c r="F83" s="239" t="s">
        <v>528</v>
      </c>
      <c r="G83" s="240">
        <v>32884.120000000003</v>
      </c>
      <c r="H83" s="241">
        <v>30386</v>
      </c>
    </row>
    <row r="84" spans="1:8" ht="15" x14ac:dyDescent="0.25">
      <c r="A84" s="239">
        <v>1815</v>
      </c>
      <c r="B84" s="239" t="s">
        <v>688</v>
      </c>
      <c r="C84" s="239" t="s">
        <v>689</v>
      </c>
      <c r="D84" s="239" t="s">
        <v>639</v>
      </c>
      <c r="E84" s="239" t="s">
        <v>524</v>
      </c>
      <c r="F84" s="239" t="s">
        <v>518</v>
      </c>
      <c r="G84" s="240">
        <v>70934.880000000005</v>
      </c>
      <c r="H84" s="241">
        <v>29276</v>
      </c>
    </row>
    <row r="85" spans="1:8" ht="15" x14ac:dyDescent="0.25">
      <c r="A85" s="239">
        <v>1369</v>
      </c>
      <c r="B85" s="239" t="s">
        <v>690</v>
      </c>
      <c r="C85" s="239" t="s">
        <v>605</v>
      </c>
      <c r="D85" s="239" t="s">
        <v>691</v>
      </c>
      <c r="E85" s="239" t="s">
        <v>563</v>
      </c>
      <c r="F85" s="239" t="s">
        <v>528</v>
      </c>
      <c r="G85" s="240">
        <v>57756.480000000003</v>
      </c>
      <c r="H85" s="241">
        <v>30378</v>
      </c>
    </row>
    <row r="86" spans="1:8" ht="15" x14ac:dyDescent="0.25">
      <c r="A86" s="239">
        <v>1370</v>
      </c>
      <c r="B86" s="239" t="s">
        <v>692</v>
      </c>
      <c r="C86" s="239" t="s">
        <v>693</v>
      </c>
      <c r="D86" s="239" t="s">
        <v>562</v>
      </c>
      <c r="E86" s="239" t="s">
        <v>563</v>
      </c>
      <c r="F86" s="239" t="s">
        <v>525</v>
      </c>
      <c r="G86" s="240">
        <v>53685.32</v>
      </c>
      <c r="H86" s="241">
        <v>32108</v>
      </c>
    </row>
    <row r="87" spans="1:8" ht="15" x14ac:dyDescent="0.25">
      <c r="A87" s="239">
        <v>1908</v>
      </c>
      <c r="B87" s="239" t="s">
        <v>694</v>
      </c>
      <c r="C87" s="239" t="s">
        <v>465</v>
      </c>
      <c r="D87" s="239" t="s">
        <v>695</v>
      </c>
      <c r="E87" s="239" t="s">
        <v>541</v>
      </c>
      <c r="F87" s="239" t="s">
        <v>528</v>
      </c>
      <c r="G87" s="240">
        <v>72819.600000000006</v>
      </c>
      <c r="H87" s="241">
        <v>30817</v>
      </c>
    </row>
    <row r="88" spans="1:8" ht="15" x14ac:dyDescent="0.25">
      <c r="A88" s="239">
        <v>1428</v>
      </c>
      <c r="B88" s="239" t="s">
        <v>696</v>
      </c>
      <c r="C88" s="239" t="s">
        <v>697</v>
      </c>
      <c r="D88" s="239" t="s">
        <v>674</v>
      </c>
      <c r="E88" s="239" t="s">
        <v>524</v>
      </c>
      <c r="F88" s="239" t="s">
        <v>525</v>
      </c>
      <c r="G88" s="240">
        <v>53721.15</v>
      </c>
      <c r="H88" s="241">
        <v>31728</v>
      </c>
    </row>
    <row r="89" spans="1:8" ht="15" x14ac:dyDescent="0.25">
      <c r="A89" s="239">
        <v>1352</v>
      </c>
      <c r="B89" s="239" t="s">
        <v>698</v>
      </c>
      <c r="C89" s="239" t="s">
        <v>699</v>
      </c>
      <c r="D89" s="239" t="s">
        <v>554</v>
      </c>
      <c r="E89" s="239" t="s">
        <v>524</v>
      </c>
      <c r="F89" s="239" t="s">
        <v>525</v>
      </c>
      <c r="G89" s="240">
        <v>31067.75</v>
      </c>
      <c r="H89" s="241">
        <v>30212</v>
      </c>
    </row>
    <row r="90" spans="1:8" ht="15" x14ac:dyDescent="0.25">
      <c r="A90" s="239">
        <v>1353</v>
      </c>
      <c r="B90" s="239" t="s">
        <v>700</v>
      </c>
      <c r="C90" s="239" t="s">
        <v>701</v>
      </c>
      <c r="D90" s="239" t="s">
        <v>691</v>
      </c>
      <c r="E90" s="239" t="s">
        <v>563</v>
      </c>
      <c r="F90" s="239" t="s">
        <v>525</v>
      </c>
      <c r="G90" s="240">
        <v>59455.199999999997</v>
      </c>
      <c r="H90" s="241">
        <v>30204</v>
      </c>
    </row>
    <row r="91" spans="1:8" ht="15" x14ac:dyDescent="0.25">
      <c r="A91" s="239">
        <v>1427</v>
      </c>
      <c r="B91" s="239" t="s">
        <v>702</v>
      </c>
      <c r="C91" s="239" t="s">
        <v>703</v>
      </c>
      <c r="D91" s="239" t="s">
        <v>691</v>
      </c>
      <c r="E91" s="239" t="s">
        <v>563</v>
      </c>
      <c r="F91" s="239" t="s">
        <v>518</v>
      </c>
      <c r="G91" s="240">
        <v>59455.199999999997</v>
      </c>
      <c r="H91" s="241">
        <v>28368</v>
      </c>
    </row>
    <row r="92" spans="1:8" ht="15" x14ac:dyDescent="0.25">
      <c r="A92" s="239">
        <v>1291</v>
      </c>
      <c r="B92" s="239" t="s">
        <v>704</v>
      </c>
      <c r="C92" s="239" t="s">
        <v>705</v>
      </c>
      <c r="D92" s="239" t="s">
        <v>540</v>
      </c>
      <c r="E92" s="239" t="s">
        <v>541</v>
      </c>
      <c r="F92" s="239" t="s">
        <v>525</v>
      </c>
      <c r="G92" s="240">
        <v>35785.660000000003</v>
      </c>
      <c r="H92" s="241">
        <v>31042</v>
      </c>
    </row>
    <row r="93" spans="1:8" ht="15" x14ac:dyDescent="0.25">
      <c r="A93" s="239">
        <v>1292</v>
      </c>
      <c r="B93" s="239" t="s">
        <v>706</v>
      </c>
      <c r="C93" s="239" t="s">
        <v>707</v>
      </c>
      <c r="D93" s="239" t="s">
        <v>533</v>
      </c>
      <c r="E93" s="239" t="s">
        <v>534</v>
      </c>
      <c r="F93" s="239" t="s">
        <v>525</v>
      </c>
      <c r="G93" s="240">
        <v>51339.72</v>
      </c>
      <c r="H93" s="241">
        <v>32101</v>
      </c>
    </row>
    <row r="94" spans="1:8" ht="15" x14ac:dyDescent="0.25">
      <c r="A94" s="239">
        <v>1725</v>
      </c>
      <c r="B94" s="239" t="s">
        <v>708</v>
      </c>
      <c r="C94" s="239" t="s">
        <v>595</v>
      </c>
      <c r="D94" s="239" t="s">
        <v>695</v>
      </c>
      <c r="E94" s="239" t="s">
        <v>541</v>
      </c>
      <c r="F94" s="239" t="s">
        <v>525</v>
      </c>
      <c r="G94" s="240">
        <v>79061.279999999999</v>
      </c>
      <c r="H94" s="241">
        <v>28533</v>
      </c>
    </row>
    <row r="95" spans="1:8" ht="15" x14ac:dyDescent="0.25">
      <c r="A95" s="239">
        <v>1302</v>
      </c>
      <c r="B95" s="239" t="s">
        <v>709</v>
      </c>
      <c r="C95" s="239" t="s">
        <v>668</v>
      </c>
      <c r="D95" s="239" t="s">
        <v>639</v>
      </c>
      <c r="E95" s="239" t="s">
        <v>524</v>
      </c>
      <c r="F95" s="239" t="s">
        <v>528</v>
      </c>
      <c r="G95" s="240">
        <v>79280.160000000003</v>
      </c>
      <c r="H95" s="241">
        <v>30892</v>
      </c>
    </row>
    <row r="96" spans="1:8" ht="15" x14ac:dyDescent="0.25">
      <c r="A96" s="239">
        <v>1301</v>
      </c>
      <c r="B96" s="239" t="s">
        <v>710</v>
      </c>
      <c r="C96" s="239" t="s">
        <v>711</v>
      </c>
      <c r="D96" s="239" t="s">
        <v>674</v>
      </c>
      <c r="E96" s="239" t="s">
        <v>524</v>
      </c>
      <c r="F96" s="239" t="s">
        <v>525</v>
      </c>
      <c r="G96" s="240">
        <v>58325.82</v>
      </c>
      <c r="H96" s="241">
        <v>31421</v>
      </c>
    </row>
    <row r="97" spans="1:8" ht="15" x14ac:dyDescent="0.25">
      <c r="A97" s="239">
        <v>1154</v>
      </c>
      <c r="B97" s="239" t="s">
        <v>712</v>
      </c>
      <c r="C97" s="239" t="s">
        <v>713</v>
      </c>
      <c r="D97" s="239" t="s">
        <v>530</v>
      </c>
      <c r="E97" s="239" t="s">
        <v>524</v>
      </c>
      <c r="F97" s="239" t="s">
        <v>518</v>
      </c>
      <c r="G97" s="240">
        <v>56177.3</v>
      </c>
      <c r="H97" s="241">
        <v>31965</v>
      </c>
    </row>
    <row r="98" spans="1:8" ht="15" x14ac:dyDescent="0.25">
      <c r="A98" s="239">
        <v>1303</v>
      </c>
      <c r="B98" s="239" t="s">
        <v>714</v>
      </c>
      <c r="C98" s="239" t="s">
        <v>715</v>
      </c>
      <c r="D98" s="239" t="s">
        <v>530</v>
      </c>
      <c r="E98" s="239" t="s">
        <v>524</v>
      </c>
      <c r="F98" s="239" t="s">
        <v>525</v>
      </c>
      <c r="G98" s="240">
        <v>56177.3</v>
      </c>
      <c r="H98" s="241">
        <v>32205</v>
      </c>
    </row>
    <row r="99" spans="1:8" ht="15" x14ac:dyDescent="0.25">
      <c r="A99" s="239">
        <v>1294</v>
      </c>
      <c r="B99" s="239" t="s">
        <v>22</v>
      </c>
      <c r="C99" s="239" t="s">
        <v>613</v>
      </c>
      <c r="D99" s="239" t="s">
        <v>626</v>
      </c>
      <c r="E99" s="239" t="s">
        <v>524</v>
      </c>
      <c r="F99" s="239" t="s">
        <v>528</v>
      </c>
      <c r="G99" s="240">
        <v>58357.65</v>
      </c>
      <c r="H99" s="241">
        <v>30931</v>
      </c>
    </row>
    <row r="100" spans="1:8" ht="15" x14ac:dyDescent="0.25">
      <c r="A100" s="239">
        <v>1293</v>
      </c>
      <c r="B100" s="239" t="s">
        <v>716</v>
      </c>
      <c r="C100" s="239" t="s">
        <v>717</v>
      </c>
      <c r="D100" s="239" t="s">
        <v>600</v>
      </c>
      <c r="E100" s="239" t="s">
        <v>524</v>
      </c>
      <c r="F100" s="239" t="s">
        <v>525</v>
      </c>
      <c r="G100" s="240">
        <v>40897.35</v>
      </c>
      <c r="H100" s="241">
        <v>30939</v>
      </c>
    </row>
    <row r="101" spans="1:8" ht="15" x14ac:dyDescent="0.25">
      <c r="A101" s="239">
        <v>1725</v>
      </c>
      <c r="B101" s="239" t="s">
        <v>718</v>
      </c>
      <c r="C101" s="239" t="s">
        <v>615</v>
      </c>
      <c r="D101" s="239" t="s">
        <v>659</v>
      </c>
      <c r="E101" s="239" t="s">
        <v>534</v>
      </c>
      <c r="F101" s="239" t="s">
        <v>518</v>
      </c>
      <c r="G101" s="240">
        <v>97096.35</v>
      </c>
      <c r="H101" s="241">
        <v>28523</v>
      </c>
    </row>
    <row r="102" spans="1:8" ht="15" x14ac:dyDescent="0.25">
      <c r="A102" s="239">
        <v>1724</v>
      </c>
      <c r="B102" s="239" t="s">
        <v>719</v>
      </c>
      <c r="C102" s="239" t="s">
        <v>591</v>
      </c>
      <c r="D102" s="239" t="s">
        <v>557</v>
      </c>
      <c r="E102" s="239" t="s">
        <v>534</v>
      </c>
      <c r="F102" s="239" t="s">
        <v>525</v>
      </c>
      <c r="G102" s="240">
        <v>58482.45</v>
      </c>
      <c r="H102" s="241">
        <v>28531</v>
      </c>
    </row>
    <row r="103" spans="1:8" ht="15" x14ac:dyDescent="0.25">
      <c r="A103" s="239">
        <v>1080</v>
      </c>
      <c r="B103" s="239" t="s">
        <v>720</v>
      </c>
      <c r="C103" s="239" t="s">
        <v>721</v>
      </c>
      <c r="D103" s="239" t="s">
        <v>562</v>
      </c>
      <c r="E103" s="239" t="s">
        <v>563</v>
      </c>
      <c r="F103" s="239" t="s">
        <v>525</v>
      </c>
      <c r="G103" s="240">
        <v>64738.18</v>
      </c>
      <c r="H103" s="241">
        <v>32445</v>
      </c>
    </row>
    <row r="104" spans="1:8" ht="15" x14ac:dyDescent="0.25">
      <c r="A104" s="239">
        <v>1968</v>
      </c>
      <c r="B104" s="239" t="s">
        <v>722</v>
      </c>
      <c r="C104" s="239" t="s">
        <v>723</v>
      </c>
      <c r="D104" s="239" t="s">
        <v>724</v>
      </c>
      <c r="E104" s="239" t="s">
        <v>541</v>
      </c>
      <c r="F104" s="239" t="s">
        <v>525</v>
      </c>
      <c r="G104" s="240">
        <v>65821.56</v>
      </c>
      <c r="H104" s="241">
        <v>30046</v>
      </c>
    </row>
    <row r="105" spans="1:8" ht="15" x14ac:dyDescent="0.25">
      <c r="A105" s="239">
        <v>1950</v>
      </c>
      <c r="B105" s="239" t="s">
        <v>725</v>
      </c>
      <c r="C105" s="239" t="s">
        <v>726</v>
      </c>
      <c r="D105" s="239" t="s">
        <v>659</v>
      </c>
      <c r="E105" s="239" t="s">
        <v>534</v>
      </c>
      <c r="F105" s="239" t="s">
        <v>528</v>
      </c>
      <c r="G105" s="240">
        <v>104565.3</v>
      </c>
      <c r="H105" s="241">
        <v>29863</v>
      </c>
    </row>
    <row r="106" spans="1:8" ht="15" x14ac:dyDescent="0.25">
      <c r="A106" s="239">
        <v>1949</v>
      </c>
      <c r="B106" s="239" t="s">
        <v>727</v>
      </c>
      <c r="C106" s="239" t="s">
        <v>728</v>
      </c>
      <c r="D106" s="239" t="s">
        <v>557</v>
      </c>
      <c r="E106" s="239" t="s">
        <v>534</v>
      </c>
      <c r="F106" s="239" t="s">
        <v>518</v>
      </c>
      <c r="G106" s="240">
        <v>62981.1</v>
      </c>
      <c r="H106" s="241">
        <v>29871</v>
      </c>
    </row>
    <row r="107" spans="1:8" ht="15" x14ac:dyDescent="0.25">
      <c r="A107" s="239">
        <v>1967</v>
      </c>
      <c r="B107" s="239" t="s">
        <v>729</v>
      </c>
      <c r="C107" s="239" t="s">
        <v>570</v>
      </c>
      <c r="D107" s="239" t="s">
        <v>533</v>
      </c>
      <c r="E107" s="239" t="s">
        <v>534</v>
      </c>
      <c r="F107" s="239" t="s">
        <v>518</v>
      </c>
      <c r="G107" s="240">
        <v>58277.52</v>
      </c>
      <c r="H107" s="241">
        <v>30054</v>
      </c>
    </row>
    <row r="108" spans="1:8" ht="15" x14ac:dyDescent="0.25">
      <c r="A108" s="239">
        <v>1969</v>
      </c>
      <c r="B108" s="239" t="s">
        <v>16</v>
      </c>
      <c r="C108" s="239" t="s">
        <v>730</v>
      </c>
      <c r="D108" s="239" t="s">
        <v>533</v>
      </c>
      <c r="E108" s="239" t="s">
        <v>534</v>
      </c>
      <c r="F108" s="239" t="s">
        <v>525</v>
      </c>
      <c r="G108" s="240">
        <v>58277.52</v>
      </c>
      <c r="H108" s="241">
        <v>32612</v>
      </c>
    </row>
    <row r="109" spans="1:8" ht="15" x14ac:dyDescent="0.25">
      <c r="A109" s="239">
        <v>1932</v>
      </c>
      <c r="B109" s="239" t="s">
        <v>731</v>
      </c>
      <c r="C109" s="239" t="s">
        <v>629</v>
      </c>
      <c r="D109" s="239" t="s">
        <v>537</v>
      </c>
      <c r="E109" s="239" t="s">
        <v>517</v>
      </c>
      <c r="F109" s="239" t="s">
        <v>528</v>
      </c>
      <c r="G109" s="240">
        <v>47852.639999999999</v>
      </c>
      <c r="H109" s="241">
        <v>32671</v>
      </c>
    </row>
    <row r="110" spans="1:8" ht="15" x14ac:dyDescent="0.25">
      <c r="A110" s="239">
        <v>1933</v>
      </c>
      <c r="B110" s="239" t="s">
        <v>732</v>
      </c>
      <c r="C110" s="239" t="s">
        <v>551</v>
      </c>
      <c r="D110" s="239" t="s">
        <v>674</v>
      </c>
      <c r="E110" s="239" t="s">
        <v>524</v>
      </c>
      <c r="F110" s="239" t="s">
        <v>528</v>
      </c>
      <c r="G110" s="240">
        <v>67535.16</v>
      </c>
      <c r="H110" s="241">
        <v>30689</v>
      </c>
    </row>
    <row r="111" spans="1:8" ht="15" x14ac:dyDescent="0.25">
      <c r="A111" s="239">
        <v>1354</v>
      </c>
      <c r="B111" s="239" t="s">
        <v>733</v>
      </c>
      <c r="C111" s="239" t="s">
        <v>734</v>
      </c>
      <c r="D111" s="239" t="s">
        <v>674</v>
      </c>
      <c r="E111" s="239" t="s">
        <v>524</v>
      </c>
      <c r="F111" s="239" t="s">
        <v>518</v>
      </c>
      <c r="G111" s="240">
        <v>69070.05</v>
      </c>
      <c r="H111" s="241">
        <v>31538</v>
      </c>
    </row>
    <row r="112" spans="1:8" ht="15" x14ac:dyDescent="0.25">
      <c r="A112" s="239">
        <v>1962</v>
      </c>
      <c r="B112" s="239" t="s">
        <v>735</v>
      </c>
      <c r="C112" s="239" t="s">
        <v>736</v>
      </c>
      <c r="D112" s="239" t="s">
        <v>533</v>
      </c>
      <c r="E112" s="239" t="s">
        <v>534</v>
      </c>
      <c r="F112" s="239" t="s">
        <v>525</v>
      </c>
      <c r="G112" s="240">
        <v>66602.880000000005</v>
      </c>
      <c r="H112" s="241">
        <v>32072</v>
      </c>
    </row>
    <row r="113" spans="1:8" ht="15" x14ac:dyDescent="0.25">
      <c r="A113" s="239">
        <v>1076</v>
      </c>
      <c r="B113" s="239" t="s">
        <v>737</v>
      </c>
      <c r="C113" s="239" t="s">
        <v>738</v>
      </c>
      <c r="D113" s="239" t="s">
        <v>581</v>
      </c>
      <c r="E113" s="239" t="s">
        <v>524</v>
      </c>
      <c r="F113" s="239" t="s">
        <v>518</v>
      </c>
      <c r="G113" s="240">
        <v>105753.02</v>
      </c>
      <c r="H113" s="241">
        <v>29066</v>
      </c>
    </row>
    <row r="114" spans="1:8" ht="15" x14ac:dyDescent="0.25">
      <c r="A114" s="239">
        <v>1696</v>
      </c>
      <c r="B114" s="239" t="s">
        <v>529</v>
      </c>
      <c r="C114" s="239" t="s">
        <v>739</v>
      </c>
      <c r="D114" s="239" t="s">
        <v>626</v>
      </c>
      <c r="E114" s="239" t="s">
        <v>524</v>
      </c>
      <c r="F114" s="239" t="s">
        <v>518</v>
      </c>
      <c r="G114" s="240">
        <v>79306.55</v>
      </c>
      <c r="H114" s="241">
        <v>30967</v>
      </c>
    </row>
    <row r="115" spans="1:8" ht="15" x14ac:dyDescent="0.25">
      <c r="A115" s="239">
        <v>1056</v>
      </c>
      <c r="B115" s="239" t="s">
        <v>740</v>
      </c>
      <c r="C115" s="239" t="s">
        <v>741</v>
      </c>
      <c r="D115" s="239" t="s">
        <v>695</v>
      </c>
      <c r="E115" s="239" t="s">
        <v>541</v>
      </c>
      <c r="F115" s="239" t="s">
        <v>518</v>
      </c>
      <c r="G115" s="240">
        <v>116511.36</v>
      </c>
      <c r="H115" s="241">
        <v>29153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38" t="s">
        <v>13</v>
      </c>
      <c r="B2" s="138" t="s">
        <v>14</v>
      </c>
      <c r="C2" s="138" t="s">
        <v>15</v>
      </c>
      <c r="D2" s="138">
        <v>5477</v>
      </c>
      <c r="E2" s="138" t="s">
        <v>16</v>
      </c>
    </row>
    <row r="3" spans="1:10" x14ac:dyDescent="0.25">
      <c r="A3" s="138" t="s">
        <v>13</v>
      </c>
      <c r="B3" s="138" t="s">
        <v>17</v>
      </c>
      <c r="C3" s="138" t="s">
        <v>18</v>
      </c>
      <c r="D3" s="138">
        <v>8012</v>
      </c>
      <c r="E3" s="138" t="s">
        <v>19</v>
      </c>
      <c r="G3" s="11" t="s">
        <v>7</v>
      </c>
      <c r="H3" s="11" t="s">
        <v>10</v>
      </c>
    </row>
    <row r="4" spans="1:10" x14ac:dyDescent="0.25">
      <c r="A4" s="138" t="s">
        <v>13</v>
      </c>
      <c r="B4" s="138" t="s">
        <v>14</v>
      </c>
      <c r="C4" s="138" t="s">
        <v>15</v>
      </c>
      <c r="D4" s="138">
        <v>9411</v>
      </c>
      <c r="E4" s="138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38" t="s">
        <v>13</v>
      </c>
      <c r="B5" s="138" t="s">
        <v>14</v>
      </c>
      <c r="C5" s="138" t="s">
        <v>15</v>
      </c>
      <c r="D5" s="138">
        <v>8089</v>
      </c>
      <c r="E5" s="138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38" t="s">
        <v>13</v>
      </c>
      <c r="B6" s="138" t="s">
        <v>17</v>
      </c>
      <c r="C6" s="138" t="s">
        <v>18</v>
      </c>
      <c r="D6" s="138">
        <v>9566</v>
      </c>
      <c r="E6" s="138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38" t="s">
        <v>21</v>
      </c>
      <c r="B7" s="138" t="s">
        <v>14</v>
      </c>
      <c r="C7" s="138" t="s">
        <v>15</v>
      </c>
      <c r="D7" s="138">
        <v>6805</v>
      </c>
      <c r="E7" s="138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38" t="s">
        <v>21</v>
      </c>
      <c r="B8" s="138" t="s">
        <v>17</v>
      </c>
      <c r="C8" s="138" t="s">
        <v>18</v>
      </c>
      <c r="D8" s="138">
        <v>6085</v>
      </c>
      <c r="E8" s="138" t="s">
        <v>20</v>
      </c>
    </row>
    <row r="9" spans="1:10" x14ac:dyDescent="0.25">
      <c r="A9" s="138" t="s">
        <v>21</v>
      </c>
      <c r="B9" s="138" t="s">
        <v>17</v>
      </c>
      <c r="C9" s="138" t="s">
        <v>18</v>
      </c>
      <c r="D9" s="138">
        <v>265</v>
      </c>
      <c r="E9" s="138" t="s">
        <v>19</v>
      </c>
    </row>
    <row r="10" spans="1:10" x14ac:dyDescent="0.25">
      <c r="A10" s="138" t="s">
        <v>21</v>
      </c>
      <c r="B10" s="138" t="s">
        <v>17</v>
      </c>
      <c r="C10" s="138" t="s">
        <v>15</v>
      </c>
      <c r="D10" s="138">
        <v>5575</v>
      </c>
      <c r="E10" s="138" t="s">
        <v>20</v>
      </c>
    </row>
    <row r="11" spans="1:10" x14ac:dyDescent="0.25">
      <c r="A11" s="138" t="s">
        <v>21</v>
      </c>
      <c r="B11" s="138" t="s">
        <v>14</v>
      </c>
      <c r="C11" s="138" t="s">
        <v>18</v>
      </c>
      <c r="D11" s="138">
        <v>5971</v>
      </c>
      <c r="E11" s="138" t="s">
        <v>22</v>
      </c>
    </row>
    <row r="12" spans="1:10" x14ac:dyDescent="0.25">
      <c r="A12" s="138" t="s">
        <v>21</v>
      </c>
      <c r="B12" s="138" t="s">
        <v>14</v>
      </c>
      <c r="C12" s="138" t="s">
        <v>18</v>
      </c>
      <c r="D12" s="138">
        <v>4046</v>
      </c>
      <c r="E12" s="138" t="s">
        <v>16</v>
      </c>
    </row>
    <row r="13" spans="1:10" x14ac:dyDescent="0.25">
      <c r="A13" s="138" t="s">
        <v>21</v>
      </c>
      <c r="B13" s="138" t="s">
        <v>17</v>
      </c>
      <c r="C13" s="138" t="s">
        <v>18</v>
      </c>
      <c r="D13" s="138">
        <v>1361</v>
      </c>
      <c r="E13" s="138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07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16">
        <v>120</v>
      </c>
      <c r="C6" s="108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16">
        <v>122.5</v>
      </c>
      <c r="C7" s="108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16">
        <v>125</v>
      </c>
      <c r="C8" s="108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16">
        <v>127.5</v>
      </c>
      <c r="C9" s="108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16">
        <v>130</v>
      </c>
      <c r="C10" s="108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16">
        <v>132.5</v>
      </c>
      <c r="C11" s="108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16">
        <v>135</v>
      </c>
      <c r="C12" s="108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16">
        <v>137.5</v>
      </c>
      <c r="C13" s="108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16">
        <v>140</v>
      </c>
      <c r="C14" s="108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16">
        <v>142.5</v>
      </c>
      <c r="C15" s="108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16">
        <v>145</v>
      </c>
      <c r="C16" s="108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16">
        <v>147.5</v>
      </c>
      <c r="C17" s="108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16">
        <v>150</v>
      </c>
      <c r="C18" s="108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16">
        <v>152.5</v>
      </c>
      <c r="C19" s="108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16">
        <v>155</v>
      </c>
      <c r="C20" s="108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183"/>
    <col min="2" max="2" width="24.7109375" style="183" customWidth="1"/>
    <col min="3" max="3" width="35.7109375" style="183" customWidth="1"/>
    <col min="4" max="16384" width="9.140625" style="183"/>
  </cols>
  <sheetData>
    <row r="2" spans="2:3" x14ac:dyDescent="0.25">
      <c r="B2" s="255" t="s">
        <v>351</v>
      </c>
      <c r="C2" s="255"/>
    </row>
    <row r="4" spans="2:3" ht="39.950000000000003" customHeight="1" x14ac:dyDescent="0.25">
      <c r="B4" s="184" t="s">
        <v>352</v>
      </c>
      <c r="C4" s="184" t="s">
        <v>357</v>
      </c>
    </row>
    <row r="5" spans="2:3" ht="39.950000000000003" customHeight="1" x14ac:dyDescent="0.25">
      <c r="B5" s="184" t="s">
        <v>353</v>
      </c>
      <c r="C5" s="185" t="s">
        <v>356</v>
      </c>
    </row>
    <row r="6" spans="2:3" ht="39.950000000000003" customHeight="1" x14ac:dyDescent="0.25">
      <c r="B6" s="184" t="s">
        <v>354</v>
      </c>
      <c r="C6" s="185" t="s">
        <v>358</v>
      </c>
    </row>
    <row r="7" spans="2:3" ht="39.950000000000003" customHeight="1" x14ac:dyDescent="0.25">
      <c r="B7" s="184" t="s">
        <v>355</v>
      </c>
      <c r="C7" s="185" t="s">
        <v>359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0" customWidth="1"/>
    <col min="2" max="2" width="12.140625" style="110" bestFit="1" customWidth="1"/>
    <col min="3" max="3" width="17.28515625" style="110" bestFit="1" customWidth="1"/>
    <col min="4" max="4" width="8.28515625" style="110" bestFit="1" customWidth="1"/>
    <col min="5" max="16384" width="9.140625" style="110"/>
  </cols>
  <sheetData>
    <row r="1" spans="1:4" x14ac:dyDescent="0.2">
      <c r="A1" s="113" t="s">
        <v>321</v>
      </c>
      <c r="B1" s="111"/>
      <c r="C1" s="111"/>
      <c r="D1" s="111"/>
    </row>
    <row r="2" spans="1:4" ht="15" x14ac:dyDescent="0.25">
      <c r="A2" s="111" t="s">
        <v>320</v>
      </c>
      <c r="B2" s="114">
        <v>20000</v>
      </c>
      <c r="C2" s="111"/>
      <c r="D2" s="111"/>
    </row>
    <row r="3" spans="1:4" ht="15" x14ac:dyDescent="0.25">
      <c r="A3" s="111" t="s">
        <v>313</v>
      </c>
      <c r="B3" s="114">
        <v>1000</v>
      </c>
      <c r="C3" s="111"/>
      <c r="D3" s="111"/>
    </row>
    <row r="4" spans="1:4" x14ac:dyDescent="0.2">
      <c r="A4" s="111"/>
      <c r="B4" s="111"/>
      <c r="C4" s="111"/>
      <c r="D4" s="111"/>
    </row>
    <row r="5" spans="1:4" ht="15" x14ac:dyDescent="0.25">
      <c r="A5" s="113" t="s">
        <v>319</v>
      </c>
      <c r="B5" s="114"/>
      <c r="C5" s="111"/>
      <c r="D5" s="111"/>
    </row>
    <row r="6" spans="1:4" ht="15" x14ac:dyDescent="0.25">
      <c r="A6" s="111" t="s">
        <v>318</v>
      </c>
      <c r="B6" s="114">
        <v>1345</v>
      </c>
      <c r="C6" s="111"/>
      <c r="D6" s="111"/>
    </row>
    <row r="7" spans="1:4" ht="15" x14ac:dyDescent="0.25">
      <c r="A7" s="111" t="s">
        <v>317</v>
      </c>
      <c r="B7" s="114">
        <v>1883</v>
      </c>
      <c r="C7" s="111"/>
      <c r="D7" s="111"/>
    </row>
    <row r="8" spans="1:4" ht="15" x14ac:dyDescent="0.25">
      <c r="A8" s="111" t="s">
        <v>316</v>
      </c>
      <c r="B8" s="115">
        <v>0.21</v>
      </c>
      <c r="C8" s="111"/>
      <c r="D8" s="111"/>
    </row>
    <row r="9" spans="1:4" ht="15" x14ac:dyDescent="0.25">
      <c r="A9" s="111"/>
      <c r="B9" s="115"/>
      <c r="C9" s="111"/>
      <c r="D9" s="111"/>
    </row>
    <row r="10" spans="1:4" x14ac:dyDescent="0.2">
      <c r="A10" s="113" t="s">
        <v>315</v>
      </c>
      <c r="B10" s="111"/>
      <c r="C10" s="111"/>
      <c r="D10" s="111"/>
    </row>
    <row r="11" spans="1:4" ht="15" x14ac:dyDescent="0.25">
      <c r="A11" s="111" t="s">
        <v>314</v>
      </c>
      <c r="B11" s="114">
        <f>B8*B2</f>
        <v>4200</v>
      </c>
      <c r="C11" s="111"/>
      <c r="D11" s="111"/>
    </row>
    <row r="12" spans="1:4" ht="15" x14ac:dyDescent="0.25">
      <c r="A12" s="111" t="s">
        <v>313</v>
      </c>
      <c r="B12" s="114">
        <f>B3</f>
        <v>1000</v>
      </c>
      <c r="C12" s="111"/>
      <c r="D12" s="111"/>
    </row>
    <row r="13" spans="1:4" ht="15" x14ac:dyDescent="0.25">
      <c r="A13" s="111" t="s">
        <v>312</v>
      </c>
      <c r="B13" s="114">
        <f>B11-B12</f>
        <v>3200</v>
      </c>
      <c r="C13" s="111"/>
      <c r="D13" s="111"/>
    </row>
    <row r="14" spans="1:4" ht="15" x14ac:dyDescent="0.25">
      <c r="A14" s="111" t="s">
        <v>311</v>
      </c>
      <c r="B14" s="114">
        <f>IF(B13&lt;0,0,IF(B13&gt;B7,0,IF(B13&lt;=B6,B13,2.5*(B7-B13))))</f>
        <v>0</v>
      </c>
      <c r="C14" s="111"/>
      <c r="D14" s="111"/>
    </row>
    <row r="15" spans="1:4" x14ac:dyDescent="0.2">
      <c r="A15" s="113" t="str">
        <f>IF(B13&lt;0,"Terug te ontvangen","Te betalen")</f>
        <v>Te betalen</v>
      </c>
      <c r="B15" s="112">
        <f>ABS(B13-B14)</f>
        <v>3200</v>
      </c>
      <c r="C15" s="111"/>
      <c r="D15" s="111"/>
    </row>
    <row r="16" spans="1:4" x14ac:dyDescent="0.2">
      <c r="A16" s="111"/>
      <c r="B16" s="111"/>
      <c r="C16" s="111"/>
      <c r="D16" s="111"/>
    </row>
  </sheetData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B43D-2AC5-4C89-BA6D-ADA9CB3194A9}">
  <dimension ref="A1:C6"/>
  <sheetViews>
    <sheetView workbookViewId="0">
      <selection activeCell="A2" sqref="A2"/>
    </sheetView>
  </sheetViews>
  <sheetFormatPr defaultRowHeight="15" x14ac:dyDescent="0.25"/>
  <cols>
    <col min="1" max="1" width="7.85546875" style="183" customWidth="1"/>
    <col min="2" max="2" width="7" style="183" customWidth="1"/>
    <col min="3" max="3" width="8.7109375" style="183" customWidth="1"/>
    <col min="4" max="16384" width="9.140625" style="183"/>
  </cols>
  <sheetData>
    <row r="1" spans="1:3" x14ac:dyDescent="0.25">
      <c r="A1" s="183" t="s">
        <v>445</v>
      </c>
      <c r="B1" s="183" t="s">
        <v>446</v>
      </c>
      <c r="C1" s="183" t="s">
        <v>447</v>
      </c>
    </row>
    <row r="2" spans="1:3" x14ac:dyDescent="0.25">
      <c r="A2" s="183" t="s">
        <v>448</v>
      </c>
      <c r="B2" s="183">
        <v>5</v>
      </c>
      <c r="C2" s="183">
        <v>3</v>
      </c>
    </row>
    <row r="3" spans="1:3" x14ac:dyDescent="0.25">
      <c r="A3" s="183" t="s">
        <v>449</v>
      </c>
      <c r="B3" s="183">
        <v>10</v>
      </c>
      <c r="C3" s="183">
        <v>5</v>
      </c>
    </row>
    <row r="4" spans="1:3" x14ac:dyDescent="0.25">
      <c r="A4" s="183" t="s">
        <v>450</v>
      </c>
      <c r="B4" s="183">
        <v>9</v>
      </c>
      <c r="C4" s="183">
        <v>9</v>
      </c>
    </row>
    <row r="5" spans="1:3" x14ac:dyDescent="0.25">
      <c r="A5" s="183" t="s">
        <v>451</v>
      </c>
      <c r="B5" s="183">
        <v>6</v>
      </c>
      <c r="C5" s="183">
        <v>5</v>
      </c>
    </row>
    <row r="6" spans="1:3" x14ac:dyDescent="0.25">
      <c r="A6" s="183" t="s">
        <v>452</v>
      </c>
      <c r="B6" s="183">
        <v>1</v>
      </c>
      <c r="C6" s="183">
        <v>7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75BF-4E95-4D52-B4F5-51DDFD9EBC06}">
  <dimension ref="A1:C11"/>
  <sheetViews>
    <sheetView workbookViewId="0">
      <selection activeCell="A13" sqref="A13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8.7109375" bestFit="1" customWidth="1"/>
  </cols>
  <sheetData>
    <row r="1" spans="1:3" x14ac:dyDescent="0.25">
      <c r="A1" t="s">
        <v>445</v>
      </c>
      <c r="B1" t="s">
        <v>300</v>
      </c>
      <c r="C1" t="s">
        <v>173</v>
      </c>
    </row>
    <row r="2" spans="1:3" x14ac:dyDescent="0.25">
      <c r="A2" s="105" t="s">
        <v>448</v>
      </c>
      <c r="B2" s="105" t="s">
        <v>446</v>
      </c>
      <c r="C2" s="209">
        <v>5</v>
      </c>
    </row>
    <row r="3" spans="1:3" x14ac:dyDescent="0.25">
      <c r="A3" s="105" t="s">
        <v>448</v>
      </c>
      <c r="B3" s="105" t="s">
        <v>447</v>
      </c>
      <c r="C3" s="209">
        <v>3</v>
      </c>
    </row>
    <row r="4" spans="1:3" x14ac:dyDescent="0.25">
      <c r="A4" s="105" t="s">
        <v>449</v>
      </c>
      <c r="B4" s="105" t="s">
        <v>446</v>
      </c>
      <c r="C4" s="209">
        <v>10</v>
      </c>
    </row>
    <row r="5" spans="1:3" x14ac:dyDescent="0.25">
      <c r="A5" s="105" t="s">
        <v>449</v>
      </c>
      <c r="B5" s="105" t="s">
        <v>447</v>
      </c>
      <c r="C5" s="209">
        <v>5</v>
      </c>
    </row>
    <row r="6" spans="1:3" x14ac:dyDescent="0.25">
      <c r="A6" s="105" t="s">
        <v>450</v>
      </c>
      <c r="B6" s="105" t="s">
        <v>446</v>
      </c>
      <c r="C6" s="209">
        <v>9</v>
      </c>
    </row>
    <row r="7" spans="1:3" x14ac:dyDescent="0.25">
      <c r="A7" s="105" t="s">
        <v>450</v>
      </c>
      <c r="B7" s="105" t="s">
        <v>447</v>
      </c>
      <c r="C7" s="209">
        <v>9</v>
      </c>
    </row>
    <row r="8" spans="1:3" x14ac:dyDescent="0.25">
      <c r="A8" s="105" t="s">
        <v>451</v>
      </c>
      <c r="B8" s="105" t="s">
        <v>446</v>
      </c>
      <c r="C8" s="209">
        <v>6</v>
      </c>
    </row>
    <row r="9" spans="1:3" x14ac:dyDescent="0.25">
      <c r="A9" s="105" t="s">
        <v>451</v>
      </c>
      <c r="B9" s="105" t="s">
        <v>447</v>
      </c>
      <c r="C9" s="209">
        <v>5</v>
      </c>
    </row>
    <row r="10" spans="1:3" x14ac:dyDescent="0.25">
      <c r="A10" s="105" t="s">
        <v>452</v>
      </c>
      <c r="B10" s="105" t="s">
        <v>446</v>
      </c>
      <c r="C10" s="209">
        <v>1</v>
      </c>
    </row>
    <row r="11" spans="1:3" x14ac:dyDescent="0.25">
      <c r="A11" s="105" t="s">
        <v>452</v>
      </c>
      <c r="B11" s="105" t="s">
        <v>447</v>
      </c>
      <c r="C11" s="209">
        <v>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3AA9-6E7B-4480-BA88-3D7CD0F7C908}">
  <dimension ref="A1:E6"/>
  <sheetViews>
    <sheetView workbookViewId="0">
      <selection sqref="A1:E6"/>
    </sheetView>
  </sheetViews>
  <sheetFormatPr defaultRowHeight="15" x14ac:dyDescent="0.25"/>
  <cols>
    <col min="1" max="1" width="9.140625" style="183"/>
    <col min="2" max="2" width="12.42578125" style="183" customWidth="1"/>
    <col min="3" max="3" width="14.140625" style="183" customWidth="1"/>
    <col min="4" max="4" width="12.42578125" style="183" customWidth="1"/>
    <col min="5" max="5" width="14.140625" style="183" customWidth="1"/>
    <col min="6" max="16384" width="9.140625" style="183"/>
  </cols>
  <sheetData>
    <row r="1" spans="1:5" x14ac:dyDescent="0.25">
      <c r="A1" s="183" t="s">
        <v>445</v>
      </c>
      <c r="B1" s="183" t="s">
        <v>453</v>
      </c>
      <c r="C1" s="183" t="s">
        <v>454</v>
      </c>
      <c r="D1" s="183" t="s">
        <v>455</v>
      </c>
      <c r="E1" s="183" t="s">
        <v>456</v>
      </c>
    </row>
    <row r="2" spans="1:5" x14ac:dyDescent="0.25">
      <c r="A2" s="183" t="s">
        <v>448</v>
      </c>
      <c r="B2" s="183">
        <v>2</v>
      </c>
      <c r="C2" s="183">
        <v>1</v>
      </c>
      <c r="D2" s="183">
        <v>3</v>
      </c>
      <c r="E2" s="183">
        <v>2</v>
      </c>
    </row>
    <row r="3" spans="1:5" x14ac:dyDescent="0.25">
      <c r="A3" s="183" t="s">
        <v>449</v>
      </c>
      <c r="B3" s="183">
        <v>5</v>
      </c>
      <c r="C3" s="183">
        <v>2</v>
      </c>
      <c r="D3" s="183">
        <v>5</v>
      </c>
      <c r="E3" s="183">
        <v>3</v>
      </c>
    </row>
    <row r="4" spans="1:5" x14ac:dyDescent="0.25">
      <c r="A4" s="183" t="s">
        <v>450</v>
      </c>
      <c r="B4" s="183">
        <v>6</v>
      </c>
      <c r="C4" s="183">
        <v>5</v>
      </c>
      <c r="D4" s="183">
        <v>3</v>
      </c>
      <c r="E4" s="183">
        <v>4</v>
      </c>
    </row>
    <row r="5" spans="1:5" x14ac:dyDescent="0.25">
      <c r="A5" s="183" t="s">
        <v>451</v>
      </c>
      <c r="B5" s="183">
        <v>2</v>
      </c>
      <c r="C5" s="183">
        <v>4</v>
      </c>
      <c r="D5" s="183">
        <v>4</v>
      </c>
      <c r="E5" s="183">
        <v>1</v>
      </c>
    </row>
    <row r="6" spans="1:5" x14ac:dyDescent="0.25">
      <c r="A6" s="183" t="s">
        <v>452</v>
      </c>
      <c r="B6" s="183">
        <v>0</v>
      </c>
      <c r="C6" s="183">
        <v>2</v>
      </c>
      <c r="D6" s="183">
        <v>1</v>
      </c>
      <c r="E6" s="183">
        <v>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8B82-4BEA-4065-9F1C-2E7CED68D1B2}">
  <dimension ref="A1:D21"/>
  <sheetViews>
    <sheetView workbookViewId="0">
      <selection activeCell="M14" sqref="M1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6.7109375" bestFit="1" customWidth="1"/>
    <col min="4" max="4" width="8.7109375" bestFit="1" customWidth="1"/>
  </cols>
  <sheetData>
    <row r="1" spans="1:4" x14ac:dyDescent="0.25">
      <c r="A1" t="s">
        <v>445</v>
      </c>
      <c r="B1" t="s">
        <v>300</v>
      </c>
      <c r="C1" t="s">
        <v>457</v>
      </c>
      <c r="D1" t="s">
        <v>173</v>
      </c>
    </row>
    <row r="2" spans="1:4" x14ac:dyDescent="0.25">
      <c r="A2" s="105" t="s">
        <v>448</v>
      </c>
      <c r="B2" s="105" t="s">
        <v>446</v>
      </c>
      <c r="C2" s="105" t="s">
        <v>458</v>
      </c>
      <c r="D2" s="209">
        <v>2</v>
      </c>
    </row>
    <row r="3" spans="1:4" x14ac:dyDescent="0.25">
      <c r="A3" s="105" t="s">
        <v>448</v>
      </c>
      <c r="B3" s="105" t="s">
        <v>447</v>
      </c>
      <c r="C3" s="105" t="s">
        <v>458</v>
      </c>
      <c r="D3" s="209">
        <v>1</v>
      </c>
    </row>
    <row r="4" spans="1:4" x14ac:dyDescent="0.25">
      <c r="A4" s="105" t="s">
        <v>448</v>
      </c>
      <c r="B4" s="105" t="s">
        <v>446</v>
      </c>
      <c r="C4" s="105" t="s">
        <v>459</v>
      </c>
      <c r="D4" s="209">
        <v>3</v>
      </c>
    </row>
    <row r="5" spans="1:4" x14ac:dyDescent="0.25">
      <c r="A5" s="105" t="s">
        <v>448</v>
      </c>
      <c r="B5" s="105" t="s">
        <v>447</v>
      </c>
      <c r="C5" s="105" t="s">
        <v>459</v>
      </c>
      <c r="D5" s="209">
        <v>2</v>
      </c>
    </row>
    <row r="6" spans="1:4" x14ac:dyDescent="0.25">
      <c r="A6" s="105" t="s">
        <v>449</v>
      </c>
      <c r="B6" s="105" t="s">
        <v>446</v>
      </c>
      <c r="C6" s="105" t="s">
        <v>458</v>
      </c>
      <c r="D6" s="209">
        <v>5</v>
      </c>
    </row>
    <row r="7" spans="1:4" x14ac:dyDescent="0.25">
      <c r="A7" s="105" t="s">
        <v>449</v>
      </c>
      <c r="B7" s="105" t="s">
        <v>447</v>
      </c>
      <c r="C7" s="105" t="s">
        <v>458</v>
      </c>
      <c r="D7" s="209">
        <v>2</v>
      </c>
    </row>
    <row r="8" spans="1:4" x14ac:dyDescent="0.25">
      <c r="A8" s="105" t="s">
        <v>449</v>
      </c>
      <c r="B8" s="105" t="s">
        <v>446</v>
      </c>
      <c r="C8" s="105" t="s">
        <v>459</v>
      </c>
      <c r="D8" s="209">
        <v>5</v>
      </c>
    </row>
    <row r="9" spans="1:4" x14ac:dyDescent="0.25">
      <c r="A9" s="105" t="s">
        <v>449</v>
      </c>
      <c r="B9" s="105" t="s">
        <v>447</v>
      </c>
      <c r="C9" s="105" t="s">
        <v>459</v>
      </c>
      <c r="D9" s="209">
        <v>3</v>
      </c>
    </row>
    <row r="10" spans="1:4" x14ac:dyDescent="0.25">
      <c r="A10" s="105" t="s">
        <v>450</v>
      </c>
      <c r="B10" s="105" t="s">
        <v>446</v>
      </c>
      <c r="C10" s="105" t="s">
        <v>458</v>
      </c>
      <c r="D10" s="209">
        <v>6</v>
      </c>
    </row>
    <row r="11" spans="1:4" x14ac:dyDescent="0.25">
      <c r="A11" s="105" t="s">
        <v>450</v>
      </c>
      <c r="B11" s="105" t="s">
        <v>447</v>
      </c>
      <c r="C11" s="105" t="s">
        <v>458</v>
      </c>
      <c r="D11" s="209">
        <v>5</v>
      </c>
    </row>
    <row r="12" spans="1:4" x14ac:dyDescent="0.25">
      <c r="A12" s="105" t="s">
        <v>450</v>
      </c>
      <c r="B12" s="105" t="s">
        <v>446</v>
      </c>
      <c r="C12" s="105" t="s">
        <v>459</v>
      </c>
      <c r="D12" s="209">
        <v>3</v>
      </c>
    </row>
    <row r="13" spans="1:4" x14ac:dyDescent="0.25">
      <c r="A13" s="105" t="s">
        <v>450</v>
      </c>
      <c r="B13" s="105" t="s">
        <v>447</v>
      </c>
      <c r="C13" s="105" t="s">
        <v>459</v>
      </c>
      <c r="D13" s="209">
        <v>4</v>
      </c>
    </row>
    <row r="14" spans="1:4" x14ac:dyDescent="0.25">
      <c r="A14" s="105" t="s">
        <v>451</v>
      </c>
      <c r="B14" s="105" t="s">
        <v>446</v>
      </c>
      <c r="C14" s="105" t="s">
        <v>458</v>
      </c>
      <c r="D14" s="209">
        <v>2</v>
      </c>
    </row>
    <row r="15" spans="1:4" x14ac:dyDescent="0.25">
      <c r="A15" s="105" t="s">
        <v>451</v>
      </c>
      <c r="B15" s="105" t="s">
        <v>447</v>
      </c>
      <c r="C15" s="105" t="s">
        <v>458</v>
      </c>
      <c r="D15" s="209">
        <v>4</v>
      </c>
    </row>
    <row r="16" spans="1:4" x14ac:dyDescent="0.25">
      <c r="A16" s="105" t="s">
        <v>451</v>
      </c>
      <c r="B16" s="105" t="s">
        <v>446</v>
      </c>
      <c r="C16" s="105" t="s">
        <v>459</v>
      </c>
      <c r="D16" s="209">
        <v>4</v>
      </c>
    </row>
    <row r="17" spans="1:4" x14ac:dyDescent="0.25">
      <c r="A17" s="105" t="s">
        <v>451</v>
      </c>
      <c r="B17" s="105" t="s">
        <v>447</v>
      </c>
      <c r="C17" s="105" t="s">
        <v>459</v>
      </c>
      <c r="D17" s="209">
        <v>1</v>
      </c>
    </row>
    <row r="18" spans="1:4" x14ac:dyDescent="0.25">
      <c r="A18" s="105" t="s">
        <v>452</v>
      </c>
      <c r="B18" s="105" t="s">
        <v>446</v>
      </c>
      <c r="C18" s="105" t="s">
        <v>458</v>
      </c>
      <c r="D18" s="209">
        <v>0</v>
      </c>
    </row>
    <row r="19" spans="1:4" x14ac:dyDescent="0.25">
      <c r="A19" s="105" t="s">
        <v>452</v>
      </c>
      <c r="B19" s="105" t="s">
        <v>447</v>
      </c>
      <c r="C19" s="105" t="s">
        <v>458</v>
      </c>
      <c r="D19" s="209">
        <v>2</v>
      </c>
    </row>
    <row r="20" spans="1:4" x14ac:dyDescent="0.25">
      <c r="A20" s="105" t="s">
        <v>452</v>
      </c>
      <c r="B20" s="105" t="s">
        <v>446</v>
      </c>
      <c r="C20" s="105" t="s">
        <v>459</v>
      </c>
      <c r="D20" s="209">
        <v>1</v>
      </c>
    </row>
    <row r="21" spans="1:4" x14ac:dyDescent="0.25">
      <c r="A21" s="105" t="s">
        <v>452</v>
      </c>
      <c r="B21" s="105" t="s">
        <v>447</v>
      </c>
      <c r="C21" s="105" t="s">
        <v>459</v>
      </c>
      <c r="D21" s="209">
        <v>5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A9CA-0710-476F-87CD-114CF151E1A5}">
  <dimension ref="A1:G11"/>
  <sheetViews>
    <sheetView workbookViewId="0">
      <selection activeCell="A6" sqref="A6"/>
    </sheetView>
  </sheetViews>
  <sheetFormatPr defaultRowHeight="15" x14ac:dyDescent="0.25"/>
  <cols>
    <col min="1" max="1" width="9.7109375" style="183" customWidth="1"/>
    <col min="2" max="2" width="12.7109375" style="183" customWidth="1"/>
    <col min="3" max="7" width="7.5703125" style="183" customWidth="1"/>
    <col min="8" max="16384" width="9.140625" style="183"/>
  </cols>
  <sheetData>
    <row r="1" spans="1:7" x14ac:dyDescent="0.25">
      <c r="A1" s="183" t="s">
        <v>460</v>
      </c>
      <c r="B1" s="183" t="s">
        <v>461</v>
      </c>
      <c r="C1" s="183" t="s">
        <v>458</v>
      </c>
      <c r="D1" s="183" t="s">
        <v>459</v>
      </c>
      <c r="E1" s="183" t="s">
        <v>462</v>
      </c>
      <c r="F1" s="183" t="s">
        <v>463</v>
      </c>
      <c r="G1" s="183" t="s">
        <v>464</v>
      </c>
    </row>
    <row r="2" spans="1:7" x14ac:dyDescent="0.25">
      <c r="A2" s="183" t="s">
        <v>471</v>
      </c>
      <c r="B2" s="183" t="s">
        <v>466</v>
      </c>
      <c r="C2" s="183" t="s">
        <v>449</v>
      </c>
      <c r="G2" s="183" t="s">
        <v>448</v>
      </c>
    </row>
    <row r="3" spans="1:7" x14ac:dyDescent="0.25">
      <c r="A3" s="183" t="s">
        <v>471</v>
      </c>
      <c r="B3" s="183" t="s">
        <v>467</v>
      </c>
      <c r="C3" s="183" t="s">
        <v>449</v>
      </c>
      <c r="G3" s="183" t="s">
        <v>450</v>
      </c>
    </row>
    <row r="4" spans="1:7" x14ac:dyDescent="0.25">
      <c r="A4" s="183" t="s">
        <v>465</v>
      </c>
      <c r="B4" s="183" t="s">
        <v>466</v>
      </c>
      <c r="C4" s="183" t="s">
        <v>448</v>
      </c>
      <c r="E4" s="183" t="s">
        <v>449</v>
      </c>
    </row>
    <row r="5" spans="1:7" x14ac:dyDescent="0.25">
      <c r="A5" s="183" t="s">
        <v>465</v>
      </c>
      <c r="B5" s="183" t="s">
        <v>467</v>
      </c>
      <c r="C5" s="183" t="s">
        <v>450</v>
      </c>
      <c r="E5" s="183" t="s">
        <v>450</v>
      </c>
    </row>
    <row r="6" spans="1:7" x14ac:dyDescent="0.25">
      <c r="A6" s="183" t="s">
        <v>469</v>
      </c>
      <c r="B6" s="183" t="s">
        <v>466</v>
      </c>
      <c r="D6" s="183" t="s">
        <v>450</v>
      </c>
      <c r="G6" s="183" t="s">
        <v>449</v>
      </c>
    </row>
    <row r="7" spans="1:7" x14ac:dyDescent="0.25">
      <c r="A7" s="183" t="s">
        <v>469</v>
      </c>
      <c r="B7" s="183" t="s">
        <v>467</v>
      </c>
      <c r="D7" s="183" t="s">
        <v>448</v>
      </c>
      <c r="G7" s="183" t="s">
        <v>448</v>
      </c>
    </row>
    <row r="8" spans="1:7" x14ac:dyDescent="0.25">
      <c r="A8" s="183" t="s">
        <v>470</v>
      </c>
      <c r="B8" s="183" t="s">
        <v>466</v>
      </c>
      <c r="E8" s="183" t="s">
        <v>450</v>
      </c>
      <c r="F8" s="183" t="s">
        <v>448</v>
      </c>
    </row>
    <row r="9" spans="1:7" x14ac:dyDescent="0.25">
      <c r="A9" s="183" t="s">
        <v>470</v>
      </c>
      <c r="B9" s="183" t="s">
        <v>467</v>
      </c>
      <c r="E9" s="183" t="s">
        <v>450</v>
      </c>
      <c r="F9" s="183" t="s">
        <v>448</v>
      </c>
    </row>
    <row r="10" spans="1:7" x14ac:dyDescent="0.25">
      <c r="A10" s="183" t="s">
        <v>468</v>
      </c>
      <c r="B10" s="183" t="s">
        <v>466</v>
      </c>
      <c r="D10" s="183" t="s">
        <v>451</v>
      </c>
      <c r="F10" s="183" t="s">
        <v>448</v>
      </c>
    </row>
    <row r="11" spans="1:7" x14ac:dyDescent="0.25">
      <c r="A11" s="183" t="s">
        <v>468</v>
      </c>
      <c r="B11" s="183" t="s">
        <v>467</v>
      </c>
      <c r="D11" s="183" t="s">
        <v>452</v>
      </c>
      <c r="F11" s="183" t="s">
        <v>450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D71C-75A9-4A25-B468-F1B6224D81B8}">
  <dimension ref="A1:D11"/>
  <sheetViews>
    <sheetView workbookViewId="0">
      <selection activeCell="C2" sqref="C2:D11"/>
    </sheetView>
  </sheetViews>
  <sheetFormatPr defaultRowHeight="15" x14ac:dyDescent="0.25"/>
  <cols>
    <col min="1" max="1" width="8.140625" bestFit="1" customWidth="1"/>
    <col min="2" max="2" width="6.7109375" bestFit="1" customWidth="1"/>
    <col min="3" max="3" width="13.7109375" bestFit="1" customWidth="1"/>
    <col min="4" max="4" width="11.85546875" bestFit="1" customWidth="1"/>
    <col min="5" max="5" width="6.7109375" bestFit="1" customWidth="1"/>
    <col min="6" max="7" width="10.28515625" bestFit="1" customWidth="1"/>
  </cols>
  <sheetData>
    <row r="1" spans="1:4" x14ac:dyDescent="0.25">
      <c r="A1" t="s">
        <v>460</v>
      </c>
      <c r="B1" t="s">
        <v>457</v>
      </c>
      <c r="C1" t="s">
        <v>466</v>
      </c>
      <c r="D1" t="s">
        <v>467</v>
      </c>
    </row>
    <row r="2" spans="1:4" x14ac:dyDescent="0.25">
      <c r="A2" s="105" t="s">
        <v>471</v>
      </c>
      <c r="B2" s="105" t="s">
        <v>458</v>
      </c>
      <c r="C2" s="105" t="s">
        <v>449</v>
      </c>
      <c r="D2" s="105" t="s">
        <v>449</v>
      </c>
    </row>
    <row r="3" spans="1:4" x14ac:dyDescent="0.25">
      <c r="A3" s="105" t="s">
        <v>471</v>
      </c>
      <c r="B3" s="105" t="s">
        <v>464</v>
      </c>
      <c r="C3" s="105" t="s">
        <v>448</v>
      </c>
      <c r="D3" s="105" t="s">
        <v>450</v>
      </c>
    </row>
    <row r="4" spans="1:4" x14ac:dyDescent="0.25">
      <c r="A4" s="105" t="s">
        <v>465</v>
      </c>
      <c r="B4" s="105" t="s">
        <v>458</v>
      </c>
      <c r="C4" s="105" t="s">
        <v>448</v>
      </c>
      <c r="D4" s="105" t="s">
        <v>450</v>
      </c>
    </row>
    <row r="5" spans="1:4" x14ac:dyDescent="0.25">
      <c r="A5" s="105" t="s">
        <v>465</v>
      </c>
      <c r="B5" s="105" t="s">
        <v>462</v>
      </c>
      <c r="C5" s="105" t="s">
        <v>449</v>
      </c>
      <c r="D5" s="105" t="s">
        <v>450</v>
      </c>
    </row>
    <row r="6" spans="1:4" x14ac:dyDescent="0.25">
      <c r="A6" s="105" t="s">
        <v>469</v>
      </c>
      <c r="B6" s="105" t="s">
        <v>459</v>
      </c>
      <c r="C6" s="105" t="s">
        <v>450</v>
      </c>
      <c r="D6" s="105" t="s">
        <v>448</v>
      </c>
    </row>
    <row r="7" spans="1:4" x14ac:dyDescent="0.25">
      <c r="A7" s="105" t="s">
        <v>469</v>
      </c>
      <c r="B7" s="105" t="s">
        <v>464</v>
      </c>
      <c r="C7" s="105" t="s">
        <v>449</v>
      </c>
      <c r="D7" s="105" t="s">
        <v>448</v>
      </c>
    </row>
    <row r="8" spans="1:4" x14ac:dyDescent="0.25">
      <c r="A8" s="105" t="s">
        <v>470</v>
      </c>
      <c r="B8" s="105" t="s">
        <v>462</v>
      </c>
      <c r="C8" s="105" t="s">
        <v>450</v>
      </c>
      <c r="D8" s="105" t="s">
        <v>450</v>
      </c>
    </row>
    <row r="9" spans="1:4" x14ac:dyDescent="0.25">
      <c r="A9" s="105" t="s">
        <v>470</v>
      </c>
      <c r="B9" s="105" t="s">
        <v>463</v>
      </c>
      <c r="C9" s="105" t="s">
        <v>448</v>
      </c>
      <c r="D9" s="105" t="s">
        <v>448</v>
      </c>
    </row>
    <row r="10" spans="1:4" x14ac:dyDescent="0.25">
      <c r="A10" s="105" t="s">
        <v>468</v>
      </c>
      <c r="B10" s="105" t="s">
        <v>459</v>
      </c>
      <c r="C10" s="105" t="s">
        <v>451</v>
      </c>
      <c r="D10" s="105" t="s">
        <v>452</v>
      </c>
    </row>
    <row r="11" spans="1:4" x14ac:dyDescent="0.25">
      <c r="A11" s="105" t="s">
        <v>468</v>
      </c>
      <c r="B11" s="105" t="s">
        <v>463</v>
      </c>
      <c r="C11" s="105" t="s">
        <v>448</v>
      </c>
      <c r="D11" s="105" t="s">
        <v>450</v>
      </c>
    </row>
  </sheetData>
  <phoneticPr fontId="39" type="noConversion"/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39">
        <v>375</v>
      </c>
      <c r="E4" s="139">
        <v>360</v>
      </c>
      <c r="F4" s="139">
        <f>E4-D4</f>
        <v>-15</v>
      </c>
    </row>
    <row r="5" spans="1:6" x14ac:dyDescent="0.15">
      <c r="A5" s="59" t="s">
        <v>205</v>
      </c>
      <c r="C5" s="56" t="s">
        <v>213</v>
      </c>
      <c r="D5" s="139">
        <v>150</v>
      </c>
      <c r="E5" s="139">
        <v>90</v>
      </c>
      <c r="F5" s="139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39">
        <v>75</v>
      </c>
      <c r="E6" s="139">
        <v>145</v>
      </c>
      <c r="F6" s="139">
        <f t="shared" si="0"/>
        <v>70</v>
      </c>
    </row>
    <row r="7" spans="1:6" ht="11.25" thickBot="1" x14ac:dyDescent="0.2">
      <c r="A7" s="61" t="s">
        <v>207</v>
      </c>
      <c r="D7" s="140">
        <f>SUM(D4:D6)</f>
        <v>600</v>
      </c>
      <c r="E7" s="140">
        <f t="shared" ref="E7:F7" si="1">SUM(E4:E6)</f>
        <v>595</v>
      </c>
      <c r="F7" s="140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56" t="s">
        <v>224</v>
      </c>
      <c r="C14" s="64" t="s">
        <v>218</v>
      </c>
      <c r="D14" s="64"/>
      <c r="E14" s="64"/>
      <c r="F14" s="64"/>
    </row>
    <row r="15" spans="1:6" x14ac:dyDescent="0.15">
      <c r="B15" s="257"/>
      <c r="C15" s="64" t="s">
        <v>219</v>
      </c>
      <c r="D15" s="64"/>
      <c r="E15" s="64"/>
      <c r="F15" s="64"/>
    </row>
    <row r="16" spans="1:6" x14ac:dyDescent="0.15">
      <c r="B16" s="258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41">
        <v>100</v>
      </c>
      <c r="C2" s="141">
        <v>190</v>
      </c>
      <c r="D2" s="141">
        <v>280</v>
      </c>
      <c r="E2" s="141">
        <v>410</v>
      </c>
      <c r="F2" s="141">
        <v>500</v>
      </c>
      <c r="G2" s="141">
        <v>530</v>
      </c>
    </row>
    <row r="3" spans="1:7" x14ac:dyDescent="0.2">
      <c r="A3" s="42" t="s">
        <v>139</v>
      </c>
      <c r="B3" s="141">
        <v>340</v>
      </c>
      <c r="C3" s="141">
        <v>420</v>
      </c>
      <c r="D3" s="141">
        <v>430</v>
      </c>
      <c r="E3" s="141">
        <v>410</v>
      </c>
      <c r="F3" s="141">
        <v>450</v>
      </c>
      <c r="G3" s="141">
        <v>480</v>
      </c>
    </row>
    <row r="4" spans="1:7" x14ac:dyDescent="0.2">
      <c r="A4" s="42" t="s">
        <v>140</v>
      </c>
      <c r="B4" s="141">
        <v>210</v>
      </c>
      <c r="C4" s="141">
        <v>230</v>
      </c>
      <c r="D4" s="141">
        <v>230</v>
      </c>
      <c r="E4" s="141">
        <v>240</v>
      </c>
      <c r="F4" s="141">
        <v>280</v>
      </c>
      <c r="G4" s="141">
        <v>290</v>
      </c>
    </row>
  </sheetData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5" bestFit="1" customWidth="1"/>
    <col min="2" max="3" width="9.140625" style="105"/>
    <col min="4" max="4" width="13.28515625" style="105" bestFit="1" customWidth="1"/>
    <col min="5" max="5" width="11.5703125" style="105" bestFit="1" customWidth="1"/>
    <col min="6" max="16384" width="9.140625" style="105"/>
  </cols>
  <sheetData>
    <row r="1" spans="1:5" ht="18.75" x14ac:dyDescent="0.3">
      <c r="A1" s="259" t="s">
        <v>125</v>
      </c>
      <c r="B1" s="260"/>
      <c r="C1" s="260"/>
      <c r="D1" s="260"/>
      <c r="E1" s="260"/>
    </row>
    <row r="3" spans="1:5" x14ac:dyDescent="0.25">
      <c r="A3" s="179" t="s">
        <v>126</v>
      </c>
      <c r="B3" s="180" t="s">
        <v>115</v>
      </c>
      <c r="C3" s="180" t="s">
        <v>116</v>
      </c>
    </row>
    <row r="4" spans="1:5" ht="15.75" thickBot="1" x14ac:dyDescent="0.3">
      <c r="A4" s="105" t="s">
        <v>114</v>
      </c>
      <c r="B4" s="142">
        <v>1</v>
      </c>
      <c r="C4" s="142">
        <v>1</v>
      </c>
      <c r="D4" s="180" t="s">
        <v>118</v>
      </c>
    </row>
    <row r="5" spans="1:5" ht="15.75" thickBot="1" x14ac:dyDescent="0.3">
      <c r="A5" s="105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81"/>
      <c r="C6" s="181"/>
      <c r="D6" s="182"/>
    </row>
    <row r="7" spans="1:5" x14ac:dyDescent="0.25">
      <c r="A7" s="179" t="s">
        <v>124</v>
      </c>
      <c r="D7" s="180" t="s">
        <v>120</v>
      </c>
      <c r="E7" s="180" t="s">
        <v>122</v>
      </c>
    </row>
    <row r="8" spans="1:5" x14ac:dyDescent="0.25">
      <c r="A8" s="105" t="s">
        <v>119</v>
      </c>
      <c r="B8" s="135">
        <v>1</v>
      </c>
      <c r="C8" s="135">
        <v>2</v>
      </c>
      <c r="D8" s="143">
        <f>B8*B4+C8*C4</f>
        <v>3</v>
      </c>
      <c r="E8" s="135">
        <v>32</v>
      </c>
    </row>
    <row r="9" spans="1:5" x14ac:dyDescent="0.25">
      <c r="A9" s="105" t="s">
        <v>121</v>
      </c>
      <c r="B9" s="135">
        <v>3</v>
      </c>
      <c r="C9" s="135">
        <v>4</v>
      </c>
      <c r="D9" s="135">
        <f>B9*B4+C9*C4</f>
        <v>7</v>
      </c>
      <c r="E9" s="135">
        <v>84</v>
      </c>
    </row>
    <row r="10" spans="1:5" x14ac:dyDescent="0.25">
      <c r="A10" s="105" t="s">
        <v>123</v>
      </c>
      <c r="D10" s="135">
        <f>C4</f>
        <v>1</v>
      </c>
      <c r="E10" s="135">
        <v>12</v>
      </c>
    </row>
  </sheetData>
  <mergeCells count="1">
    <mergeCell ref="A1:E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92A1-3125-4722-A5F4-76EF50501C5F}">
  <dimension ref="A1:E7"/>
  <sheetViews>
    <sheetView workbookViewId="0">
      <selection activeCell="E2" sqref="E2"/>
    </sheetView>
  </sheetViews>
  <sheetFormatPr defaultRowHeight="15" x14ac:dyDescent="0.25"/>
  <cols>
    <col min="1" max="1" width="12.7109375" customWidth="1"/>
    <col min="2" max="2" width="7.7109375" customWidth="1"/>
    <col min="4" max="4" width="12.7109375" customWidth="1"/>
    <col min="5" max="5" width="7.7109375" customWidth="1"/>
  </cols>
  <sheetData>
    <row r="1" spans="1:5" x14ac:dyDescent="0.25">
      <c r="A1" s="245" t="s">
        <v>742</v>
      </c>
      <c r="B1" s="245" t="s">
        <v>227</v>
      </c>
      <c r="D1" t="s">
        <v>742</v>
      </c>
      <c r="E1" t="s">
        <v>227</v>
      </c>
    </row>
    <row r="2" spans="1:5" x14ac:dyDescent="0.25">
      <c r="A2" s="216">
        <v>0</v>
      </c>
      <c r="B2" s="243">
        <v>0</v>
      </c>
      <c r="D2" s="216">
        <v>18</v>
      </c>
      <c r="E2" s="244">
        <f>_xlfn.XLOOKUP(D2,A2:A7,B2:B7,,-1)</f>
        <v>0.1</v>
      </c>
    </row>
    <row r="3" spans="1:5" x14ac:dyDescent="0.25">
      <c r="A3" s="216">
        <v>5</v>
      </c>
      <c r="B3" s="243">
        <v>0.05</v>
      </c>
    </row>
    <row r="4" spans="1:5" x14ac:dyDescent="0.25">
      <c r="A4" s="216">
        <v>10</v>
      </c>
      <c r="B4" s="243">
        <v>0.1</v>
      </c>
    </row>
    <row r="5" spans="1:5" x14ac:dyDescent="0.25">
      <c r="A5" s="216">
        <v>20</v>
      </c>
      <c r="B5" s="243">
        <v>0.15</v>
      </c>
    </row>
    <row r="6" spans="1:5" x14ac:dyDescent="0.25">
      <c r="A6" s="216">
        <v>40</v>
      </c>
      <c r="B6" s="243">
        <v>0.2</v>
      </c>
    </row>
    <row r="7" spans="1:5" x14ac:dyDescent="0.25">
      <c r="A7" s="216">
        <v>80</v>
      </c>
      <c r="B7" s="243">
        <v>0.25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EF55-ED21-4426-87FF-2E8A9DFC5185}">
  <dimension ref="A1:K88"/>
  <sheetViews>
    <sheetView workbookViewId="0">
      <selection activeCell="H2" sqref="H2"/>
    </sheetView>
  </sheetViews>
  <sheetFormatPr defaultRowHeight="15" x14ac:dyDescent="0.25"/>
  <cols>
    <col min="1" max="1" width="29.85546875" bestFit="1" customWidth="1"/>
    <col min="2" max="2" width="8" customWidth="1"/>
    <col min="3" max="4" width="8.140625" customWidth="1"/>
    <col min="5" max="5" width="8.5703125" customWidth="1"/>
    <col min="7" max="7" width="10.42578125" bestFit="1" customWidth="1"/>
  </cols>
  <sheetData>
    <row r="1" spans="1:11" x14ac:dyDescent="0.25">
      <c r="A1" t="s">
        <v>472</v>
      </c>
      <c r="B1" t="s">
        <v>743</v>
      </c>
      <c r="C1" t="s">
        <v>744</v>
      </c>
      <c r="D1" t="s">
        <v>745</v>
      </c>
      <c r="E1" t="s">
        <v>247</v>
      </c>
      <c r="G1" t="s">
        <v>472</v>
      </c>
      <c r="H1" t="s">
        <v>743</v>
      </c>
      <c r="I1" t="s">
        <v>744</v>
      </c>
      <c r="J1" t="s">
        <v>745</v>
      </c>
      <c r="K1" t="s">
        <v>247</v>
      </c>
    </row>
    <row r="2" spans="1:11" x14ac:dyDescent="0.25">
      <c r="A2" t="s">
        <v>746</v>
      </c>
      <c r="B2">
        <v>46</v>
      </c>
      <c r="C2">
        <v>37</v>
      </c>
      <c r="D2">
        <v>38</v>
      </c>
      <c r="E2">
        <f>SUM(B2:D2)</f>
        <v>121</v>
      </c>
      <c r="G2" t="s">
        <v>478</v>
      </c>
      <c r="H2" cm="1">
        <f t="array" ref="H2:K2">_xlfn.XLOOKUP(G2,Medailles[Land],Medailles[Goud]:Medailles[Totaal])</f>
        <v>8</v>
      </c>
      <c r="I2">
        <v>7</v>
      </c>
      <c r="J2">
        <v>4</v>
      </c>
      <c r="K2">
        <v>19</v>
      </c>
    </row>
    <row r="3" spans="1:11" x14ac:dyDescent="0.25">
      <c r="A3" t="s">
        <v>747</v>
      </c>
      <c r="B3">
        <v>27</v>
      </c>
      <c r="C3">
        <v>23</v>
      </c>
      <c r="D3">
        <v>17</v>
      </c>
      <c r="E3">
        <f t="shared" ref="E3:E66" si="0">SUM(B3:D3)</f>
        <v>67</v>
      </c>
    </row>
    <row r="4" spans="1:11" x14ac:dyDescent="0.25">
      <c r="A4" t="s">
        <v>748</v>
      </c>
      <c r="B4">
        <v>26</v>
      </c>
      <c r="C4">
        <v>18</v>
      </c>
      <c r="D4">
        <v>26</v>
      </c>
      <c r="E4">
        <f t="shared" si="0"/>
        <v>70</v>
      </c>
    </row>
    <row r="5" spans="1:11" x14ac:dyDescent="0.25">
      <c r="A5" t="s">
        <v>749</v>
      </c>
      <c r="B5">
        <v>19</v>
      </c>
      <c r="C5">
        <v>18</v>
      </c>
      <c r="D5">
        <v>19</v>
      </c>
      <c r="E5">
        <f t="shared" si="0"/>
        <v>56</v>
      </c>
    </row>
    <row r="6" spans="1:11" x14ac:dyDescent="0.25">
      <c r="A6" t="s">
        <v>750</v>
      </c>
      <c r="B6">
        <v>17</v>
      </c>
      <c r="C6">
        <v>10</v>
      </c>
      <c r="D6">
        <v>15</v>
      </c>
      <c r="E6">
        <f t="shared" si="0"/>
        <v>42</v>
      </c>
    </row>
    <row r="7" spans="1:11" x14ac:dyDescent="0.25">
      <c r="A7" t="s">
        <v>751</v>
      </c>
      <c r="B7">
        <v>12</v>
      </c>
      <c r="C7">
        <v>8</v>
      </c>
      <c r="D7">
        <v>21</v>
      </c>
      <c r="E7">
        <f t="shared" si="0"/>
        <v>41</v>
      </c>
    </row>
    <row r="8" spans="1:11" x14ac:dyDescent="0.25">
      <c r="A8" t="s">
        <v>752</v>
      </c>
      <c r="B8">
        <v>10</v>
      </c>
      <c r="C8">
        <v>18</v>
      </c>
      <c r="D8">
        <v>14</v>
      </c>
      <c r="E8">
        <f t="shared" si="0"/>
        <v>42</v>
      </c>
    </row>
    <row r="9" spans="1:11" x14ac:dyDescent="0.25">
      <c r="A9" t="s">
        <v>753</v>
      </c>
      <c r="B9">
        <v>9</v>
      </c>
      <c r="C9">
        <v>3</v>
      </c>
      <c r="D9">
        <v>9</v>
      </c>
      <c r="E9">
        <f t="shared" si="0"/>
        <v>21</v>
      </c>
    </row>
    <row r="10" spans="1:11" x14ac:dyDescent="0.25">
      <c r="A10" t="s">
        <v>754</v>
      </c>
      <c r="B10">
        <v>8</v>
      </c>
      <c r="C10">
        <v>12</v>
      </c>
      <c r="D10">
        <v>8</v>
      </c>
      <c r="E10">
        <f t="shared" si="0"/>
        <v>28</v>
      </c>
    </row>
    <row r="11" spans="1:11" x14ac:dyDescent="0.25">
      <c r="A11" t="s">
        <v>755</v>
      </c>
      <c r="B11">
        <v>8</v>
      </c>
      <c r="C11">
        <v>11</v>
      </c>
      <c r="D11">
        <v>10</v>
      </c>
      <c r="E11">
        <f t="shared" si="0"/>
        <v>29</v>
      </c>
    </row>
    <row r="12" spans="1:11" x14ac:dyDescent="0.25">
      <c r="A12" t="s">
        <v>478</v>
      </c>
      <c r="B12">
        <v>8</v>
      </c>
      <c r="C12">
        <v>7</v>
      </c>
      <c r="D12">
        <v>4</v>
      </c>
      <c r="E12">
        <f t="shared" si="0"/>
        <v>19</v>
      </c>
    </row>
    <row r="13" spans="1:11" x14ac:dyDescent="0.25">
      <c r="A13" t="s">
        <v>756</v>
      </c>
      <c r="B13">
        <v>8</v>
      </c>
      <c r="C13">
        <v>3</v>
      </c>
      <c r="D13">
        <v>4</v>
      </c>
      <c r="E13">
        <f t="shared" si="0"/>
        <v>15</v>
      </c>
    </row>
    <row r="14" spans="1:11" x14ac:dyDescent="0.25">
      <c r="A14" t="s">
        <v>757</v>
      </c>
      <c r="B14">
        <v>7</v>
      </c>
      <c r="C14">
        <v>6</v>
      </c>
      <c r="D14">
        <v>6</v>
      </c>
      <c r="E14">
        <f t="shared" si="0"/>
        <v>19</v>
      </c>
    </row>
    <row r="15" spans="1:11" x14ac:dyDescent="0.25">
      <c r="A15" t="s">
        <v>758</v>
      </c>
      <c r="B15">
        <v>7</v>
      </c>
      <c r="C15">
        <v>4</v>
      </c>
      <c r="D15">
        <v>6</v>
      </c>
      <c r="E15">
        <f t="shared" si="0"/>
        <v>17</v>
      </c>
    </row>
    <row r="16" spans="1:11" x14ac:dyDescent="0.25">
      <c r="A16" t="s">
        <v>759</v>
      </c>
      <c r="B16">
        <v>6</v>
      </c>
      <c r="C16">
        <v>6</v>
      </c>
      <c r="D16">
        <v>1</v>
      </c>
      <c r="E16">
        <f t="shared" si="0"/>
        <v>13</v>
      </c>
    </row>
    <row r="17" spans="1:5" x14ac:dyDescent="0.25">
      <c r="A17" t="s">
        <v>760</v>
      </c>
      <c r="B17">
        <v>6</v>
      </c>
      <c r="C17">
        <v>3</v>
      </c>
      <c r="D17">
        <v>2</v>
      </c>
      <c r="E17">
        <f t="shared" si="0"/>
        <v>11</v>
      </c>
    </row>
    <row r="18" spans="1:5" x14ac:dyDescent="0.25">
      <c r="A18" t="s">
        <v>761</v>
      </c>
      <c r="B18">
        <v>5</v>
      </c>
      <c r="C18">
        <v>3</v>
      </c>
      <c r="D18">
        <v>2</v>
      </c>
      <c r="E18">
        <f t="shared" si="0"/>
        <v>10</v>
      </c>
    </row>
    <row r="19" spans="1:5" x14ac:dyDescent="0.25">
      <c r="A19" t="s">
        <v>762</v>
      </c>
      <c r="B19">
        <v>5</v>
      </c>
      <c r="C19">
        <v>2</v>
      </c>
      <c r="D19">
        <v>4</v>
      </c>
      <c r="E19">
        <f t="shared" si="0"/>
        <v>11</v>
      </c>
    </row>
    <row r="20" spans="1:5" x14ac:dyDescent="0.25">
      <c r="A20" t="s">
        <v>763</v>
      </c>
      <c r="B20">
        <v>4</v>
      </c>
      <c r="C20">
        <v>9</v>
      </c>
      <c r="D20">
        <v>5</v>
      </c>
      <c r="E20">
        <f t="shared" si="0"/>
        <v>18</v>
      </c>
    </row>
    <row r="21" spans="1:5" x14ac:dyDescent="0.25">
      <c r="A21" t="s">
        <v>764</v>
      </c>
      <c r="B21">
        <v>4</v>
      </c>
      <c r="C21">
        <v>3</v>
      </c>
      <c r="D21">
        <v>15</v>
      </c>
      <c r="E21">
        <f t="shared" si="0"/>
        <v>22</v>
      </c>
    </row>
    <row r="22" spans="1:5" x14ac:dyDescent="0.25">
      <c r="A22" t="s">
        <v>765</v>
      </c>
      <c r="B22">
        <v>4</v>
      </c>
      <c r="C22">
        <v>2</v>
      </c>
      <c r="D22">
        <v>7</v>
      </c>
      <c r="E22">
        <f t="shared" si="0"/>
        <v>13</v>
      </c>
    </row>
    <row r="23" spans="1:5" x14ac:dyDescent="0.25">
      <c r="A23" t="s">
        <v>766</v>
      </c>
      <c r="B23">
        <v>3</v>
      </c>
      <c r="C23">
        <v>5</v>
      </c>
      <c r="D23">
        <v>9</v>
      </c>
      <c r="E23">
        <f t="shared" si="0"/>
        <v>17</v>
      </c>
    </row>
    <row r="24" spans="1:5" x14ac:dyDescent="0.25">
      <c r="A24" t="s">
        <v>767</v>
      </c>
      <c r="B24">
        <v>3</v>
      </c>
      <c r="C24">
        <v>2</v>
      </c>
      <c r="D24">
        <v>3</v>
      </c>
      <c r="E24">
        <f t="shared" si="0"/>
        <v>8</v>
      </c>
    </row>
    <row r="25" spans="1:5" x14ac:dyDescent="0.25">
      <c r="A25" t="s">
        <v>768</v>
      </c>
      <c r="B25">
        <v>3</v>
      </c>
      <c r="C25">
        <v>2</v>
      </c>
      <c r="D25">
        <v>2</v>
      </c>
      <c r="E25">
        <f t="shared" si="0"/>
        <v>7</v>
      </c>
    </row>
    <row r="26" spans="1:5" x14ac:dyDescent="0.25">
      <c r="A26" t="s">
        <v>769</v>
      </c>
      <c r="B26">
        <v>3</v>
      </c>
      <c r="C26">
        <v>1</v>
      </c>
      <c r="D26">
        <v>4</v>
      </c>
      <c r="E26">
        <f t="shared" si="0"/>
        <v>8</v>
      </c>
    </row>
    <row r="27" spans="1:5" x14ac:dyDescent="0.25">
      <c r="A27" t="s">
        <v>770</v>
      </c>
      <c r="B27">
        <v>3</v>
      </c>
      <c r="C27">
        <v>1</v>
      </c>
      <c r="D27">
        <v>2</v>
      </c>
      <c r="E27">
        <f t="shared" si="0"/>
        <v>6</v>
      </c>
    </row>
    <row r="28" spans="1:5" x14ac:dyDescent="0.25">
      <c r="A28" t="s">
        <v>771</v>
      </c>
      <c r="B28">
        <v>3</v>
      </c>
      <c r="C28">
        <v>1</v>
      </c>
      <c r="D28">
        <v>0</v>
      </c>
      <c r="E28">
        <f t="shared" si="0"/>
        <v>4</v>
      </c>
    </row>
    <row r="29" spans="1:5" x14ac:dyDescent="0.25">
      <c r="A29" t="s">
        <v>772</v>
      </c>
      <c r="B29">
        <v>2</v>
      </c>
      <c r="C29">
        <v>6</v>
      </c>
      <c r="D29">
        <v>7</v>
      </c>
      <c r="E29">
        <f t="shared" si="0"/>
        <v>15</v>
      </c>
    </row>
    <row r="30" spans="1:5" x14ac:dyDescent="0.25">
      <c r="A30" t="s">
        <v>773</v>
      </c>
      <c r="B30">
        <v>2</v>
      </c>
      <c r="C30">
        <v>6</v>
      </c>
      <c r="D30">
        <v>3</v>
      </c>
      <c r="E30">
        <f t="shared" si="0"/>
        <v>11</v>
      </c>
    </row>
    <row r="31" spans="1:5" x14ac:dyDescent="0.25">
      <c r="A31" t="s">
        <v>774</v>
      </c>
      <c r="B31">
        <v>2</v>
      </c>
      <c r="C31">
        <v>6</v>
      </c>
      <c r="D31">
        <v>2</v>
      </c>
      <c r="E31">
        <f t="shared" si="0"/>
        <v>10</v>
      </c>
    </row>
    <row r="32" spans="1:5" x14ac:dyDescent="0.25">
      <c r="A32" t="s">
        <v>775</v>
      </c>
      <c r="B32">
        <v>2</v>
      </c>
      <c r="C32">
        <v>5</v>
      </c>
      <c r="D32">
        <v>4</v>
      </c>
      <c r="E32">
        <f t="shared" si="0"/>
        <v>11</v>
      </c>
    </row>
    <row r="33" spans="1:5" x14ac:dyDescent="0.25">
      <c r="A33" t="s">
        <v>776</v>
      </c>
      <c r="B33">
        <v>2</v>
      </c>
      <c r="C33">
        <v>4</v>
      </c>
      <c r="D33">
        <v>2</v>
      </c>
      <c r="E33">
        <f t="shared" si="0"/>
        <v>8</v>
      </c>
    </row>
    <row r="34" spans="1:5" x14ac:dyDescent="0.25">
      <c r="A34" t="s">
        <v>777</v>
      </c>
      <c r="B34">
        <v>2</v>
      </c>
      <c r="C34">
        <v>3</v>
      </c>
      <c r="D34">
        <v>6</v>
      </c>
      <c r="E34">
        <f t="shared" si="0"/>
        <v>11</v>
      </c>
    </row>
    <row r="35" spans="1:5" x14ac:dyDescent="0.25">
      <c r="A35" t="s">
        <v>778</v>
      </c>
      <c r="B35">
        <v>2</v>
      </c>
      <c r="C35">
        <v>3</v>
      </c>
      <c r="D35">
        <v>2</v>
      </c>
      <c r="E35">
        <f t="shared" si="0"/>
        <v>7</v>
      </c>
    </row>
    <row r="36" spans="1:5" x14ac:dyDescent="0.25">
      <c r="A36" t="s">
        <v>474</v>
      </c>
      <c r="B36">
        <v>2</v>
      </c>
      <c r="C36">
        <v>2</v>
      </c>
      <c r="D36">
        <v>2</v>
      </c>
      <c r="E36">
        <f t="shared" si="0"/>
        <v>6</v>
      </c>
    </row>
    <row r="37" spans="1:5" x14ac:dyDescent="0.25">
      <c r="A37" t="s">
        <v>779</v>
      </c>
      <c r="B37">
        <v>2</v>
      </c>
      <c r="C37">
        <v>2</v>
      </c>
      <c r="D37">
        <v>2</v>
      </c>
      <c r="E37">
        <f t="shared" si="0"/>
        <v>6</v>
      </c>
    </row>
    <row r="38" spans="1:5" x14ac:dyDescent="0.25">
      <c r="A38" t="s">
        <v>780</v>
      </c>
      <c r="B38">
        <v>2</v>
      </c>
      <c r="C38">
        <v>2</v>
      </c>
      <c r="D38">
        <v>0</v>
      </c>
      <c r="E38">
        <f t="shared" si="0"/>
        <v>4</v>
      </c>
    </row>
    <row r="39" spans="1:5" x14ac:dyDescent="0.25">
      <c r="A39" t="s">
        <v>781</v>
      </c>
      <c r="B39">
        <v>2</v>
      </c>
      <c r="C39">
        <v>1</v>
      </c>
      <c r="D39">
        <v>4</v>
      </c>
      <c r="E39">
        <f t="shared" si="0"/>
        <v>7</v>
      </c>
    </row>
    <row r="40" spans="1:5" x14ac:dyDescent="0.25">
      <c r="A40" t="s">
        <v>782</v>
      </c>
      <c r="B40">
        <v>1</v>
      </c>
      <c r="C40">
        <v>7</v>
      </c>
      <c r="D40">
        <v>10</v>
      </c>
      <c r="E40">
        <f t="shared" si="0"/>
        <v>18</v>
      </c>
    </row>
    <row r="41" spans="1:5" x14ac:dyDescent="0.25">
      <c r="A41" t="s">
        <v>783</v>
      </c>
      <c r="B41">
        <v>1</v>
      </c>
      <c r="C41">
        <v>4</v>
      </c>
      <c r="D41">
        <v>4</v>
      </c>
      <c r="E41">
        <f t="shared" si="0"/>
        <v>9</v>
      </c>
    </row>
    <row r="42" spans="1:5" x14ac:dyDescent="0.25">
      <c r="A42" t="s">
        <v>784</v>
      </c>
      <c r="B42">
        <v>1</v>
      </c>
      <c r="C42">
        <v>3</v>
      </c>
      <c r="D42">
        <v>4</v>
      </c>
      <c r="E42">
        <f t="shared" si="0"/>
        <v>8</v>
      </c>
    </row>
    <row r="43" spans="1:5" x14ac:dyDescent="0.25">
      <c r="A43" t="s">
        <v>785</v>
      </c>
      <c r="B43">
        <v>1</v>
      </c>
      <c r="C43">
        <v>3</v>
      </c>
      <c r="D43">
        <v>0</v>
      </c>
      <c r="E43">
        <f t="shared" si="0"/>
        <v>4</v>
      </c>
    </row>
    <row r="44" spans="1:5" x14ac:dyDescent="0.25">
      <c r="A44" t="s">
        <v>786</v>
      </c>
      <c r="B44">
        <v>1</v>
      </c>
      <c r="C44">
        <v>2</v>
      </c>
      <c r="D44">
        <v>7</v>
      </c>
      <c r="E44">
        <f t="shared" si="0"/>
        <v>10</v>
      </c>
    </row>
    <row r="45" spans="1:5" x14ac:dyDescent="0.25">
      <c r="A45" t="s">
        <v>787</v>
      </c>
      <c r="B45">
        <v>1</v>
      </c>
      <c r="C45">
        <v>2</v>
      </c>
      <c r="D45">
        <v>5</v>
      </c>
      <c r="E45">
        <f t="shared" si="0"/>
        <v>8</v>
      </c>
    </row>
    <row r="46" spans="1:5" x14ac:dyDescent="0.25">
      <c r="A46" t="s">
        <v>788</v>
      </c>
      <c r="B46">
        <v>1</v>
      </c>
      <c r="C46">
        <v>2</v>
      </c>
      <c r="D46">
        <v>1</v>
      </c>
      <c r="E46">
        <f t="shared" si="0"/>
        <v>4</v>
      </c>
    </row>
    <row r="47" spans="1:5" x14ac:dyDescent="0.25">
      <c r="A47" t="s">
        <v>789</v>
      </c>
      <c r="B47">
        <v>1</v>
      </c>
      <c r="C47">
        <v>2</v>
      </c>
      <c r="D47">
        <v>0</v>
      </c>
      <c r="E47">
        <f t="shared" si="0"/>
        <v>3</v>
      </c>
    </row>
    <row r="48" spans="1:5" x14ac:dyDescent="0.25">
      <c r="A48" t="s">
        <v>790</v>
      </c>
      <c r="B48">
        <v>1</v>
      </c>
      <c r="C48">
        <v>1</v>
      </c>
      <c r="D48">
        <v>3</v>
      </c>
      <c r="E48">
        <f t="shared" si="0"/>
        <v>5</v>
      </c>
    </row>
    <row r="49" spans="1:5" x14ac:dyDescent="0.25">
      <c r="A49" t="s">
        <v>791</v>
      </c>
      <c r="B49">
        <v>1</v>
      </c>
      <c r="C49">
        <v>1</v>
      </c>
      <c r="D49">
        <v>0</v>
      </c>
      <c r="E49">
        <f t="shared" si="0"/>
        <v>2</v>
      </c>
    </row>
    <row r="50" spans="1:5" x14ac:dyDescent="0.25">
      <c r="A50" t="s">
        <v>792</v>
      </c>
      <c r="B50">
        <v>1</v>
      </c>
      <c r="C50">
        <v>1</v>
      </c>
      <c r="D50">
        <v>0</v>
      </c>
      <c r="E50">
        <f t="shared" si="0"/>
        <v>2</v>
      </c>
    </row>
    <row r="51" spans="1:5" x14ac:dyDescent="0.25">
      <c r="A51" t="s">
        <v>793</v>
      </c>
      <c r="B51">
        <v>1</v>
      </c>
      <c r="C51">
        <v>0</v>
      </c>
      <c r="D51">
        <v>2</v>
      </c>
      <c r="E51">
        <f t="shared" si="0"/>
        <v>3</v>
      </c>
    </row>
    <row r="52" spans="1:5" x14ac:dyDescent="0.25">
      <c r="A52" t="s">
        <v>794</v>
      </c>
      <c r="B52">
        <v>1</v>
      </c>
      <c r="C52">
        <v>0</v>
      </c>
      <c r="D52">
        <v>1</v>
      </c>
      <c r="E52">
        <f t="shared" si="0"/>
        <v>2</v>
      </c>
    </row>
    <row r="53" spans="1:5" x14ac:dyDescent="0.25">
      <c r="A53" t="s">
        <v>795</v>
      </c>
      <c r="B53">
        <v>1</v>
      </c>
      <c r="C53">
        <v>0</v>
      </c>
      <c r="D53">
        <v>1</v>
      </c>
      <c r="E53">
        <f t="shared" si="0"/>
        <v>2</v>
      </c>
    </row>
    <row r="54" spans="1:5" x14ac:dyDescent="0.25">
      <c r="A54" t="s">
        <v>796</v>
      </c>
      <c r="B54">
        <v>1</v>
      </c>
      <c r="C54">
        <v>0</v>
      </c>
      <c r="D54">
        <v>1</v>
      </c>
      <c r="E54">
        <f t="shared" si="0"/>
        <v>2</v>
      </c>
    </row>
    <row r="55" spans="1:5" x14ac:dyDescent="0.25">
      <c r="A55" t="s">
        <v>797</v>
      </c>
      <c r="B55">
        <v>1</v>
      </c>
      <c r="C55">
        <v>0</v>
      </c>
      <c r="D55">
        <v>0</v>
      </c>
      <c r="E55">
        <f t="shared" si="0"/>
        <v>1</v>
      </c>
    </row>
    <row r="56" spans="1:5" x14ac:dyDescent="0.25">
      <c r="A56" t="s">
        <v>798</v>
      </c>
      <c r="B56">
        <v>1</v>
      </c>
      <c r="C56">
        <v>0</v>
      </c>
      <c r="D56">
        <v>0</v>
      </c>
      <c r="E56">
        <f t="shared" si="0"/>
        <v>1</v>
      </c>
    </row>
    <row r="57" spans="1:5" x14ac:dyDescent="0.25">
      <c r="A57" t="s">
        <v>799</v>
      </c>
      <c r="B57">
        <v>1</v>
      </c>
      <c r="C57">
        <v>0</v>
      </c>
      <c r="D57">
        <v>0</v>
      </c>
      <c r="E57">
        <f t="shared" si="0"/>
        <v>1</v>
      </c>
    </row>
    <row r="58" spans="1:5" x14ac:dyDescent="0.25">
      <c r="A58" t="s">
        <v>800</v>
      </c>
      <c r="B58">
        <v>1</v>
      </c>
      <c r="C58">
        <v>0</v>
      </c>
      <c r="D58">
        <v>0</v>
      </c>
      <c r="E58">
        <f t="shared" si="0"/>
        <v>1</v>
      </c>
    </row>
    <row r="59" spans="1:5" x14ac:dyDescent="0.25">
      <c r="A59" t="s">
        <v>801</v>
      </c>
      <c r="B59">
        <v>1</v>
      </c>
      <c r="C59">
        <v>0</v>
      </c>
      <c r="D59">
        <v>0</v>
      </c>
      <c r="E59">
        <f t="shared" si="0"/>
        <v>1</v>
      </c>
    </row>
    <row r="60" spans="1:5" x14ac:dyDescent="0.25">
      <c r="A60" t="s">
        <v>802</v>
      </c>
      <c r="B60">
        <v>1</v>
      </c>
      <c r="C60">
        <v>0</v>
      </c>
      <c r="D60">
        <v>0</v>
      </c>
      <c r="E60">
        <f t="shared" si="0"/>
        <v>1</v>
      </c>
    </row>
    <row r="61" spans="1:5" x14ac:dyDescent="0.25">
      <c r="A61" t="s">
        <v>803</v>
      </c>
      <c r="B61">
        <v>0</v>
      </c>
      <c r="C61">
        <v>4</v>
      </c>
      <c r="D61">
        <v>1</v>
      </c>
      <c r="E61">
        <f t="shared" si="0"/>
        <v>5</v>
      </c>
    </row>
    <row r="62" spans="1:5" x14ac:dyDescent="0.25">
      <c r="A62" t="s">
        <v>804</v>
      </c>
      <c r="B62">
        <v>0</v>
      </c>
      <c r="C62">
        <v>3</v>
      </c>
      <c r="D62">
        <v>2</v>
      </c>
      <c r="E62">
        <f t="shared" si="0"/>
        <v>5</v>
      </c>
    </row>
    <row r="63" spans="1:5" x14ac:dyDescent="0.25">
      <c r="A63" t="s">
        <v>805</v>
      </c>
      <c r="B63">
        <v>0</v>
      </c>
      <c r="C63">
        <v>2</v>
      </c>
      <c r="D63">
        <v>0</v>
      </c>
      <c r="E63">
        <f t="shared" si="0"/>
        <v>2</v>
      </c>
    </row>
    <row r="64" spans="1:5" x14ac:dyDescent="0.25">
      <c r="A64" t="s">
        <v>806</v>
      </c>
      <c r="B64">
        <v>0</v>
      </c>
      <c r="C64">
        <v>2</v>
      </c>
      <c r="D64">
        <v>0</v>
      </c>
      <c r="E64">
        <f t="shared" si="0"/>
        <v>2</v>
      </c>
    </row>
    <row r="65" spans="1:5" x14ac:dyDescent="0.25">
      <c r="A65" t="s">
        <v>807</v>
      </c>
      <c r="B65">
        <v>0</v>
      </c>
      <c r="C65">
        <v>1</v>
      </c>
      <c r="D65">
        <v>3</v>
      </c>
      <c r="E65">
        <f t="shared" si="0"/>
        <v>4</v>
      </c>
    </row>
    <row r="66" spans="1:5" x14ac:dyDescent="0.25">
      <c r="A66" t="s">
        <v>808</v>
      </c>
      <c r="B66">
        <v>0</v>
      </c>
      <c r="C66">
        <v>1</v>
      </c>
      <c r="D66">
        <v>2</v>
      </c>
      <c r="E66">
        <f t="shared" si="0"/>
        <v>3</v>
      </c>
    </row>
    <row r="67" spans="1:5" x14ac:dyDescent="0.25">
      <c r="A67" t="s">
        <v>809</v>
      </c>
      <c r="B67">
        <v>0</v>
      </c>
      <c r="C67">
        <v>1</v>
      </c>
      <c r="D67">
        <v>2</v>
      </c>
      <c r="E67">
        <f t="shared" ref="E67:E88" si="1">SUM(B67:D67)</f>
        <v>3</v>
      </c>
    </row>
    <row r="68" spans="1:5" x14ac:dyDescent="0.25">
      <c r="A68" t="s">
        <v>810</v>
      </c>
      <c r="B68">
        <v>0</v>
      </c>
      <c r="C68">
        <v>1</v>
      </c>
      <c r="D68">
        <v>1</v>
      </c>
      <c r="E68">
        <f t="shared" si="1"/>
        <v>2</v>
      </c>
    </row>
    <row r="69" spans="1:5" x14ac:dyDescent="0.25">
      <c r="A69" t="s">
        <v>811</v>
      </c>
      <c r="B69">
        <v>0</v>
      </c>
      <c r="C69">
        <v>1</v>
      </c>
      <c r="D69">
        <v>1</v>
      </c>
      <c r="E69">
        <f t="shared" si="1"/>
        <v>2</v>
      </c>
    </row>
    <row r="70" spans="1:5" x14ac:dyDescent="0.25">
      <c r="A70" t="s">
        <v>812</v>
      </c>
      <c r="B70">
        <v>0</v>
      </c>
      <c r="C70">
        <v>1</v>
      </c>
      <c r="D70">
        <v>0</v>
      </c>
      <c r="E70">
        <f t="shared" si="1"/>
        <v>1</v>
      </c>
    </row>
    <row r="71" spans="1:5" x14ac:dyDescent="0.25">
      <c r="A71" t="s">
        <v>813</v>
      </c>
      <c r="B71">
        <v>0</v>
      </c>
      <c r="C71">
        <v>1</v>
      </c>
      <c r="D71">
        <v>0</v>
      </c>
      <c r="E71">
        <f t="shared" si="1"/>
        <v>1</v>
      </c>
    </row>
    <row r="72" spans="1:5" x14ac:dyDescent="0.25">
      <c r="A72" t="s">
        <v>814</v>
      </c>
      <c r="B72">
        <v>0</v>
      </c>
      <c r="C72">
        <v>1</v>
      </c>
      <c r="D72">
        <v>0</v>
      </c>
      <c r="E72">
        <f t="shared" si="1"/>
        <v>1</v>
      </c>
    </row>
    <row r="73" spans="1:5" x14ac:dyDescent="0.25">
      <c r="A73" t="s">
        <v>815</v>
      </c>
      <c r="B73">
        <v>0</v>
      </c>
      <c r="C73">
        <v>1</v>
      </c>
      <c r="D73">
        <v>0</v>
      </c>
      <c r="E73">
        <f t="shared" si="1"/>
        <v>1</v>
      </c>
    </row>
    <row r="74" spans="1:5" x14ac:dyDescent="0.25">
      <c r="A74" t="s">
        <v>816</v>
      </c>
      <c r="B74">
        <v>0</v>
      </c>
      <c r="C74">
        <v>1</v>
      </c>
      <c r="D74">
        <v>0</v>
      </c>
      <c r="E74">
        <f t="shared" si="1"/>
        <v>1</v>
      </c>
    </row>
    <row r="75" spans="1:5" x14ac:dyDescent="0.25">
      <c r="A75" t="s">
        <v>817</v>
      </c>
      <c r="B75">
        <v>0</v>
      </c>
      <c r="C75">
        <v>0</v>
      </c>
      <c r="D75">
        <v>4</v>
      </c>
      <c r="E75">
        <f t="shared" si="1"/>
        <v>4</v>
      </c>
    </row>
    <row r="76" spans="1:5" x14ac:dyDescent="0.25">
      <c r="A76" t="s">
        <v>818</v>
      </c>
      <c r="B76">
        <v>0</v>
      </c>
      <c r="C76">
        <v>0</v>
      </c>
      <c r="D76">
        <v>3</v>
      </c>
      <c r="E76">
        <f t="shared" si="1"/>
        <v>3</v>
      </c>
    </row>
    <row r="77" spans="1:5" x14ac:dyDescent="0.25">
      <c r="A77" t="s">
        <v>819</v>
      </c>
      <c r="B77">
        <v>0</v>
      </c>
      <c r="C77">
        <v>0</v>
      </c>
      <c r="D77">
        <v>3</v>
      </c>
      <c r="E77">
        <f t="shared" si="1"/>
        <v>3</v>
      </c>
    </row>
    <row r="78" spans="1:5" x14ac:dyDescent="0.25">
      <c r="A78" t="s">
        <v>820</v>
      </c>
      <c r="B78">
        <v>0</v>
      </c>
      <c r="C78">
        <v>0</v>
      </c>
      <c r="D78">
        <v>2</v>
      </c>
      <c r="E78">
        <f t="shared" si="1"/>
        <v>2</v>
      </c>
    </row>
    <row r="79" spans="1:5" x14ac:dyDescent="0.25">
      <c r="A79" t="s">
        <v>821</v>
      </c>
      <c r="B79">
        <v>0</v>
      </c>
      <c r="C79">
        <v>0</v>
      </c>
      <c r="D79">
        <v>1</v>
      </c>
      <c r="E79">
        <f t="shared" si="1"/>
        <v>1</v>
      </c>
    </row>
    <row r="80" spans="1:5" x14ac:dyDescent="0.25">
      <c r="A80" t="s">
        <v>822</v>
      </c>
      <c r="B80">
        <v>0</v>
      </c>
      <c r="C80">
        <v>0</v>
      </c>
      <c r="D80">
        <v>1</v>
      </c>
      <c r="E80">
        <f t="shared" si="1"/>
        <v>1</v>
      </c>
    </row>
    <row r="81" spans="1:5" x14ac:dyDescent="0.25">
      <c r="A81" t="s">
        <v>823</v>
      </c>
      <c r="B81">
        <v>0</v>
      </c>
      <c r="C81">
        <v>0</v>
      </c>
      <c r="D81">
        <v>1</v>
      </c>
      <c r="E81">
        <f t="shared" si="1"/>
        <v>1</v>
      </c>
    </row>
    <row r="82" spans="1:5" x14ac:dyDescent="0.25">
      <c r="A82" t="s">
        <v>824</v>
      </c>
      <c r="B82">
        <v>0</v>
      </c>
      <c r="C82">
        <v>0</v>
      </c>
      <c r="D82">
        <v>1</v>
      </c>
      <c r="E82">
        <f t="shared" si="1"/>
        <v>1</v>
      </c>
    </row>
    <row r="83" spans="1:5" x14ac:dyDescent="0.25">
      <c r="A83" t="s">
        <v>825</v>
      </c>
      <c r="B83">
        <v>0</v>
      </c>
      <c r="C83">
        <v>0</v>
      </c>
      <c r="D83">
        <v>1</v>
      </c>
      <c r="E83">
        <f t="shared" si="1"/>
        <v>1</v>
      </c>
    </row>
    <row r="84" spans="1:5" x14ac:dyDescent="0.25">
      <c r="A84" t="s">
        <v>826</v>
      </c>
      <c r="B84">
        <v>0</v>
      </c>
      <c r="C84">
        <v>0</v>
      </c>
      <c r="D84">
        <v>1</v>
      </c>
      <c r="E84">
        <f t="shared" si="1"/>
        <v>1</v>
      </c>
    </row>
    <row r="85" spans="1:5" x14ac:dyDescent="0.25">
      <c r="A85" t="s">
        <v>827</v>
      </c>
      <c r="B85">
        <v>0</v>
      </c>
      <c r="C85">
        <v>0</v>
      </c>
      <c r="D85">
        <v>1</v>
      </c>
      <c r="E85">
        <f t="shared" si="1"/>
        <v>1</v>
      </c>
    </row>
    <row r="86" spans="1:5" x14ac:dyDescent="0.25">
      <c r="A86" t="s">
        <v>828</v>
      </c>
      <c r="B86">
        <v>0</v>
      </c>
      <c r="C86">
        <v>0</v>
      </c>
      <c r="D86">
        <v>1</v>
      </c>
      <c r="E86">
        <f t="shared" si="1"/>
        <v>1</v>
      </c>
    </row>
    <row r="87" spans="1:5" x14ac:dyDescent="0.25">
      <c r="A87" t="s">
        <v>829</v>
      </c>
      <c r="B87">
        <v>0</v>
      </c>
      <c r="C87">
        <v>0</v>
      </c>
      <c r="D87">
        <v>1</v>
      </c>
      <c r="E87">
        <f t="shared" si="1"/>
        <v>1</v>
      </c>
    </row>
    <row r="88" spans="1:5" x14ac:dyDescent="0.25">
      <c r="A88" t="s">
        <v>830</v>
      </c>
      <c r="B88">
        <v>0</v>
      </c>
      <c r="C88">
        <v>0</v>
      </c>
      <c r="D88">
        <v>1</v>
      </c>
      <c r="E88">
        <f t="shared" si="1"/>
        <v>1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9AF0-0405-4AE0-A1D1-C6096FA4F8E3}">
  <dimension ref="A1:G10"/>
  <sheetViews>
    <sheetView workbookViewId="0">
      <selection activeCell="G3" sqref="G3"/>
    </sheetView>
  </sheetViews>
  <sheetFormatPr defaultRowHeight="15" x14ac:dyDescent="0.25"/>
  <cols>
    <col min="1" max="1" width="18.85546875" bestFit="1" customWidth="1"/>
    <col min="2" max="4" width="7.7109375" customWidth="1"/>
    <col min="5" max="5" width="5.7109375" customWidth="1"/>
    <col min="7" max="7" width="19.85546875" customWidth="1"/>
  </cols>
  <sheetData>
    <row r="1" spans="1:7" x14ac:dyDescent="0.25">
      <c r="A1" t="s">
        <v>10</v>
      </c>
      <c r="B1" s="216" t="s">
        <v>831</v>
      </c>
      <c r="C1" s="216" t="s">
        <v>832</v>
      </c>
      <c r="D1" s="216" t="s">
        <v>833</v>
      </c>
      <c r="F1" t="s">
        <v>10</v>
      </c>
      <c r="G1" t="s">
        <v>834</v>
      </c>
    </row>
    <row r="2" spans="1:7" x14ac:dyDescent="0.25">
      <c r="A2" t="s">
        <v>835</v>
      </c>
      <c r="B2" s="246">
        <v>3.15</v>
      </c>
      <c r="C2" s="246">
        <v>3.65</v>
      </c>
      <c r="D2" s="246">
        <v>4.1500000000000004</v>
      </c>
      <c r="F2" t="s">
        <v>732</v>
      </c>
      <c r="G2" t="s">
        <v>832</v>
      </c>
    </row>
    <row r="3" spans="1:7" x14ac:dyDescent="0.25">
      <c r="A3" t="s">
        <v>834</v>
      </c>
      <c r="B3" s="246">
        <v>3.15</v>
      </c>
      <c r="C3" s="246">
        <v>3.65</v>
      </c>
      <c r="D3" s="246">
        <v>4.1500000000000004</v>
      </c>
      <c r="F3" t="s">
        <v>23</v>
      </c>
      <c r="G3" cm="1">
        <f t="array" ref="G3">_xlfn.XLOOKUP(G2,B1:D1,_xlfn.XLOOKUP(G1,A2:A10,B2:D10))</f>
        <v>3.65</v>
      </c>
    </row>
    <row r="4" spans="1:7" x14ac:dyDescent="0.25">
      <c r="A4" t="s">
        <v>836</v>
      </c>
      <c r="B4" s="246">
        <v>2.0499999999999998</v>
      </c>
      <c r="C4" s="246">
        <v>2.5499999999999998</v>
      </c>
      <c r="D4" s="246"/>
    </row>
    <row r="5" spans="1:7" x14ac:dyDescent="0.25">
      <c r="A5" t="s">
        <v>837</v>
      </c>
      <c r="B5" s="246">
        <v>4.05</v>
      </c>
      <c r="C5" s="246">
        <v>4.55</v>
      </c>
      <c r="D5" s="246">
        <v>5.05</v>
      </c>
    </row>
    <row r="6" spans="1:7" x14ac:dyDescent="0.25">
      <c r="A6" t="s">
        <v>838</v>
      </c>
      <c r="B6" s="246">
        <v>4.05</v>
      </c>
      <c r="C6" s="246">
        <v>4.55</v>
      </c>
      <c r="D6" s="246">
        <v>5.05</v>
      </c>
    </row>
    <row r="7" spans="1:7" x14ac:dyDescent="0.25">
      <c r="A7" t="s">
        <v>839</v>
      </c>
      <c r="B7" s="246">
        <v>4.05</v>
      </c>
      <c r="C7" s="246">
        <v>4.55</v>
      </c>
      <c r="D7" s="246">
        <v>5.05</v>
      </c>
    </row>
    <row r="8" spans="1:7" x14ac:dyDescent="0.25">
      <c r="A8" t="s">
        <v>840</v>
      </c>
      <c r="B8" s="246">
        <v>3.65</v>
      </c>
      <c r="C8" s="246">
        <v>4.1500000000000004</v>
      </c>
      <c r="D8" s="246">
        <v>4.6500000000000004</v>
      </c>
    </row>
    <row r="9" spans="1:7" x14ac:dyDescent="0.25">
      <c r="A9" t="s">
        <v>841</v>
      </c>
      <c r="B9" s="246">
        <v>2.5499999999999998</v>
      </c>
      <c r="C9" s="246">
        <v>3.05</v>
      </c>
      <c r="D9" s="246">
        <v>3.55</v>
      </c>
    </row>
    <row r="10" spans="1:7" x14ac:dyDescent="0.25">
      <c r="A10" t="s">
        <v>842</v>
      </c>
      <c r="B10" s="246">
        <v>2.25</v>
      </c>
      <c r="C10" s="246">
        <v>2.75</v>
      </c>
      <c r="D10" s="246">
        <v>3.05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C4AF8-13BC-4992-94EA-B34D83A09C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76</vt:i4>
      </vt:variant>
      <vt:variant>
        <vt:lpstr>Benoemde bereiken</vt:lpstr>
      </vt:variant>
      <vt:variant>
        <vt:i4>17</vt:i4>
      </vt:variant>
    </vt:vector>
  </HeadingPairs>
  <TitlesOfParts>
    <vt:vector size="93" baseType="lpstr">
      <vt:lpstr>Componenten</vt:lpstr>
      <vt:lpstr>ausbeer56-73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Benelux-populatie</vt:lpstr>
      <vt:lpstr>Benelux-populatie-oplossing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matr-02</vt:lpstr>
      <vt:lpstr>matr-03</vt:lpstr>
      <vt:lpstr>matr-04</vt:lpstr>
      <vt:lpstr>matr-05</vt:lpstr>
      <vt:lpstr>matr-06</vt:lpstr>
      <vt:lpstr>matr-07</vt:lpstr>
      <vt:lpstr>matr-08</vt:lpstr>
      <vt:lpstr>matr-09</vt:lpstr>
      <vt:lpstr>meetresultaten</vt:lpstr>
      <vt:lpstr>model</vt:lpstr>
      <vt:lpstr>Personeelstabel</vt:lpstr>
      <vt:lpstr>pivot</vt:lpstr>
      <vt:lpstr>pivot-example</vt:lpstr>
      <vt:lpstr>premietabel</vt:lpstr>
      <vt:lpstr>prijstabel</vt:lpstr>
      <vt:lpstr>rko-1</vt:lpstr>
      <vt:lpstr>rko-2</vt:lpstr>
      <vt:lpstr>scores1</vt:lpstr>
      <vt:lpstr>scores1-oplossing</vt:lpstr>
      <vt:lpstr>scores2</vt:lpstr>
      <vt:lpstr>scores2-oplossing</vt:lpstr>
      <vt:lpstr>scores3</vt:lpstr>
      <vt:lpstr>scores3-oplossing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xlookup-1</vt:lpstr>
      <vt:lpstr>xlookup-2</vt:lpstr>
      <vt:lpstr>xlookup-3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2020-09-25T08:21:33Z</dcterms:modified>
</cp:coreProperties>
</file>