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2.xml" ContentType="application/vnd.openxmlformats-officedocument.drawingml.chart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5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1.xml" ContentType="application/vnd.openxmlformats-officedocument.drawing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2.xml" ContentType="application/vnd.openxmlformats-officedocument.drawing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3.xml" ContentType="application/vnd.openxmlformats-officedocument.drawing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4.xml" ContentType="application/vnd.openxmlformats-officedocument.drawing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5.xml" ContentType="application/vnd.openxmlformats-officedocument.drawing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studieboeken\learnexcel\resources\"/>
    </mc:Choice>
  </mc:AlternateContent>
  <xr:revisionPtr revIDLastSave="0" documentId="13_ncr:1_{FEB6F6BF-92DC-456C-95E0-EB2F4ED03829}" xr6:coauthVersionLast="47" xr6:coauthVersionMax="47" xr10:uidLastSave="{00000000-0000-0000-0000-000000000000}"/>
  <bookViews>
    <workbookView xWindow="-120" yWindow="-120" windowWidth="30960" windowHeight="15720" tabRatio="663" firstSheet="45" activeTab="53" xr2:uid="{00000000-000D-0000-FFFF-FFFF00000000}"/>
  </bookViews>
  <sheets>
    <sheet name="invoices-2" sheetId="101" r:id="rId1"/>
    <sheet name="TOC" sheetId="100" r:id="rId2"/>
    <sheet name="array-01" sheetId="43" r:id="rId3"/>
    <sheet name="array-04" sheetId="44" r:id="rId4"/>
    <sheet name="array-05" sheetId="45" r:id="rId5"/>
    <sheet name="array-06" sheetId="46" r:id="rId6"/>
    <sheet name="array-07" sheetId="47" r:id="rId7"/>
    <sheet name="array-08" sheetId="48" r:id="rId8"/>
    <sheet name="array-09" sheetId="79" r:id="rId9"/>
    <sheet name="array-dyn" sheetId="77" r:id="rId10"/>
    <sheet name="array-dyn-filter" sheetId="83" r:id="rId11"/>
    <sheet name="array-dyn-sequence" sheetId="84" r:id="rId12"/>
    <sheet name="array-dyn-sort" sheetId="85" r:id="rId13"/>
    <sheet name="array-dyn-sortby1" sheetId="87" r:id="rId14"/>
    <sheet name="array-dyn-sortby2" sheetId="88" r:id="rId15"/>
    <sheet name="array-dyn-unique" sheetId="89" r:id="rId16"/>
    <sheet name="array-examples" sheetId="95" r:id="rId17"/>
    <sheet name="array-frequency" sheetId="78" r:id="rId18"/>
    <sheet name="array-xlookup-2way" sheetId="93" r:id="rId19"/>
    <sheet name="array-xlookup-multiplevalues" sheetId="92" r:id="rId20"/>
    <sheet name="ausbeer-1" sheetId="74" r:id="rId21"/>
    <sheet name="ausbeer-2" sheetId="75" r:id="rId22"/>
    <sheet name="ausbeer-3" sheetId="76" r:id="rId23"/>
    <sheet name="ausbeer56-73" sheetId="73" r:id="rId24"/>
    <sheet name="banket" sheetId="36" r:id="rId25"/>
    <sheet name="Benelux" sheetId="50" r:id="rId26"/>
    <sheet name="Benelux-2" sheetId="51" r:id="rId27"/>
    <sheet name="calc-01" sheetId="20" r:id="rId28"/>
    <sheet name="calc-02" sheetId="21" r:id="rId29"/>
    <sheet name="calc-coffee" sheetId="58" r:id="rId30"/>
    <sheet name="calc-nper" sheetId="59" r:id="rId31"/>
    <sheet name="charttype-control" sheetId="102" r:id="rId32"/>
    <sheet name="charttype-line" sheetId="98" r:id="rId33"/>
    <sheet name="charttype-line-scatter" sheetId="99" r:id="rId34"/>
    <sheet name="charttype-pareto" sheetId="96" r:id="rId35"/>
    <sheet name="Components" sheetId="72" r:id="rId36"/>
    <sheet name="data" sheetId="39" r:id="rId37"/>
    <sheet name="datatable1a" sheetId="9" r:id="rId38"/>
    <sheet name="datatable1b" sheetId="10" r:id="rId39"/>
    <sheet name="datatable2a" sheetId="12" r:id="rId40"/>
    <sheet name="datatable2b" sheetId="13" r:id="rId41"/>
    <sheet name="datatablelayout" sheetId="61" r:id="rId42"/>
    <sheet name="Doelzoeken" sheetId="35" r:id="rId43"/>
    <sheet name="example-annuity" sheetId="5" r:id="rId44"/>
    <sheet name="example-rounding" sheetId="82" r:id="rId45"/>
    <sheet name="fcast" sheetId="62" r:id="rId46"/>
    <sheet name="Func-datum" sheetId="26" r:id="rId47"/>
    <sheet name="Func-logisch" sheetId="29" r:id="rId48"/>
    <sheet name="Func-nesting" sheetId="41" r:id="rId49"/>
    <sheet name="Func-statistisch" sheetId="24" r:id="rId50"/>
    <sheet name="Func-tekst" sheetId="28" r:id="rId51"/>
    <sheet name="Func-wiskunde" sheetId="27" r:id="rId52"/>
    <sheet name="getalopmaak" sheetId="31" r:id="rId53"/>
    <sheet name="HorizZoeken" sheetId="8" r:id="rId54"/>
    <sheet name="invoices" sheetId="60" r:id="rId55"/>
    <sheet name="koersen" sheetId="38" r:id="rId56"/>
    <sheet name="list-purchases" sheetId="34" r:id="rId57"/>
    <sheet name="meetresultaten" sheetId="17" r:id="rId58"/>
    <sheet name="pivot" sheetId="3" r:id="rId59"/>
    <sheet name="pivot-example" sheetId="1" r:id="rId60"/>
    <sheet name="premietabel" sheetId="22" r:id="rId61"/>
    <sheet name="prijstabel" sheetId="23" r:id="rId62"/>
    <sheet name="RSE" sheetId="52" r:id="rId63"/>
    <sheet name="scen" sheetId="55" r:id="rId64"/>
    <sheet name="scen rprt" sheetId="56" r:id="rId65"/>
    <sheet name="scores1" sheetId="80" r:id="rId66"/>
    <sheet name="solv009" sheetId="54" r:id="rId67"/>
    <sheet name="supermarkt" sheetId="14" r:id="rId68"/>
    <sheet name="termijnen" sheetId="6" r:id="rId69"/>
    <sheet name="Trendline-Exponential" sheetId="67" r:id="rId70"/>
    <sheet name="Trendline-Lineair" sheetId="63" r:id="rId71"/>
    <sheet name="Trendline-Logarithmic" sheetId="64" r:id="rId72"/>
    <sheet name="Trendline-MA" sheetId="68" r:id="rId73"/>
    <sheet name="Trendline-Polynomial" sheetId="65" r:id="rId74"/>
    <sheet name="Trendline-Power" sheetId="66" r:id="rId75"/>
    <sheet name="uitlijning" sheetId="30" r:id="rId76"/>
    <sheet name="verkopen_kw1" sheetId="32" r:id="rId77"/>
    <sheet name="vlak" sheetId="19" r:id="rId78"/>
    <sheet name="WaarOnwaar" sheetId="33" r:id="rId79"/>
    <sheet name="WeatherLeather" sheetId="16" r:id="rId80"/>
    <sheet name="zoekver" sheetId="57" r:id="rId81"/>
  </sheets>
  <externalReferences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xlchart.v1.0" hidden="1">'charttype-pareto'!$A$2:$A$7</definedName>
    <definedName name="_xlchart.v1.1" hidden="1">'charttype-pareto'!$B$1</definedName>
    <definedName name="_xlchart.v1.2" hidden="1">'charttype-pareto'!$B$2:$B$7</definedName>
    <definedName name="aantal_hazelnoot" localSheetId="8">[1]solv001!$H$11</definedName>
    <definedName name="aantal_hazelnoot" localSheetId="9">[1]solv001!$H$11</definedName>
    <definedName name="aantal_hazelnoot" localSheetId="11">[1]solv001!$H$11</definedName>
    <definedName name="aantal_hazelnoot" localSheetId="12">[1]solv001!$H$11</definedName>
    <definedName name="aantal_hazelnoot" localSheetId="13">[1]solv001!$H$11</definedName>
    <definedName name="aantal_hazelnoot" localSheetId="14">[1]solv001!$H$11</definedName>
    <definedName name="aantal_hazelnoot" localSheetId="15">[1]solv001!$H$11</definedName>
    <definedName name="aantal_hazelnoot" localSheetId="16">[1]solv001!$H$11</definedName>
    <definedName name="aantal_hazelnoot" localSheetId="17">[1]solv001!$H$11</definedName>
    <definedName name="aantal_hazelnoot" localSheetId="32">[1]solv001!$H$11</definedName>
    <definedName name="aantal_hazelnoot" localSheetId="33">[1]solv001!$H$11</definedName>
    <definedName name="aantal_hazelnoot" localSheetId="34">[1]solv001!$H$11</definedName>
    <definedName name="aantal_hazelnoot" localSheetId="44">[1]solv001!$H$11</definedName>
    <definedName name="aantal_hazelnoot" localSheetId="65">[1]solv001!$H$11</definedName>
    <definedName name="aantal_hazelnoot">[2]solv001!$H$11</definedName>
    <definedName name="Aantal_jacks_Kort" localSheetId="16">#REF!</definedName>
    <definedName name="Aantal_jacks_Kort" localSheetId="32">#REF!</definedName>
    <definedName name="Aantal_jacks_Kort" localSheetId="33">#REF!</definedName>
    <definedName name="Aantal_jacks_Kort" localSheetId="34">#REF!</definedName>
    <definedName name="Aantal_jacks_Kort" localSheetId="44">#REF!</definedName>
    <definedName name="Aantal_jacks_Kort" localSheetId="65">#REF!</definedName>
    <definedName name="Aantal_jacks_Kort">#REF!</definedName>
    <definedName name="Aantal_jacks_Lang" localSheetId="16">#REF!</definedName>
    <definedName name="Aantal_jacks_Lang" localSheetId="32">#REF!</definedName>
    <definedName name="Aantal_jacks_Lang" localSheetId="33">#REF!</definedName>
    <definedName name="Aantal_jacks_Lang" localSheetId="34">#REF!</definedName>
    <definedName name="Aantal_jacks_Lang" localSheetId="44">#REF!</definedName>
    <definedName name="Aantal_jacks_Lang" localSheetId="65">#REF!</definedName>
    <definedName name="Aantal_jacks_Lang">#REF!</definedName>
    <definedName name="aantal_kers" localSheetId="8">[1]solv001!$H$10</definedName>
    <definedName name="aantal_kers" localSheetId="9">[1]solv001!$H$10</definedName>
    <definedName name="aantal_kers" localSheetId="11">[1]solv001!$H$10</definedName>
    <definedName name="aantal_kers" localSheetId="12">[1]solv001!$H$10</definedName>
    <definedName name="aantal_kers" localSheetId="13">[1]solv001!$H$10</definedName>
    <definedName name="aantal_kers" localSheetId="14">[1]solv001!$H$10</definedName>
    <definedName name="aantal_kers" localSheetId="15">[1]solv001!$H$10</definedName>
    <definedName name="aantal_kers" localSheetId="16">[1]solv001!$H$10</definedName>
    <definedName name="aantal_kers" localSheetId="17">[1]solv001!$H$10</definedName>
    <definedName name="aantal_kers" localSheetId="32">[1]solv001!$H$10</definedName>
    <definedName name="aantal_kers" localSheetId="33">[1]solv001!$H$10</definedName>
    <definedName name="aantal_kers" localSheetId="34">[1]solv001!$H$10</definedName>
    <definedName name="aantal_kers" localSheetId="44">[1]solv001!$H$10</definedName>
    <definedName name="aantal_kers" localSheetId="65">[1]solv001!$H$10</definedName>
    <definedName name="aantal_kers">[2]solv001!$H$10</definedName>
    <definedName name="Aantal_Orders" localSheetId="16">'[3]coffeebar-model'!$B$6</definedName>
    <definedName name="Aantal_Orders" localSheetId="32">'[3]coffeebar-model'!$B$6</definedName>
    <definedName name="Aantal_Orders" localSheetId="33">'[3]coffeebar-model'!$B$6</definedName>
    <definedName name="Aantal_Orders" localSheetId="34">'[3]coffeebar-model'!$B$6</definedName>
    <definedName name="Aantal_Orders" localSheetId="44">'[3]coffeebar-model'!$B$6</definedName>
    <definedName name="Aantal_Orders">#REF!</definedName>
    <definedName name="Advertisement">scen!$B$13</definedName>
    <definedName name="Annual_Costs" localSheetId="8">[4]scen!$C$15</definedName>
    <definedName name="Annual_Costs" localSheetId="9">[4]scen!$C$15</definedName>
    <definedName name="Annual_Costs" localSheetId="11">[4]scen!$C$15</definedName>
    <definedName name="Annual_Costs" localSheetId="12">[4]scen!$C$15</definedName>
    <definedName name="Annual_Costs" localSheetId="13">[4]scen!$C$15</definedName>
    <definedName name="Annual_Costs" localSheetId="14">[4]scen!$C$15</definedName>
    <definedName name="Annual_Costs" localSheetId="15">[4]scen!$C$15</definedName>
    <definedName name="Annual_Costs" localSheetId="16">[4]scen!$C$15</definedName>
    <definedName name="Annual_Costs" localSheetId="17">[4]scen!$C$15</definedName>
    <definedName name="Annual_Costs" localSheetId="32">[4]scen!$C$15</definedName>
    <definedName name="Annual_Costs" localSheetId="33">[4]scen!$C$15</definedName>
    <definedName name="Annual_Costs" localSheetId="34">[4]scen!$C$15</definedName>
    <definedName name="Annual_Costs" localSheetId="44">[4]scen!$C$15</definedName>
    <definedName name="Annual_Costs" localSheetId="65">[4]scen!$C$15</definedName>
    <definedName name="Annual_Costs">scen!$C$15</definedName>
    <definedName name="Annual_Incomes" localSheetId="8">[4]scen!$C$8</definedName>
    <definedName name="Annual_Incomes" localSheetId="9">[4]scen!$C$8</definedName>
    <definedName name="Annual_Incomes" localSheetId="11">[4]scen!$C$8</definedName>
    <definedName name="Annual_Incomes" localSheetId="12">[4]scen!$C$8</definedName>
    <definedName name="Annual_Incomes" localSheetId="13">[4]scen!$C$8</definedName>
    <definedName name="Annual_Incomes" localSheetId="14">[4]scen!$C$8</definedName>
    <definedName name="Annual_Incomes" localSheetId="15">[4]scen!$C$8</definedName>
    <definedName name="Annual_Incomes" localSheetId="16">[4]scen!$C$8</definedName>
    <definedName name="Annual_Incomes" localSheetId="17">[4]scen!$C$8</definedName>
    <definedName name="Annual_Incomes" localSheetId="32">[4]scen!$C$8</definedName>
    <definedName name="Annual_Incomes" localSheetId="33">[4]scen!$C$8</definedName>
    <definedName name="Annual_Incomes" localSheetId="34">[4]scen!$C$8</definedName>
    <definedName name="Annual_Incomes" localSheetId="44">[4]scen!$C$8</definedName>
    <definedName name="Annual_Incomes" localSheetId="65">[4]scen!$C$8</definedName>
    <definedName name="Annual_Incomes">scen!$C$8</definedName>
    <definedName name="Annual_Profit">scen!$C$17</definedName>
    <definedName name="AOW_Datum" localSheetId="8">[1]form003!$E$12</definedName>
    <definedName name="AOW_Datum" localSheetId="9">[1]form003!$E$12</definedName>
    <definedName name="AOW_Datum" localSheetId="11">[1]form003!$E$12</definedName>
    <definedName name="AOW_Datum" localSheetId="12">[1]form003!$E$12</definedName>
    <definedName name="AOW_Datum" localSheetId="13">[1]form003!$E$12</definedName>
    <definedName name="AOW_Datum" localSheetId="14">[1]form003!$E$12</definedName>
    <definedName name="AOW_Datum" localSheetId="15">[1]form003!$E$12</definedName>
    <definedName name="AOW_Datum" localSheetId="16">[1]form003!$E$12</definedName>
    <definedName name="AOW_Datum" localSheetId="17">[1]form003!$E$12</definedName>
    <definedName name="AOW_Datum" localSheetId="32">[1]form003!$E$12</definedName>
    <definedName name="AOW_Datum" localSheetId="33">[1]form003!$E$12</definedName>
    <definedName name="AOW_Datum" localSheetId="34">[1]form003!$E$12</definedName>
    <definedName name="AOW_Datum" localSheetId="44">[1]form003!$E$12</definedName>
    <definedName name="AOW_Datum" localSheetId="65">[1]form003!$E$12</definedName>
    <definedName name="AOW_Datum">[2]form003!$E$12</definedName>
    <definedName name="AOW_Leeftijd" localSheetId="8">[1]form003!$E$9</definedName>
    <definedName name="AOW_Leeftijd" localSheetId="9">[1]form003!$E$9</definedName>
    <definedName name="AOW_Leeftijd" localSheetId="11">[1]form003!$E$9</definedName>
    <definedName name="AOW_Leeftijd" localSheetId="12">[1]form003!$E$9</definedName>
    <definedName name="AOW_Leeftijd" localSheetId="13">[1]form003!$E$9</definedName>
    <definedName name="AOW_Leeftijd" localSheetId="14">[1]form003!$E$9</definedName>
    <definedName name="AOW_Leeftijd" localSheetId="15">[1]form003!$E$9</definedName>
    <definedName name="AOW_Leeftijd" localSheetId="16">[1]form003!$E$9</definedName>
    <definedName name="AOW_Leeftijd" localSheetId="17">[1]form003!$E$9</definedName>
    <definedName name="AOW_Leeftijd" localSheetId="32">[1]form003!$E$9</definedName>
    <definedName name="AOW_Leeftijd" localSheetId="33">[1]form003!$E$9</definedName>
    <definedName name="AOW_Leeftijd" localSheetId="34">[1]form003!$E$9</definedName>
    <definedName name="AOW_Leeftijd" localSheetId="44">[1]form003!$E$9</definedName>
    <definedName name="AOW_Leeftijd" localSheetId="65">[1]form003!$E$9</definedName>
    <definedName name="AOW_Leeftijd">[2]form003!$E$9</definedName>
    <definedName name="blikken_totaal">[5]form013!$H$8</definedName>
    <definedName name="CommissieHoog" localSheetId="8">[1]form004!$E$9</definedName>
    <definedName name="CommissieHoog" localSheetId="9">[1]form004!$E$9</definedName>
    <definedName name="CommissieHoog" localSheetId="11">[1]form004!$E$9</definedName>
    <definedName name="CommissieHoog" localSheetId="12">[1]form004!$E$9</definedName>
    <definedName name="CommissieHoog" localSheetId="13">[1]form004!$E$9</definedName>
    <definedName name="CommissieHoog" localSheetId="14">[1]form004!$E$9</definedName>
    <definedName name="CommissieHoog" localSheetId="15">[1]form004!$E$9</definedName>
    <definedName name="CommissieHoog" localSheetId="16">[1]form004!$E$9</definedName>
    <definedName name="CommissieHoog" localSheetId="17">[1]form004!$E$9</definedName>
    <definedName name="CommissieHoog" localSheetId="32">[1]form004!$E$9</definedName>
    <definedName name="CommissieHoog" localSheetId="33">[1]form004!$E$9</definedName>
    <definedName name="CommissieHoog" localSheetId="34">[1]form004!$E$9</definedName>
    <definedName name="CommissieHoog" localSheetId="44">[1]form004!$E$9</definedName>
    <definedName name="CommissieHoog" localSheetId="65">[1]form004!$E$9</definedName>
    <definedName name="CommissieHoog">[2]form004!$E$9</definedName>
    <definedName name="CommissieLaag" localSheetId="8">[1]form004!$E$8</definedName>
    <definedName name="CommissieLaag" localSheetId="9">[1]form004!$E$8</definedName>
    <definedName name="CommissieLaag" localSheetId="11">[1]form004!$E$8</definedName>
    <definedName name="CommissieLaag" localSheetId="12">[1]form004!$E$8</definedName>
    <definedName name="CommissieLaag" localSheetId="13">[1]form004!$E$8</definedName>
    <definedName name="CommissieLaag" localSheetId="14">[1]form004!$E$8</definedName>
    <definedName name="CommissieLaag" localSheetId="15">[1]form004!$E$8</definedName>
    <definedName name="CommissieLaag" localSheetId="16">[1]form004!$E$8</definedName>
    <definedName name="CommissieLaag" localSheetId="17">[1]form004!$E$8</definedName>
    <definedName name="CommissieLaag" localSheetId="32">[1]form004!$E$8</definedName>
    <definedName name="CommissieLaag" localSheetId="33">[1]form004!$E$8</definedName>
    <definedName name="CommissieLaag" localSheetId="34">[1]form004!$E$8</definedName>
    <definedName name="CommissieLaag" localSheetId="44">[1]form004!$E$8</definedName>
    <definedName name="CommissieLaag" localSheetId="65">[1]form004!$E$8</definedName>
    <definedName name="CommissieLaag">[2]form004!$E$8</definedName>
    <definedName name="Cost_per_Order" localSheetId="8">[4]scen!$B$5</definedName>
    <definedName name="Cost_per_Order" localSheetId="9">[4]scen!$B$5</definedName>
    <definedName name="Cost_per_Order" localSheetId="11">[4]scen!$B$5</definedName>
    <definedName name="Cost_per_Order" localSheetId="12">[4]scen!$B$5</definedName>
    <definedName name="Cost_per_Order" localSheetId="13">[4]scen!$B$5</definedName>
    <definedName name="Cost_per_Order" localSheetId="14">[4]scen!$B$5</definedName>
    <definedName name="Cost_per_Order" localSheetId="15">[4]scen!$B$5</definedName>
    <definedName name="Cost_per_Order" localSheetId="16">[4]scen!$B$5</definedName>
    <definedName name="Cost_per_Order" localSheetId="17">[4]scen!$B$5</definedName>
    <definedName name="Cost_per_Order" localSheetId="32">[4]scen!$B$5</definedName>
    <definedName name="Cost_per_Order" localSheetId="33">[4]scen!$B$5</definedName>
    <definedName name="Cost_per_Order" localSheetId="34">[4]scen!$B$5</definedName>
    <definedName name="Cost_per_Order" localSheetId="44">[4]scen!$B$5</definedName>
    <definedName name="Cost_per_Order" localSheetId="65">[4]scen!$B$5</definedName>
    <definedName name="Cost_per_Order">scen!$B$5</definedName>
    <definedName name="CuttingTime_Weekly" localSheetId="79">WeatherLeather!$D$8</definedName>
    <definedName name="Duur" localSheetId="8">[6]afschrijvingen!$B$3</definedName>
    <definedName name="Duur" localSheetId="9">[6]afschrijvingen!$B$3</definedName>
    <definedName name="Duur" localSheetId="11">[6]afschrijvingen!$B$3</definedName>
    <definedName name="Duur" localSheetId="12">[6]afschrijvingen!$B$3</definedName>
    <definedName name="Duur" localSheetId="13">[6]afschrijvingen!$B$3</definedName>
    <definedName name="Duur" localSheetId="14">[6]afschrijvingen!$B$3</definedName>
    <definedName name="Duur" localSheetId="15">[6]afschrijvingen!$B$3</definedName>
    <definedName name="Duur" localSheetId="16">[3]afschrijvingen!$B$3</definedName>
    <definedName name="Duur" localSheetId="17">[6]afschrijvingen!$B$3</definedName>
    <definedName name="Duur" localSheetId="32">[3]afschrijvingen!$B$3</definedName>
    <definedName name="Duur" localSheetId="33">[3]afschrijvingen!$B$3</definedName>
    <definedName name="Duur" localSheetId="34">[3]afschrijvingen!$B$3</definedName>
    <definedName name="Duur" localSheetId="44">[3]afschrijvingen!$B$3</definedName>
    <definedName name="Duur" localSheetId="65">[6]afschrijvingen!$B$3</definedName>
    <definedName name="Duur">#REF!</definedName>
    <definedName name="Facilities">scen!$B$14</definedName>
    <definedName name="geboortedatum" localSheetId="8">[1]form003!$E$8</definedName>
    <definedName name="geboortedatum" localSheetId="9">[1]form003!$E$8</definedName>
    <definedName name="geboortedatum" localSheetId="11">[1]form003!$E$8</definedName>
    <definedName name="geboortedatum" localSheetId="12">[1]form003!$E$8</definedName>
    <definedName name="geboortedatum" localSheetId="13">[1]form003!$E$8</definedName>
    <definedName name="geboortedatum" localSheetId="14">[1]form003!$E$8</definedName>
    <definedName name="geboortedatum" localSheetId="15">[1]form003!$E$8</definedName>
    <definedName name="geboortedatum" localSheetId="16">[1]form003!$E$8</definedName>
    <definedName name="geboortedatum" localSheetId="17">[1]form003!$E$8</definedName>
    <definedName name="geboortedatum" localSheetId="32">[1]form003!$E$8</definedName>
    <definedName name="geboortedatum" localSheetId="33">[1]form003!$E$8</definedName>
    <definedName name="geboortedatum" localSheetId="34">[1]form003!$E$8</definedName>
    <definedName name="geboortedatum" localSheetId="44">[1]form003!$E$8</definedName>
    <definedName name="geboortedatum" localSheetId="65">[1]form003!$E$8</definedName>
    <definedName name="geboortedatum">[2]form003!$E$8</definedName>
    <definedName name="Inkopen">'[3]name-box'!$A$1</definedName>
    <definedName name="inleg" localSheetId="8">[6]Doelzoeken!$B$1</definedName>
    <definedName name="inleg" localSheetId="9">[6]Doelzoeken!$B$1</definedName>
    <definedName name="inleg" localSheetId="11">[6]Doelzoeken!$B$1</definedName>
    <definedName name="inleg" localSheetId="12">[6]Doelzoeken!$B$1</definedName>
    <definedName name="inleg" localSheetId="13">[6]Doelzoeken!$B$1</definedName>
    <definedName name="inleg" localSheetId="14">[6]Doelzoeken!$B$1</definedName>
    <definedName name="inleg" localSheetId="15">[6]Doelzoeken!$B$1</definedName>
    <definedName name="inleg" localSheetId="16">[3]Doelzoeken!$B$1</definedName>
    <definedName name="inleg" localSheetId="17">[6]Doelzoeken!$B$1</definedName>
    <definedName name="inleg" localSheetId="32">[3]Doelzoeken!$B$1</definedName>
    <definedName name="inleg" localSheetId="33">[3]Doelzoeken!$B$1</definedName>
    <definedName name="inleg" localSheetId="34">[3]Doelzoeken!$B$1</definedName>
    <definedName name="inleg" localSheetId="44">[3]Doelzoeken!$B$1</definedName>
    <definedName name="inleg" localSheetId="65">[6]Doelzoeken!$B$1</definedName>
    <definedName name="inleg">Doelzoeken!$B$1</definedName>
    <definedName name="Jaarlijkse_Kosten" localSheetId="16">'[3]coffeebar-model'!$C$15</definedName>
    <definedName name="Jaarlijkse_Kosten" localSheetId="32">'[3]coffeebar-model'!$C$15</definedName>
    <definedName name="Jaarlijkse_Kosten" localSheetId="33">'[3]coffeebar-model'!$C$15</definedName>
    <definedName name="Jaarlijkse_Kosten" localSheetId="34">'[3]coffeebar-model'!$C$15</definedName>
    <definedName name="Jaarlijkse_Kosten" localSheetId="44">'[3]coffeebar-model'!$C$15</definedName>
    <definedName name="Jaarlijkse_Kosten">#REF!</definedName>
    <definedName name="Jaarlijkse_Opbrengsten" localSheetId="16">'[3]coffeebar-model'!$C$8</definedName>
    <definedName name="Jaarlijkse_Opbrengsten" localSheetId="32">'[3]coffeebar-model'!$C$8</definedName>
    <definedName name="Jaarlijkse_Opbrengsten" localSheetId="33">'[3]coffeebar-model'!$C$8</definedName>
    <definedName name="Jaarlijkse_Opbrengsten" localSheetId="34">'[3]coffeebar-model'!$C$8</definedName>
    <definedName name="Jaarlijkse_Opbrengsten" localSheetId="44">'[3]coffeebar-model'!$C$8</definedName>
    <definedName name="Jaarlijkse_Opbrengsten">#REF!</definedName>
    <definedName name="jaarrente" localSheetId="8">[6]Doelzoeken!$B$2</definedName>
    <definedName name="jaarrente" localSheetId="9">[6]Doelzoeken!$B$2</definedName>
    <definedName name="jaarrente" localSheetId="11">[6]Doelzoeken!$B$2</definedName>
    <definedName name="jaarrente" localSheetId="12">[6]Doelzoeken!$B$2</definedName>
    <definedName name="jaarrente" localSheetId="13">[6]Doelzoeken!$B$2</definedName>
    <definedName name="jaarrente" localSheetId="14">[6]Doelzoeken!$B$2</definedName>
    <definedName name="jaarrente" localSheetId="15">[6]Doelzoeken!$B$2</definedName>
    <definedName name="jaarrente" localSheetId="16">[3]Doelzoeken!$B$2</definedName>
    <definedName name="jaarrente" localSheetId="17">[6]Doelzoeken!$B$2</definedName>
    <definedName name="jaarrente" localSheetId="32">[3]Doelzoeken!$B$2</definedName>
    <definedName name="jaarrente" localSheetId="33">[3]Doelzoeken!$B$2</definedName>
    <definedName name="jaarrente" localSheetId="34">[3]Doelzoeken!$B$2</definedName>
    <definedName name="jaarrente" localSheetId="44">[3]Doelzoeken!$B$2</definedName>
    <definedName name="jaarrente" localSheetId="65">[6]Doelzoeken!$B$2</definedName>
    <definedName name="jaarrente">Doelzoeken!$B$2</definedName>
    <definedName name="kolom_def_matrix" localSheetId="8">{"Kledingsoort",0,"Auto","Auto",""}</definedName>
    <definedName name="kolom_def_matrix" localSheetId="9">{"Kledingsoort",0,"Auto","Auto",""}</definedName>
    <definedName name="kolom_def_matrix" localSheetId="11">{"Kledingsoort",0,"Auto","Auto",""}</definedName>
    <definedName name="kolom_def_matrix" localSheetId="12">{"Kledingsoort",0,"Auto","Auto",""}</definedName>
    <definedName name="kolom_def_matrix" localSheetId="13">{"Kledingsoort",0,"Auto","Auto",""}</definedName>
    <definedName name="kolom_def_matrix" localSheetId="14">{"Kledingsoort",0,"Auto","Auto",""}</definedName>
    <definedName name="kolom_def_matrix" localSheetId="15">{"Kledingsoort",0,"Auto","Auto",""}</definedName>
    <definedName name="kolom_def_matrix" localSheetId="16">{"Kledingsoort",0,"Auto","Auto",""}</definedName>
    <definedName name="kolom_def_matrix" localSheetId="17">{"Kledingsoort",0,"Auto","Auto",""}</definedName>
    <definedName name="kolom_def_matrix" localSheetId="32">{"Kledingsoort",0,"Auto","Auto",""}</definedName>
    <definedName name="kolom_def_matrix" localSheetId="33">{"Kledingsoort",0,"Auto","Auto",""}</definedName>
    <definedName name="kolom_def_matrix" localSheetId="34">{"Kledingsoort",0,"Auto","Auto",""}</definedName>
    <definedName name="kolom_def_matrix" localSheetId="44">{"Kledingsoort",0,"Auto","Auto",""}</definedName>
    <definedName name="kolom_def_matrix" localSheetId="65">{"Kledingsoort",0,"Auto","Auto",""}</definedName>
    <definedName name="kolom_def_matrix">{"Kledingsoort",0,"Auto","Auto",""}</definedName>
    <definedName name="Kosten" localSheetId="8">[6]afschrijvingen!$B$1</definedName>
    <definedName name="Kosten" localSheetId="9">[6]afschrijvingen!$B$1</definedName>
    <definedName name="Kosten" localSheetId="11">[6]afschrijvingen!$B$1</definedName>
    <definedName name="Kosten" localSheetId="12">[6]afschrijvingen!$B$1</definedName>
    <definedName name="Kosten" localSheetId="13">[6]afschrijvingen!$B$1</definedName>
    <definedName name="Kosten" localSheetId="14">[6]afschrijvingen!$B$1</definedName>
    <definedName name="Kosten" localSheetId="15">[6]afschrijvingen!$B$1</definedName>
    <definedName name="Kosten" localSheetId="16">[3]afschrijvingen!$B$1</definedName>
    <definedName name="Kosten" localSheetId="17">[6]afschrijvingen!$B$1</definedName>
    <definedName name="Kosten" localSheetId="32">[3]afschrijvingen!$B$1</definedName>
    <definedName name="Kosten" localSheetId="33">[3]afschrijvingen!$B$1</definedName>
    <definedName name="Kosten" localSheetId="34">[3]afschrijvingen!$B$1</definedName>
    <definedName name="Kosten" localSheetId="44">[3]afschrijvingen!$B$1</definedName>
    <definedName name="Kosten" localSheetId="65">[6]afschrijvingen!$B$1</definedName>
    <definedName name="Kosten">#REF!</definedName>
    <definedName name="Kosten_per_Order" localSheetId="16">'[3]coffeebar-model'!$B$5</definedName>
    <definedName name="Kosten_per_Order" localSheetId="32">'[3]coffeebar-model'!$B$5</definedName>
    <definedName name="Kosten_per_Order" localSheetId="33">'[3]coffeebar-model'!$B$5</definedName>
    <definedName name="Kosten_per_Order" localSheetId="34">'[3]coffeebar-model'!$B$5</definedName>
    <definedName name="Kosten_per_Order" localSheetId="44">'[3]coffeebar-model'!$B$5</definedName>
    <definedName name="Kosten_per_Order">#REF!</definedName>
    <definedName name="Marktafzet_Lang_per_week" localSheetId="16">#REF!</definedName>
    <definedName name="Marktafzet_Lang_per_week" localSheetId="32">#REF!</definedName>
    <definedName name="Marktafzet_Lang_per_week" localSheetId="33">#REF!</definedName>
    <definedName name="Marktafzet_Lang_per_week" localSheetId="34">#REF!</definedName>
    <definedName name="Marktafzet_Lang_per_week" localSheetId="44">#REF!</definedName>
    <definedName name="Marktafzet_Lang_per_week" localSheetId="65">#REF!</definedName>
    <definedName name="Marktafzet_Lang_per_week">#REF!</definedName>
    <definedName name="Naaitijd_per_week" localSheetId="16">#REF!</definedName>
    <definedName name="Naaitijd_per_week" localSheetId="32">#REF!</definedName>
    <definedName name="Naaitijd_per_week" localSheetId="33">#REF!</definedName>
    <definedName name="Naaitijd_per_week" localSheetId="34">#REF!</definedName>
    <definedName name="Naaitijd_per_week" localSheetId="44">#REF!</definedName>
    <definedName name="Naaitijd_per_week" localSheetId="65">#REF!</definedName>
    <definedName name="Naaitijd_per_week">#REF!</definedName>
    <definedName name="Number_Jackets_Long" localSheetId="79">WeatherLeather!$C$4</definedName>
    <definedName name="Number_Jackets_Short" localSheetId="79">WeatherLeather!$B$4</definedName>
    <definedName name="Number_of_Orders" localSheetId="8">[4]scen!$B$6</definedName>
    <definedName name="Number_of_Orders" localSheetId="9">[4]scen!$B$6</definedName>
    <definedName name="Number_of_Orders" localSheetId="11">[4]scen!$B$6</definedName>
    <definedName name="Number_of_Orders" localSheetId="12">[4]scen!$B$6</definedName>
    <definedName name="Number_of_Orders" localSheetId="13">[4]scen!$B$6</definedName>
    <definedName name="Number_of_Orders" localSheetId="14">[4]scen!$B$6</definedName>
    <definedName name="Number_of_Orders" localSheetId="15">[4]scen!$B$6</definedName>
    <definedName name="Number_of_Orders" localSheetId="16">[4]scen!$B$6</definedName>
    <definedName name="Number_of_Orders" localSheetId="17">[4]scen!$B$6</definedName>
    <definedName name="Number_of_Orders" localSheetId="32">[4]scen!$B$6</definedName>
    <definedName name="Number_of_Orders" localSheetId="33">[4]scen!$B$6</definedName>
    <definedName name="Number_of_Orders" localSheetId="34">[4]scen!$B$6</definedName>
    <definedName name="Number_of_Orders" localSheetId="44">[4]scen!$B$6</definedName>
    <definedName name="Number_of_Orders" localSheetId="65">[4]scen!$B$6</definedName>
    <definedName name="Number_of_Orders">scen!$B$6</definedName>
    <definedName name="Opbrengst_per_Order" localSheetId="16">'[3]coffeebar-model'!$B$4</definedName>
    <definedName name="Opbrengst_per_Order" localSheetId="32">'[3]coffeebar-model'!$B$4</definedName>
    <definedName name="Opbrengst_per_Order" localSheetId="33">'[3]coffeebar-model'!$B$4</definedName>
    <definedName name="Opbrengst_per_Order" localSheetId="34">'[3]coffeebar-model'!$B$4</definedName>
    <definedName name="Opbrengst_per_Order" localSheetId="44">'[3]coffeebar-model'!$B$4</definedName>
    <definedName name="Opbrengst_per_Order">#REF!</definedName>
    <definedName name="prijs_hoog">[5]form013!$F$9</definedName>
    <definedName name="prijs_laag">[5]form013!$F$10</definedName>
    <definedName name="Profit_Weekly" localSheetId="79">WeatherLeather!$D$5</definedName>
    <definedName name="RapportDatum" localSheetId="8">[1]form005!$E$10</definedName>
    <definedName name="RapportDatum" localSheetId="9">[1]form005!$E$10</definedName>
    <definedName name="RapportDatum" localSheetId="11">[1]form005!$E$10</definedName>
    <definedName name="RapportDatum" localSheetId="12">[1]form005!$E$10</definedName>
    <definedName name="RapportDatum" localSheetId="13">[1]form005!$E$10</definedName>
    <definedName name="RapportDatum" localSheetId="14">[1]form005!$E$10</definedName>
    <definedName name="RapportDatum" localSheetId="15">[1]form005!$E$10</definedName>
    <definedName name="RapportDatum" localSheetId="16">[1]form005!$E$10</definedName>
    <definedName name="RapportDatum" localSheetId="17">[1]form005!$E$10</definedName>
    <definedName name="RapportDatum" localSheetId="32">[1]form005!$E$10</definedName>
    <definedName name="RapportDatum" localSheetId="33">[1]form005!$E$10</definedName>
    <definedName name="RapportDatum" localSheetId="34">[1]form005!$E$10</definedName>
    <definedName name="RapportDatum" localSheetId="44">[1]form005!$E$10</definedName>
    <definedName name="RapportDatum" localSheetId="65">[1]form005!$E$10</definedName>
    <definedName name="RapportDatum">[2]form005!$E$10</definedName>
    <definedName name="Rent">scen!$B$12</definedName>
    <definedName name="Restwaarde" localSheetId="8">[6]afschrijvingen!$B$2</definedName>
    <definedName name="Restwaarde" localSheetId="9">[6]afschrijvingen!$B$2</definedName>
    <definedName name="Restwaarde" localSheetId="11">[6]afschrijvingen!$B$2</definedName>
    <definedName name="Restwaarde" localSheetId="12">[6]afschrijvingen!$B$2</definedName>
    <definedName name="Restwaarde" localSheetId="13">[6]afschrijvingen!$B$2</definedName>
    <definedName name="Restwaarde" localSheetId="14">[6]afschrijvingen!$B$2</definedName>
    <definedName name="Restwaarde" localSheetId="15">[6]afschrijvingen!$B$2</definedName>
    <definedName name="Restwaarde" localSheetId="16">[3]afschrijvingen!$B$2</definedName>
    <definedName name="Restwaarde" localSheetId="17">[6]afschrijvingen!$B$2</definedName>
    <definedName name="Restwaarde" localSheetId="32">[3]afschrijvingen!$B$2</definedName>
    <definedName name="Restwaarde" localSheetId="33">[3]afschrijvingen!$B$2</definedName>
    <definedName name="Restwaarde" localSheetId="34">[3]afschrijvingen!$B$2</definedName>
    <definedName name="Restwaarde" localSheetId="44">[3]afschrijvingen!$B$2</definedName>
    <definedName name="Restwaarde" localSheetId="65">[6]afschrijvingen!$B$2</definedName>
    <definedName name="Restwaarde">#REF!</definedName>
    <definedName name="rij_def_matrix" localSheetId="8">{"Jaar",0,"Auto","Auto","";"Vertegenwoordiger",0,"Auto","Auto",""}</definedName>
    <definedName name="rij_def_matrix" localSheetId="9">{"Jaar",0,"Auto","Auto","";"Vertegenwoordiger",0,"Auto","Auto",""}</definedName>
    <definedName name="rij_def_matrix" localSheetId="11">{"Jaar",0,"Auto","Auto","";"Vertegenwoordiger",0,"Auto","Auto",""}</definedName>
    <definedName name="rij_def_matrix" localSheetId="12">{"Jaar",0,"Auto","Auto","";"Vertegenwoordiger",0,"Auto","Auto",""}</definedName>
    <definedName name="rij_def_matrix" localSheetId="13">{"Jaar",0,"Auto","Auto","";"Vertegenwoordiger",0,"Auto","Auto",""}</definedName>
    <definedName name="rij_def_matrix" localSheetId="14">{"Jaar",0,"Auto","Auto","";"Vertegenwoordiger",0,"Auto","Auto",""}</definedName>
    <definedName name="rij_def_matrix" localSheetId="15">{"Jaar",0,"Auto","Auto","";"Vertegenwoordiger",0,"Auto","Auto",""}</definedName>
    <definedName name="rij_def_matrix" localSheetId="16">{"Jaar",0,"Auto","Auto","";"Vertegenwoordiger",0,"Auto","Auto",""}</definedName>
    <definedName name="rij_def_matrix" localSheetId="17">{"Jaar",0,"Auto","Auto","";"Vertegenwoordiger",0,"Auto","Auto",""}</definedName>
    <definedName name="rij_def_matrix" localSheetId="32">{"Jaar",0,"Auto","Auto","";"Vertegenwoordiger",0,"Auto","Auto",""}</definedName>
    <definedName name="rij_def_matrix" localSheetId="33">{"Jaar",0,"Auto","Auto","";"Vertegenwoordiger",0,"Auto","Auto",""}</definedName>
    <definedName name="rij_def_matrix" localSheetId="34">{"Jaar",0,"Auto","Auto","";"Vertegenwoordiger",0,"Auto","Auto",""}</definedName>
    <definedName name="rij_def_matrix" localSheetId="44">{"Jaar",0,"Auto","Auto","";"Vertegenwoordiger",0,"Auto","Auto",""}</definedName>
    <definedName name="rij_def_matrix" localSheetId="65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79">WeatherLeather!$D$10</definedName>
    <definedName name="SewingTime_Weekly" localSheetId="79">WeatherLeather!$D$9</definedName>
    <definedName name="Snijtijd_per_week" localSheetId="16">#REF!</definedName>
    <definedName name="Snijtijd_per_week" localSheetId="32">#REF!</definedName>
    <definedName name="Snijtijd_per_week" localSheetId="33">#REF!</definedName>
    <definedName name="Snijtijd_per_week" localSheetId="34">#REF!</definedName>
    <definedName name="Snijtijd_per_week" localSheetId="44">#REF!</definedName>
    <definedName name="Snijtijd_per_week" localSheetId="65">#REF!</definedName>
    <definedName name="Snijtijd_per_week">#REF!</definedName>
    <definedName name="solver_adj" localSheetId="66" hidden="1">solv009!#REF!</definedName>
    <definedName name="solver_cvg" localSheetId="66" hidden="1">0.0001</definedName>
    <definedName name="solver_drv" localSheetId="66" hidden="1">1</definedName>
    <definedName name="solver_eng" localSheetId="79" hidden="1">1</definedName>
    <definedName name="solver_est" localSheetId="66" hidden="1">1</definedName>
    <definedName name="solver_itr" localSheetId="66" hidden="1">100</definedName>
    <definedName name="solver_lhs1" localSheetId="79" hidden="1">WeatherLeather!$B$4:$C$4</definedName>
    <definedName name="solver_lhs2" localSheetId="79" hidden="1">WeatherLeather!$D$8</definedName>
    <definedName name="solver_lin" localSheetId="66" hidden="1">2</definedName>
    <definedName name="solver_neg" localSheetId="66" hidden="1">2</definedName>
    <definedName name="solver_neg" localSheetId="79" hidden="1">1</definedName>
    <definedName name="solver_num" localSheetId="66" hidden="1">0</definedName>
    <definedName name="solver_num" localSheetId="79" hidden="1">0</definedName>
    <definedName name="solver_nwt" localSheetId="66" hidden="1">1</definedName>
    <definedName name="solver_opt" localSheetId="66" hidden="1">solv009!#REF!</definedName>
    <definedName name="solver_opt" localSheetId="79" hidden="1">WeatherLeather!$D$5</definedName>
    <definedName name="solver_pre" localSheetId="66" hidden="1">0.000001</definedName>
    <definedName name="solver_rel1" localSheetId="79" hidden="1">4</definedName>
    <definedName name="solver_rel2" localSheetId="79" hidden="1">1</definedName>
    <definedName name="solver_rhs1" localSheetId="79" hidden="1">integer</definedName>
    <definedName name="solver_rhs2" localSheetId="79" hidden="1">WeatherLeather!$E$8</definedName>
    <definedName name="solver_scl" localSheetId="66" hidden="1">2</definedName>
    <definedName name="solver_sho" localSheetId="66" hidden="1">2</definedName>
    <definedName name="solver_tim" localSheetId="66" hidden="1">100</definedName>
    <definedName name="solver_tol" localSheetId="66" hidden="1">0.05</definedName>
    <definedName name="solver_typ" localSheetId="66" hidden="1">2</definedName>
    <definedName name="solver_typ" localSheetId="79" hidden="1">1</definedName>
    <definedName name="solver_val" localSheetId="66" hidden="1">0</definedName>
    <definedName name="solver_val" localSheetId="79" hidden="1">0</definedName>
    <definedName name="solver_ver" localSheetId="79" hidden="1">3</definedName>
    <definedName name="staffel_limiet">[5]form013!$F$8</definedName>
    <definedName name="VerkoopDoelstelling" localSheetId="8">[1]form004!$E$7</definedName>
    <definedName name="VerkoopDoelstelling" localSheetId="9">[1]form004!$E$7</definedName>
    <definedName name="VerkoopDoelstelling" localSheetId="11">[1]form004!$E$7</definedName>
    <definedName name="VerkoopDoelstelling" localSheetId="12">[1]form004!$E$7</definedName>
    <definedName name="VerkoopDoelstelling" localSheetId="13">[1]form004!$E$7</definedName>
    <definedName name="VerkoopDoelstelling" localSheetId="14">[1]form004!$E$7</definedName>
    <definedName name="VerkoopDoelstelling" localSheetId="15">[1]form004!$E$7</definedName>
    <definedName name="VerkoopDoelstelling" localSheetId="16">[1]form004!$E$7</definedName>
    <definedName name="VerkoopDoelstelling" localSheetId="17">[1]form004!$E$7</definedName>
    <definedName name="VerkoopDoelstelling" localSheetId="32">[1]form004!$E$7</definedName>
    <definedName name="VerkoopDoelstelling" localSheetId="33">[1]form004!$E$7</definedName>
    <definedName name="VerkoopDoelstelling" localSheetId="34">[1]form004!$E$7</definedName>
    <definedName name="VerkoopDoelstelling" localSheetId="44">[1]form004!$E$7</definedName>
    <definedName name="VerkoopDoelstelling" localSheetId="65">[1]form004!$E$7</definedName>
    <definedName name="VerkoopDoelstelling">[2]form004!$E$7</definedName>
    <definedName name="Verkopen">'[3]name-box'!$A$2</definedName>
    <definedName name="waarde_def_matrix" localSheetId="8">{"Verkopen","SOM(Verkopen)","JNNNN",FALSE}</definedName>
    <definedName name="waarde_def_matrix" localSheetId="9">{"Verkopen","SOM(Verkopen)","JNNNN",FALSE}</definedName>
    <definedName name="waarde_def_matrix" localSheetId="11">{"Verkopen","SOM(Verkopen)","JNNNN",FALSE}</definedName>
    <definedName name="waarde_def_matrix" localSheetId="12">{"Verkopen","SOM(Verkopen)","JNNNN",FALSE}</definedName>
    <definedName name="waarde_def_matrix" localSheetId="13">{"Verkopen","SOM(Verkopen)","JNNNN",FALSE}</definedName>
    <definedName name="waarde_def_matrix" localSheetId="14">{"Verkopen","SOM(Verkopen)","JNNNN",FALSE}</definedName>
    <definedName name="waarde_def_matrix" localSheetId="15">{"Verkopen","SOM(Verkopen)","JNNNN",FALSE}</definedName>
    <definedName name="waarde_def_matrix" localSheetId="16">{"Verkopen","SOM(Verkopen)","JNNNN",FALSE}</definedName>
    <definedName name="waarde_def_matrix" localSheetId="17">{"Verkopen","SOM(Verkopen)","JNNNN",FALSE}</definedName>
    <definedName name="waarde_def_matrix" localSheetId="32">{"Verkopen","SOM(Verkopen)","JNNNN",FALSE}</definedName>
    <definedName name="waarde_def_matrix" localSheetId="33">{"Verkopen","SOM(Verkopen)","JNNNN",FALSE}</definedName>
    <definedName name="waarde_def_matrix" localSheetId="34">{"Verkopen","SOM(Verkopen)","JNNNN",FALSE}</definedName>
    <definedName name="waarde_def_matrix" localSheetId="44">{"Verkopen","SOM(Verkopen)","JNNNN",FALSE}</definedName>
    <definedName name="waarde_def_matrix" localSheetId="65">{"Verkopen","SOM(Verkopen)","JNNNN",FALSE}</definedName>
    <definedName name="waarde_def_matrix">{"Verkopen","SOM(Verkopen)","JNNNN",FALSE}</definedName>
    <definedName name="Winst_per_week">#REF!</definedName>
    <definedName name="Yield_per_Order" localSheetId="8">[4]scen!$B$4</definedName>
    <definedName name="Yield_per_Order" localSheetId="9">[4]scen!$B$4</definedName>
    <definedName name="Yield_per_Order" localSheetId="11">[4]scen!$B$4</definedName>
    <definedName name="Yield_per_Order" localSheetId="12">[4]scen!$B$4</definedName>
    <definedName name="Yield_per_Order" localSheetId="13">[4]scen!$B$4</definedName>
    <definedName name="Yield_per_Order" localSheetId="14">[4]scen!$B$4</definedName>
    <definedName name="Yield_per_Order" localSheetId="15">[4]scen!$B$4</definedName>
    <definedName name="Yield_per_Order" localSheetId="16">[4]scen!$B$4</definedName>
    <definedName name="Yield_per_Order" localSheetId="17">[4]scen!$B$4</definedName>
    <definedName name="Yield_per_Order" localSheetId="32">[4]scen!$B$4</definedName>
    <definedName name="Yield_per_Order" localSheetId="33">[4]scen!$B$4</definedName>
    <definedName name="Yield_per_Order" localSheetId="34">[4]scen!$B$4</definedName>
    <definedName name="Yield_per_Order" localSheetId="44">[4]scen!$B$4</definedName>
    <definedName name="Yield_per_Order" localSheetId="65">[4]scen!$B$4</definedName>
    <definedName name="Yield_per_Order">scen!$B$4</definedName>
    <definedName name="Zoeklijst" localSheetId="8">#REF!</definedName>
    <definedName name="Zoeklijst" localSheetId="9">#REF!</definedName>
    <definedName name="Zoeklijst" localSheetId="11">#REF!</definedName>
    <definedName name="Zoeklijst" localSheetId="12">#REF!</definedName>
    <definedName name="Zoeklijst" localSheetId="13">#REF!</definedName>
    <definedName name="Zoeklijst" localSheetId="14">#REF!</definedName>
    <definedName name="Zoeklijst" localSheetId="15">#REF!</definedName>
    <definedName name="Zoeklijst" localSheetId="16">'[3]example-vlookup'!$B$11:$E$22</definedName>
    <definedName name="Zoeklijst" localSheetId="17">#REF!</definedName>
    <definedName name="Zoeklijst" localSheetId="32">'[3]example-vlookup'!$B$11:$E$22</definedName>
    <definedName name="Zoeklijst" localSheetId="33">#REF!</definedName>
    <definedName name="Zoeklijst" localSheetId="34">'[3]example-vlookup'!$B$11:$E$22</definedName>
    <definedName name="Zoeklijst" localSheetId="44">'[3]example-vlookup'!$B$11:$E$22</definedName>
    <definedName name="Zoeklijst" localSheetId="65">#REF!</definedName>
    <definedName name="Zoeklijst">#REF!</definedName>
    <definedName name="Zoeknr" localSheetId="8">#REF!</definedName>
    <definedName name="Zoeknr" localSheetId="9">#REF!</definedName>
    <definedName name="Zoeknr" localSheetId="11">#REF!</definedName>
    <definedName name="Zoeknr" localSheetId="12">#REF!</definedName>
    <definedName name="Zoeknr" localSheetId="13">#REF!</definedName>
    <definedName name="Zoeknr" localSheetId="14">#REF!</definedName>
    <definedName name="Zoeknr" localSheetId="15">#REF!</definedName>
    <definedName name="Zoeknr" localSheetId="16">'[3]example-vlookup'!$D$2</definedName>
    <definedName name="Zoeknr" localSheetId="17">#REF!</definedName>
    <definedName name="Zoeknr" localSheetId="32">'[3]example-vlookup'!$D$2</definedName>
    <definedName name="Zoeknr" localSheetId="33">#REF!</definedName>
    <definedName name="Zoeknr" localSheetId="34">'[3]example-vlookup'!$D$2</definedName>
    <definedName name="Zoeknr" localSheetId="44">'[3]example-vlookup'!$D$2</definedName>
    <definedName name="Zoeknr" localSheetId="65">#REF!</definedName>
    <definedName name="Zoeknr">#REF!</definedName>
  </definedNames>
  <calcPr calcId="191029"/>
  <pivotCaches>
    <pivotCache cacheId="0" r:id="rId88"/>
    <pivotCache cacheId="1" r:id="rId89"/>
    <pivotCache cacheId="2" r:id="rId90"/>
    <pivotCache cacheId="3" r:id="rId91"/>
    <pivotCache cacheId="4" r:id="rId92"/>
    <pivotCache cacheId="5" r:id="rId9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02" l="1"/>
  <c r="E20" i="102" s="1"/>
  <c r="H1" i="102"/>
  <c r="Z2" i="95" a="1"/>
  <c r="Z2" i="95" s="1"/>
  <c r="X2" i="95" a="1"/>
  <c r="X2" i="95" s="1"/>
  <c r="R2" i="95" a="1"/>
  <c r="R2" i="95" s="1"/>
  <c r="J2" i="95" a="1"/>
  <c r="J2" i="95" s="1"/>
  <c r="H2" i="95" a="1"/>
  <c r="H2" i="95" s="1"/>
  <c r="B2" i="95" a="1"/>
  <c r="B2" i="95" s="1"/>
  <c r="H2" i="92" a="1"/>
  <c r="H2" i="92" s="1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G3" i="93" a="1"/>
  <c r="G3" i="93" s="1"/>
  <c r="B1" i="89" a="1"/>
  <c r="B1" i="89" s="1"/>
  <c r="D12" i="79" a="1"/>
  <c r="D12" i="79" s="1"/>
  <c r="D17" i="79"/>
  <c r="D17" i="79" a="1"/>
  <c r="S32" i="79" a="1"/>
  <c r="S32" i="79" s="1"/>
  <c r="E32" i="79" a="1"/>
  <c r="E32" i="79" s="1"/>
  <c r="L32" i="79" a="1"/>
  <c r="L32" i="79" s="1"/>
  <c r="N32" i="79" a="1"/>
  <c r="N32" i="79" s="1"/>
  <c r="E2" i="88" a="1"/>
  <c r="E2" i="88" s="1"/>
  <c r="E2" i="87" a="1"/>
  <c r="E2" i="87" s="1"/>
  <c r="E2" i="85" a="1"/>
  <c r="E2" i="85" s="1"/>
  <c r="B2" i="84" a="1"/>
  <c r="B2" i="84" s="1"/>
  <c r="I2" i="83" a="1"/>
  <c r="I2" i="83" s="1"/>
  <c r="E2" i="83" a="1"/>
  <c r="E2" i="83" s="1"/>
  <c r="B9" i="82"/>
  <c r="B8" i="82"/>
  <c r="B7" i="82"/>
  <c r="B6" i="82"/>
  <c r="B5" i="82"/>
  <c r="B4" i="82"/>
  <c r="B3" i="82"/>
  <c r="F4" i="47" a="1"/>
  <c r="F4" i="47" s="1"/>
  <c r="F5" i="47" a="1"/>
  <c r="F5" i="47" s="1"/>
  <c r="F3" i="47" a="1"/>
  <c r="F3" i="47" s="1"/>
  <c r="C7" i="82"/>
  <c r="C8" i="82"/>
  <c r="C4" i="82"/>
  <c r="C3" i="82"/>
  <c r="C6" i="82"/>
  <c r="C5" i="82"/>
  <c r="C9" i="82"/>
  <c r="E25" i="102" l="1"/>
  <c r="C10" i="102"/>
  <c r="C18" i="102"/>
  <c r="D5" i="102"/>
  <c r="C8" i="102"/>
  <c r="E10" i="102"/>
  <c r="D13" i="102"/>
  <c r="C16" i="102"/>
  <c r="E18" i="102"/>
  <c r="D21" i="102"/>
  <c r="C24" i="102"/>
  <c r="D2" i="102"/>
  <c r="E4" i="102"/>
  <c r="D7" i="102"/>
  <c r="E12" i="102"/>
  <c r="D23" i="102"/>
  <c r="C5" i="102"/>
  <c r="C13" i="102"/>
  <c r="E23" i="102"/>
  <c r="C3" i="102"/>
  <c r="E5" i="102"/>
  <c r="D8" i="102"/>
  <c r="C11" i="102"/>
  <c r="E13" i="102"/>
  <c r="D16" i="102"/>
  <c r="C19" i="102"/>
  <c r="E21" i="102"/>
  <c r="D24" i="102"/>
  <c r="D3" i="102"/>
  <c r="C6" i="102"/>
  <c r="E8" i="102"/>
  <c r="D11" i="102"/>
  <c r="C14" i="102"/>
  <c r="E16" i="102"/>
  <c r="D19" i="102"/>
  <c r="C22" i="102"/>
  <c r="E24" i="102"/>
  <c r="D10" i="102"/>
  <c r="C21" i="102"/>
  <c r="E3" i="102"/>
  <c r="D6" i="102"/>
  <c r="C9" i="102"/>
  <c r="E11" i="102"/>
  <c r="D14" i="102"/>
  <c r="C17" i="102"/>
  <c r="E19" i="102"/>
  <c r="D22" i="102"/>
  <c r="C25" i="102"/>
  <c r="C4" i="102"/>
  <c r="E6" i="102"/>
  <c r="D9" i="102"/>
  <c r="C12" i="102"/>
  <c r="E14" i="102"/>
  <c r="D17" i="102"/>
  <c r="C20" i="102"/>
  <c r="E22" i="102"/>
  <c r="D25" i="102"/>
  <c r="D15" i="102"/>
  <c r="E2" i="102"/>
  <c r="E7" i="102"/>
  <c r="E15" i="102"/>
  <c r="D18" i="102"/>
  <c r="C2" i="102"/>
  <c r="D4" i="102"/>
  <c r="C7" i="102"/>
  <c r="E9" i="102"/>
  <c r="D12" i="102"/>
  <c r="C15" i="102"/>
  <c r="E17" i="102"/>
  <c r="D20" i="102"/>
  <c r="C23" i="102"/>
  <c r="B1" i="79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5" i="65"/>
  <c r="P10" i="63"/>
  <c r="P4" i="67"/>
  <c r="P6" i="63"/>
  <c r="P4" i="63"/>
  <c r="P3" i="65"/>
  <c r="P7" i="63"/>
  <c r="P3" i="67"/>
  <c r="P4" i="66"/>
  <c r="P12" i="63"/>
  <c r="P3" i="64"/>
  <c r="P18" i="63"/>
  <c r="P4" i="65"/>
  <c r="P4" i="64"/>
  <c r="P3" i="66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D6" i="46" l="1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A35A-A9F3-4E4B-A8FC-A13687C0888A}" keepAlive="1" name="Query - tblTidy003" description="Connection to the 'tblTidy003' query in the workbook." type="5" refreshedVersion="6" background="1" saveData="1">
    <dbPr connection="Provider=Microsoft.Mashup.OleDb.1;Data Source=$Workbook$;Location=tblTidy003;Extended Properties=&quot;&quot;" command="SELECT * FROM [tblTidy0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<sst xmlns="http://schemas.openxmlformats.org/spreadsheetml/2006/main" count="5265" uniqueCount="677">
  <si>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</si>
  <si>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</si>
  <si>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</si>
  <si>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</si>
  <si>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</si>
  <si>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</si>
  <si>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</si>
  <si>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</si>
  <si>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</si>
  <si>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</si>
  <si>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</si>
  <si>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</si>
  <si>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</si>
  <si>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</si>
  <si>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</si>
  <si>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</si>
  <si>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</si>
  <si>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</si>
  <si>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</si>
  <si>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</si>
  <si>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</si>
  <si>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</si>
  <si>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</si>
  <si>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</si>
  <si>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</si>
  <si>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</si>
  <si>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</si>
  <si>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</si>
  <si>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</si>
  <si>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</si>
  <si>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</si>
  <si>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</si>
  <si>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</si>
  <si>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</si>
  <si>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</si>
  <si>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</si>
  <si>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</si>
  <si>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</si>
  <si>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</si>
  <si>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</si>
  <si>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</si>
  <si>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</si>
  <si>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</si>
  <si>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</si>
  <si>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</si>
  <si>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</si>
  <si>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</si>
  <si>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</si>
  <si>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</si>
  <si>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</si>
  <si>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</si>
  <si>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</si>
  <si>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</si>
  <si>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</si>
  <si>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</si>
  <si>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</si>
  <si>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</si>
  <si>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</si>
  <si>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</si>
  <si>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</si>
  <si>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</si>
  <si>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</si>
  <si>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</si>
  <si>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</si>
  <si>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</si>
  <si>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</si>
  <si>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</si>
  <si>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</si>
  <si>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</si>
  <si>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</si>
  <si>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</si>
  <si>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</si>
  <si>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</si>
  <si>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</si>
  <si>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</si>
  <si>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</si>
  <si>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</si>
  <si>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</si>
  <si>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</si>
  <si>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</si>
  <si>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</si>
  <si>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</si>
  <si>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</si>
  <si>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</si>
  <si>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</si>
  <si>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</si>
  <si>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</si>
  <si>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</si>
  <si>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</si>
  <si>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</si>
  <si>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</si>
  <si>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</si>
  <si>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</si>
  <si>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</si>
  <si>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</si>
  <si>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</si>
  <si>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</si>
  <si>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</si>
  <si>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</si>
  <si>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</si>
  <si>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</si>
  <si>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</si>
  <si>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</si>
  <si>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</si>
  <si>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</si>
  <si>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</si>
  <si>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</si>
  <si>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</si>
  <si>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</si>
  <si>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</si>
  <si>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</si>
  <si>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</si>
  <si>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</si>
  <si>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</si>
  <si>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</si>
  <si>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</si>
  <si>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</si>
  <si>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</si>
  <si>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</si>
  <si>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</si>
  <si>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</si>
  <si>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</si>
  <si>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</si>
  <si>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</si>
  <si>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</si>
  <si>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</si>
  <si>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</si>
  <si>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</si>
  <si>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</si>
  <si>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</si>
  <si>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</si>
  <si>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</si>
  <si>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</si>
  <si>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</si>
  <si>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</si>
  <si>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</si>
  <si>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</si>
  <si>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</si>
  <si>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</si>
  <si>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</si>
  <si>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</si>
  <si>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</si>
  <si>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</si>
  <si>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</si>
  <si>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</si>
  <si>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</si>
  <si>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</si>
  <si>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</si>
  <si>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</si>
  <si>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</si>
  <si>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</si>
  <si>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</si>
  <si>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</si>
  <si>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</si>
  <si>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</si>
  <si>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</si>
  <si>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</si>
  <si>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</si>
  <si>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</si>
  <si>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</si>
  <si>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</si>
  <si>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</si>
  <si>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</si>
  <si>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</si>
  <si>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</si>
  <si>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</si>
  <si>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</si>
  <si>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</si>
  <si>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</si>
  <si>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</si>
  <si>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</si>
  <si>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</si>
  <si>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</si>
  <si>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</si>
  <si>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</si>
  <si>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</si>
  <si>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</si>
  <si>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</si>
  <si>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</si>
  <si>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</si>
  <si>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</si>
  <si>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</si>
  <si>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</si>
  <si>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</si>
  <si>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</si>
  <si>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</si>
  <si>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</si>
  <si>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</si>
  <si>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</si>
  <si>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</si>
  <si>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</si>
  <si>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</si>
  <si>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</si>
  <si>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</si>
  <si>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</si>
  <si>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</si>
  <si>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</si>
  <si>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</si>
  <si>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</si>
  <si>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</si>
  <si>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</si>
  <si>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</si>
  <si>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</si>
  <si>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</si>
  <si>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</si>
  <si>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</si>
  <si>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</si>
  <si>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</si>
  <si>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</si>
  <si>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</si>
  <si>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</si>
  <si>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</si>
  <si>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</si>
  <si>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</si>
  <si>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</si>
  <si>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</si>
  <si>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</si>
  <si>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</si>
  <si>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</si>
  <si>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</si>
  <si>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</si>
  <si>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</si>
  <si>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</si>
  <si>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</si>
  <si>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</si>
  <si>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</si>
  <si>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</si>
  <si>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</si>
  <si>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</si>
  <si>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</si>
  <si>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</si>
  <si>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</si>
  <si>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</si>
  <si>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</si>
  <si>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</si>
  <si>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</si>
  <si>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</si>
  <si>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</si>
  <si>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</si>
  <si>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</si>
  <si>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</si>
  <si>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</si>
  <si>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</si>
  <si>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</si>
  <si>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</si>
  <si>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</si>
  <si>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</si>
  <si>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</si>
  <si>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</si>
  <si>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</si>
  <si>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</si>
  <si>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</si>
  <si>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</si>
  <si>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</si>
  <si>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</si>
  <si>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</si>
  <si>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</si>
  <si>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</si>
  <si>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</si>
  <si>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</si>
  <si>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</si>
  <si>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</si>
  <si>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</si>
  <si>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</si>
  <si>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</si>
  <si>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</si>
  <si>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</si>
  <si>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</si>
  <si>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</si>
  <si>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</si>
  <si>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</si>
  <si>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</si>
  <si>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</si>
  <si>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</si>
  <si>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</si>
  <si>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</si>
  <si>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</si>
  <si>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</si>
  <si>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</si>
  <si>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</si>
  <si>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</si>
  <si>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</si>
  <si>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</si>
  <si>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</si>
  <si>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</si>
  <si>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</si>
  <si>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</si>
  <si>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</si>
  <si>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</si>
  <si>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</si>
  <si>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</si>
  <si>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</si>
  <si>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</si>
  <si>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</si>
  <si>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</si>
  <si>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</si>
  <si>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</si>
  <si>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</si>
  <si>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</si>
  <si>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</si>
  <si>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</si>
  <si>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</si>
  <si>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</si>
  <si>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</si>
  <si>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</si>
  <si>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</si>
  <si>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</si>
  <si>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</si>
  <si>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</si>
  <si>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</si>
  <si>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</si>
  <si>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</si>
  <si>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</si>
  <si>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</si>
  <si>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</si>
  <si>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</si>
  <si>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</si>
  <si>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</si>
  <si>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</si>
  <si>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</si>
  <si>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</si>
  <si>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</si>
  <si>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</si>
  <si>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</si>
  <si>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</si>
  <si>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</si>
  <si>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</si>
  <si>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</si>
  <si>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</si>
  <si>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</si>
  <si>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</si>
  <si>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</si>
  <si>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</si>
  <si>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</si>
  <si>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</si>
  <si>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</si>
  <si>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</si>
  <si>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</si>
  <si>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</si>
  <si>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</si>
  <si>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</si>
  <si>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</si>
  <si>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</si>
  <si>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</si>
  <si>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</si>
  <si>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</si>
  <si>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</si>
  <si>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</si>
  <si>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</si>
  <si>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</si>
  <si>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</si>
  <si>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</si>
  <si>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</si>
  <si>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</si>
  <si>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</si>
  <si>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</si>
  <si>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</si>
  <si>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</si>
  <si>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</si>
  <si>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</si>
  <si>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</si>
  <si>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</si>
  <si>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</si>
  <si>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</si>
  <si>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</si>
  <si>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</si>
  <si>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</si>
  <si>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</si>
  <si>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</si>
  <si>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</si>
  <si>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</si>
  <si>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</si>
  <si>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</si>
  <si>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</si>
  <si>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</si>
  <si>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</si>
  <si>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</si>
  <si>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</si>
  <si>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</si>
  <si>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</si>
  <si>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</si>
  <si>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</si>
  <si>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</si>
  <si>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</si>
  <si>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</si>
  <si>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</si>
  <si>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</si>
  <si>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</si>
  <si>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</si>
  <si>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</si>
  <si>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</si>
  <si>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</si>
  <si>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</si>
  <si>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</si>
  <si>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</si>
  <si>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</si>
  <si>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</si>
  <si>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</si>
  <si>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</si>
  <si>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</si>
  <si>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</si>
  <si>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</si>
  <si>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</si>
  <si>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</si>
  <si>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</si>
  <si>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</si>
  <si>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</si>
  <si>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</si>
  <si>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</si>
  <si>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</si>
  <si>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</si>
  <si>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</si>
  <si>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</si>
  <si>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</si>
  <si>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</si>
  <si>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</si>
  <si>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</si>
  <si>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</si>
  <si>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</si>
  <si>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</si>
  <si>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</si>
  <si>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</si>
  <si>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</si>
  <si>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</si>
  <si>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</si>
  <si>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</si>
  <si>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</si>
  <si>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</si>
  <si>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</si>
  <si>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</si>
  <si>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</si>
  <si>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</si>
  <si>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</si>
  <si>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</si>
  <si>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</si>
  <si>
    <t>A</t>
  </si>
  <si>
    <t>B</t>
  </si>
  <si>
    <t>C</t>
  </si>
  <si>
    <t>D</t>
  </si>
  <si>
    <t>E</t>
  </si>
  <si>
    <t>male</t>
  </si>
  <si>
    <t>female</t>
  </si>
  <si>
    <t>Inhoudsopgave</t>
  </si>
  <si>
    <t>ausbeer-1</t>
  </si>
  <si>
    <t>ausbeer-2</t>
  </si>
  <si>
    <t>ausbeer-3</t>
  </si>
  <si>
    <t>ausbeer56-73</t>
  </si>
  <si>
    <t>banket</t>
  </si>
  <si>
    <t>Benelux-2</t>
  </si>
  <si>
    <t>calc-01</t>
  </si>
  <si>
    <t>calc-02</t>
  </si>
  <si>
    <t>calc-coffee</t>
  </si>
  <si>
    <t>calc-nper</t>
  </si>
  <si>
    <t>Components</t>
  </si>
  <si>
    <t>data</t>
  </si>
  <si>
    <t>datatable1a</t>
  </si>
  <si>
    <t>datatable1b</t>
  </si>
  <si>
    <t>datatable2a</t>
  </si>
  <si>
    <t>datatable2b</t>
  </si>
  <si>
    <t>datatablelayout</t>
  </si>
  <si>
    <t>Doelzoeken</t>
  </si>
  <si>
    <t>fcast</t>
  </si>
  <si>
    <t>Func-datum</t>
  </si>
  <si>
    <t>Func-logisch</t>
  </si>
  <si>
    <t>Func-nesting</t>
  </si>
  <si>
    <t>Func-statistisch</t>
  </si>
  <si>
    <t>Func-tekst</t>
  </si>
  <si>
    <t>Func-wiskunde</t>
  </si>
  <si>
    <t>getalopmaak</t>
  </si>
  <si>
    <t>HorizZoeken</t>
  </si>
  <si>
    <t>invoices</t>
  </si>
  <si>
    <t>koersen</t>
  </si>
  <si>
    <t>list-purchases</t>
  </si>
  <si>
    <t>meetresultaten</t>
  </si>
  <si>
    <t>pivot</t>
  </si>
  <si>
    <t>pivot-example</t>
  </si>
  <si>
    <t>premietabel</t>
  </si>
  <si>
    <t>prijstabel</t>
  </si>
  <si>
    <t>RSE</t>
  </si>
  <si>
    <t>scen</t>
  </si>
  <si>
    <t>scen rprt</t>
  </si>
  <si>
    <t>scores1</t>
  </si>
  <si>
    <t>solv009</t>
  </si>
  <si>
    <t>supermarkt</t>
  </si>
  <si>
    <t>termijnen</t>
  </si>
  <si>
    <t>Trendline-Exponential</t>
  </si>
  <si>
    <t>Trendline-Lineair</t>
  </si>
  <si>
    <t>Trendline-Logarithmic</t>
  </si>
  <si>
    <t>Trendline-MA</t>
  </si>
  <si>
    <t>Trendline-Polynomial</t>
  </si>
  <si>
    <t>Trendline-Power</t>
  </si>
  <si>
    <t>uitlijning</t>
  </si>
  <si>
    <t>verkopen_kw1</t>
  </si>
  <si>
    <t>vlak</t>
  </si>
  <si>
    <t>WaarOnwaar</t>
  </si>
  <si>
    <t>zoekver</t>
  </si>
  <si>
    <t>Rounding:</t>
  </si>
  <si>
    <t>on 0 dec</t>
  </si>
  <si>
    <t>on 1 dec</t>
  </si>
  <si>
    <t>on 2 dec</t>
  </si>
  <si>
    <t>down on 1 dec</t>
  </si>
  <si>
    <t>up on 2 dec</t>
  </si>
  <si>
    <t>to significance of 6</t>
  </si>
  <si>
    <t>to significance of 10</t>
  </si>
  <si>
    <t>=AVERAGE(B1:B8)</t>
  </si>
  <si>
    <t>=MIN(B1:B8)</t>
  </si>
  <si>
    <t>=COUNT(B1:B8)</t>
  </si>
  <si>
    <t>=MAX(B1:B8)</t>
  </si>
  <si>
    <t>array-01</t>
  </si>
  <si>
    <t>array-04</t>
  </si>
  <si>
    <t>array-05</t>
  </si>
  <si>
    <t>array-06</t>
  </si>
  <si>
    <t>array-07</t>
  </si>
  <si>
    <t>array-08</t>
  </si>
  <si>
    <t>array-09</t>
  </si>
  <si>
    <t>array-dyn</t>
  </si>
  <si>
    <t>array-dyn-filter</t>
  </si>
  <si>
    <t>array-dyn-sequence</t>
  </si>
  <si>
    <t>array-dyn-sort</t>
  </si>
  <si>
    <t>array-frequency</t>
  </si>
  <si>
    <t>Benelux</t>
  </si>
  <si>
    <t>example-annuity</t>
  </si>
  <si>
    <t>example-rounding</t>
  </si>
  <si>
    <t>array-dyn-sortby1</t>
  </si>
  <si>
    <t>array-dyn-sortby2</t>
  </si>
  <si>
    <t>array-dyn-unique</t>
  </si>
  <si>
    <t>array-examples</t>
  </si>
  <si>
    <t>Country</t>
  </si>
  <si>
    <t>Gold</t>
  </si>
  <si>
    <t>Silver</t>
  </si>
  <si>
    <t>Bronze</t>
  </si>
  <si>
    <t>United States</t>
  </si>
  <si>
    <t>Great Britain</t>
  </si>
  <si>
    <t>China</t>
  </si>
  <si>
    <t>Russia</t>
  </si>
  <si>
    <t>Germany</t>
  </si>
  <si>
    <t>Japan</t>
  </si>
  <si>
    <t>France</t>
  </si>
  <si>
    <t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</si>
  <si>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</si>
  <si>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</si>
  <si>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</si>
  <si>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</si>
  <si>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</si>
  <si>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</si>
  <si>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</si>
  <si>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</si>
  <si>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</si>
  <si>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</si>
  <si>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New Zealand</t>
  </si>
  <si>
    <t>Canada</t>
  </si>
  <si>
    <t>Uzbekistan</t>
  </si>
  <si>
    <t>Kazakhstan</t>
  </si>
  <si>
    <t>Colombia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</si>
  <si>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</si>
  <si>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</si>
  <si>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</si>
  <si>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</si>
  <si>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</si>
  <si>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</si>
  <si>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</si>
  <si>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</si>
  <si>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</si>
  <si>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</si>
  <si>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</si>
  <si>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Belgium</t>
  </si>
  <si>
    <t>Thailand</t>
  </si>
  <si>
    <t>Slovakia</t>
  </si>
  <si>
    <t>Georgia</t>
  </si>
  <si>
    <t>Azerbaijan</t>
  </si>
  <si>
    <t>Belarus</t>
  </si>
  <si>
    <t>Turkey</t>
  </si>
  <si>
    <t>Armenia</t>
  </si>
  <si>
    <t>Czech Republic</t>
  </si>
  <si>
    <t>Ethiopia</t>
  </si>
  <si>
    <t>Slovenia</t>
  </si>
  <si>
    <t>Indonesia</t>
  </si>
  <si>
    <t>Romania</t>
  </si>
  <si>
    <t>Bahrain</t>
  </si>
  <si>
    <t>Vietnam</t>
  </si>
  <si>
    <t>Chinese Taipei</t>
  </si>
  <si>
    <t>Bahamas</t>
  </si>
  <si>
    <t>Independent Olympic Athletes</t>
  </si>
  <si>
    <t>Ivory Coast</t>
  </si>
  <si>
    <t>Fiji</t>
  </si>
  <si>
    <t>Jordan</t>
  </si>
  <si>
    <t>Kosovo</t>
  </si>
  <si>
    <t>Puerto Rico</t>
  </si>
  <si>
    <t>Singapore</t>
  </si>
  <si>
    <t>Tajikistan</t>
  </si>
  <si>
    <t>Malaysia</t>
  </si>
  <si>
    <t>Mexico</t>
  </si>
  <si>
    <t>Venezuela</t>
  </si>
  <si>
    <t>Algeria</t>
  </si>
  <si>
    <t>Ireland</t>
  </si>
  <si>
    <t>Lithuania</t>
  </si>
  <si>
    <t>Bulgaria</t>
  </si>
  <si>
    <t>India</t>
  </si>
  <si>
    <t>Mongolia</t>
  </si>
  <si>
    <t>Burundi</t>
  </si>
  <si>
    <t>Grenada</t>
  </si>
  <si>
    <t>Niger</t>
  </si>
  <si>
    <t>Philippines</t>
  </si>
  <si>
    <t>Qatar</t>
  </si>
  <si>
    <t>Norway</t>
  </si>
  <si>
    <t>Egypt</t>
  </si>
  <si>
    <t>Tunisia</t>
  </si>
  <si>
    <t>Israel</t>
  </si>
  <si>
    <t>Austria</t>
  </si>
  <si>
    <t>Dominican Republic</t>
  </si>
  <si>
    <t>Estonia</t>
  </si>
  <si>
    <t>Finland</t>
  </si>
  <si>
    <t>Morocco</t>
  </si>
  <si>
    <t>Nigeria</t>
  </si>
  <si>
    <t>Portugal</t>
  </si>
  <si>
    <t>Trinidad and Tobago</t>
  </si>
  <si>
    <t>United Arab Emirates</t>
  </si>
  <si>
    <t>Tall</t>
  </si>
  <si>
    <t>Grande</t>
  </si>
  <si>
    <t>Venti</t>
  </si>
  <si>
    <t>Caffè Latte</t>
  </si>
  <si>
    <t>Cappuccino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</si>
  <si>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</si>
  <si>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</si>
  <si>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</si>
  <si>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</si>
  <si>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</si>
  <si>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</si>
  <si>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</si>
  <si>
    <t>Size</t>
  </si>
  <si>
    <t>Total</t>
  </si>
  <si>
    <t>array-xlookup-2way</t>
  </si>
  <si>
    <t>array-xlookup-multiplevalues</t>
  </si>
  <si>
    <t>cause</t>
  </si>
  <si>
    <t>respiration</t>
  </si>
  <si>
    <t>cardiovascular</t>
  </si>
  <si>
    <t>tumors</t>
  </si>
  <si>
    <t>road traffic</t>
  </si>
  <si>
    <t>nervous system</t>
  </si>
  <si>
    <t>other</t>
  </si>
  <si>
    <t>charttype-pareto</t>
  </si>
  <si>
    <t>T</t>
  </si>
  <si>
    <t>Tmax</t>
  </si>
  <si>
    <t>Tmin</t>
  </si>
  <si>
    <t>Sales (K$)</t>
  </si>
  <si>
    <t>charttype-line</t>
  </si>
  <si>
    <t>charttype-line-scatter</t>
  </si>
  <si>
    <t>InvoiceNr</t>
  </si>
  <si>
    <t>Productcategory</t>
  </si>
  <si>
    <t>King</t>
  </si>
  <si>
    <t>software</t>
  </si>
  <si>
    <t>hardware</t>
  </si>
  <si>
    <t>Anderson</t>
  </si>
  <si>
    <t>Johnson</t>
  </si>
  <si>
    <t>Phillips</t>
  </si>
  <si>
    <t>Smith</t>
  </si>
  <si>
    <t>Lewis</t>
  </si>
  <si>
    <t>Gonzalez</t>
  </si>
  <si>
    <t>Hernandez</t>
  </si>
  <si>
    <t>Williams</t>
  </si>
  <si>
    <t>Miller</t>
  </si>
  <si>
    <t>Brown</t>
  </si>
  <si>
    <t>2010</t>
  </si>
  <si>
    <t>2011</t>
  </si>
  <si>
    <t>Years</t>
  </si>
  <si>
    <t>Quarters</t>
  </si>
  <si>
    <t>hour</t>
  </si>
  <si>
    <t>temp</t>
  </si>
  <si>
    <t>CL</t>
  </si>
  <si>
    <t>UCL</t>
  </si>
  <si>
    <t>LCL</t>
  </si>
  <si>
    <t>mean</t>
  </si>
  <si>
    <t>standarddev.</t>
  </si>
  <si>
    <t>Search name</t>
  </si>
  <si>
    <t>Age</t>
  </si>
  <si>
    <t>Length</t>
  </si>
  <si>
    <t>Shoe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</si>
</sst>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€&quot;\ #,##0;&quot;€&quot;\ \-#,##0"/>
    <numFmt numFmtId="7" formatCode="&quot;€&quot;\ #,##0.00;&quot;€&quot;\ \-#,##0.0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&quot;€&quot;\ * #,##0_ ;_ &quot;€&quot;\ * \-#,##0_ ;_ &quot;€&quot;\ * &quot;-&quot;??_ ;_ @_ "/>
    <numFmt numFmtId="167" formatCode="_-&quot;€&quot;\ * #,##0.00_-;_-&quot;€&quot;\ * #,##0.00\-;_-&quot;€&quot;\ * &quot;-&quot;??_-;_-@_-"/>
    <numFmt numFmtId="168" formatCode="mmm\ yyyy"/>
    <numFmt numFmtId="169" formatCode="0.0"/>
    <numFmt numFmtId="170" formatCode="_-&quot;F&quot;\ * #,##0.00_-;_-&quot;F&quot;\ * #,##0.00\-;_-&quot;F&quot;\ * &quot;-&quot;??_-;_-@_-"/>
    <numFmt numFmtId="171" formatCode="_ * #,##0_ ;_ * \-#,##0_ ;_ * &quot;-&quot;??_ ;_ @_ "/>
    <numFmt numFmtId="172" formatCode="0.0%"/>
    <numFmt numFmtId="173" formatCode="0.000%"/>
    <numFmt numFmtId="174" formatCode="_([$$-409]* #,##0.00_);_([$$-409]* \(#,##0.00\);_([$$-409]* &quot;-&quot;??_);_(@_)"/>
    <numFmt numFmtId="175" formatCode="[$€-2]\ #,##0_);\([$€-2]\ #,##0\)"/>
    <numFmt numFmtId="176" formatCode="_([$€-2]\ * #,##0.00_);_([$€-2]\ * \(#,##0.00\);_([$€-2]\ * &quot;-&quot;??_);_(@_)"/>
    <numFmt numFmtId="177" formatCode="_(&quot;$&quot;* #,##0_);_(&quot;$&quot;* \(#,##0\);_(&quot;$&quot;* &quot;-&quot;??_);_(@_)"/>
    <numFmt numFmtId="178" formatCode="&quot;$&quot;#,##0"/>
    <numFmt numFmtId="179" formatCode="_([$$-409]* #,##0_);_([$$-409]* \(#,##0\);_([$$-409]* &quot;-&quot;??_);_(@_)"/>
    <numFmt numFmtId="180" formatCode="&quot;$&quot;#,##0.00"/>
    <numFmt numFmtId="181" formatCode="&quot;$&quot;\ #,##0;[Red]&quot;$&quot;\ \-#,##0"/>
    <numFmt numFmtId="182" formatCode="0.00000"/>
    <numFmt numFmtId="183" formatCode="0.000"/>
    <numFmt numFmtId="184" formatCode="0.0000"/>
    <numFmt numFmtId="185" formatCode="[$-F800]dddd\,\ mmmm\ dd\,\ yyyy"/>
    <numFmt numFmtId="186" formatCode="m\/d\/yyyy"/>
  </numFmts>
  <fonts count="4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4">
    <xf numFmtId="0" fontId="0" fillId="0" borderId="0"/>
    <xf numFmtId="44" fontId="13" fillId="0" borderId="0" applyFont="0" applyFill="0" applyBorder="0" applyAlignment="0" applyProtection="0"/>
    <xf numFmtId="174" fontId="12" fillId="0" borderId="0"/>
    <xf numFmtId="44" fontId="12" fillId="0" borderId="0" applyFont="0" applyFill="0" applyBorder="0" applyAlignment="0" applyProtection="0"/>
    <xf numFmtId="174" fontId="11" fillId="0" borderId="0"/>
    <xf numFmtId="167" fontId="22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9" fillId="0" borderId="0"/>
    <xf numFmtId="174" fontId="8" fillId="0" borderId="0"/>
    <xf numFmtId="44" fontId="8" fillId="0" borderId="0" applyFont="0" applyFill="0" applyBorder="0" applyAlignment="0" applyProtection="0"/>
    <xf numFmtId="174" fontId="22" fillId="0" borderId="0"/>
    <xf numFmtId="170" fontId="22" fillId="0" borderId="0" applyFont="0" applyFill="0" applyBorder="0" applyAlignment="0" applyProtection="0"/>
    <xf numFmtId="174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6" fillId="0" borderId="0"/>
    <xf numFmtId="44" fontId="6" fillId="0" borderId="0" applyFont="0" applyFill="0" applyBorder="0" applyAlignment="0" applyProtection="0"/>
    <xf numFmtId="174" fontId="5" fillId="0" borderId="0"/>
    <xf numFmtId="44" fontId="12" fillId="0" borderId="0" applyFont="0" applyFill="0" applyBorder="0" applyAlignment="0" applyProtection="0"/>
    <xf numFmtId="175" fontId="25" fillId="0" borderId="0" applyFill="0" applyBorder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85" fontId="12" fillId="0" borderId="0"/>
    <xf numFmtId="0" fontId="13" fillId="0" borderId="0"/>
    <xf numFmtId="0" fontId="24" fillId="0" borderId="0">
      <alignment horizontal="left"/>
    </xf>
    <xf numFmtId="0" fontId="25" fillId="0" borderId="0" applyFill="0" applyBorder="0">
      <alignment vertical="center"/>
    </xf>
    <xf numFmtId="0" fontId="42" fillId="0" borderId="0" applyNumberFormat="0" applyFill="0" applyBorder="0" applyAlignment="0" applyProtection="0"/>
    <xf numFmtId="0" fontId="1" fillId="0" borderId="0"/>
    <xf numFmtId="43" fontId="13" fillId="0" borderId="0" applyFont="0" applyFill="0" applyBorder="0" applyAlignment="0" applyProtection="0"/>
    <xf numFmtId="185" fontId="13" fillId="0" borderId="0"/>
  </cellStyleXfs>
  <cellXfs count="207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4" fontId="12" fillId="0" borderId="0" xfId="2"/>
    <xf numFmtId="174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4" fontId="21" fillId="0" borderId="0" xfId="4" applyFont="1"/>
    <xf numFmtId="174" fontId="11" fillId="0" borderId="0" xfId="4"/>
    <xf numFmtId="167" fontId="0" fillId="0" borderId="0" xfId="5" applyFont="1"/>
    <xf numFmtId="168" fontId="11" fillId="0" borderId="0" xfId="4" applyNumberFormat="1"/>
    <xf numFmtId="7" fontId="0" fillId="0" borderId="0" xfId="0" applyNumberFormat="1"/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174" fontId="9" fillId="0" borderId="0" xfId="8"/>
    <xf numFmtId="174" fontId="9" fillId="0" borderId="0" xfId="8" applyAlignment="1">
      <alignment horizontal="right"/>
    </xf>
    <xf numFmtId="174" fontId="18" fillId="0" borderId="0" xfId="8" applyFont="1"/>
    <xf numFmtId="9" fontId="0" fillId="0" borderId="0" xfId="0" applyNumberFormat="1"/>
    <xf numFmtId="9" fontId="8" fillId="0" borderId="0" xfId="9" applyNumberFormat="1"/>
    <xf numFmtId="174" fontId="22" fillId="0" borderId="0" xfId="11"/>
    <xf numFmtId="174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4" xfId="0" applyFont="1" applyBorder="1"/>
    <xf numFmtId="0" fontId="12" fillId="0" borderId="7" xfId="0" applyFont="1" applyBorder="1"/>
    <xf numFmtId="0" fontId="12" fillId="0" borderId="6" xfId="0" applyFont="1" applyBorder="1" applyAlignment="1">
      <alignment textRotation="44"/>
    </xf>
    <xf numFmtId="0" fontId="12" fillId="0" borderId="5" xfId="0" applyFont="1" applyBorder="1"/>
    <xf numFmtId="0" fontId="12" fillId="0" borderId="0" xfId="0" applyFont="1" applyAlignment="1">
      <alignment horizontal="left" indent="2"/>
    </xf>
    <xf numFmtId="174" fontId="7" fillId="0" borderId="0" xfId="13"/>
    <xf numFmtId="49" fontId="7" fillId="0" borderId="0" xfId="13" applyNumberFormat="1"/>
    <xf numFmtId="171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2" fontId="7" fillId="0" borderId="0" xfId="13" applyNumberFormat="1"/>
    <xf numFmtId="10" fontId="7" fillId="0" borderId="0" xfId="13" applyNumberFormat="1"/>
    <xf numFmtId="173" fontId="7" fillId="0" borderId="0" xfId="13" applyNumberFormat="1"/>
    <xf numFmtId="174" fontId="21" fillId="0" borderId="0" xfId="16" applyFont="1"/>
    <xf numFmtId="174" fontId="21" fillId="0" borderId="0" xfId="16" applyFont="1" applyAlignment="1">
      <alignment horizontal="center"/>
    </xf>
    <xf numFmtId="174" fontId="6" fillId="0" borderId="0" xfId="16"/>
    <xf numFmtId="166" fontId="0" fillId="0" borderId="0" xfId="17" applyNumberFormat="1" applyFont="1"/>
    <xf numFmtId="44" fontId="0" fillId="0" borderId="0" xfId="3" applyFont="1"/>
    <xf numFmtId="44" fontId="12" fillId="0" borderId="0" xfId="2" applyNumberFormat="1"/>
    <xf numFmtId="10" fontId="12" fillId="0" borderId="0" xfId="2" applyNumberFormat="1"/>
    <xf numFmtId="174" fontId="12" fillId="0" borderId="0" xfId="2" applyAlignment="1">
      <alignment horizontal="center"/>
    </xf>
    <xf numFmtId="174" fontId="5" fillId="0" borderId="0" xfId="18"/>
    <xf numFmtId="174" fontId="24" fillId="0" borderId="0" xfId="18" applyFont="1" applyAlignment="1">
      <alignment horizontal="right"/>
    </xf>
    <xf numFmtId="174" fontId="24" fillId="0" borderId="0" xfId="18" applyFont="1"/>
    <xf numFmtId="174" fontId="5" fillId="0" borderId="0" xfId="18" applyAlignment="1">
      <alignment horizontal="right"/>
    </xf>
    <xf numFmtId="174" fontId="4" fillId="0" borderId="0" xfId="13" applyFont="1"/>
    <xf numFmtId="174" fontId="0" fillId="0" borderId="0" xfId="14" applyNumberFormat="1" applyFont="1"/>
    <xf numFmtId="49" fontId="4" fillId="0" borderId="0" xfId="13" applyNumberFormat="1" applyFont="1"/>
    <xf numFmtId="44" fontId="0" fillId="0" borderId="0" xfId="19" applyFont="1"/>
    <xf numFmtId="44" fontId="17" fillId="0" borderId="0" xfId="19" applyFont="1"/>
    <xf numFmtId="0" fontId="0" fillId="2" borderId="0" xfId="0" applyFill="1" applyAlignment="1">
      <alignment horizontal="center"/>
    </xf>
    <xf numFmtId="174" fontId="2" fillId="0" borderId="0" xfId="18" applyFont="1"/>
    <xf numFmtId="0" fontId="0" fillId="0" borderId="5" xfId="0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17" fillId="0" borderId="0" xfId="0" applyFont="1"/>
    <xf numFmtId="171" fontId="0" fillId="5" borderId="0" xfId="22" applyNumberFormat="1" applyFont="1" applyFill="1"/>
    <xf numFmtId="0" fontId="17" fillId="0" borderId="0" xfId="0" applyFont="1" applyAlignment="1">
      <alignment horizontal="right"/>
    </xf>
    <xf numFmtId="0" fontId="28" fillId="8" borderId="12" xfId="0" applyFont="1" applyFill="1" applyBorder="1" applyAlignment="1">
      <alignment horizontal="left"/>
    </xf>
    <xf numFmtId="0" fontId="28" fillId="8" borderId="11" xfId="0" applyFont="1" applyFill="1" applyBorder="1" applyAlignment="1">
      <alignment horizontal="left"/>
    </xf>
    <xf numFmtId="0" fontId="0" fillId="0" borderId="10" xfId="0" applyBorder="1"/>
    <xf numFmtId="0" fontId="29" fillId="9" borderId="0" xfId="0" applyFont="1" applyFill="1" applyAlignment="1">
      <alignment horizontal="left"/>
    </xf>
    <xf numFmtId="0" fontId="30" fillId="9" borderId="10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1" xfId="0" applyFont="1" applyFill="1" applyBorder="1" applyAlignment="1">
      <alignment horizontal="right"/>
    </xf>
    <xf numFmtId="0" fontId="32" fillId="0" borderId="0" xfId="0" applyFont="1" applyAlignment="1">
      <alignment vertical="top" wrapText="1"/>
    </xf>
    <xf numFmtId="0" fontId="31" fillId="8" borderId="12" xfId="0" applyFont="1" applyFill="1" applyBorder="1" applyAlignment="1">
      <alignment horizontal="right" vertical="top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 applyAlignment="1">
      <alignment horizontal="center"/>
    </xf>
    <xf numFmtId="165" fontId="0" fillId="0" borderId="0" xfId="0" applyNumberFormat="1"/>
    <xf numFmtId="165" fontId="0" fillId="0" borderId="10" xfId="0" applyNumberFormat="1" applyBorder="1"/>
    <xf numFmtId="177" fontId="18" fillId="4" borderId="0" xfId="0" applyNumberFormat="1" applyFont="1" applyFill="1"/>
    <xf numFmtId="0" fontId="18" fillId="4" borderId="0" xfId="0" applyFont="1" applyFill="1"/>
    <xf numFmtId="165" fontId="19" fillId="0" borderId="0" xfId="0" applyNumberFormat="1" applyFont="1"/>
    <xf numFmtId="0" fontId="18" fillId="0" borderId="0" xfId="0" applyFont="1"/>
    <xf numFmtId="0" fontId="19" fillId="0" borderId="0" xfId="0" applyFont="1"/>
    <xf numFmtId="0" fontId="22" fillId="0" borderId="0" xfId="11" applyNumberFormat="1"/>
    <xf numFmtId="178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Fill="1" applyAlignment="1">
      <alignment horizontal="left"/>
    </xf>
    <xf numFmtId="165" fontId="0" fillId="0" borderId="0" xfId="23" applyNumberFormat="1" applyFont="1"/>
    <xf numFmtId="0" fontId="24" fillId="0" borderId="0" xfId="0" applyFont="1"/>
    <xf numFmtId="0" fontId="3" fillId="0" borderId="0" xfId="9" applyNumberFormat="1" applyFont="1"/>
    <xf numFmtId="0" fontId="24" fillId="0" borderId="0" xfId="9" applyNumberFormat="1" applyFont="1"/>
    <xf numFmtId="165" fontId="8" fillId="0" borderId="0" xfId="9" applyNumberFormat="1"/>
    <xf numFmtId="176" fontId="0" fillId="0" borderId="0" xfId="10" applyNumberFormat="1" applyFont="1"/>
    <xf numFmtId="176" fontId="8" fillId="0" borderId="0" xfId="9" applyNumberFormat="1"/>
    <xf numFmtId="177" fontId="0" fillId="0" borderId="0" xfId="19" applyNumberFormat="1" applyFont="1"/>
    <xf numFmtId="165" fontId="0" fillId="0" borderId="0" xfId="19" applyNumberFormat="1" applyFont="1"/>
    <xf numFmtId="165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165" fontId="34" fillId="0" borderId="0" xfId="3" applyNumberFormat="1" applyFont="1"/>
    <xf numFmtId="165" fontId="34" fillId="0" borderId="0" xfId="2" applyNumberFormat="1" applyFont="1"/>
    <xf numFmtId="0" fontId="34" fillId="0" borderId="0" xfId="0" applyFont="1"/>
    <xf numFmtId="174" fontId="0" fillId="5" borderId="0" xfId="19" applyNumberFormat="1" applyFont="1" applyFill="1"/>
    <xf numFmtId="174" fontId="17" fillId="0" borderId="0" xfId="19" applyNumberFormat="1" applyFont="1"/>
    <xf numFmtId="174" fontId="17" fillId="0" borderId="0" xfId="0" applyNumberFormat="1" applyFont="1"/>
    <xf numFmtId="174" fontId="0" fillId="0" borderId="1" xfId="0" applyNumberFormat="1" applyBorder="1"/>
    <xf numFmtId="174" fontId="0" fillId="0" borderId="0" xfId="23" applyNumberFormat="1" applyFont="1" applyFill="1" applyBorder="1" applyAlignment="1"/>
    <xf numFmtId="174" fontId="0" fillId="10" borderId="0" xfId="23" applyNumberFormat="1" applyFont="1" applyFill="1" applyBorder="1" applyAlignment="1"/>
    <xf numFmtId="179" fontId="0" fillId="3" borderId="0" xfId="0" applyNumberFormat="1" applyFill="1"/>
    <xf numFmtId="179" fontId="0" fillId="0" borderId="0" xfId="0" applyNumberFormat="1"/>
    <xf numFmtId="179" fontId="0" fillId="2" borderId="0" xfId="0" applyNumberFormat="1" applyFill="1"/>
    <xf numFmtId="178" fontId="16" fillId="0" borderId="0" xfId="0" applyNumberFormat="1" applyFont="1"/>
    <xf numFmtId="164" fontId="0" fillId="0" borderId="0" xfId="0" applyNumberFormat="1"/>
    <xf numFmtId="0" fontId="21" fillId="0" borderId="0" xfId="24" applyFont="1"/>
    <xf numFmtId="0" fontId="1" fillId="0" borderId="0" xfId="24"/>
    <xf numFmtId="174" fontId="0" fillId="0" borderId="0" xfId="25" applyNumberFormat="1" applyFont="1"/>
    <xf numFmtId="14" fontId="1" fillId="0" borderId="0" xfId="24" applyNumberFormat="1"/>
    <xf numFmtId="180" fontId="0" fillId="0" borderId="0" xfId="0" applyNumberFormat="1"/>
    <xf numFmtId="174" fontId="0" fillId="0" borderId="0" xfId="0" applyNumberFormat="1" applyAlignment="1">
      <alignment horizontal="center"/>
    </xf>
    <xf numFmtId="174" fontId="14" fillId="0" borderId="3" xfId="0" applyNumberFormat="1" applyFont="1" applyBorder="1" applyAlignment="1">
      <alignment horizontal="center"/>
    </xf>
    <xf numFmtId="0" fontId="0" fillId="0" borderId="5" xfId="0" applyBorder="1"/>
    <xf numFmtId="0" fontId="0" fillId="11" borderId="5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4" fontId="36" fillId="0" borderId="0" xfId="0" applyNumberFormat="1" applyFont="1"/>
    <xf numFmtId="179" fontId="36" fillId="0" borderId="0" xfId="0" applyNumberFormat="1" applyFont="1"/>
    <xf numFmtId="179" fontId="35" fillId="0" borderId="0" xfId="0" applyNumberFormat="1" applyFont="1"/>
    <xf numFmtId="181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2" fontId="37" fillId="0" borderId="0" xfId="0" applyNumberFormat="1" applyFont="1"/>
    <xf numFmtId="0" fontId="13" fillId="0" borderId="0" xfId="0" applyFont="1"/>
    <xf numFmtId="183" fontId="13" fillId="0" borderId="0" xfId="0" applyNumberFormat="1" applyFont="1"/>
    <xf numFmtId="0" fontId="13" fillId="0" borderId="0" xfId="0" applyFont="1" applyAlignment="1">
      <alignment horizontal="right"/>
    </xf>
    <xf numFmtId="183" fontId="0" fillId="0" borderId="0" xfId="0" applyNumberFormat="1"/>
    <xf numFmtId="184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3" fillId="0" borderId="0" xfId="27"/>
    <xf numFmtId="0" fontId="42" fillId="0" borderId="0" xfId="30"/>
    <xf numFmtId="0" fontId="1" fillId="0" borderId="0" xfId="31"/>
    <xf numFmtId="43" fontId="0" fillId="0" borderId="0" xfId="3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4" fillId="0" borderId="0" xfId="31" applyFont="1"/>
    <xf numFmtId="0" fontId="24" fillId="0" borderId="0" xfId="31" applyFont="1" applyAlignment="1">
      <alignment horizontal="right"/>
    </xf>
    <xf numFmtId="49" fontId="1" fillId="0" borderId="0" xfId="31" applyNumberFormat="1"/>
    <xf numFmtId="169" fontId="1" fillId="0" borderId="0" xfId="31" applyNumberFormat="1"/>
    <xf numFmtId="185" fontId="14" fillId="0" borderId="0" xfId="33" applyFont="1"/>
    <xf numFmtId="185" fontId="13" fillId="0" borderId="0" xfId="33"/>
    <xf numFmtId="0" fontId="13" fillId="0" borderId="0" xfId="33" applyNumberFormat="1" applyAlignment="1">
      <alignment horizontal="center"/>
    </xf>
    <xf numFmtId="1" fontId="13" fillId="0" borderId="0" xfId="33" applyNumberFormat="1"/>
    <xf numFmtId="185" fontId="0" fillId="0" borderId="0" xfId="33" applyFont="1"/>
    <xf numFmtId="0" fontId="22" fillId="0" borderId="0" xfId="24" applyFont="1"/>
    <xf numFmtId="186" fontId="1" fillId="0" borderId="0" xfId="24" applyNumberFormat="1"/>
    <xf numFmtId="169" fontId="0" fillId="0" borderId="0" xfId="0" applyNumberFormat="1"/>
    <xf numFmtId="2" fontId="0" fillId="0" borderId="0" xfId="0" applyNumberFormat="1"/>
    <xf numFmtId="0" fontId="14" fillId="0" borderId="0" xfId="0" applyFont="1"/>
    <xf numFmtId="0" fontId="27" fillId="7" borderId="0" xfId="0" applyFont="1" applyFill="1" applyAlignment="1">
      <alignment horizontal="center" vertical="center"/>
    </xf>
    <xf numFmtId="0" fontId="12" fillId="0" borderId="8" xfId="0" applyFont="1" applyBorder="1" applyAlignment="1">
      <alignment horizontal="center" vertical="center" textRotation="90"/>
    </xf>
    <xf numFmtId="0" fontId="12" fillId="0" borderId="9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textRotation="90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4">
    <cellStyle name="Comma 2" xfId="21" xr:uid="{00000000-0005-0000-0000-000000000000}"/>
    <cellStyle name="Comma 3" xfId="22" xr:uid="{00000000-0005-0000-0000-000001000000}"/>
    <cellStyle name="Comma 4" xfId="32" xr:uid="{C1E31521-3974-40F0-9408-CEBA7CA49FF1}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" xfId="30" builtinId="8"/>
    <cellStyle name="Hyperlink Text." xfId="20" xr:uid="{00000000-0005-0000-0000-000007000000}"/>
    <cellStyle name="Hyperlink Text. 2" xfId="29" xr:uid="{1613C17D-1400-4222-BFB1-8758C7B43A89}"/>
    <cellStyle name="Komma 2" xfId="15" xr:uid="{00000000-0005-0000-0000-000008000000}"/>
    <cellStyle name="Normal 2" xfId="24" xr:uid="{00000000-0005-0000-0000-00000A000000}"/>
    <cellStyle name="opgave" xfId="28" xr:uid="{1A291607-8746-49F8-8CAF-00DFC5A288A8}"/>
    <cellStyle name="Standaard" xfId="0" builtinId="0" customBuiltin="1"/>
    <cellStyle name="Standaard 10" xfId="18" xr:uid="{00000000-0005-0000-0000-00000B000000}"/>
    <cellStyle name="Standaard 11" xfId="31" xr:uid="{C077DE18-0634-42B3-B5A2-A498E2EC1FB4}"/>
    <cellStyle name="Standaard 13" xfId="27" xr:uid="{978D0157-7E2A-46A9-823E-ED79E9D67427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3 2" xfId="33" xr:uid="{6D123558-566F-4424-841B-E973D3F26DD3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" xfId="1" builtinId="4" hidden="1"/>
    <cellStyle name="Valuta" xfId="23" builtinId="4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20">
    <dxf>
      <numFmt numFmtId="179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9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4" formatCode="_([$$-409]* #,##0.00_);_([$$-409]* \(#,##0.00\);_([$$-409]* &quot;-&quot;??_);_(@_)"/>
    </dxf>
    <dxf>
      <numFmt numFmtId="19" formatCode="d/m/yyyy"/>
    </dxf>
    <dxf>
      <numFmt numFmtId="186" formatCode="m\/d\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3.xml"/><Relationship Id="rId89" Type="http://schemas.openxmlformats.org/officeDocument/2006/relationships/pivotCacheDefinition" Target="pivotCache/pivotCacheDefinition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pivotCacheDefinition" Target="pivotCache/pivotCacheDefinition3.xml"/><Relationship Id="rId95" Type="http://schemas.openxmlformats.org/officeDocument/2006/relationships/connections" Target="connection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externalLink" Target="externalLinks/externalLink2.xml"/><Relationship Id="rId88" Type="http://schemas.openxmlformats.org/officeDocument/2006/relationships/pivotCacheDefinition" Target="pivotCache/pivotCacheDefinition1.xml"/><Relationship Id="rId91" Type="http://schemas.openxmlformats.org/officeDocument/2006/relationships/pivotCacheDefinition" Target="pivotCache/pivotCacheDefinition4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externalLink" Target="externalLinks/externalLink5.xml"/><Relationship Id="rId94" Type="http://schemas.openxmlformats.org/officeDocument/2006/relationships/theme" Target="theme/theme1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externalLink" Target="externalLinks/externalLink6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pivotCacheDefinition" Target="pivotCache/pivotCacheDefinition6.xml"/><Relationship Id="rId98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/>
              <a:t>Control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180707070707071"/>
          <c:y val="0.13522941176470588"/>
          <c:w val="0.83970808080808235"/>
          <c:h val="0.62813267973856213"/>
        </c:manualLayout>
      </c:layout>
      <c:lineChart>
        <c:grouping val="standard"/>
        <c:varyColors val="0"/>
        <c:ser>
          <c:idx val="0"/>
          <c:order val="0"/>
          <c:tx>
            <c:strRef>
              <c:f>'charttype-control'!$B$1</c:f>
              <c:strCache>
                <c:ptCount val="1"/>
                <c:pt idx="0">
                  <c:v>temp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'charttype-control'!$B$2:$B$25</c:f>
              <c:numCache>
                <c:formatCode>0.0</c:formatCode>
                <c:ptCount val="24"/>
                <c:pt idx="0">
                  <c:v>35.6</c:v>
                </c:pt>
                <c:pt idx="1">
                  <c:v>33.799999999999997</c:v>
                </c:pt>
                <c:pt idx="2">
                  <c:v>34.4</c:v>
                </c:pt>
                <c:pt idx="3">
                  <c:v>35</c:v>
                </c:pt>
                <c:pt idx="4">
                  <c:v>35.6</c:v>
                </c:pt>
                <c:pt idx="5">
                  <c:v>33.4</c:v>
                </c:pt>
                <c:pt idx="6">
                  <c:v>33</c:v>
                </c:pt>
                <c:pt idx="7">
                  <c:v>34.4</c:v>
                </c:pt>
                <c:pt idx="8">
                  <c:v>36</c:v>
                </c:pt>
                <c:pt idx="9">
                  <c:v>34</c:v>
                </c:pt>
                <c:pt idx="10">
                  <c:v>35</c:v>
                </c:pt>
                <c:pt idx="11">
                  <c:v>35.6</c:v>
                </c:pt>
                <c:pt idx="12">
                  <c:v>33.9</c:v>
                </c:pt>
                <c:pt idx="13">
                  <c:v>36.1</c:v>
                </c:pt>
                <c:pt idx="14">
                  <c:v>37.4</c:v>
                </c:pt>
                <c:pt idx="15">
                  <c:v>35.200000000000003</c:v>
                </c:pt>
                <c:pt idx="16">
                  <c:v>33.200000000000003</c:v>
                </c:pt>
                <c:pt idx="17">
                  <c:v>36.4</c:v>
                </c:pt>
                <c:pt idx="18">
                  <c:v>34.200000000000003</c:v>
                </c:pt>
                <c:pt idx="19">
                  <c:v>36</c:v>
                </c:pt>
                <c:pt idx="20">
                  <c:v>35.799999999999997</c:v>
                </c:pt>
                <c:pt idx="21">
                  <c:v>32.5</c:v>
                </c:pt>
                <c:pt idx="22">
                  <c:v>37</c:v>
                </c:pt>
                <c:pt idx="23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C-4BAE-B6D8-9F8CE1FD5B69}"/>
            </c:ext>
          </c:extLst>
        </c:ser>
        <c:ser>
          <c:idx val="1"/>
          <c:order val="1"/>
          <c:tx>
            <c:strRef>
              <c:f>'charttype-control'!$C$1</c:f>
              <c:strCache>
                <c:ptCount val="1"/>
                <c:pt idx="0">
                  <c:v>CL</c:v>
                </c:pt>
              </c:strCache>
            </c:strRef>
          </c:tx>
          <c:spPr>
            <a:ln w="2222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'charttype-control'!$C$2:$C$25</c:f>
              <c:numCache>
                <c:formatCode>0.0</c:formatCode>
                <c:ptCount val="24"/>
                <c:pt idx="0">
                  <c:v>34.929166666666667</c:v>
                </c:pt>
                <c:pt idx="1">
                  <c:v>34.929166666666667</c:v>
                </c:pt>
                <c:pt idx="2">
                  <c:v>34.929166666666667</c:v>
                </c:pt>
                <c:pt idx="3">
                  <c:v>34.929166666666667</c:v>
                </c:pt>
                <c:pt idx="4">
                  <c:v>34.929166666666667</c:v>
                </c:pt>
                <c:pt idx="5">
                  <c:v>34.929166666666667</c:v>
                </c:pt>
                <c:pt idx="6">
                  <c:v>34.929166666666667</c:v>
                </c:pt>
                <c:pt idx="7">
                  <c:v>34.929166666666667</c:v>
                </c:pt>
                <c:pt idx="8">
                  <c:v>34.929166666666667</c:v>
                </c:pt>
                <c:pt idx="9">
                  <c:v>34.929166666666667</c:v>
                </c:pt>
                <c:pt idx="10">
                  <c:v>34.929166666666667</c:v>
                </c:pt>
                <c:pt idx="11">
                  <c:v>34.929166666666667</c:v>
                </c:pt>
                <c:pt idx="12">
                  <c:v>34.929166666666667</c:v>
                </c:pt>
                <c:pt idx="13">
                  <c:v>34.929166666666667</c:v>
                </c:pt>
                <c:pt idx="14">
                  <c:v>34.929166666666667</c:v>
                </c:pt>
                <c:pt idx="15">
                  <c:v>34.929166666666667</c:v>
                </c:pt>
                <c:pt idx="16">
                  <c:v>34.929166666666667</c:v>
                </c:pt>
                <c:pt idx="17">
                  <c:v>34.929166666666667</c:v>
                </c:pt>
                <c:pt idx="18">
                  <c:v>34.929166666666667</c:v>
                </c:pt>
                <c:pt idx="19">
                  <c:v>34.929166666666667</c:v>
                </c:pt>
                <c:pt idx="20">
                  <c:v>34.929166666666667</c:v>
                </c:pt>
                <c:pt idx="21">
                  <c:v>34.929166666666667</c:v>
                </c:pt>
                <c:pt idx="22">
                  <c:v>34.929166666666667</c:v>
                </c:pt>
                <c:pt idx="23">
                  <c:v>34.929166666666667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C-4BAE-B6D8-9F8CE1FD5B69}"/>
            </c:ext>
          </c:extLst>
        </c:ser>
        <c:ser>
          <c:idx val="2"/>
          <c:order val="2"/>
          <c:tx>
            <c:strRef>
              <c:f>'charttype-control'!$D$1</c:f>
              <c:strCache>
                <c:ptCount val="1"/>
                <c:pt idx="0">
                  <c:v>UCL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'charttype-control'!$D$2:$D$25</c:f>
              <c:numCache>
                <c:formatCode>0.0</c:formatCode>
                <c:ptCount val="24"/>
                <c:pt idx="0">
                  <c:v>37.48870410223153</c:v>
                </c:pt>
                <c:pt idx="1">
                  <c:v>37.48870410223153</c:v>
                </c:pt>
                <c:pt idx="2">
                  <c:v>37.48870410223153</c:v>
                </c:pt>
                <c:pt idx="3">
                  <c:v>37.48870410223153</c:v>
                </c:pt>
                <c:pt idx="4">
                  <c:v>37.48870410223153</c:v>
                </c:pt>
                <c:pt idx="5">
                  <c:v>37.48870410223153</c:v>
                </c:pt>
                <c:pt idx="6">
                  <c:v>37.48870410223153</c:v>
                </c:pt>
                <c:pt idx="7">
                  <c:v>37.48870410223153</c:v>
                </c:pt>
                <c:pt idx="8">
                  <c:v>37.48870410223153</c:v>
                </c:pt>
                <c:pt idx="9">
                  <c:v>37.48870410223153</c:v>
                </c:pt>
                <c:pt idx="10">
                  <c:v>37.48870410223153</c:v>
                </c:pt>
                <c:pt idx="11">
                  <c:v>37.48870410223153</c:v>
                </c:pt>
                <c:pt idx="12">
                  <c:v>37.48870410223153</c:v>
                </c:pt>
                <c:pt idx="13">
                  <c:v>37.48870410223153</c:v>
                </c:pt>
                <c:pt idx="14">
                  <c:v>37.48870410223153</c:v>
                </c:pt>
                <c:pt idx="15">
                  <c:v>37.48870410223153</c:v>
                </c:pt>
                <c:pt idx="16">
                  <c:v>37.48870410223153</c:v>
                </c:pt>
                <c:pt idx="17">
                  <c:v>37.48870410223153</c:v>
                </c:pt>
                <c:pt idx="18">
                  <c:v>37.48870410223153</c:v>
                </c:pt>
                <c:pt idx="19">
                  <c:v>37.48870410223153</c:v>
                </c:pt>
                <c:pt idx="20">
                  <c:v>37.48870410223153</c:v>
                </c:pt>
                <c:pt idx="21">
                  <c:v>37.48870410223153</c:v>
                </c:pt>
                <c:pt idx="22">
                  <c:v>37.48870410223153</c:v>
                </c:pt>
                <c:pt idx="23">
                  <c:v>37.48870410223153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C-4BAE-B6D8-9F8CE1FD5B69}"/>
            </c:ext>
          </c:extLst>
        </c:ser>
        <c:ser>
          <c:idx val="3"/>
          <c:order val="3"/>
          <c:tx>
            <c:strRef>
              <c:f>'charttype-control'!$E$1</c:f>
              <c:strCache>
                <c:ptCount val="1"/>
                <c:pt idx="0">
                  <c:v>LCL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'charttype-control'!$E$2:$E$25</c:f>
              <c:numCache>
                <c:formatCode>0.0</c:formatCode>
                <c:ptCount val="24"/>
                <c:pt idx="0">
                  <c:v>32.369629231101804</c:v>
                </c:pt>
                <c:pt idx="1">
                  <c:v>32.369629231101804</c:v>
                </c:pt>
                <c:pt idx="2">
                  <c:v>32.369629231101804</c:v>
                </c:pt>
                <c:pt idx="3">
                  <c:v>32.369629231101804</c:v>
                </c:pt>
                <c:pt idx="4">
                  <c:v>32.369629231101804</c:v>
                </c:pt>
                <c:pt idx="5">
                  <c:v>32.369629231101804</c:v>
                </c:pt>
                <c:pt idx="6">
                  <c:v>32.369629231101804</c:v>
                </c:pt>
                <c:pt idx="7">
                  <c:v>32.369629231101804</c:v>
                </c:pt>
                <c:pt idx="8">
                  <c:v>32.369629231101804</c:v>
                </c:pt>
                <c:pt idx="9">
                  <c:v>32.369629231101804</c:v>
                </c:pt>
                <c:pt idx="10">
                  <c:v>32.369629231101804</c:v>
                </c:pt>
                <c:pt idx="11">
                  <c:v>32.369629231101804</c:v>
                </c:pt>
                <c:pt idx="12">
                  <c:v>32.369629231101804</c:v>
                </c:pt>
                <c:pt idx="13">
                  <c:v>32.369629231101804</c:v>
                </c:pt>
                <c:pt idx="14">
                  <c:v>32.369629231101804</c:v>
                </c:pt>
                <c:pt idx="15">
                  <c:v>32.369629231101804</c:v>
                </c:pt>
                <c:pt idx="16">
                  <c:v>32.369629231101804</c:v>
                </c:pt>
                <c:pt idx="17">
                  <c:v>32.369629231101804</c:v>
                </c:pt>
                <c:pt idx="18">
                  <c:v>32.369629231101804</c:v>
                </c:pt>
                <c:pt idx="19">
                  <c:v>32.369629231101804</c:v>
                </c:pt>
                <c:pt idx="20">
                  <c:v>32.369629231101804</c:v>
                </c:pt>
                <c:pt idx="21">
                  <c:v>32.369629231101804</c:v>
                </c:pt>
                <c:pt idx="22">
                  <c:v>32.369629231101804</c:v>
                </c:pt>
                <c:pt idx="23">
                  <c:v>32.369629231101804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8C-4BAE-B6D8-9F8CE1FD5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16160"/>
        <c:axId val="144718080"/>
      </c:lineChart>
      <c:catAx>
        <c:axId val="1447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hour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144718080"/>
        <c:crosses val="autoZero"/>
        <c:auto val="1"/>
        <c:lblAlgn val="ctr"/>
        <c:lblOffset val="100"/>
        <c:noMultiLvlLbl val="0"/>
      </c:catAx>
      <c:valAx>
        <c:axId val="144718080"/>
        <c:scaling>
          <c:orientation val="minMax"/>
          <c:max val="38"/>
          <c:min val="3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temperature</a:t>
                </a:r>
                <a:r>
                  <a:rPr lang="nl-NL" baseline="0"/>
                  <a:t> (C)</a:t>
                </a:r>
                <a:endParaRPr lang="nl-NL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144716160"/>
        <c:crosses val="autoZero"/>
        <c:crossBetween val="midCat"/>
        <c:majorUnit val="1"/>
        <c:min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4-49EA-BC40-ED0CB511E964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4-49EA-BC40-ED0CB511E964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4-49EA-BC40-ED0CB511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Annual temperatures Amsterdam</a:t>
            </a:r>
          </a:p>
          <a:p>
            <a:pPr>
              <a:defRPr/>
            </a:pPr>
            <a:r>
              <a:rPr lang="nl-NL"/>
              <a:t>Schiphol Airport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6-48DF-92D5-6AB6114F3E8A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6-48DF-92D5-6AB6114F3E8A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36-48DF-92D5-6AB6114F3E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5-4E23-AAA0-5394A3A4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0752"/>
        <c:axId val="1133712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'charttype-line-scatter'!$A$1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25-4E23-AAA0-5394A3A4D341}"/>
                  </c:ext>
                </c:extLst>
              </c15:ser>
            </c15:filteredLineSeries>
          </c:ext>
        </c:extLst>
      </c:lineChart>
      <c:catAx>
        <c:axId val="11380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12320"/>
        <c:crosses val="autoZero"/>
        <c:auto val="1"/>
        <c:lblAlgn val="ctr"/>
        <c:lblOffset val="100"/>
        <c:noMultiLvlLbl val="0"/>
      </c:catAx>
      <c:valAx>
        <c:axId val="1133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7-4A98-AC2F-34BEFCE8B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6064"/>
        <c:axId val="1188175600"/>
      </c:scatterChart>
      <c:valAx>
        <c:axId val="1133136064"/>
        <c:scaling>
          <c:orientation val="minMax"/>
          <c:max val="201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75600"/>
        <c:crosses val="autoZero"/>
        <c:crossBetween val="midCat"/>
      </c:valAx>
      <c:valAx>
        <c:axId val="11881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3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Causes of death 2009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Causes of death 2009</a:t>
          </a:r>
        </a:p>
      </cx:txPr>
    </cx:title>
    <cx:plotArea>
      <cx:plotAreaRegion>
        <cx:series layoutId="clusteredColumn" uniqueId="{306DE67B-C462-4FC1-AB48-130430041DFC}">
          <cx:tx>
            <cx:txData>
              <cx:f>_xlchart.v1.1</cx:f>
              <cx:v>number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0524798-8821-4F78-A098-C58828A6F0F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102375</xdr:colOff>
      <xdr:row>19</xdr:row>
      <xdr:rowOff>12000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EB39085-8DD4-4EF9-910C-A5AFE0B92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0.83464</cdr:x>
      <cdr:y>0.06703</cdr:y>
    </cdr:from>
    <cdr:to>
      <cdr:x>0.95731</cdr:x>
      <cdr:y>0.13758</cdr:y>
    </cdr:to>
    <cdr:sp macro="" textlink="">
      <cdr:nvSpPr>
        <cdr:cNvPr id="2" name="Tekstvak 1"/>
        <cdr:cNvSpPr txBox="1"/>
      </cdr:nvSpPr>
      <cdr:spPr>
        <a:xfrm xmlns:a="http://schemas.openxmlformats.org/drawingml/2006/main">
          <a:off x="3305175" y="180975"/>
          <a:ext cx="4857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nl-NL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339D154-E06F-49DC-B007-0C798BDBC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304800</xdr:colOff>
      <xdr:row>37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C45678C-C04C-44A6-BCED-A2A38C60C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561525</xdr:colOff>
      <xdr:row>15</xdr:row>
      <xdr:rowOff>64500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7FF3D05-270F-4681-A226-EDCC94F18D1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15</xdr:col>
      <xdr:colOff>552000</xdr:colOff>
      <xdr:row>15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03C344D-96F1-4039-95B3-D04F865BB29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DFF4C6F2-1465-44CB-8064-61BE81B4F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84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10</xdr:row>
      <xdr:rowOff>114300</xdr:rowOff>
    </xdr:from>
    <xdr:to>
      <xdr:col>11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58007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8</xdr:col>
      <xdr:colOff>0</xdr:colOff>
      <xdr:row>16</xdr:row>
      <xdr:rowOff>104775</xdr:rowOff>
    </xdr:from>
    <xdr:to>
      <xdr:col>10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48768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9</xdr:col>
      <xdr:colOff>47625</xdr:colOff>
      <xdr:row>6</xdr:row>
      <xdr:rowOff>0</xdr:rowOff>
    </xdr:from>
    <xdr:to>
      <xdr:col>11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55340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48768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8</xdr:col>
      <xdr:colOff>295274</xdr:colOff>
      <xdr:row>7</xdr:row>
      <xdr:rowOff>133350</xdr:rowOff>
    </xdr:from>
    <xdr:to>
      <xdr:col>8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51720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7</xdr:row>
      <xdr:rowOff>95250</xdr:rowOff>
    </xdr:from>
    <xdr:to>
      <xdr:col>10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63912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95250</xdr:rowOff>
    </xdr:from>
    <xdr:to>
      <xdr:col>11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64008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95250</xdr:rowOff>
    </xdr:from>
    <xdr:to>
      <xdr:col>10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57912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15</xdr:row>
      <xdr:rowOff>57150</xdr:rowOff>
    </xdr:from>
    <xdr:to>
      <xdr:col>8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52101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ffice\excel2016nl\resources\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ffice\excel2016en\resources\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eboeken/leerexcel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ffice\excel_en\resources\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ffice\LeerExcel-source\resources\Excel_Solutions_N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ffice\LeerExcel-source\resources\Excel_Screendumps_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advertising-model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kery"/>
      <sheetName val="bakery-2011"/>
      <sheetName val="banket"/>
      <sheetName val="Benelux"/>
      <sheetName val="Benelux-populatie"/>
      <sheetName val="Benelux-populatie-oplossing"/>
      <sheetName val="candybox-table"/>
      <sheetName val="case"/>
      <sheetName val="cashflows"/>
      <sheetName val="cell-alignment-example"/>
      <sheetName val="charttype-area"/>
      <sheetName val="charttype-bar"/>
      <sheetName val="charttype-bubble"/>
      <sheetName val="charttype-column"/>
      <sheetName val="charttype-doughnut"/>
      <sheetName val="charttype-line"/>
      <sheetName val="charttype-line-scatter"/>
      <sheetName val="charttype-pareto"/>
      <sheetName val="charttype-pie"/>
      <sheetName val="charttype-radar"/>
      <sheetName val="charttype-scatter"/>
      <sheetName val="coffeebar-model"/>
      <sheetName val="coffeebar-scen-summary"/>
      <sheetName val="Componenten"/>
      <sheetName val="cottage-rental-fixed"/>
      <sheetName val="cottage-rental-variable"/>
      <sheetName val="data-entry-example"/>
      <sheetName val="datatable-formulas4"/>
      <sheetName val="datatable-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-nl"/>
      <sheetName val="fcast"/>
      <sheetName val="formula-copy"/>
      <sheetName val="formula-example"/>
      <sheetName val="invoices"/>
      <sheetName val="months-names-long"/>
      <sheetName val="name-box"/>
      <sheetName val="number-format-example"/>
      <sheetName val="Personeelstabel"/>
      <sheetName val="pivot"/>
      <sheetName val="pivot-example"/>
      <sheetName val="prodtime-chart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tadiumcoffee"/>
      <sheetName val="supermarket-filter"/>
      <sheetName val="supermarket-pivotrepor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B1">
            <v>1000</v>
          </cell>
        </row>
        <row r="2">
          <cell r="B2">
            <v>7.0000000000000007E-2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>
        <row r="1">
          <cell r="A1">
            <v>100</v>
          </cell>
        </row>
        <row r="2">
          <cell r="A2">
            <v>275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oud"/>
      <sheetName val="data001"/>
      <sheetName val="fcast001"/>
      <sheetName val="fcast002"/>
      <sheetName val="fcast002-voorspellingenbla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form011"/>
      <sheetName val="form012"/>
      <sheetName val="form013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tabl001"/>
      <sheetName val="tabl002"/>
      <sheetName val="tidy001"/>
      <sheetName val="tidy002"/>
      <sheetName val="tidy003"/>
      <sheetName val="Excel_Solution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">
          <cell r="F8">
            <v>20</v>
          </cell>
          <cell r="H8">
            <v>21</v>
          </cell>
        </row>
        <row r="9">
          <cell r="F9">
            <v>45</v>
          </cell>
        </row>
        <row r="10">
          <cell r="F10">
            <v>40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type-column"/>
      <sheetName val="bakery"/>
      <sheetName val="bakery-2011"/>
      <sheetName val="TOC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ulation-model"/>
      <sheetName val="candybox-table"/>
      <sheetName val="cashflows"/>
      <sheetName val="cell-alignment-example"/>
      <sheetName val="Componenten"/>
      <sheetName val="data-entry-example"/>
      <sheetName val="datatable1a"/>
      <sheetName val="datatable1b"/>
      <sheetName val="datatable2a"/>
      <sheetName val="datatable2b"/>
      <sheetName val="datatable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"/>
      <sheetName val="fcast"/>
      <sheetName val="formula-copy"/>
      <sheetName val="Func-wiskunde"/>
      <sheetName val="case"/>
      <sheetName val="meetresultaten"/>
      <sheetName val="months-names-long"/>
      <sheetName val="name-box"/>
      <sheetName val="number-format-example"/>
      <sheetName val="Personeelstabel"/>
      <sheetName val="pivot"/>
      <sheetName val="pivot-example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/>
      <sheetData sheetId="3"/>
      <sheetData sheetId="4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">
          <cell r="B1">
            <v>1000</v>
          </cell>
        </row>
        <row r="2">
          <cell r="B2">
            <v>7.0000000000000007E-2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4">
      <sharedItems count="2">
        <s v="Golf"/>
        <s v="Tennis"/>
      </sharedItems>
    </cacheField>
    <cacheField name="Kwartaal" numFmtId="174">
      <sharedItems count="2">
        <s v="Kw. 3"/>
        <s v="Kw. 4"/>
      </sharedItems>
    </cacheField>
    <cacheField name="Omzet" numFmtId="166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68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4">
      <sharedItems count="3">
        <s v="Berkeldam"/>
        <s v="Reggedorp"/>
        <s v="Dinkelstad"/>
      </sharedItems>
    </cacheField>
    <cacheField name="Kassa" numFmtId="174">
      <sharedItems/>
    </cacheField>
    <cacheField name="Productgroep" numFmtId="174">
      <sharedItems count="3">
        <s v="AGF"/>
        <s v="Zuivel"/>
        <s v="Vlees"/>
      </sharedItems>
    </cacheField>
    <cacheField name="Omzet" numFmtId="167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78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4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605.456889583336" createdVersion="7" refreshedVersion="7" minRefreshableVersion="3" recordCount="922" xr:uid="{C034D408-8F32-4A62-A750-A39482AF5252}">
  <cacheSource type="worksheet">
    <worksheetSource name="SalesData"/>
  </cacheSource>
  <cacheFields count="8">
    <cacheField name="Region" numFmtId="0">
      <sharedItems/>
    </cacheField>
    <cacheField name="Salesman" numFmtId="0">
      <sharedItems count="11">
        <s v="King"/>
        <s v="Anderson"/>
        <s v="Johnson"/>
        <s v="Phillips"/>
        <s v="Smith"/>
        <s v="Lewis"/>
        <s v="Gonzalez"/>
        <s v="Hernandez"/>
        <s v="Williams"/>
        <s v="Miller"/>
        <s v="Brown"/>
      </sharedItems>
    </cacheField>
    <cacheField name="InvoiceNr" numFmtId="0">
      <sharedItems containsSemiMixedTypes="0" containsString="0" containsNumber="1" containsInteger="1" minValue="2010001" maxValue="2011523"/>
    </cacheField>
    <cacheField name="InvoiceDate" numFmtId="186">
      <sharedItems containsSemiMixedTypes="0" containsNonDate="0" containsDate="1" containsString="0" minDate="2010-01-01T00:00:00" maxDate="2011-12-31T00:00:00" count="440">
        <d v="2010-01-01T00:00:00"/>
        <d v="2010-01-06T00:00:00"/>
        <d v="2010-01-07T00:00:00"/>
        <d v="2010-01-08T00:00:00"/>
        <d v="2010-01-09T00:00:00"/>
        <d v="2010-01-10T00:00:00"/>
        <d v="2010-01-13T00:00:00"/>
        <d v="2010-01-14T00:00:00"/>
        <d v="2010-01-15T00:00:00"/>
        <d v="2010-01-16T00:00:00"/>
        <d v="2010-01-17T00:00:00"/>
        <d v="2010-01-20T00:00:00"/>
        <d v="2010-01-22T00:00:00"/>
        <d v="2010-01-23T00:00:00"/>
        <d v="2010-01-24T00:00:00"/>
        <d v="2010-01-27T00:00:00"/>
        <d v="2010-01-28T00:00:00"/>
        <d v="2010-01-29T00:00:00"/>
        <d v="2010-01-30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5T00:00:00"/>
        <d v="2010-02-17T00:00:00"/>
        <d v="2010-02-18T00:00:00"/>
        <d v="2010-02-19T00:00:00"/>
        <d v="2010-02-22T00:00:00"/>
        <d v="2010-02-24T00:00:00"/>
        <d v="2010-02-25T00:00:00"/>
        <d v="2010-03-01T00:00:00"/>
        <d v="2010-03-02T00:00:00"/>
        <d v="2010-03-03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9T00:00:00"/>
        <d v="2010-03-31T00:00:00"/>
        <d v="2010-04-01T00:00:00"/>
        <d v="2010-04-02T00:00:00"/>
        <d v="2010-04-05T00:00:00"/>
        <d v="2010-04-07T00:00:00"/>
        <d v="2010-04-08T00:00:00"/>
        <d v="2010-04-09T00:00:00"/>
        <d v="2010-04-12T00:00:00"/>
        <d v="2010-04-13T00:00:00"/>
        <d v="2010-04-14T00:00:00"/>
        <d v="2010-04-16T00:00:00"/>
        <d v="2010-04-20T00:00:00"/>
        <d v="2010-04-21T00:00:00"/>
        <d v="2010-04-22T00:00:00"/>
        <d v="2010-04-23T00:00:00"/>
        <d v="2010-04-26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9T00:00:00"/>
        <d v="2010-05-10T00:00:00"/>
        <d v="2010-05-11T00:00:00"/>
        <d v="2010-05-12T00:00:00"/>
        <d v="2010-05-15T00:00:00"/>
        <d v="2010-05-16T00:00:00"/>
        <d v="2010-05-17T00:00:00"/>
        <d v="2010-05-18T00:00:00"/>
        <d v="2010-05-19T00:00:00"/>
        <d v="2010-05-22T00:00:00"/>
        <d v="2010-05-23T00:00:00"/>
        <d v="2010-05-24T00:00:00"/>
        <d v="2010-05-25T00:00:00"/>
        <d v="2010-05-26T00:00:00"/>
        <d v="2010-05-29T00:00:00"/>
        <d v="2010-06-01T00:00:00"/>
        <d v="2010-06-02T00:00:00"/>
        <d v="2010-06-03T00:00:00"/>
        <d v="2010-06-07T00:00:00"/>
        <d v="2010-06-10T00:00:00"/>
        <d v="2010-06-11T00:00:00"/>
        <d v="2010-06-14T00:00:00"/>
        <d v="2010-06-16T00:00:00"/>
        <d v="2010-06-18T00:00:00"/>
        <d v="2010-06-21T00:00:00"/>
        <d v="2010-06-22T00:00:00"/>
        <d v="2010-06-23T00:00:00"/>
        <d v="2010-06-28T00:00:00"/>
        <d v="2010-06-30T00:00:00"/>
        <d v="2010-07-01T00:00:00"/>
        <d v="2010-07-05T00:00:00"/>
        <d v="2010-07-06T00:00:00"/>
        <d v="2010-07-07T00:00:00"/>
        <d v="2010-07-11T00:00:00"/>
        <d v="2010-07-12T00:00:00"/>
        <d v="2010-07-13T00:00:00"/>
        <d v="2010-07-14T00:00:00"/>
        <d v="2010-07-15T00:00:00"/>
        <d v="2010-07-18T00:00:00"/>
        <d v="2010-07-19T00:00:00"/>
        <d v="2010-07-21T00:00:00"/>
        <d v="2010-07-22T00:00:00"/>
        <d v="2010-07-25T00:00:00"/>
        <d v="2010-07-26T00:00:00"/>
        <d v="2010-07-27T00:00:00"/>
        <d v="2010-07-28T00:00:00"/>
        <d v="2010-07-29T00:00:00"/>
        <d v="2010-08-01T00:00:00"/>
        <d v="2010-08-02T00:00:00"/>
        <d v="2010-08-04T00:00:00"/>
        <d v="2010-08-05T00:00:00"/>
        <d v="2010-08-08T00:00:00"/>
        <d v="2010-08-09T00:00:00"/>
        <d v="2010-08-10T00:00:00"/>
        <d v="2010-08-12T00:00:00"/>
        <d v="2010-08-15T00:00:00"/>
        <d v="2010-08-16T00:00:00"/>
        <d v="2010-08-17T00:00:00"/>
        <d v="2010-08-18T00:00:00"/>
        <d v="2010-08-19T00:00:00"/>
        <d v="2010-08-22T00:00:00"/>
        <d v="2010-08-24T00:00:00"/>
        <d v="2010-08-25T00:00:00"/>
        <d v="2010-08-26T00:00:00"/>
        <d v="2010-08-29T00:00:00"/>
        <d v="2010-08-30T00:00:00"/>
        <d v="2010-09-01T00:00:00"/>
        <d v="2010-09-02T00:00:00"/>
        <d v="2010-09-05T00:00:00"/>
        <d v="2010-09-06T00:00:00"/>
        <d v="2010-09-08T00:00:00"/>
        <d v="2010-09-09T00:00:00"/>
        <d v="2010-09-12T00:00:00"/>
        <d v="2010-09-13T00:00:00"/>
        <d v="2010-09-14T00:00:00"/>
        <d v="2010-09-19T00:00:00"/>
        <d v="2010-09-20T00:00:00"/>
        <d v="2010-09-21T00:00:00"/>
        <d v="2010-09-22T00:00:00"/>
        <d v="2010-09-23T00:00:00"/>
        <d v="2010-09-26T00:00:00"/>
        <d v="2010-09-27T00:00:00"/>
        <d v="2010-09-28T00:00:00"/>
        <d v="2010-09-29T00:00:00"/>
        <d v="2010-10-01T00:00:00"/>
        <d v="2010-10-04T00:00:00"/>
        <d v="2010-10-06T00:00:00"/>
        <d v="2010-10-07T00:00:00"/>
        <d v="2010-10-08T00:00:00"/>
        <d v="2010-10-11T00:00:00"/>
        <d v="2010-10-13T00:00:00"/>
        <d v="2010-10-14T00:00:00"/>
        <d v="2010-10-18T00:00:00"/>
        <d v="2010-10-19T00:00:00"/>
        <d v="2010-10-20T00:00:00"/>
        <d v="2010-10-21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5T00:00:00"/>
        <d v="2010-11-26T00:00:00"/>
        <d v="2010-12-01T00:00:00"/>
        <d v="2010-12-02T00:00:00"/>
        <d v="2010-12-04T00:00:00"/>
        <d v="2010-12-05T00:00:00"/>
        <d v="2010-12-08T00:00:00"/>
        <d v="2010-12-10T00:00:00"/>
        <d v="2010-12-11T00:00:00"/>
        <d v="2010-12-15T00:00:00"/>
        <d v="2010-12-16T00:00:00"/>
        <d v="2010-12-17T00:00:00"/>
        <d v="2010-12-18T00:00:00"/>
        <d v="2010-12-19T00:00:00"/>
        <d v="2010-12-22T00:00:00"/>
        <d v="2010-12-23T00:00:00"/>
        <d v="2010-12-24T00:00:00"/>
        <d v="2010-12-26T00:00:00"/>
        <d v="2010-12-29T00:00:00"/>
        <d v="2010-12-30T00:00:00"/>
        <d v="2010-12-31T00:00:00"/>
        <d v="2011-01-03T00:00:00"/>
        <d v="2011-01-05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2T00:00:00"/>
        <d v="2011-04-25T00:00:00"/>
        <d v="2011-04-26T00:00:00"/>
        <d v="2011-04-28T00:00:00"/>
        <d v="2011-04-29T00:00:00"/>
        <d v="2011-05-03T00:00:00"/>
        <d v="2011-05-04T00:00:00"/>
        <d v="2011-05-05T00:00:00"/>
        <d v="2011-05-06T00:00:00"/>
        <d v="2011-05-09T00:00:00"/>
        <d v="2011-05-10T00:00:00"/>
        <d v="2011-05-12T00:00:00"/>
        <d v="2011-05-13T00:00:00"/>
        <d v="2011-05-17T00:00:00"/>
        <d v="2011-05-18T00:00:00"/>
        <d v="2011-05-19T00:00:00"/>
        <d v="2011-05-20T00:00:00"/>
        <d v="2011-05-25T00:00:00"/>
        <d v="2011-05-27T00:00:00"/>
        <d v="2011-05-30T00:00:00"/>
        <d v="2011-06-01T00:00:00"/>
        <d v="2011-06-03T00:00:00"/>
        <d v="2011-06-06T00:00:00"/>
        <d v="2011-06-07T00:00:00"/>
        <d v="2011-06-08T00:00:00"/>
        <d v="2011-06-09T00:00:00"/>
        <d v="2011-06-13T00:00:00"/>
        <d v="2011-06-15T00:00:00"/>
        <d v="2011-06-16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30T00:00:00"/>
        <d v="2011-08-31T00:00:00"/>
        <d v="2011-09-01T00:00:00"/>
        <d v="2011-09-02T00:00:00"/>
        <d v="2011-09-05T00:00:00"/>
        <d v="2011-09-06T00:00:00"/>
        <d v="2011-09-07T00:00:00"/>
        <d v="2011-09-08T00:00:00"/>
        <d v="2011-09-12T00:00:00"/>
        <d v="2011-09-13T00:00:00"/>
        <d v="2011-09-14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7T00:00:00"/>
        <d v="2011-10-18T00:00:00"/>
        <d v="2011-10-19T00:00:00"/>
        <d v="2011-10-21T00:00:00"/>
        <d v="2011-10-24T00:00:00"/>
        <d v="2011-10-25T00:00:00"/>
        <d v="2011-10-26T00:00:00"/>
        <d v="2011-10-27T00:00:00"/>
        <d v="2011-10-28T00:00:00"/>
        <d v="2011-11-02T00:00:00"/>
        <d v="2011-11-04T00:00:00"/>
        <d v="2011-11-07T00:00:00"/>
        <d v="2011-11-08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2T00:00:00"/>
        <d v="2011-12-05T00:00:00"/>
        <d v="2011-12-06T00:00:00"/>
        <d v="2011-12-07T00:00:00"/>
        <d v="2011-12-08T00:00:00"/>
        <d v="2011-12-09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9T00:00:00"/>
        <d v="2011-12-30T00:00:00"/>
      </sharedItems>
      <fieldGroup par="7" base="3">
        <rangePr groupBy="months" startDate="2010-01-01T00:00:00" endDate="2011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1"/>
        </groupItems>
      </fieldGroup>
    </cacheField>
    <cacheField name="Productcategory" numFmtId="14">
      <sharedItems count="2">
        <s v="software"/>
        <s v="hardware"/>
      </sharedItems>
    </cacheField>
    <cacheField name="InvoiceAmount" numFmtId="174">
      <sharedItems containsSemiMixedTypes="0" containsString="0" containsNumber="1" minValue="13.37" maxValue="1282.46"/>
    </cacheField>
    <cacheField name="Quarters" numFmtId="0" databaseField="0">
      <fieldGroup base="3">
        <rangePr groupBy="quarters" startDate="2010-01-01T00:00:00" endDate="2011-12-31T00:00:00"/>
        <groupItems count="6">
          <s v="&lt;1/1/2010"/>
          <s v="Qtr1"/>
          <s v="Qtr2"/>
          <s v="Qtr3"/>
          <s v="Qtr4"/>
          <s v="&gt;12/31/2011"/>
        </groupItems>
      </fieldGroup>
    </cacheField>
    <cacheField name="Years" numFmtId="0" databaseField="0">
      <fieldGroup base="3">
        <rangePr groupBy="years" startDate="2010-01-01T00:00:00" endDate="2011-12-31T00:00:00"/>
        <groupItems count="4">
          <s v="&lt;1/1/2010"/>
          <s v="2010"/>
          <s v="2011"/>
          <s v="&gt;12/3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s v="South"/>
    <x v="0"/>
    <n v="2010001"/>
    <x v="0"/>
    <x v="0"/>
    <n v="109.39"/>
  </r>
  <r>
    <s v="South"/>
    <x v="0"/>
    <n v="2010002"/>
    <x v="0"/>
    <x v="1"/>
    <n v="37.520000000000003"/>
  </r>
  <r>
    <s v="South"/>
    <x v="1"/>
    <n v="2010003"/>
    <x v="0"/>
    <x v="0"/>
    <n v="512.91999999999996"/>
  </r>
  <r>
    <s v="North"/>
    <x v="2"/>
    <n v="2010004"/>
    <x v="1"/>
    <x v="0"/>
    <n v="508.09"/>
  </r>
  <r>
    <s v="South"/>
    <x v="3"/>
    <n v="2010005"/>
    <x v="1"/>
    <x v="0"/>
    <n v="935.59"/>
  </r>
  <r>
    <s v="North"/>
    <x v="4"/>
    <n v="2010006"/>
    <x v="1"/>
    <x v="0"/>
    <n v="709.27"/>
  </r>
  <r>
    <s v="South"/>
    <x v="3"/>
    <n v="2010007"/>
    <x v="2"/>
    <x v="0"/>
    <n v="752.04"/>
  </r>
  <r>
    <s v="South"/>
    <x v="5"/>
    <n v="2010008"/>
    <x v="3"/>
    <x v="0"/>
    <n v="398.5"/>
  </r>
  <r>
    <s v="South"/>
    <x v="0"/>
    <n v="2010009"/>
    <x v="3"/>
    <x v="1"/>
    <n v="887.84"/>
  </r>
  <r>
    <s v="South"/>
    <x v="6"/>
    <n v="2010010"/>
    <x v="4"/>
    <x v="1"/>
    <n v="908.22"/>
  </r>
  <r>
    <s v="North"/>
    <x v="7"/>
    <n v="2010011"/>
    <x v="5"/>
    <x v="1"/>
    <n v="349.06"/>
  </r>
  <r>
    <s v="South"/>
    <x v="1"/>
    <n v="2010012"/>
    <x v="5"/>
    <x v="1"/>
    <n v="901.96"/>
  </r>
  <r>
    <s v="South"/>
    <x v="1"/>
    <n v="2010013"/>
    <x v="6"/>
    <x v="1"/>
    <n v="1037.8599999999999"/>
  </r>
  <r>
    <s v="South"/>
    <x v="5"/>
    <n v="2010014"/>
    <x v="6"/>
    <x v="1"/>
    <n v="710.33"/>
  </r>
  <r>
    <s v="South"/>
    <x v="3"/>
    <n v="2010015"/>
    <x v="6"/>
    <x v="1"/>
    <n v="169.25"/>
  </r>
  <r>
    <s v="South"/>
    <x v="1"/>
    <n v="2010016"/>
    <x v="6"/>
    <x v="0"/>
    <n v="1058.72"/>
  </r>
  <r>
    <s v="South"/>
    <x v="0"/>
    <n v="2010017"/>
    <x v="7"/>
    <x v="1"/>
    <n v="1005.3"/>
  </r>
  <r>
    <s v="South"/>
    <x v="6"/>
    <n v="2010018"/>
    <x v="8"/>
    <x v="0"/>
    <n v="1113.06"/>
  </r>
  <r>
    <s v="South"/>
    <x v="0"/>
    <n v="2010019"/>
    <x v="9"/>
    <x v="1"/>
    <n v="204.71"/>
  </r>
  <r>
    <s v="North"/>
    <x v="4"/>
    <n v="2010020"/>
    <x v="10"/>
    <x v="1"/>
    <n v="32.909999999999997"/>
  </r>
  <r>
    <s v="South"/>
    <x v="1"/>
    <n v="2010021"/>
    <x v="10"/>
    <x v="1"/>
    <n v="618.63"/>
  </r>
  <r>
    <s v="South"/>
    <x v="5"/>
    <n v="2010022"/>
    <x v="10"/>
    <x v="1"/>
    <n v="278"/>
  </r>
  <r>
    <s v="South"/>
    <x v="5"/>
    <n v="2010023"/>
    <x v="11"/>
    <x v="1"/>
    <n v="599.09"/>
  </r>
  <r>
    <s v="South"/>
    <x v="5"/>
    <n v="2010024"/>
    <x v="11"/>
    <x v="0"/>
    <n v="312.58"/>
  </r>
  <r>
    <s v="South"/>
    <x v="1"/>
    <n v="2010025"/>
    <x v="11"/>
    <x v="0"/>
    <n v="827.39"/>
  </r>
  <r>
    <s v="South"/>
    <x v="1"/>
    <n v="2010026"/>
    <x v="12"/>
    <x v="0"/>
    <n v="877.66"/>
  </r>
  <r>
    <s v="South"/>
    <x v="5"/>
    <n v="2010027"/>
    <x v="13"/>
    <x v="1"/>
    <n v="753.22"/>
  </r>
  <r>
    <s v="South"/>
    <x v="5"/>
    <n v="2010028"/>
    <x v="13"/>
    <x v="0"/>
    <n v="307.93"/>
  </r>
  <r>
    <s v="South"/>
    <x v="1"/>
    <n v="2010029"/>
    <x v="13"/>
    <x v="0"/>
    <n v="46.7"/>
  </r>
  <r>
    <s v="North"/>
    <x v="8"/>
    <n v="2010030"/>
    <x v="14"/>
    <x v="1"/>
    <n v="195.89"/>
  </r>
  <r>
    <s v="South"/>
    <x v="5"/>
    <n v="2010031"/>
    <x v="14"/>
    <x v="1"/>
    <n v="972.14"/>
  </r>
  <r>
    <s v="North"/>
    <x v="4"/>
    <n v="2010032"/>
    <x v="14"/>
    <x v="0"/>
    <n v="981.04"/>
  </r>
  <r>
    <s v="South"/>
    <x v="1"/>
    <n v="2010033"/>
    <x v="15"/>
    <x v="0"/>
    <n v="1188"/>
  </r>
  <r>
    <s v="South"/>
    <x v="3"/>
    <n v="2010034"/>
    <x v="15"/>
    <x v="1"/>
    <n v="1106.73"/>
  </r>
  <r>
    <s v="South"/>
    <x v="5"/>
    <n v="2010035"/>
    <x v="16"/>
    <x v="1"/>
    <n v="1077.24"/>
  </r>
  <r>
    <s v="South"/>
    <x v="5"/>
    <n v="2010036"/>
    <x v="17"/>
    <x v="1"/>
    <n v="705.76"/>
  </r>
  <r>
    <s v="South"/>
    <x v="6"/>
    <n v="2010037"/>
    <x v="18"/>
    <x v="1"/>
    <n v="100.27"/>
  </r>
  <r>
    <s v="South"/>
    <x v="5"/>
    <n v="2010038"/>
    <x v="19"/>
    <x v="0"/>
    <n v="662.07"/>
  </r>
  <r>
    <s v="South"/>
    <x v="3"/>
    <n v="2010039"/>
    <x v="19"/>
    <x v="1"/>
    <n v="457.08"/>
  </r>
  <r>
    <s v="South"/>
    <x v="1"/>
    <n v="2010040"/>
    <x v="19"/>
    <x v="1"/>
    <n v="667.55"/>
  </r>
  <r>
    <s v="North"/>
    <x v="7"/>
    <n v="2010041"/>
    <x v="20"/>
    <x v="0"/>
    <n v="1080.3800000000001"/>
  </r>
  <r>
    <s v="South"/>
    <x v="5"/>
    <n v="2010042"/>
    <x v="20"/>
    <x v="1"/>
    <n v="50.62"/>
  </r>
  <r>
    <s v="North"/>
    <x v="4"/>
    <n v="2010043"/>
    <x v="20"/>
    <x v="1"/>
    <n v="431.76"/>
  </r>
  <r>
    <s v="North"/>
    <x v="4"/>
    <n v="2010044"/>
    <x v="21"/>
    <x v="1"/>
    <n v="838.84"/>
  </r>
  <r>
    <s v="South"/>
    <x v="5"/>
    <n v="2010045"/>
    <x v="22"/>
    <x v="1"/>
    <n v="420.63"/>
  </r>
  <r>
    <s v="South"/>
    <x v="1"/>
    <n v="2010046"/>
    <x v="22"/>
    <x v="0"/>
    <n v="804.81"/>
  </r>
  <r>
    <s v="North"/>
    <x v="4"/>
    <n v="2010047"/>
    <x v="23"/>
    <x v="1"/>
    <n v="756.84"/>
  </r>
  <r>
    <s v="North"/>
    <x v="7"/>
    <n v="2010048"/>
    <x v="23"/>
    <x v="1"/>
    <n v="718.23"/>
  </r>
  <r>
    <s v="North"/>
    <x v="4"/>
    <n v="2010049"/>
    <x v="24"/>
    <x v="0"/>
    <n v="464.07"/>
  </r>
  <r>
    <s v="North"/>
    <x v="7"/>
    <n v="2010050"/>
    <x v="24"/>
    <x v="1"/>
    <n v="764.12"/>
  </r>
  <r>
    <s v="South"/>
    <x v="0"/>
    <n v="2010051"/>
    <x v="24"/>
    <x v="1"/>
    <n v="43.92"/>
  </r>
  <r>
    <s v="South"/>
    <x v="0"/>
    <n v="2010052"/>
    <x v="24"/>
    <x v="1"/>
    <n v="841.22"/>
  </r>
  <r>
    <s v="South"/>
    <x v="0"/>
    <n v="2010053"/>
    <x v="25"/>
    <x v="0"/>
    <n v="901.41"/>
  </r>
  <r>
    <s v="North"/>
    <x v="7"/>
    <n v="2010054"/>
    <x v="26"/>
    <x v="0"/>
    <n v="46.92"/>
  </r>
  <r>
    <s v="South"/>
    <x v="3"/>
    <n v="2010055"/>
    <x v="26"/>
    <x v="0"/>
    <n v="938.88"/>
  </r>
  <r>
    <s v="South"/>
    <x v="3"/>
    <n v="2010056"/>
    <x v="26"/>
    <x v="0"/>
    <n v="310.24"/>
  </r>
  <r>
    <s v="South"/>
    <x v="1"/>
    <n v="2010057"/>
    <x v="26"/>
    <x v="1"/>
    <n v="183.85"/>
  </r>
  <r>
    <s v="South"/>
    <x v="5"/>
    <n v="2010058"/>
    <x v="26"/>
    <x v="1"/>
    <n v="297.20999999999998"/>
  </r>
  <r>
    <s v="South"/>
    <x v="5"/>
    <n v="2010059"/>
    <x v="27"/>
    <x v="0"/>
    <n v="486.13"/>
  </r>
  <r>
    <s v="South"/>
    <x v="6"/>
    <n v="2010060"/>
    <x v="28"/>
    <x v="1"/>
    <n v="721.23"/>
  </r>
  <r>
    <s v="North"/>
    <x v="8"/>
    <n v="2010061"/>
    <x v="28"/>
    <x v="0"/>
    <n v="644.9"/>
  </r>
  <r>
    <s v="North"/>
    <x v="2"/>
    <n v="2010062"/>
    <x v="28"/>
    <x v="0"/>
    <n v="1112.55"/>
  </r>
  <r>
    <s v="South"/>
    <x v="3"/>
    <n v="2010063"/>
    <x v="29"/>
    <x v="0"/>
    <n v="437.76"/>
  </r>
  <r>
    <s v="South"/>
    <x v="1"/>
    <n v="2010064"/>
    <x v="30"/>
    <x v="0"/>
    <n v="822.74"/>
  </r>
  <r>
    <s v="South"/>
    <x v="0"/>
    <n v="2010065"/>
    <x v="31"/>
    <x v="0"/>
    <n v="431.17"/>
  </r>
  <r>
    <s v="North"/>
    <x v="4"/>
    <n v="2010066"/>
    <x v="32"/>
    <x v="1"/>
    <n v="627.74"/>
  </r>
  <r>
    <s v="South"/>
    <x v="5"/>
    <n v="2010067"/>
    <x v="32"/>
    <x v="1"/>
    <n v="774.48"/>
  </r>
  <r>
    <s v="North"/>
    <x v="4"/>
    <n v="2010068"/>
    <x v="33"/>
    <x v="0"/>
    <n v="321.14"/>
  </r>
  <r>
    <s v="South"/>
    <x v="6"/>
    <n v="2010069"/>
    <x v="33"/>
    <x v="0"/>
    <n v="369.81"/>
  </r>
  <r>
    <s v="South"/>
    <x v="6"/>
    <n v="2010070"/>
    <x v="33"/>
    <x v="1"/>
    <n v="696.21"/>
  </r>
  <r>
    <s v="South"/>
    <x v="6"/>
    <n v="2010071"/>
    <x v="33"/>
    <x v="1"/>
    <n v="188.94"/>
  </r>
  <r>
    <s v="South"/>
    <x v="1"/>
    <n v="2010072"/>
    <x v="33"/>
    <x v="1"/>
    <n v="53"/>
  </r>
  <r>
    <s v="South"/>
    <x v="6"/>
    <n v="2010073"/>
    <x v="34"/>
    <x v="1"/>
    <n v="282.98"/>
  </r>
  <r>
    <s v="South"/>
    <x v="5"/>
    <n v="2010074"/>
    <x v="35"/>
    <x v="1"/>
    <n v="587.16"/>
  </r>
  <r>
    <s v="North"/>
    <x v="8"/>
    <n v="2010075"/>
    <x v="35"/>
    <x v="1"/>
    <n v="1174.3499999999999"/>
  </r>
  <r>
    <s v="North"/>
    <x v="7"/>
    <n v="2010076"/>
    <x v="36"/>
    <x v="1"/>
    <n v="105.03"/>
  </r>
  <r>
    <s v="North"/>
    <x v="8"/>
    <n v="2010077"/>
    <x v="37"/>
    <x v="1"/>
    <n v="1015.4"/>
  </r>
  <r>
    <s v="South"/>
    <x v="5"/>
    <n v="2010078"/>
    <x v="37"/>
    <x v="0"/>
    <n v="742.57"/>
  </r>
  <r>
    <s v="South"/>
    <x v="0"/>
    <n v="2010079"/>
    <x v="37"/>
    <x v="1"/>
    <n v="985.1"/>
  </r>
  <r>
    <s v="South"/>
    <x v="0"/>
    <n v="2010080"/>
    <x v="37"/>
    <x v="1"/>
    <n v="382.43"/>
  </r>
  <r>
    <s v="North"/>
    <x v="8"/>
    <n v="2010081"/>
    <x v="38"/>
    <x v="1"/>
    <n v="241.88"/>
  </r>
  <r>
    <s v="South"/>
    <x v="1"/>
    <n v="2010082"/>
    <x v="38"/>
    <x v="0"/>
    <n v="556.42999999999995"/>
  </r>
  <r>
    <s v="South"/>
    <x v="0"/>
    <n v="2010083"/>
    <x v="39"/>
    <x v="0"/>
    <n v="703.38"/>
  </r>
  <r>
    <s v="South"/>
    <x v="1"/>
    <n v="2010084"/>
    <x v="40"/>
    <x v="0"/>
    <n v="1088.18"/>
  </r>
  <r>
    <s v="South"/>
    <x v="0"/>
    <n v="2010085"/>
    <x v="40"/>
    <x v="0"/>
    <n v="317.45"/>
  </r>
  <r>
    <s v="South"/>
    <x v="3"/>
    <n v="2010086"/>
    <x v="41"/>
    <x v="0"/>
    <n v="996.18"/>
  </r>
  <r>
    <s v="South"/>
    <x v="1"/>
    <n v="2010087"/>
    <x v="42"/>
    <x v="1"/>
    <n v="19.48"/>
  </r>
  <r>
    <s v="South"/>
    <x v="6"/>
    <n v="2010088"/>
    <x v="42"/>
    <x v="1"/>
    <n v="364.76"/>
  </r>
  <r>
    <s v="North"/>
    <x v="4"/>
    <n v="2010089"/>
    <x v="43"/>
    <x v="0"/>
    <n v="553.02"/>
  </r>
  <r>
    <s v="South"/>
    <x v="1"/>
    <n v="2010090"/>
    <x v="44"/>
    <x v="1"/>
    <n v="83.3"/>
  </r>
  <r>
    <s v="North"/>
    <x v="2"/>
    <n v="2010091"/>
    <x v="45"/>
    <x v="0"/>
    <n v="994.1"/>
  </r>
  <r>
    <s v="South"/>
    <x v="5"/>
    <n v="2010092"/>
    <x v="45"/>
    <x v="0"/>
    <n v="883.45"/>
  </r>
  <r>
    <s v="South"/>
    <x v="6"/>
    <n v="2010093"/>
    <x v="46"/>
    <x v="0"/>
    <n v="194.17"/>
  </r>
  <r>
    <s v="North"/>
    <x v="4"/>
    <n v="2010094"/>
    <x v="46"/>
    <x v="0"/>
    <n v="996.44"/>
  </r>
  <r>
    <s v="North"/>
    <x v="2"/>
    <n v="2010095"/>
    <x v="47"/>
    <x v="1"/>
    <n v="386.49"/>
  </r>
  <r>
    <s v="South"/>
    <x v="6"/>
    <n v="2010096"/>
    <x v="47"/>
    <x v="0"/>
    <n v="942.58"/>
  </r>
  <r>
    <s v="South"/>
    <x v="5"/>
    <n v="2010097"/>
    <x v="47"/>
    <x v="0"/>
    <n v="1080.53"/>
  </r>
  <r>
    <s v="South"/>
    <x v="1"/>
    <n v="2010098"/>
    <x v="48"/>
    <x v="1"/>
    <n v="543.4"/>
  </r>
  <r>
    <s v="South"/>
    <x v="5"/>
    <n v="2010099"/>
    <x v="48"/>
    <x v="0"/>
    <n v="940.93"/>
  </r>
  <r>
    <s v="South"/>
    <x v="5"/>
    <n v="2010100"/>
    <x v="49"/>
    <x v="1"/>
    <n v="296.62"/>
  </r>
  <r>
    <s v="South"/>
    <x v="6"/>
    <n v="2010101"/>
    <x v="50"/>
    <x v="1"/>
    <n v="913.78"/>
  </r>
  <r>
    <s v="South"/>
    <x v="3"/>
    <n v="2010102"/>
    <x v="51"/>
    <x v="1"/>
    <n v="829.84"/>
  </r>
  <r>
    <s v="South"/>
    <x v="1"/>
    <n v="2010103"/>
    <x v="52"/>
    <x v="0"/>
    <n v="310.45999999999998"/>
  </r>
  <r>
    <s v="South"/>
    <x v="0"/>
    <n v="2010104"/>
    <x v="52"/>
    <x v="0"/>
    <n v="730.49"/>
  </r>
  <r>
    <s v="South"/>
    <x v="3"/>
    <n v="2010105"/>
    <x v="53"/>
    <x v="0"/>
    <n v="981.37"/>
  </r>
  <r>
    <s v="South"/>
    <x v="1"/>
    <n v="2010106"/>
    <x v="53"/>
    <x v="0"/>
    <n v="836.57"/>
  </r>
  <r>
    <s v="South"/>
    <x v="0"/>
    <n v="2010107"/>
    <x v="53"/>
    <x v="1"/>
    <n v="233.58"/>
  </r>
  <r>
    <s v="South"/>
    <x v="5"/>
    <n v="2010108"/>
    <x v="54"/>
    <x v="1"/>
    <n v="1157.81"/>
  </r>
  <r>
    <s v="South"/>
    <x v="3"/>
    <n v="2010109"/>
    <x v="54"/>
    <x v="0"/>
    <n v="1052.94"/>
  </r>
  <r>
    <s v="South"/>
    <x v="1"/>
    <n v="2010110"/>
    <x v="55"/>
    <x v="1"/>
    <n v="498.14"/>
  </r>
  <r>
    <s v="South"/>
    <x v="6"/>
    <n v="2010111"/>
    <x v="55"/>
    <x v="1"/>
    <n v="1032.6300000000001"/>
  </r>
  <r>
    <s v="South"/>
    <x v="5"/>
    <n v="2010112"/>
    <x v="55"/>
    <x v="0"/>
    <n v="729.5"/>
  </r>
  <r>
    <s v="South"/>
    <x v="5"/>
    <n v="2010113"/>
    <x v="55"/>
    <x v="1"/>
    <n v="1010.02"/>
  </r>
  <r>
    <s v="South"/>
    <x v="3"/>
    <n v="2010114"/>
    <x v="56"/>
    <x v="1"/>
    <n v="333.58"/>
  </r>
  <r>
    <s v="North"/>
    <x v="7"/>
    <n v="2010115"/>
    <x v="57"/>
    <x v="0"/>
    <n v="861.49"/>
  </r>
  <r>
    <s v="South"/>
    <x v="0"/>
    <n v="2010116"/>
    <x v="57"/>
    <x v="1"/>
    <n v="51.5"/>
  </r>
  <r>
    <s v="South"/>
    <x v="0"/>
    <n v="2010117"/>
    <x v="57"/>
    <x v="0"/>
    <n v="962.96"/>
  </r>
  <r>
    <s v="South"/>
    <x v="0"/>
    <n v="2010118"/>
    <x v="58"/>
    <x v="1"/>
    <n v="370.25"/>
  </r>
  <r>
    <s v="South"/>
    <x v="0"/>
    <n v="2010119"/>
    <x v="59"/>
    <x v="1"/>
    <n v="1115.73"/>
  </r>
  <r>
    <s v="North"/>
    <x v="8"/>
    <n v="2010120"/>
    <x v="59"/>
    <x v="0"/>
    <n v="238.44"/>
  </r>
  <r>
    <s v="North"/>
    <x v="2"/>
    <n v="2010121"/>
    <x v="60"/>
    <x v="1"/>
    <n v="1120.56"/>
  </r>
  <r>
    <s v="South"/>
    <x v="3"/>
    <n v="2010122"/>
    <x v="60"/>
    <x v="0"/>
    <n v="759.14"/>
  </r>
  <r>
    <s v="South"/>
    <x v="0"/>
    <n v="2010123"/>
    <x v="61"/>
    <x v="0"/>
    <n v="472.16"/>
  </r>
  <r>
    <s v="South"/>
    <x v="0"/>
    <n v="2010124"/>
    <x v="61"/>
    <x v="0"/>
    <n v="673.37"/>
  </r>
  <r>
    <s v="North"/>
    <x v="2"/>
    <n v="2010125"/>
    <x v="61"/>
    <x v="0"/>
    <n v="1145.5899999999999"/>
  </r>
  <r>
    <s v="South"/>
    <x v="3"/>
    <n v="2010126"/>
    <x v="61"/>
    <x v="1"/>
    <n v="1021.58"/>
  </r>
  <r>
    <s v="South"/>
    <x v="5"/>
    <n v="2010127"/>
    <x v="62"/>
    <x v="1"/>
    <n v="1109.6600000000001"/>
  </r>
  <r>
    <s v="South"/>
    <x v="1"/>
    <n v="2010128"/>
    <x v="62"/>
    <x v="0"/>
    <n v="764.27"/>
  </r>
  <r>
    <s v="South"/>
    <x v="0"/>
    <n v="2010129"/>
    <x v="63"/>
    <x v="1"/>
    <n v="285.54000000000002"/>
  </r>
  <r>
    <s v="South"/>
    <x v="3"/>
    <n v="2010130"/>
    <x v="64"/>
    <x v="1"/>
    <n v="515.41"/>
  </r>
  <r>
    <s v="North"/>
    <x v="2"/>
    <n v="2010131"/>
    <x v="64"/>
    <x v="0"/>
    <n v="551.04999999999995"/>
  </r>
  <r>
    <s v="South"/>
    <x v="6"/>
    <n v="2010132"/>
    <x v="65"/>
    <x v="1"/>
    <n v="492.94"/>
  </r>
  <r>
    <s v="North"/>
    <x v="8"/>
    <n v="2010133"/>
    <x v="65"/>
    <x v="1"/>
    <n v="398.9"/>
  </r>
  <r>
    <s v="South"/>
    <x v="0"/>
    <n v="2010134"/>
    <x v="65"/>
    <x v="1"/>
    <n v="577.25"/>
  </r>
  <r>
    <s v="North"/>
    <x v="4"/>
    <n v="2010135"/>
    <x v="66"/>
    <x v="1"/>
    <n v="911.55"/>
  </r>
  <r>
    <s v="North"/>
    <x v="2"/>
    <n v="2010136"/>
    <x v="66"/>
    <x v="0"/>
    <n v="340.79"/>
  </r>
  <r>
    <s v="North"/>
    <x v="8"/>
    <n v="2010137"/>
    <x v="67"/>
    <x v="1"/>
    <n v="544.61"/>
  </r>
  <r>
    <s v="South"/>
    <x v="1"/>
    <n v="2010138"/>
    <x v="68"/>
    <x v="1"/>
    <n v="1121.33"/>
  </r>
  <r>
    <s v="South"/>
    <x v="1"/>
    <n v="2010139"/>
    <x v="68"/>
    <x v="1"/>
    <n v="197.35"/>
  </r>
  <r>
    <s v="North"/>
    <x v="2"/>
    <n v="2010140"/>
    <x v="69"/>
    <x v="0"/>
    <n v="388.87"/>
  </r>
  <r>
    <s v="North"/>
    <x v="7"/>
    <n v="2010141"/>
    <x v="70"/>
    <x v="1"/>
    <n v="114.18"/>
  </r>
  <r>
    <s v="South"/>
    <x v="1"/>
    <n v="2010142"/>
    <x v="70"/>
    <x v="1"/>
    <n v="75.87"/>
  </r>
  <r>
    <s v="North"/>
    <x v="8"/>
    <n v="2010143"/>
    <x v="70"/>
    <x v="1"/>
    <n v="120"/>
  </r>
  <r>
    <s v="North"/>
    <x v="4"/>
    <n v="2010144"/>
    <x v="71"/>
    <x v="0"/>
    <n v="1010.93"/>
  </r>
  <r>
    <s v="South"/>
    <x v="1"/>
    <n v="2010145"/>
    <x v="71"/>
    <x v="0"/>
    <n v="601.14"/>
  </r>
  <r>
    <s v="South"/>
    <x v="5"/>
    <n v="2010146"/>
    <x v="72"/>
    <x v="0"/>
    <n v="67.930000000000007"/>
  </r>
  <r>
    <s v="South"/>
    <x v="5"/>
    <n v="2010147"/>
    <x v="72"/>
    <x v="0"/>
    <n v="588.70000000000005"/>
  </r>
  <r>
    <s v="North"/>
    <x v="8"/>
    <n v="2010148"/>
    <x v="73"/>
    <x v="0"/>
    <n v="615.34"/>
  </r>
  <r>
    <s v="South"/>
    <x v="1"/>
    <n v="2010149"/>
    <x v="74"/>
    <x v="1"/>
    <n v="1052.3900000000001"/>
  </r>
  <r>
    <s v="North"/>
    <x v="2"/>
    <n v="2010150"/>
    <x v="75"/>
    <x v="0"/>
    <n v="1068.23"/>
  </r>
  <r>
    <s v="South"/>
    <x v="1"/>
    <n v="2010151"/>
    <x v="76"/>
    <x v="0"/>
    <n v="1185.03"/>
  </r>
  <r>
    <s v="North"/>
    <x v="4"/>
    <n v="2010152"/>
    <x v="76"/>
    <x v="1"/>
    <n v="37.81"/>
  </r>
  <r>
    <s v="South"/>
    <x v="1"/>
    <n v="2010153"/>
    <x v="76"/>
    <x v="0"/>
    <n v="1003.39"/>
  </r>
  <r>
    <s v="South"/>
    <x v="6"/>
    <n v="2010154"/>
    <x v="77"/>
    <x v="0"/>
    <n v="954.03"/>
  </r>
  <r>
    <s v="South"/>
    <x v="1"/>
    <n v="2010155"/>
    <x v="77"/>
    <x v="1"/>
    <n v="494.77"/>
  </r>
  <r>
    <s v="South"/>
    <x v="6"/>
    <n v="2010156"/>
    <x v="77"/>
    <x v="1"/>
    <n v="445.41"/>
  </r>
  <r>
    <s v="South"/>
    <x v="0"/>
    <n v="2010157"/>
    <x v="78"/>
    <x v="1"/>
    <n v="569.96"/>
  </r>
  <r>
    <s v="South"/>
    <x v="1"/>
    <n v="2010158"/>
    <x v="78"/>
    <x v="0"/>
    <n v="439.22"/>
  </r>
  <r>
    <s v="South"/>
    <x v="1"/>
    <n v="2010159"/>
    <x v="78"/>
    <x v="0"/>
    <n v="1028.75"/>
  </r>
  <r>
    <s v="South"/>
    <x v="1"/>
    <n v="2010160"/>
    <x v="79"/>
    <x v="1"/>
    <n v="1150.3499999999999"/>
  </r>
  <r>
    <s v="South"/>
    <x v="0"/>
    <n v="2010161"/>
    <x v="79"/>
    <x v="0"/>
    <n v="598.91"/>
  </r>
  <r>
    <s v="South"/>
    <x v="6"/>
    <n v="2010162"/>
    <x v="79"/>
    <x v="0"/>
    <n v="637.07000000000005"/>
  </r>
  <r>
    <s v="North"/>
    <x v="2"/>
    <n v="2010163"/>
    <x v="80"/>
    <x v="0"/>
    <n v="461.47"/>
  </r>
  <r>
    <s v="South"/>
    <x v="6"/>
    <n v="2010164"/>
    <x v="81"/>
    <x v="0"/>
    <n v="234.24"/>
  </r>
  <r>
    <s v="South"/>
    <x v="3"/>
    <n v="2010165"/>
    <x v="82"/>
    <x v="1"/>
    <n v="463.37"/>
  </r>
  <r>
    <s v="South"/>
    <x v="5"/>
    <n v="2010166"/>
    <x v="82"/>
    <x v="0"/>
    <n v="896.55"/>
  </r>
  <r>
    <s v="North"/>
    <x v="2"/>
    <n v="2010167"/>
    <x v="83"/>
    <x v="0"/>
    <n v="1097.6500000000001"/>
  </r>
  <r>
    <s v="South"/>
    <x v="6"/>
    <n v="2010168"/>
    <x v="84"/>
    <x v="1"/>
    <n v="230.87"/>
  </r>
  <r>
    <s v="South"/>
    <x v="6"/>
    <n v="2010169"/>
    <x v="84"/>
    <x v="1"/>
    <n v="92.52"/>
  </r>
  <r>
    <s v="South"/>
    <x v="1"/>
    <n v="2010170"/>
    <x v="85"/>
    <x v="0"/>
    <n v="668.18"/>
  </r>
  <r>
    <s v="South"/>
    <x v="1"/>
    <n v="2010171"/>
    <x v="85"/>
    <x v="1"/>
    <n v="288.72000000000003"/>
  </r>
  <r>
    <s v="South"/>
    <x v="6"/>
    <n v="2010172"/>
    <x v="86"/>
    <x v="0"/>
    <n v="642.01"/>
  </r>
  <r>
    <s v="South"/>
    <x v="0"/>
    <n v="2010173"/>
    <x v="86"/>
    <x v="1"/>
    <n v="782.93"/>
  </r>
  <r>
    <s v="South"/>
    <x v="5"/>
    <n v="2010174"/>
    <x v="87"/>
    <x v="0"/>
    <n v="513.61"/>
  </r>
  <r>
    <s v="South"/>
    <x v="6"/>
    <n v="2010175"/>
    <x v="88"/>
    <x v="1"/>
    <n v="751.94"/>
  </r>
  <r>
    <s v="South"/>
    <x v="3"/>
    <n v="2010176"/>
    <x v="88"/>
    <x v="0"/>
    <n v="1190.3800000000001"/>
  </r>
  <r>
    <s v="South"/>
    <x v="0"/>
    <n v="2010177"/>
    <x v="89"/>
    <x v="1"/>
    <n v="776.56"/>
  </r>
  <r>
    <s v="South"/>
    <x v="1"/>
    <n v="2010178"/>
    <x v="90"/>
    <x v="0"/>
    <n v="341.34"/>
  </r>
  <r>
    <s v="South"/>
    <x v="1"/>
    <n v="2010179"/>
    <x v="91"/>
    <x v="1"/>
    <n v="515.63"/>
  </r>
  <r>
    <s v="North"/>
    <x v="4"/>
    <n v="2010180"/>
    <x v="91"/>
    <x v="1"/>
    <n v="99.07"/>
  </r>
  <r>
    <s v="South"/>
    <x v="0"/>
    <n v="2010181"/>
    <x v="91"/>
    <x v="1"/>
    <n v="1033.8699999999999"/>
  </r>
  <r>
    <s v="South"/>
    <x v="1"/>
    <n v="2010182"/>
    <x v="91"/>
    <x v="1"/>
    <n v="216.38"/>
  </r>
  <r>
    <s v="South"/>
    <x v="6"/>
    <n v="2010183"/>
    <x v="91"/>
    <x v="0"/>
    <n v="705.5"/>
  </r>
  <r>
    <s v="South"/>
    <x v="1"/>
    <n v="2010184"/>
    <x v="92"/>
    <x v="0"/>
    <n v="720.61"/>
  </r>
  <r>
    <s v="North"/>
    <x v="2"/>
    <n v="2010185"/>
    <x v="93"/>
    <x v="0"/>
    <n v="1161.58"/>
  </r>
  <r>
    <s v="South"/>
    <x v="0"/>
    <n v="2010186"/>
    <x v="94"/>
    <x v="0"/>
    <n v="338.56"/>
  </r>
  <r>
    <s v="South"/>
    <x v="0"/>
    <n v="2010187"/>
    <x v="94"/>
    <x v="1"/>
    <n v="225.27"/>
  </r>
  <r>
    <s v="South"/>
    <x v="1"/>
    <n v="2010188"/>
    <x v="95"/>
    <x v="1"/>
    <n v="241.15"/>
  </r>
  <r>
    <s v="North"/>
    <x v="8"/>
    <n v="2010189"/>
    <x v="95"/>
    <x v="1"/>
    <n v="978.22"/>
  </r>
  <r>
    <s v="North"/>
    <x v="2"/>
    <n v="2010190"/>
    <x v="96"/>
    <x v="0"/>
    <n v="931.97"/>
  </r>
  <r>
    <s v="South"/>
    <x v="6"/>
    <n v="2010191"/>
    <x v="96"/>
    <x v="0"/>
    <n v="898.52"/>
  </r>
  <r>
    <s v="North"/>
    <x v="4"/>
    <n v="2010192"/>
    <x v="97"/>
    <x v="1"/>
    <n v="1037.0899999999999"/>
  </r>
  <r>
    <s v="South"/>
    <x v="1"/>
    <n v="2010193"/>
    <x v="97"/>
    <x v="1"/>
    <n v="292.56"/>
  </r>
  <r>
    <s v="North"/>
    <x v="2"/>
    <n v="2010194"/>
    <x v="98"/>
    <x v="1"/>
    <n v="762.62"/>
  </r>
  <r>
    <s v="South"/>
    <x v="0"/>
    <n v="2010195"/>
    <x v="98"/>
    <x v="1"/>
    <n v="773.05"/>
  </r>
  <r>
    <s v="South"/>
    <x v="0"/>
    <n v="2010196"/>
    <x v="99"/>
    <x v="1"/>
    <n v="195.05"/>
  </r>
  <r>
    <s v="South"/>
    <x v="5"/>
    <n v="2010197"/>
    <x v="99"/>
    <x v="0"/>
    <n v="568.42999999999995"/>
  </r>
  <r>
    <s v="South"/>
    <x v="5"/>
    <n v="2010198"/>
    <x v="99"/>
    <x v="0"/>
    <n v="1003.06"/>
  </r>
  <r>
    <s v="South"/>
    <x v="5"/>
    <n v="2010199"/>
    <x v="100"/>
    <x v="1"/>
    <n v="356.78"/>
  </r>
  <r>
    <s v="South"/>
    <x v="6"/>
    <n v="2010200"/>
    <x v="100"/>
    <x v="1"/>
    <n v="288.57"/>
  </r>
  <r>
    <s v="South"/>
    <x v="1"/>
    <n v="2010201"/>
    <x v="100"/>
    <x v="1"/>
    <n v="899.14"/>
  </r>
  <r>
    <s v="South"/>
    <x v="3"/>
    <n v="2010202"/>
    <x v="100"/>
    <x v="1"/>
    <n v="918.57"/>
  </r>
  <r>
    <s v="North"/>
    <x v="8"/>
    <n v="2010203"/>
    <x v="101"/>
    <x v="1"/>
    <n v="1140.6099999999999"/>
  </r>
  <r>
    <s v="North"/>
    <x v="2"/>
    <n v="2010204"/>
    <x v="102"/>
    <x v="1"/>
    <n v="615.12"/>
  </r>
  <r>
    <s v="South"/>
    <x v="3"/>
    <n v="2010205"/>
    <x v="102"/>
    <x v="0"/>
    <n v="687.53"/>
  </r>
  <r>
    <s v="South"/>
    <x v="5"/>
    <n v="2010206"/>
    <x v="103"/>
    <x v="0"/>
    <n v="764.41"/>
  </r>
  <r>
    <s v="North"/>
    <x v="7"/>
    <n v="2010207"/>
    <x v="103"/>
    <x v="1"/>
    <n v="219.09"/>
  </r>
  <r>
    <s v="South"/>
    <x v="0"/>
    <n v="2010208"/>
    <x v="103"/>
    <x v="1"/>
    <n v="604.62"/>
  </r>
  <r>
    <s v="South"/>
    <x v="6"/>
    <n v="2010209"/>
    <x v="104"/>
    <x v="0"/>
    <n v="198.56"/>
  </r>
  <r>
    <s v="South"/>
    <x v="0"/>
    <n v="2010210"/>
    <x v="104"/>
    <x v="1"/>
    <n v="660.42"/>
  </r>
  <r>
    <s v="South"/>
    <x v="3"/>
    <n v="2010211"/>
    <x v="104"/>
    <x v="0"/>
    <n v="327.11"/>
  </r>
  <r>
    <s v="South"/>
    <x v="1"/>
    <n v="2010212"/>
    <x v="104"/>
    <x v="1"/>
    <n v="975.33"/>
  </r>
  <r>
    <s v="South"/>
    <x v="1"/>
    <n v="2010213"/>
    <x v="105"/>
    <x v="1"/>
    <n v="696.24"/>
  </r>
  <r>
    <s v="South"/>
    <x v="5"/>
    <n v="2010214"/>
    <x v="105"/>
    <x v="1"/>
    <n v="956.04"/>
  </r>
  <r>
    <s v="South"/>
    <x v="1"/>
    <n v="2010215"/>
    <x v="106"/>
    <x v="1"/>
    <n v="444.27"/>
  </r>
  <r>
    <s v="North"/>
    <x v="8"/>
    <n v="2010216"/>
    <x v="106"/>
    <x v="1"/>
    <n v="939.65"/>
  </r>
  <r>
    <s v="South"/>
    <x v="5"/>
    <n v="2010217"/>
    <x v="106"/>
    <x v="1"/>
    <n v="285.20999999999998"/>
  </r>
  <r>
    <s v="North"/>
    <x v="7"/>
    <n v="2010218"/>
    <x v="106"/>
    <x v="0"/>
    <n v="1095.68"/>
  </r>
  <r>
    <s v="South"/>
    <x v="6"/>
    <n v="2010219"/>
    <x v="107"/>
    <x v="0"/>
    <n v="1182.4000000000001"/>
  </r>
  <r>
    <s v="South"/>
    <x v="5"/>
    <n v="2010220"/>
    <x v="108"/>
    <x v="1"/>
    <n v="358.39"/>
  </r>
  <r>
    <s v="South"/>
    <x v="3"/>
    <n v="2010221"/>
    <x v="109"/>
    <x v="0"/>
    <n v="753.47"/>
  </r>
  <r>
    <s v="North"/>
    <x v="2"/>
    <n v="2010222"/>
    <x v="110"/>
    <x v="0"/>
    <n v="80.400000000000006"/>
  </r>
  <r>
    <s v="South"/>
    <x v="5"/>
    <n v="2010223"/>
    <x v="111"/>
    <x v="1"/>
    <n v="490.71"/>
  </r>
  <r>
    <s v="South"/>
    <x v="6"/>
    <n v="2010224"/>
    <x v="112"/>
    <x v="1"/>
    <n v="941.55"/>
  </r>
  <r>
    <s v="North"/>
    <x v="7"/>
    <n v="2010225"/>
    <x v="112"/>
    <x v="0"/>
    <n v="28.96"/>
  </r>
  <r>
    <s v="South"/>
    <x v="0"/>
    <n v="2010226"/>
    <x v="113"/>
    <x v="1"/>
    <n v="990.18"/>
  </r>
  <r>
    <s v="South"/>
    <x v="1"/>
    <n v="2010227"/>
    <x v="114"/>
    <x v="0"/>
    <n v="1130.51"/>
  </r>
  <r>
    <s v="South"/>
    <x v="5"/>
    <n v="2010228"/>
    <x v="115"/>
    <x v="0"/>
    <n v="1027.76"/>
  </r>
  <r>
    <s v="South"/>
    <x v="3"/>
    <n v="2010229"/>
    <x v="115"/>
    <x v="0"/>
    <n v="868.41"/>
  </r>
  <r>
    <s v="North"/>
    <x v="4"/>
    <n v="2010230"/>
    <x v="115"/>
    <x v="1"/>
    <n v="72.430000000000007"/>
  </r>
  <r>
    <s v="South"/>
    <x v="0"/>
    <n v="2010231"/>
    <x v="116"/>
    <x v="0"/>
    <n v="147.33000000000001"/>
  </r>
  <r>
    <s v="South"/>
    <x v="0"/>
    <n v="2010232"/>
    <x v="117"/>
    <x v="0"/>
    <n v="334.06"/>
  </r>
  <r>
    <s v="South"/>
    <x v="6"/>
    <n v="2010233"/>
    <x v="118"/>
    <x v="1"/>
    <n v="665.25"/>
  </r>
  <r>
    <s v="South"/>
    <x v="3"/>
    <n v="2010234"/>
    <x v="118"/>
    <x v="1"/>
    <n v="191.06"/>
  </r>
  <r>
    <s v="South"/>
    <x v="5"/>
    <n v="2010235"/>
    <x v="119"/>
    <x v="0"/>
    <n v="1042.1400000000001"/>
  </r>
  <r>
    <s v="North"/>
    <x v="2"/>
    <n v="2010236"/>
    <x v="119"/>
    <x v="1"/>
    <n v="645.78"/>
  </r>
  <r>
    <s v="South"/>
    <x v="1"/>
    <n v="2010237"/>
    <x v="119"/>
    <x v="1"/>
    <n v="247.77"/>
  </r>
  <r>
    <s v="North"/>
    <x v="7"/>
    <n v="2010238"/>
    <x v="119"/>
    <x v="0"/>
    <n v="958.61"/>
  </r>
  <r>
    <s v="South"/>
    <x v="3"/>
    <n v="2010239"/>
    <x v="120"/>
    <x v="1"/>
    <n v="1059.23"/>
  </r>
  <r>
    <s v="South"/>
    <x v="1"/>
    <n v="2010240"/>
    <x v="120"/>
    <x v="1"/>
    <n v="1135.1199999999999"/>
  </r>
  <r>
    <s v="North"/>
    <x v="4"/>
    <n v="2010241"/>
    <x v="121"/>
    <x v="0"/>
    <n v="629.39"/>
  </r>
  <r>
    <s v="South"/>
    <x v="3"/>
    <n v="2010242"/>
    <x v="122"/>
    <x v="0"/>
    <n v="751.83"/>
  </r>
  <r>
    <s v="South"/>
    <x v="5"/>
    <n v="2010243"/>
    <x v="123"/>
    <x v="1"/>
    <n v="843.23"/>
  </r>
  <r>
    <s v="South"/>
    <x v="5"/>
    <n v="2010244"/>
    <x v="123"/>
    <x v="1"/>
    <n v="582.85"/>
  </r>
  <r>
    <s v="North"/>
    <x v="2"/>
    <n v="2010245"/>
    <x v="124"/>
    <x v="0"/>
    <n v="1165.8599999999999"/>
  </r>
  <r>
    <s v="South"/>
    <x v="1"/>
    <n v="2010246"/>
    <x v="124"/>
    <x v="1"/>
    <n v="84.58"/>
  </r>
  <r>
    <s v="North"/>
    <x v="8"/>
    <n v="2010247"/>
    <x v="124"/>
    <x v="0"/>
    <n v="968.92"/>
  </r>
  <r>
    <s v="South"/>
    <x v="3"/>
    <n v="2010248"/>
    <x v="125"/>
    <x v="0"/>
    <n v="495.24"/>
  </r>
  <r>
    <s v="South"/>
    <x v="0"/>
    <n v="2010249"/>
    <x v="126"/>
    <x v="1"/>
    <n v="299.7"/>
  </r>
  <r>
    <s v="South"/>
    <x v="0"/>
    <n v="2010250"/>
    <x v="127"/>
    <x v="1"/>
    <n v="1102.3399999999999"/>
  </r>
  <r>
    <s v="South"/>
    <x v="3"/>
    <n v="2010251"/>
    <x v="128"/>
    <x v="1"/>
    <n v="1163.74"/>
  </r>
  <r>
    <s v="South"/>
    <x v="0"/>
    <n v="2010252"/>
    <x v="128"/>
    <x v="1"/>
    <n v="15.49"/>
  </r>
  <r>
    <s v="North"/>
    <x v="4"/>
    <n v="2010253"/>
    <x v="128"/>
    <x v="0"/>
    <n v="888.42"/>
  </r>
  <r>
    <s v="South"/>
    <x v="6"/>
    <n v="2010254"/>
    <x v="128"/>
    <x v="1"/>
    <n v="786.59"/>
  </r>
  <r>
    <s v="South"/>
    <x v="6"/>
    <n v="2010255"/>
    <x v="129"/>
    <x v="1"/>
    <n v="562.83000000000004"/>
  </r>
  <r>
    <s v="South"/>
    <x v="1"/>
    <n v="2010256"/>
    <x v="130"/>
    <x v="0"/>
    <n v="687.09"/>
  </r>
  <r>
    <s v="North"/>
    <x v="2"/>
    <n v="2010257"/>
    <x v="131"/>
    <x v="1"/>
    <n v="80.11"/>
  </r>
  <r>
    <s v="South"/>
    <x v="0"/>
    <n v="2010258"/>
    <x v="131"/>
    <x v="1"/>
    <n v="1142.55"/>
  </r>
  <r>
    <s v="South"/>
    <x v="5"/>
    <n v="2010259"/>
    <x v="132"/>
    <x v="0"/>
    <n v="598.36"/>
  </r>
  <r>
    <s v="North"/>
    <x v="7"/>
    <n v="2010260"/>
    <x v="132"/>
    <x v="1"/>
    <n v="581.53"/>
  </r>
  <r>
    <s v="South"/>
    <x v="1"/>
    <n v="2010261"/>
    <x v="133"/>
    <x v="0"/>
    <n v="676.7"/>
  </r>
  <r>
    <s v="South"/>
    <x v="6"/>
    <n v="2010262"/>
    <x v="134"/>
    <x v="1"/>
    <n v="816.67"/>
  </r>
  <r>
    <s v="South"/>
    <x v="0"/>
    <n v="2010263"/>
    <x v="135"/>
    <x v="0"/>
    <n v="1050.4100000000001"/>
  </r>
  <r>
    <s v="South"/>
    <x v="5"/>
    <n v="2010264"/>
    <x v="136"/>
    <x v="1"/>
    <n v="540.73"/>
  </r>
  <r>
    <s v="North"/>
    <x v="2"/>
    <n v="2010265"/>
    <x v="136"/>
    <x v="0"/>
    <n v="480.24"/>
  </r>
  <r>
    <s v="North"/>
    <x v="4"/>
    <n v="2010266"/>
    <x v="137"/>
    <x v="1"/>
    <n v="815.49"/>
  </r>
  <r>
    <s v="North"/>
    <x v="8"/>
    <n v="2010267"/>
    <x v="137"/>
    <x v="1"/>
    <n v="474.28"/>
  </r>
  <r>
    <s v="South"/>
    <x v="0"/>
    <n v="2010268"/>
    <x v="138"/>
    <x v="1"/>
    <n v="893.07"/>
  </r>
  <r>
    <s v="North"/>
    <x v="2"/>
    <n v="2010269"/>
    <x v="138"/>
    <x v="0"/>
    <n v="1192.28"/>
  </r>
  <r>
    <s v="South"/>
    <x v="1"/>
    <n v="2010270"/>
    <x v="139"/>
    <x v="0"/>
    <n v="1034.42"/>
  </r>
  <r>
    <s v="South"/>
    <x v="1"/>
    <n v="2010271"/>
    <x v="140"/>
    <x v="1"/>
    <n v="359.38"/>
  </r>
  <r>
    <s v="North"/>
    <x v="7"/>
    <n v="2010272"/>
    <x v="141"/>
    <x v="0"/>
    <n v="876.82"/>
  </r>
  <r>
    <s v="South"/>
    <x v="6"/>
    <n v="2010273"/>
    <x v="141"/>
    <x v="1"/>
    <n v="586.16999999999996"/>
  </r>
  <r>
    <s v="South"/>
    <x v="3"/>
    <n v="2010274"/>
    <x v="142"/>
    <x v="1"/>
    <n v="789.81"/>
  </r>
  <r>
    <s v="North"/>
    <x v="4"/>
    <n v="2010275"/>
    <x v="142"/>
    <x v="0"/>
    <n v="332.48"/>
  </r>
  <r>
    <s v="North"/>
    <x v="2"/>
    <n v="2010276"/>
    <x v="142"/>
    <x v="0"/>
    <n v="1160.1500000000001"/>
  </r>
  <r>
    <s v="South"/>
    <x v="3"/>
    <n v="2010277"/>
    <x v="143"/>
    <x v="1"/>
    <n v="255.24"/>
  </r>
  <r>
    <s v="South"/>
    <x v="1"/>
    <n v="2010278"/>
    <x v="143"/>
    <x v="0"/>
    <n v="37.01"/>
  </r>
  <r>
    <s v="South"/>
    <x v="5"/>
    <n v="2010279"/>
    <x v="143"/>
    <x v="1"/>
    <n v="51.75"/>
  </r>
  <r>
    <s v="North"/>
    <x v="4"/>
    <n v="2010280"/>
    <x v="144"/>
    <x v="0"/>
    <n v="802.8"/>
  </r>
  <r>
    <s v="North"/>
    <x v="2"/>
    <n v="2010281"/>
    <x v="144"/>
    <x v="0"/>
    <n v="848.5"/>
  </r>
  <r>
    <s v="North"/>
    <x v="2"/>
    <n v="2010282"/>
    <x v="145"/>
    <x v="1"/>
    <n v="574.1"/>
  </r>
  <r>
    <s v="North"/>
    <x v="2"/>
    <n v="2010283"/>
    <x v="146"/>
    <x v="0"/>
    <n v="101.12"/>
  </r>
  <r>
    <s v="North"/>
    <x v="2"/>
    <n v="2010284"/>
    <x v="147"/>
    <x v="0"/>
    <n v="883.52"/>
  </r>
  <r>
    <s v="South"/>
    <x v="5"/>
    <n v="2010285"/>
    <x v="148"/>
    <x v="1"/>
    <n v="494.88"/>
  </r>
  <r>
    <s v="South"/>
    <x v="1"/>
    <n v="2010286"/>
    <x v="148"/>
    <x v="0"/>
    <n v="817.21"/>
  </r>
  <r>
    <s v="South"/>
    <x v="1"/>
    <n v="2010287"/>
    <x v="149"/>
    <x v="1"/>
    <n v="119.7"/>
  </r>
  <r>
    <s v="North"/>
    <x v="4"/>
    <n v="2010288"/>
    <x v="150"/>
    <x v="0"/>
    <n v="319.06"/>
  </r>
  <r>
    <s v="South"/>
    <x v="1"/>
    <n v="2010289"/>
    <x v="151"/>
    <x v="1"/>
    <n v="640.66"/>
  </r>
  <r>
    <s v="North"/>
    <x v="7"/>
    <n v="2010290"/>
    <x v="151"/>
    <x v="1"/>
    <n v="365.86"/>
  </r>
  <r>
    <s v="North"/>
    <x v="4"/>
    <n v="2010291"/>
    <x v="151"/>
    <x v="0"/>
    <n v="420.3"/>
  </r>
  <r>
    <s v="South"/>
    <x v="5"/>
    <n v="2010292"/>
    <x v="152"/>
    <x v="1"/>
    <n v="119.96"/>
  </r>
  <r>
    <s v="South"/>
    <x v="5"/>
    <n v="2010293"/>
    <x v="152"/>
    <x v="0"/>
    <n v="1186.5"/>
  </r>
  <r>
    <s v="South"/>
    <x v="6"/>
    <n v="2010294"/>
    <x v="152"/>
    <x v="1"/>
    <n v="473.51"/>
  </r>
  <r>
    <s v="South"/>
    <x v="0"/>
    <n v="2010295"/>
    <x v="153"/>
    <x v="0"/>
    <n v="598.69000000000005"/>
  </r>
  <r>
    <s v="South"/>
    <x v="1"/>
    <n v="2010296"/>
    <x v="153"/>
    <x v="0"/>
    <n v="470.65"/>
  </r>
  <r>
    <s v="North"/>
    <x v="4"/>
    <n v="2010297"/>
    <x v="154"/>
    <x v="1"/>
    <n v="1115.03"/>
  </r>
  <r>
    <s v="South"/>
    <x v="1"/>
    <n v="2010298"/>
    <x v="154"/>
    <x v="0"/>
    <n v="279.27999999999997"/>
  </r>
  <r>
    <s v="South"/>
    <x v="6"/>
    <n v="2010299"/>
    <x v="155"/>
    <x v="0"/>
    <n v="715.42"/>
  </r>
  <r>
    <s v="North"/>
    <x v="2"/>
    <n v="2010300"/>
    <x v="156"/>
    <x v="0"/>
    <n v="170.38"/>
  </r>
  <r>
    <s v="North"/>
    <x v="2"/>
    <n v="2010301"/>
    <x v="156"/>
    <x v="0"/>
    <n v="254.84"/>
  </r>
  <r>
    <s v="North"/>
    <x v="7"/>
    <n v="2010302"/>
    <x v="157"/>
    <x v="0"/>
    <n v="918.54"/>
  </r>
  <r>
    <s v="North"/>
    <x v="2"/>
    <n v="2010303"/>
    <x v="158"/>
    <x v="1"/>
    <n v="1017.26"/>
  </r>
  <r>
    <s v="South"/>
    <x v="0"/>
    <n v="2010304"/>
    <x v="159"/>
    <x v="0"/>
    <n v="849.67"/>
  </r>
  <r>
    <s v="South"/>
    <x v="6"/>
    <n v="2010305"/>
    <x v="159"/>
    <x v="0"/>
    <n v="492.94"/>
  </r>
  <r>
    <s v="South"/>
    <x v="5"/>
    <n v="2010306"/>
    <x v="160"/>
    <x v="0"/>
    <n v="197.72"/>
  </r>
  <r>
    <s v="South"/>
    <x v="1"/>
    <n v="2010307"/>
    <x v="161"/>
    <x v="0"/>
    <n v="1145"/>
  </r>
  <r>
    <s v="South"/>
    <x v="3"/>
    <n v="2010308"/>
    <x v="162"/>
    <x v="0"/>
    <n v="641.25"/>
  </r>
  <r>
    <s v="South"/>
    <x v="3"/>
    <n v="2010309"/>
    <x v="163"/>
    <x v="1"/>
    <n v="859.11"/>
  </r>
  <r>
    <s v="North"/>
    <x v="8"/>
    <n v="2010310"/>
    <x v="164"/>
    <x v="0"/>
    <n v="105.62"/>
  </r>
  <r>
    <s v="South"/>
    <x v="6"/>
    <n v="2010311"/>
    <x v="164"/>
    <x v="0"/>
    <n v="245.18"/>
  </r>
  <r>
    <s v="South"/>
    <x v="6"/>
    <n v="2010312"/>
    <x v="165"/>
    <x v="1"/>
    <n v="463.67"/>
  </r>
  <r>
    <s v="North"/>
    <x v="4"/>
    <n v="2010313"/>
    <x v="165"/>
    <x v="0"/>
    <n v="846.93"/>
  </r>
  <r>
    <s v="South"/>
    <x v="0"/>
    <n v="2010314"/>
    <x v="166"/>
    <x v="0"/>
    <n v="997.79"/>
  </r>
  <r>
    <s v="North"/>
    <x v="8"/>
    <n v="2010315"/>
    <x v="166"/>
    <x v="1"/>
    <n v="1165.17"/>
  </r>
  <r>
    <s v="South"/>
    <x v="5"/>
    <n v="2010316"/>
    <x v="166"/>
    <x v="0"/>
    <n v="600.99"/>
  </r>
  <r>
    <s v="South"/>
    <x v="6"/>
    <n v="2010317"/>
    <x v="167"/>
    <x v="1"/>
    <n v="583.94000000000005"/>
  </r>
  <r>
    <s v="South"/>
    <x v="3"/>
    <n v="2010318"/>
    <x v="168"/>
    <x v="1"/>
    <n v="1052.28"/>
  </r>
  <r>
    <s v="South"/>
    <x v="3"/>
    <n v="2010319"/>
    <x v="168"/>
    <x v="0"/>
    <n v="938.7"/>
  </r>
  <r>
    <s v="South"/>
    <x v="5"/>
    <n v="2010320"/>
    <x v="169"/>
    <x v="0"/>
    <n v="1170.25"/>
  </r>
  <r>
    <s v="South"/>
    <x v="1"/>
    <n v="2010321"/>
    <x v="169"/>
    <x v="0"/>
    <n v="1046.28"/>
  </r>
  <r>
    <s v="South"/>
    <x v="0"/>
    <n v="2010322"/>
    <x v="169"/>
    <x v="0"/>
    <n v="565.02"/>
  </r>
  <r>
    <s v="South"/>
    <x v="0"/>
    <n v="2010323"/>
    <x v="169"/>
    <x v="1"/>
    <n v="13.37"/>
  </r>
  <r>
    <s v="South"/>
    <x v="1"/>
    <n v="2010324"/>
    <x v="169"/>
    <x v="1"/>
    <n v="1029.01"/>
  </r>
  <r>
    <s v="South"/>
    <x v="1"/>
    <n v="2010325"/>
    <x v="170"/>
    <x v="1"/>
    <n v="37.450000000000003"/>
  </r>
  <r>
    <s v="South"/>
    <x v="1"/>
    <n v="2010326"/>
    <x v="171"/>
    <x v="0"/>
    <n v="1112.73"/>
  </r>
  <r>
    <s v="South"/>
    <x v="5"/>
    <n v="2010327"/>
    <x v="171"/>
    <x v="0"/>
    <n v="52.63"/>
  </r>
  <r>
    <s v="South"/>
    <x v="6"/>
    <n v="2010328"/>
    <x v="172"/>
    <x v="0"/>
    <n v="581.09"/>
  </r>
  <r>
    <s v="South"/>
    <x v="6"/>
    <n v="2010329"/>
    <x v="172"/>
    <x v="1"/>
    <n v="843.71"/>
  </r>
  <r>
    <s v="South"/>
    <x v="1"/>
    <n v="2010330"/>
    <x v="173"/>
    <x v="1"/>
    <n v="102.36"/>
  </r>
  <r>
    <s v="North"/>
    <x v="8"/>
    <n v="2010331"/>
    <x v="174"/>
    <x v="1"/>
    <n v="799.58"/>
  </r>
  <r>
    <s v="South"/>
    <x v="0"/>
    <n v="2010332"/>
    <x v="175"/>
    <x v="0"/>
    <n v="918.24"/>
  </r>
  <r>
    <s v="South"/>
    <x v="5"/>
    <n v="2010333"/>
    <x v="176"/>
    <x v="0"/>
    <n v="842.87"/>
  </r>
  <r>
    <s v="North"/>
    <x v="2"/>
    <n v="2010334"/>
    <x v="176"/>
    <x v="0"/>
    <n v="183.45"/>
  </r>
  <r>
    <s v="South"/>
    <x v="1"/>
    <n v="2010335"/>
    <x v="177"/>
    <x v="1"/>
    <n v="593.79"/>
  </r>
  <r>
    <s v="South"/>
    <x v="6"/>
    <n v="2010336"/>
    <x v="177"/>
    <x v="1"/>
    <n v="330.36"/>
  </r>
  <r>
    <s v="South"/>
    <x v="3"/>
    <n v="2010337"/>
    <x v="177"/>
    <x v="1"/>
    <n v="145.97999999999999"/>
  </r>
  <r>
    <s v="South"/>
    <x v="6"/>
    <n v="2010338"/>
    <x v="177"/>
    <x v="1"/>
    <n v="910.3"/>
  </r>
  <r>
    <s v="South"/>
    <x v="1"/>
    <n v="2010339"/>
    <x v="178"/>
    <x v="0"/>
    <n v="1063.3699999999999"/>
  </r>
  <r>
    <s v="South"/>
    <x v="6"/>
    <n v="2010340"/>
    <x v="178"/>
    <x v="1"/>
    <n v="281.88"/>
  </r>
  <r>
    <s v="South"/>
    <x v="1"/>
    <n v="2010341"/>
    <x v="178"/>
    <x v="1"/>
    <n v="322.64"/>
  </r>
  <r>
    <s v="South"/>
    <x v="5"/>
    <n v="2010342"/>
    <x v="179"/>
    <x v="1"/>
    <n v="831.89"/>
  </r>
  <r>
    <s v="South"/>
    <x v="6"/>
    <n v="2010343"/>
    <x v="180"/>
    <x v="1"/>
    <n v="566.30999999999995"/>
  </r>
  <r>
    <s v="South"/>
    <x v="0"/>
    <n v="2010344"/>
    <x v="180"/>
    <x v="0"/>
    <n v="586.03"/>
  </r>
  <r>
    <s v="South"/>
    <x v="1"/>
    <n v="2010345"/>
    <x v="181"/>
    <x v="1"/>
    <n v="604.54"/>
  </r>
  <r>
    <s v="North"/>
    <x v="4"/>
    <n v="2010346"/>
    <x v="182"/>
    <x v="0"/>
    <n v="233.65"/>
  </r>
  <r>
    <s v="South"/>
    <x v="1"/>
    <n v="2010347"/>
    <x v="182"/>
    <x v="0"/>
    <n v="1178.8499999999999"/>
  </r>
  <r>
    <s v="South"/>
    <x v="5"/>
    <n v="2010348"/>
    <x v="183"/>
    <x v="1"/>
    <n v="856.15"/>
  </r>
  <r>
    <s v="South"/>
    <x v="5"/>
    <n v="2010349"/>
    <x v="184"/>
    <x v="1"/>
    <n v="291.17"/>
  </r>
  <r>
    <s v="North"/>
    <x v="4"/>
    <n v="2010350"/>
    <x v="185"/>
    <x v="0"/>
    <n v="452.98"/>
  </r>
  <r>
    <s v="South"/>
    <x v="5"/>
    <n v="2010351"/>
    <x v="186"/>
    <x v="0"/>
    <n v="226.95"/>
  </r>
  <r>
    <s v="North"/>
    <x v="4"/>
    <n v="2010352"/>
    <x v="187"/>
    <x v="0"/>
    <n v="193.58"/>
  </r>
  <r>
    <s v="South"/>
    <x v="5"/>
    <n v="2010353"/>
    <x v="187"/>
    <x v="1"/>
    <n v="1176.22"/>
  </r>
  <r>
    <s v="South"/>
    <x v="6"/>
    <n v="2010354"/>
    <x v="187"/>
    <x v="1"/>
    <n v="144"/>
  </r>
  <r>
    <s v="South"/>
    <x v="5"/>
    <n v="2010355"/>
    <x v="188"/>
    <x v="1"/>
    <n v="629.21"/>
  </r>
  <r>
    <s v="South"/>
    <x v="6"/>
    <n v="2010356"/>
    <x v="189"/>
    <x v="1"/>
    <n v="944.04"/>
  </r>
  <r>
    <s v="South"/>
    <x v="5"/>
    <n v="2010357"/>
    <x v="190"/>
    <x v="0"/>
    <n v="986.49"/>
  </r>
  <r>
    <s v="North"/>
    <x v="4"/>
    <n v="2010358"/>
    <x v="191"/>
    <x v="0"/>
    <n v="718.89"/>
  </r>
  <r>
    <s v="South"/>
    <x v="5"/>
    <n v="2010359"/>
    <x v="192"/>
    <x v="1"/>
    <n v="546.03"/>
  </r>
  <r>
    <s v="South"/>
    <x v="1"/>
    <n v="2010360"/>
    <x v="192"/>
    <x v="0"/>
    <n v="633.49"/>
  </r>
  <r>
    <s v="South"/>
    <x v="5"/>
    <n v="2010361"/>
    <x v="192"/>
    <x v="1"/>
    <n v="282.43"/>
  </r>
  <r>
    <s v="South"/>
    <x v="6"/>
    <n v="2010362"/>
    <x v="192"/>
    <x v="1"/>
    <n v="530.26"/>
  </r>
  <r>
    <s v="South"/>
    <x v="1"/>
    <n v="2010363"/>
    <x v="193"/>
    <x v="1"/>
    <n v="864.27"/>
  </r>
  <r>
    <s v="North"/>
    <x v="2"/>
    <n v="2010364"/>
    <x v="194"/>
    <x v="1"/>
    <n v="1080.0899999999999"/>
  </r>
  <r>
    <s v="South"/>
    <x v="1"/>
    <n v="2010365"/>
    <x v="195"/>
    <x v="1"/>
    <n v="986.16"/>
  </r>
  <r>
    <s v="South"/>
    <x v="3"/>
    <n v="2010366"/>
    <x v="196"/>
    <x v="0"/>
    <n v="1151.55"/>
  </r>
  <r>
    <s v="South"/>
    <x v="3"/>
    <n v="2010367"/>
    <x v="197"/>
    <x v="1"/>
    <n v="1086.97"/>
  </r>
  <r>
    <s v="South"/>
    <x v="1"/>
    <n v="2010368"/>
    <x v="197"/>
    <x v="1"/>
    <n v="1169.26"/>
  </r>
  <r>
    <s v="South"/>
    <x v="1"/>
    <n v="2010369"/>
    <x v="198"/>
    <x v="1"/>
    <n v="319.42"/>
  </r>
  <r>
    <s v="South"/>
    <x v="6"/>
    <n v="2010370"/>
    <x v="199"/>
    <x v="0"/>
    <n v="420.23"/>
  </r>
  <r>
    <s v="South"/>
    <x v="5"/>
    <n v="2010371"/>
    <x v="199"/>
    <x v="0"/>
    <n v="931.86"/>
  </r>
  <r>
    <s v="South"/>
    <x v="6"/>
    <n v="2010372"/>
    <x v="199"/>
    <x v="1"/>
    <n v="614.13"/>
  </r>
  <r>
    <s v="North"/>
    <x v="2"/>
    <n v="2010373"/>
    <x v="199"/>
    <x v="0"/>
    <n v="835.47"/>
  </r>
  <r>
    <s v="South"/>
    <x v="5"/>
    <n v="2010374"/>
    <x v="200"/>
    <x v="1"/>
    <n v="688.01"/>
  </r>
  <r>
    <s v="South"/>
    <x v="1"/>
    <n v="2010375"/>
    <x v="200"/>
    <x v="0"/>
    <n v="252.6"/>
  </r>
  <r>
    <s v="South"/>
    <x v="0"/>
    <n v="2010376"/>
    <x v="201"/>
    <x v="1"/>
    <n v="255.68"/>
  </r>
  <r>
    <s v="North"/>
    <x v="7"/>
    <n v="2010377"/>
    <x v="202"/>
    <x v="0"/>
    <n v="858.38"/>
  </r>
  <r>
    <s v="South"/>
    <x v="3"/>
    <n v="2010378"/>
    <x v="203"/>
    <x v="0"/>
    <n v="985.24"/>
  </r>
  <r>
    <s v="South"/>
    <x v="6"/>
    <n v="2010379"/>
    <x v="204"/>
    <x v="1"/>
    <n v="31.08"/>
  </r>
  <r>
    <s v="South"/>
    <x v="0"/>
    <n v="2010380"/>
    <x v="204"/>
    <x v="1"/>
    <n v="80.290000000000006"/>
  </r>
  <r>
    <s v="South"/>
    <x v="5"/>
    <n v="2010381"/>
    <x v="204"/>
    <x v="0"/>
    <n v="1120.23"/>
  </r>
  <r>
    <s v="South"/>
    <x v="5"/>
    <n v="2010382"/>
    <x v="205"/>
    <x v="1"/>
    <n v="905.95"/>
  </r>
  <r>
    <s v="South"/>
    <x v="6"/>
    <n v="2010383"/>
    <x v="205"/>
    <x v="1"/>
    <n v="410.35"/>
  </r>
  <r>
    <s v="South"/>
    <x v="6"/>
    <n v="2010384"/>
    <x v="206"/>
    <x v="0"/>
    <n v="306.27999999999997"/>
  </r>
  <r>
    <s v="South"/>
    <x v="5"/>
    <n v="2010385"/>
    <x v="206"/>
    <x v="1"/>
    <n v="1081"/>
  </r>
  <r>
    <s v="North"/>
    <x v="2"/>
    <n v="2010386"/>
    <x v="207"/>
    <x v="1"/>
    <n v="500.88"/>
  </r>
  <r>
    <s v="South"/>
    <x v="0"/>
    <n v="2010387"/>
    <x v="208"/>
    <x v="1"/>
    <n v="165.66"/>
  </r>
  <r>
    <s v="South"/>
    <x v="6"/>
    <n v="2010388"/>
    <x v="208"/>
    <x v="0"/>
    <n v="1162.68"/>
  </r>
  <r>
    <s v="South"/>
    <x v="3"/>
    <n v="2010389"/>
    <x v="209"/>
    <x v="0"/>
    <n v="610"/>
  </r>
  <r>
    <s v="South"/>
    <x v="1"/>
    <n v="2010390"/>
    <x v="209"/>
    <x v="0"/>
    <n v="596.38"/>
  </r>
  <r>
    <s v="South"/>
    <x v="6"/>
    <n v="2010391"/>
    <x v="210"/>
    <x v="1"/>
    <n v="866.8"/>
  </r>
  <r>
    <s v="South"/>
    <x v="3"/>
    <n v="2010392"/>
    <x v="210"/>
    <x v="0"/>
    <n v="1068.97"/>
  </r>
  <r>
    <s v="South"/>
    <x v="0"/>
    <n v="2010393"/>
    <x v="211"/>
    <x v="1"/>
    <n v="955.86"/>
  </r>
  <r>
    <s v="South"/>
    <x v="0"/>
    <n v="2010394"/>
    <x v="212"/>
    <x v="1"/>
    <n v="561.88"/>
  </r>
  <r>
    <s v="South"/>
    <x v="0"/>
    <n v="2010395"/>
    <x v="212"/>
    <x v="1"/>
    <n v="289.97000000000003"/>
  </r>
  <r>
    <s v="North"/>
    <x v="4"/>
    <n v="2010396"/>
    <x v="212"/>
    <x v="0"/>
    <n v="103.75"/>
  </r>
  <r>
    <s v="North"/>
    <x v="8"/>
    <n v="2010397"/>
    <x v="213"/>
    <x v="0"/>
    <n v="147.26"/>
  </r>
  <r>
    <s v="North"/>
    <x v="7"/>
    <n v="2010398"/>
    <x v="213"/>
    <x v="0"/>
    <n v="14.28"/>
  </r>
  <r>
    <s v="South"/>
    <x v="3"/>
    <n v="2010399"/>
    <x v="214"/>
    <x v="1"/>
    <n v="289.33999999999997"/>
  </r>
  <r>
    <s v="South"/>
    <x v="6"/>
    <n v="2011001"/>
    <x v="215"/>
    <x v="0"/>
    <n v="645.42999999999995"/>
  </r>
  <r>
    <s v="South"/>
    <x v="6"/>
    <n v="2011002"/>
    <x v="215"/>
    <x v="0"/>
    <n v="482.77"/>
  </r>
  <r>
    <s v="South"/>
    <x v="6"/>
    <n v="2011003"/>
    <x v="215"/>
    <x v="1"/>
    <n v="98.86"/>
  </r>
  <r>
    <s v="South"/>
    <x v="0"/>
    <n v="2011004"/>
    <x v="215"/>
    <x v="1"/>
    <n v="540.79"/>
  </r>
  <r>
    <s v="North"/>
    <x v="9"/>
    <n v="2011005"/>
    <x v="216"/>
    <x v="1"/>
    <n v="284.70999999999998"/>
  </r>
  <r>
    <s v="South"/>
    <x v="1"/>
    <n v="2011006"/>
    <x v="217"/>
    <x v="1"/>
    <n v="799.6"/>
  </r>
  <r>
    <s v="North"/>
    <x v="4"/>
    <n v="2011007"/>
    <x v="217"/>
    <x v="0"/>
    <n v="1026.8399999999999"/>
  </r>
  <r>
    <s v="South"/>
    <x v="1"/>
    <n v="2011008"/>
    <x v="218"/>
    <x v="0"/>
    <n v="795.42"/>
  </r>
  <r>
    <s v="South"/>
    <x v="3"/>
    <n v="2011009"/>
    <x v="218"/>
    <x v="1"/>
    <n v="508.43"/>
  </r>
  <r>
    <s v="North"/>
    <x v="10"/>
    <n v="2011010"/>
    <x v="218"/>
    <x v="0"/>
    <n v="313.36"/>
  </r>
  <r>
    <s v="South"/>
    <x v="1"/>
    <n v="2011011"/>
    <x v="219"/>
    <x v="0"/>
    <n v="424.5"/>
  </r>
  <r>
    <s v="South"/>
    <x v="6"/>
    <n v="2011012"/>
    <x v="220"/>
    <x v="1"/>
    <n v="821.24"/>
  </r>
  <r>
    <s v="South"/>
    <x v="0"/>
    <n v="2011013"/>
    <x v="220"/>
    <x v="0"/>
    <n v="745.75"/>
  </r>
  <r>
    <s v="South"/>
    <x v="0"/>
    <n v="2011014"/>
    <x v="220"/>
    <x v="0"/>
    <n v="370.71"/>
  </r>
  <r>
    <s v="North"/>
    <x v="2"/>
    <n v="2011015"/>
    <x v="220"/>
    <x v="1"/>
    <n v="962.4"/>
  </r>
  <r>
    <s v="North"/>
    <x v="2"/>
    <n v="2011016"/>
    <x v="220"/>
    <x v="0"/>
    <n v="769.23"/>
  </r>
  <r>
    <s v="South"/>
    <x v="5"/>
    <n v="2011017"/>
    <x v="221"/>
    <x v="1"/>
    <n v="1211.6300000000001"/>
  </r>
  <r>
    <s v="South"/>
    <x v="1"/>
    <n v="2011018"/>
    <x v="222"/>
    <x v="0"/>
    <n v="955.88"/>
  </r>
  <r>
    <s v="South"/>
    <x v="6"/>
    <n v="2011019"/>
    <x v="223"/>
    <x v="0"/>
    <n v="602.51"/>
  </r>
  <r>
    <s v="North"/>
    <x v="10"/>
    <n v="2011020"/>
    <x v="223"/>
    <x v="0"/>
    <n v="885.65"/>
  </r>
  <r>
    <s v="South"/>
    <x v="1"/>
    <n v="2011021"/>
    <x v="224"/>
    <x v="0"/>
    <n v="464.71"/>
  </r>
  <r>
    <s v="South"/>
    <x v="6"/>
    <n v="2011022"/>
    <x v="224"/>
    <x v="1"/>
    <n v="291.54000000000002"/>
  </r>
  <r>
    <s v="South"/>
    <x v="5"/>
    <n v="2011023"/>
    <x v="224"/>
    <x v="0"/>
    <n v="1133.82"/>
  </r>
  <r>
    <s v="South"/>
    <x v="5"/>
    <n v="2011024"/>
    <x v="225"/>
    <x v="1"/>
    <n v="1180.21"/>
  </r>
  <r>
    <s v="North"/>
    <x v="8"/>
    <n v="2011025"/>
    <x v="225"/>
    <x v="0"/>
    <n v="1255.0999999999999"/>
  </r>
  <r>
    <s v="South"/>
    <x v="5"/>
    <n v="2011026"/>
    <x v="226"/>
    <x v="1"/>
    <n v="222.19"/>
  </r>
  <r>
    <s v="North"/>
    <x v="2"/>
    <n v="2011027"/>
    <x v="226"/>
    <x v="0"/>
    <n v="853.17"/>
  </r>
  <r>
    <s v="South"/>
    <x v="1"/>
    <n v="2011028"/>
    <x v="227"/>
    <x v="0"/>
    <n v="833.36"/>
  </r>
  <r>
    <s v="North"/>
    <x v="7"/>
    <n v="2011029"/>
    <x v="227"/>
    <x v="0"/>
    <n v="512.1"/>
  </r>
  <r>
    <s v="North"/>
    <x v="2"/>
    <n v="2011030"/>
    <x v="227"/>
    <x v="1"/>
    <n v="1056.58"/>
  </r>
  <r>
    <s v="North"/>
    <x v="4"/>
    <n v="2011031"/>
    <x v="227"/>
    <x v="0"/>
    <n v="222.61"/>
  </r>
  <r>
    <s v="South"/>
    <x v="0"/>
    <n v="2011032"/>
    <x v="228"/>
    <x v="1"/>
    <n v="1005.62"/>
  </r>
  <r>
    <s v="South"/>
    <x v="0"/>
    <n v="2011033"/>
    <x v="228"/>
    <x v="0"/>
    <n v="505.89"/>
  </r>
  <r>
    <s v="South"/>
    <x v="3"/>
    <n v="2011034"/>
    <x v="228"/>
    <x v="0"/>
    <n v="711.09"/>
  </r>
  <r>
    <s v="South"/>
    <x v="3"/>
    <n v="2011035"/>
    <x v="228"/>
    <x v="0"/>
    <n v="1276.6199999999999"/>
  </r>
  <r>
    <s v="South"/>
    <x v="5"/>
    <n v="2011036"/>
    <x v="229"/>
    <x v="0"/>
    <n v="905.2"/>
  </r>
  <r>
    <s v="North"/>
    <x v="7"/>
    <n v="2011037"/>
    <x v="229"/>
    <x v="0"/>
    <n v="1179.0999999999999"/>
  </r>
  <r>
    <s v="North"/>
    <x v="8"/>
    <n v="2011038"/>
    <x v="229"/>
    <x v="1"/>
    <n v="893.5"/>
  </r>
  <r>
    <s v="North"/>
    <x v="2"/>
    <n v="2011039"/>
    <x v="229"/>
    <x v="0"/>
    <n v="44.88"/>
  </r>
  <r>
    <s v="South"/>
    <x v="6"/>
    <n v="2011040"/>
    <x v="230"/>
    <x v="0"/>
    <n v="858.2"/>
  </r>
  <r>
    <s v="North"/>
    <x v="9"/>
    <n v="2011041"/>
    <x v="230"/>
    <x v="0"/>
    <n v="515.52"/>
  </r>
  <r>
    <s v="North"/>
    <x v="4"/>
    <n v="2011042"/>
    <x v="230"/>
    <x v="0"/>
    <n v="1224.03"/>
  </r>
  <r>
    <s v="South"/>
    <x v="1"/>
    <n v="2011043"/>
    <x v="231"/>
    <x v="0"/>
    <n v="284.97000000000003"/>
  </r>
  <r>
    <s v="South"/>
    <x v="0"/>
    <n v="2011044"/>
    <x v="231"/>
    <x v="1"/>
    <n v="1134.31"/>
  </r>
  <r>
    <s v="South"/>
    <x v="5"/>
    <n v="2011045"/>
    <x v="231"/>
    <x v="0"/>
    <n v="892.02"/>
  </r>
  <r>
    <s v="North"/>
    <x v="4"/>
    <n v="2011046"/>
    <x v="231"/>
    <x v="1"/>
    <n v="1227.27"/>
  </r>
  <r>
    <s v="South"/>
    <x v="1"/>
    <n v="2011047"/>
    <x v="232"/>
    <x v="0"/>
    <n v="556.12"/>
  </r>
  <r>
    <s v="South"/>
    <x v="0"/>
    <n v="2011048"/>
    <x v="232"/>
    <x v="1"/>
    <n v="271.05"/>
  </r>
  <r>
    <s v="North"/>
    <x v="2"/>
    <n v="2011049"/>
    <x v="232"/>
    <x v="0"/>
    <n v="626.25"/>
  </r>
  <r>
    <s v="South"/>
    <x v="1"/>
    <n v="2011050"/>
    <x v="233"/>
    <x v="1"/>
    <n v="725.23"/>
  </r>
  <r>
    <s v="South"/>
    <x v="1"/>
    <n v="2011051"/>
    <x v="233"/>
    <x v="0"/>
    <n v="594.37"/>
  </r>
  <r>
    <s v="South"/>
    <x v="6"/>
    <n v="2011052"/>
    <x v="233"/>
    <x v="1"/>
    <n v="75.23"/>
  </r>
  <r>
    <s v="South"/>
    <x v="0"/>
    <n v="2011053"/>
    <x v="233"/>
    <x v="0"/>
    <n v="134.08000000000001"/>
  </r>
  <r>
    <s v="North"/>
    <x v="8"/>
    <n v="2011054"/>
    <x v="233"/>
    <x v="0"/>
    <n v="1207.6400000000001"/>
  </r>
  <r>
    <s v="South"/>
    <x v="1"/>
    <n v="2011055"/>
    <x v="234"/>
    <x v="0"/>
    <n v="870.64"/>
  </r>
  <r>
    <s v="South"/>
    <x v="6"/>
    <n v="2011056"/>
    <x v="234"/>
    <x v="0"/>
    <n v="498.36"/>
  </r>
  <r>
    <s v="South"/>
    <x v="1"/>
    <n v="2011057"/>
    <x v="235"/>
    <x v="1"/>
    <n v="1006.35"/>
  </r>
  <r>
    <s v="South"/>
    <x v="6"/>
    <n v="2011058"/>
    <x v="235"/>
    <x v="0"/>
    <n v="909.06"/>
  </r>
  <r>
    <s v="South"/>
    <x v="0"/>
    <n v="2011059"/>
    <x v="235"/>
    <x v="0"/>
    <n v="386.97"/>
  </r>
  <r>
    <s v="North"/>
    <x v="9"/>
    <n v="2011060"/>
    <x v="235"/>
    <x v="0"/>
    <n v="456.34"/>
  </r>
  <r>
    <s v="South"/>
    <x v="3"/>
    <n v="2011061"/>
    <x v="236"/>
    <x v="1"/>
    <n v="465.58"/>
  </r>
  <r>
    <s v="South"/>
    <x v="0"/>
    <n v="2011062"/>
    <x v="237"/>
    <x v="1"/>
    <n v="521.79999999999995"/>
  </r>
  <r>
    <s v="North"/>
    <x v="2"/>
    <n v="2011063"/>
    <x v="237"/>
    <x v="1"/>
    <n v="207.44"/>
  </r>
  <r>
    <s v="North"/>
    <x v="4"/>
    <n v="2011064"/>
    <x v="237"/>
    <x v="1"/>
    <n v="1189.32"/>
  </r>
  <r>
    <s v="South"/>
    <x v="5"/>
    <n v="2011065"/>
    <x v="238"/>
    <x v="1"/>
    <n v="919.06"/>
  </r>
  <r>
    <s v="North"/>
    <x v="8"/>
    <n v="2011066"/>
    <x v="238"/>
    <x v="1"/>
    <n v="169.63"/>
  </r>
  <r>
    <s v="North"/>
    <x v="10"/>
    <n v="2011067"/>
    <x v="239"/>
    <x v="1"/>
    <n v="684.34"/>
  </r>
  <r>
    <s v="South"/>
    <x v="3"/>
    <n v="2011068"/>
    <x v="240"/>
    <x v="1"/>
    <n v="619.88"/>
  </r>
  <r>
    <s v="North"/>
    <x v="8"/>
    <n v="2011069"/>
    <x v="240"/>
    <x v="1"/>
    <n v="192.76"/>
  </r>
  <r>
    <s v="South"/>
    <x v="1"/>
    <n v="2011070"/>
    <x v="241"/>
    <x v="1"/>
    <n v="800.84"/>
  </r>
  <r>
    <s v="South"/>
    <x v="0"/>
    <n v="2011071"/>
    <x v="242"/>
    <x v="0"/>
    <n v="1017.07"/>
  </r>
  <r>
    <s v="North"/>
    <x v="7"/>
    <n v="2011072"/>
    <x v="242"/>
    <x v="0"/>
    <n v="673.2"/>
  </r>
  <r>
    <s v="South"/>
    <x v="5"/>
    <n v="2011073"/>
    <x v="243"/>
    <x v="1"/>
    <n v="918.51"/>
  </r>
  <r>
    <s v="South"/>
    <x v="3"/>
    <n v="2011074"/>
    <x v="243"/>
    <x v="0"/>
    <n v="924.18"/>
  </r>
  <r>
    <s v="North"/>
    <x v="2"/>
    <n v="2011075"/>
    <x v="243"/>
    <x v="0"/>
    <n v="148.51"/>
  </r>
  <r>
    <s v="South"/>
    <x v="1"/>
    <n v="2011076"/>
    <x v="244"/>
    <x v="0"/>
    <n v="404.49"/>
  </r>
  <r>
    <s v="South"/>
    <x v="1"/>
    <n v="2011077"/>
    <x v="244"/>
    <x v="0"/>
    <n v="900.3"/>
  </r>
  <r>
    <s v="South"/>
    <x v="5"/>
    <n v="2011078"/>
    <x v="245"/>
    <x v="1"/>
    <n v="646.91"/>
  </r>
  <r>
    <s v="South"/>
    <x v="1"/>
    <n v="2011079"/>
    <x v="246"/>
    <x v="0"/>
    <n v="441.33"/>
  </r>
  <r>
    <s v="South"/>
    <x v="0"/>
    <n v="2011080"/>
    <x v="246"/>
    <x v="1"/>
    <n v="350.68"/>
  </r>
  <r>
    <s v="North"/>
    <x v="2"/>
    <n v="2011081"/>
    <x v="246"/>
    <x v="0"/>
    <n v="202.02"/>
  </r>
  <r>
    <s v="North"/>
    <x v="2"/>
    <n v="2011082"/>
    <x v="246"/>
    <x v="1"/>
    <n v="662.22"/>
  </r>
  <r>
    <s v="South"/>
    <x v="3"/>
    <n v="2011083"/>
    <x v="247"/>
    <x v="0"/>
    <n v="457.47"/>
  </r>
  <r>
    <s v="South"/>
    <x v="0"/>
    <n v="2011084"/>
    <x v="248"/>
    <x v="1"/>
    <n v="480.54"/>
  </r>
  <r>
    <s v="South"/>
    <x v="5"/>
    <n v="2011085"/>
    <x v="248"/>
    <x v="0"/>
    <n v="381.66"/>
  </r>
  <r>
    <s v="South"/>
    <x v="5"/>
    <n v="2011086"/>
    <x v="248"/>
    <x v="1"/>
    <n v="319.43"/>
  </r>
  <r>
    <s v="South"/>
    <x v="5"/>
    <n v="2011087"/>
    <x v="248"/>
    <x v="0"/>
    <n v="73.45"/>
  </r>
  <r>
    <s v="South"/>
    <x v="5"/>
    <n v="2011088"/>
    <x v="249"/>
    <x v="1"/>
    <n v="961.21"/>
  </r>
  <r>
    <s v="South"/>
    <x v="1"/>
    <n v="2011089"/>
    <x v="250"/>
    <x v="1"/>
    <n v="148.59"/>
  </r>
  <r>
    <s v="South"/>
    <x v="6"/>
    <n v="2011090"/>
    <x v="250"/>
    <x v="1"/>
    <n v="863.8"/>
  </r>
  <r>
    <s v="South"/>
    <x v="6"/>
    <n v="2011091"/>
    <x v="251"/>
    <x v="1"/>
    <n v="229.32"/>
  </r>
  <r>
    <s v="South"/>
    <x v="0"/>
    <n v="2011092"/>
    <x v="252"/>
    <x v="0"/>
    <n v="908.51"/>
  </r>
  <r>
    <s v="South"/>
    <x v="5"/>
    <n v="2011093"/>
    <x v="252"/>
    <x v="0"/>
    <n v="224.1"/>
  </r>
  <r>
    <s v="South"/>
    <x v="3"/>
    <n v="2011094"/>
    <x v="252"/>
    <x v="0"/>
    <n v="357.81"/>
  </r>
  <r>
    <s v="South"/>
    <x v="3"/>
    <n v="2011095"/>
    <x v="252"/>
    <x v="1"/>
    <n v="959.77"/>
  </r>
  <r>
    <s v="North"/>
    <x v="8"/>
    <n v="2011096"/>
    <x v="253"/>
    <x v="0"/>
    <n v="243.17"/>
  </r>
  <r>
    <s v="South"/>
    <x v="6"/>
    <n v="2011097"/>
    <x v="254"/>
    <x v="1"/>
    <n v="267.47000000000003"/>
  </r>
  <r>
    <s v="South"/>
    <x v="5"/>
    <n v="2011098"/>
    <x v="254"/>
    <x v="1"/>
    <n v="1102.53"/>
  </r>
  <r>
    <s v="North"/>
    <x v="10"/>
    <n v="2011099"/>
    <x v="254"/>
    <x v="0"/>
    <n v="778.23"/>
  </r>
  <r>
    <s v="North"/>
    <x v="10"/>
    <n v="2011100"/>
    <x v="254"/>
    <x v="1"/>
    <n v="506.09"/>
  </r>
  <r>
    <s v="North"/>
    <x v="7"/>
    <n v="2011101"/>
    <x v="254"/>
    <x v="1"/>
    <n v="861.55"/>
  </r>
  <r>
    <s v="South"/>
    <x v="6"/>
    <n v="2011102"/>
    <x v="255"/>
    <x v="1"/>
    <n v="1187.93"/>
  </r>
  <r>
    <s v="South"/>
    <x v="0"/>
    <n v="2011103"/>
    <x v="255"/>
    <x v="1"/>
    <n v="783.72"/>
  </r>
  <r>
    <s v="South"/>
    <x v="0"/>
    <n v="2011104"/>
    <x v="255"/>
    <x v="0"/>
    <n v="897.35"/>
  </r>
  <r>
    <s v="North"/>
    <x v="8"/>
    <n v="2011105"/>
    <x v="255"/>
    <x v="1"/>
    <n v="1209.32"/>
  </r>
  <r>
    <s v="South"/>
    <x v="1"/>
    <n v="2011106"/>
    <x v="256"/>
    <x v="1"/>
    <n v="1197.6199999999999"/>
  </r>
  <r>
    <s v="South"/>
    <x v="1"/>
    <n v="2011107"/>
    <x v="257"/>
    <x v="1"/>
    <n v="548.78"/>
  </r>
  <r>
    <s v="South"/>
    <x v="5"/>
    <n v="2011108"/>
    <x v="257"/>
    <x v="0"/>
    <n v="585.04"/>
  </r>
  <r>
    <s v="North"/>
    <x v="10"/>
    <n v="2011109"/>
    <x v="257"/>
    <x v="1"/>
    <n v="394.53"/>
  </r>
  <r>
    <s v="North"/>
    <x v="4"/>
    <n v="2011110"/>
    <x v="257"/>
    <x v="0"/>
    <n v="761.7"/>
  </r>
  <r>
    <s v="South"/>
    <x v="6"/>
    <n v="2011111"/>
    <x v="258"/>
    <x v="0"/>
    <n v="1005.19"/>
  </r>
  <r>
    <s v="South"/>
    <x v="0"/>
    <n v="2011112"/>
    <x v="258"/>
    <x v="1"/>
    <n v="821.63"/>
  </r>
  <r>
    <s v="South"/>
    <x v="6"/>
    <n v="2011113"/>
    <x v="259"/>
    <x v="0"/>
    <n v="777.57"/>
  </r>
  <r>
    <s v="South"/>
    <x v="3"/>
    <n v="2011114"/>
    <x v="260"/>
    <x v="1"/>
    <n v="1022.83"/>
  </r>
  <r>
    <s v="North"/>
    <x v="8"/>
    <n v="2011115"/>
    <x v="260"/>
    <x v="0"/>
    <n v="868.87"/>
  </r>
  <r>
    <s v="North"/>
    <x v="8"/>
    <n v="2011116"/>
    <x v="260"/>
    <x v="0"/>
    <n v="442.41"/>
  </r>
  <r>
    <s v="North"/>
    <x v="2"/>
    <n v="2011117"/>
    <x v="260"/>
    <x v="1"/>
    <n v="1152.51"/>
  </r>
  <r>
    <s v="South"/>
    <x v="6"/>
    <n v="2011118"/>
    <x v="261"/>
    <x v="0"/>
    <n v="1217.9100000000001"/>
  </r>
  <r>
    <s v="South"/>
    <x v="5"/>
    <n v="2011119"/>
    <x v="261"/>
    <x v="0"/>
    <n v="498.86"/>
  </r>
  <r>
    <s v="North"/>
    <x v="8"/>
    <n v="2011120"/>
    <x v="261"/>
    <x v="0"/>
    <n v="415.3"/>
  </r>
  <r>
    <s v="South"/>
    <x v="5"/>
    <n v="2011121"/>
    <x v="262"/>
    <x v="0"/>
    <n v="815.91"/>
  </r>
  <r>
    <s v="North"/>
    <x v="2"/>
    <n v="2011122"/>
    <x v="262"/>
    <x v="1"/>
    <n v="773.55"/>
  </r>
  <r>
    <s v="South"/>
    <x v="1"/>
    <n v="2011123"/>
    <x v="263"/>
    <x v="1"/>
    <n v="806.9"/>
  </r>
  <r>
    <s v="South"/>
    <x v="1"/>
    <n v="2011124"/>
    <x v="264"/>
    <x v="1"/>
    <n v="420.78"/>
  </r>
  <r>
    <s v="North"/>
    <x v="2"/>
    <n v="2011125"/>
    <x v="264"/>
    <x v="1"/>
    <n v="960.22"/>
  </r>
  <r>
    <s v="South"/>
    <x v="6"/>
    <n v="2011126"/>
    <x v="265"/>
    <x v="0"/>
    <n v="1138.8399999999999"/>
  </r>
  <r>
    <s v="South"/>
    <x v="5"/>
    <n v="2011127"/>
    <x v="265"/>
    <x v="0"/>
    <n v="381.78"/>
  </r>
  <r>
    <s v="South"/>
    <x v="5"/>
    <n v="2011128"/>
    <x v="265"/>
    <x v="1"/>
    <n v="1143.46"/>
  </r>
  <r>
    <s v="North"/>
    <x v="4"/>
    <n v="2011129"/>
    <x v="265"/>
    <x v="1"/>
    <n v="466.61"/>
  </r>
  <r>
    <s v="South"/>
    <x v="0"/>
    <n v="2011130"/>
    <x v="266"/>
    <x v="1"/>
    <n v="630.87"/>
  </r>
  <r>
    <s v="South"/>
    <x v="0"/>
    <n v="2011131"/>
    <x v="266"/>
    <x v="0"/>
    <n v="1197.1400000000001"/>
  </r>
  <r>
    <s v="South"/>
    <x v="5"/>
    <n v="2011132"/>
    <x v="266"/>
    <x v="0"/>
    <n v="939.77"/>
  </r>
  <r>
    <s v="North"/>
    <x v="10"/>
    <n v="2011133"/>
    <x v="266"/>
    <x v="1"/>
    <n v="221.63"/>
  </r>
  <r>
    <s v="South"/>
    <x v="6"/>
    <n v="2011134"/>
    <x v="267"/>
    <x v="0"/>
    <n v="552.16"/>
  </r>
  <r>
    <s v="South"/>
    <x v="6"/>
    <n v="2011135"/>
    <x v="267"/>
    <x v="1"/>
    <n v="797"/>
  </r>
  <r>
    <s v="South"/>
    <x v="0"/>
    <n v="2011136"/>
    <x v="267"/>
    <x v="0"/>
    <n v="765.68"/>
  </r>
  <r>
    <s v="South"/>
    <x v="0"/>
    <n v="2011137"/>
    <x v="267"/>
    <x v="1"/>
    <n v="1156.6500000000001"/>
  </r>
  <r>
    <s v="South"/>
    <x v="5"/>
    <n v="2011138"/>
    <x v="267"/>
    <x v="1"/>
    <n v="746.56"/>
  </r>
  <r>
    <s v="North"/>
    <x v="9"/>
    <n v="2011139"/>
    <x v="268"/>
    <x v="1"/>
    <n v="1113.5999999999999"/>
  </r>
  <r>
    <s v="North"/>
    <x v="7"/>
    <n v="2011140"/>
    <x v="268"/>
    <x v="1"/>
    <n v="132.26"/>
  </r>
  <r>
    <s v="North"/>
    <x v="2"/>
    <n v="2011141"/>
    <x v="269"/>
    <x v="1"/>
    <n v="1140.28"/>
  </r>
  <r>
    <s v="North"/>
    <x v="4"/>
    <n v="2011142"/>
    <x v="269"/>
    <x v="1"/>
    <n v="832.88"/>
  </r>
  <r>
    <s v="South"/>
    <x v="1"/>
    <n v="2011143"/>
    <x v="270"/>
    <x v="0"/>
    <n v="1173.82"/>
  </r>
  <r>
    <s v="South"/>
    <x v="6"/>
    <n v="2011144"/>
    <x v="271"/>
    <x v="0"/>
    <n v="512.79"/>
  </r>
  <r>
    <s v="South"/>
    <x v="0"/>
    <n v="2011145"/>
    <x v="271"/>
    <x v="0"/>
    <n v="796.4"/>
  </r>
  <r>
    <s v="South"/>
    <x v="5"/>
    <n v="2011146"/>
    <x v="272"/>
    <x v="1"/>
    <n v="992.27"/>
  </r>
  <r>
    <s v="South"/>
    <x v="3"/>
    <n v="2011147"/>
    <x v="272"/>
    <x v="0"/>
    <n v="204.83"/>
  </r>
  <r>
    <s v="North"/>
    <x v="10"/>
    <n v="2011148"/>
    <x v="272"/>
    <x v="0"/>
    <n v="416.2"/>
  </r>
  <r>
    <s v="South"/>
    <x v="6"/>
    <n v="2011149"/>
    <x v="273"/>
    <x v="1"/>
    <n v="943.31"/>
  </r>
  <r>
    <s v="South"/>
    <x v="6"/>
    <n v="2011150"/>
    <x v="273"/>
    <x v="0"/>
    <n v="1126.25"/>
  </r>
  <r>
    <s v="South"/>
    <x v="1"/>
    <n v="2011151"/>
    <x v="274"/>
    <x v="1"/>
    <n v="1070.93"/>
  </r>
  <r>
    <s v="North"/>
    <x v="8"/>
    <n v="2011152"/>
    <x v="274"/>
    <x v="1"/>
    <n v="367.41"/>
  </r>
  <r>
    <s v="North"/>
    <x v="4"/>
    <n v="2011153"/>
    <x v="274"/>
    <x v="0"/>
    <n v="315.04000000000002"/>
  </r>
  <r>
    <s v="South"/>
    <x v="1"/>
    <n v="2011154"/>
    <x v="275"/>
    <x v="1"/>
    <n v="236.29"/>
  </r>
  <r>
    <s v="South"/>
    <x v="0"/>
    <n v="2011155"/>
    <x v="276"/>
    <x v="1"/>
    <n v="212.1"/>
  </r>
  <r>
    <s v="South"/>
    <x v="3"/>
    <n v="2011156"/>
    <x v="276"/>
    <x v="0"/>
    <n v="302.99"/>
  </r>
  <r>
    <s v="South"/>
    <x v="1"/>
    <n v="2011157"/>
    <x v="277"/>
    <x v="0"/>
    <n v="1138.3599999999999"/>
  </r>
  <r>
    <s v="North"/>
    <x v="4"/>
    <n v="2011158"/>
    <x v="277"/>
    <x v="1"/>
    <n v="1201.6199999999999"/>
  </r>
  <r>
    <s v="North"/>
    <x v="4"/>
    <n v="2011159"/>
    <x v="278"/>
    <x v="0"/>
    <n v="360.8"/>
  </r>
  <r>
    <s v="South"/>
    <x v="3"/>
    <n v="2011160"/>
    <x v="279"/>
    <x v="0"/>
    <n v="1127.05"/>
  </r>
  <r>
    <s v="South"/>
    <x v="5"/>
    <n v="2011161"/>
    <x v="280"/>
    <x v="1"/>
    <n v="607.85"/>
  </r>
  <r>
    <s v="North"/>
    <x v="2"/>
    <n v="2011162"/>
    <x v="280"/>
    <x v="0"/>
    <n v="233.83"/>
  </r>
  <r>
    <s v="South"/>
    <x v="5"/>
    <n v="2011163"/>
    <x v="281"/>
    <x v="0"/>
    <n v="576.75"/>
  </r>
  <r>
    <s v="North"/>
    <x v="9"/>
    <n v="2011164"/>
    <x v="281"/>
    <x v="0"/>
    <n v="389.64"/>
  </r>
  <r>
    <s v="South"/>
    <x v="1"/>
    <n v="2011165"/>
    <x v="282"/>
    <x v="0"/>
    <n v="374.56"/>
  </r>
  <r>
    <s v="South"/>
    <x v="0"/>
    <n v="2011166"/>
    <x v="282"/>
    <x v="1"/>
    <n v="1196.6099999999999"/>
  </r>
  <r>
    <s v="North"/>
    <x v="9"/>
    <n v="2011167"/>
    <x v="283"/>
    <x v="1"/>
    <n v="946.06"/>
  </r>
  <r>
    <s v="North"/>
    <x v="7"/>
    <n v="2011168"/>
    <x v="283"/>
    <x v="1"/>
    <n v="808.57"/>
  </r>
  <r>
    <s v="North"/>
    <x v="2"/>
    <n v="2011169"/>
    <x v="284"/>
    <x v="1"/>
    <n v="490.04"/>
  </r>
  <r>
    <s v="South"/>
    <x v="5"/>
    <n v="2011170"/>
    <x v="285"/>
    <x v="0"/>
    <n v="588.66"/>
  </r>
  <r>
    <s v="North"/>
    <x v="8"/>
    <n v="2011171"/>
    <x v="286"/>
    <x v="0"/>
    <n v="709.64"/>
  </r>
  <r>
    <s v="South"/>
    <x v="5"/>
    <n v="2011172"/>
    <x v="287"/>
    <x v="1"/>
    <n v="528.04"/>
  </r>
  <r>
    <s v="South"/>
    <x v="5"/>
    <n v="2011173"/>
    <x v="287"/>
    <x v="1"/>
    <n v="782.48"/>
  </r>
  <r>
    <s v="North"/>
    <x v="7"/>
    <n v="2011174"/>
    <x v="287"/>
    <x v="0"/>
    <n v="759.83"/>
  </r>
  <r>
    <s v="South"/>
    <x v="1"/>
    <n v="2011175"/>
    <x v="288"/>
    <x v="0"/>
    <n v="475.93"/>
  </r>
  <r>
    <s v="South"/>
    <x v="1"/>
    <n v="2011176"/>
    <x v="289"/>
    <x v="1"/>
    <n v="498.86"/>
  </r>
  <r>
    <s v="North"/>
    <x v="4"/>
    <n v="2011177"/>
    <x v="289"/>
    <x v="1"/>
    <n v="730.61"/>
  </r>
  <r>
    <s v="South"/>
    <x v="1"/>
    <n v="2011178"/>
    <x v="290"/>
    <x v="1"/>
    <n v="1190.53"/>
  </r>
  <r>
    <s v="South"/>
    <x v="3"/>
    <n v="2011179"/>
    <x v="290"/>
    <x v="0"/>
    <n v="196.17"/>
  </r>
  <r>
    <s v="South"/>
    <x v="3"/>
    <n v="2011180"/>
    <x v="290"/>
    <x v="0"/>
    <n v="1025.74"/>
  </r>
  <r>
    <s v="North"/>
    <x v="2"/>
    <n v="2011181"/>
    <x v="290"/>
    <x v="1"/>
    <n v="324.79000000000002"/>
  </r>
  <r>
    <s v="South"/>
    <x v="6"/>
    <n v="2011182"/>
    <x v="291"/>
    <x v="1"/>
    <n v="752.58"/>
  </r>
  <r>
    <s v="South"/>
    <x v="5"/>
    <n v="2011183"/>
    <x v="291"/>
    <x v="1"/>
    <n v="370"/>
  </r>
  <r>
    <s v="South"/>
    <x v="3"/>
    <n v="2011184"/>
    <x v="292"/>
    <x v="0"/>
    <n v="560.27"/>
  </r>
  <r>
    <s v="North"/>
    <x v="4"/>
    <n v="2011185"/>
    <x v="292"/>
    <x v="1"/>
    <n v="914.06"/>
  </r>
  <r>
    <s v="South"/>
    <x v="3"/>
    <n v="2011186"/>
    <x v="293"/>
    <x v="1"/>
    <n v="1259.6099999999999"/>
  </r>
  <r>
    <s v="South"/>
    <x v="1"/>
    <n v="2011187"/>
    <x v="294"/>
    <x v="0"/>
    <n v="746.42"/>
  </r>
  <r>
    <s v="South"/>
    <x v="5"/>
    <n v="2011188"/>
    <x v="294"/>
    <x v="0"/>
    <n v="947.61"/>
  </r>
  <r>
    <s v="South"/>
    <x v="1"/>
    <n v="2011189"/>
    <x v="295"/>
    <x v="1"/>
    <n v="919.04"/>
  </r>
  <r>
    <s v="South"/>
    <x v="6"/>
    <n v="2011190"/>
    <x v="295"/>
    <x v="0"/>
    <n v="689.34"/>
  </r>
  <r>
    <s v="South"/>
    <x v="5"/>
    <n v="2011191"/>
    <x v="295"/>
    <x v="1"/>
    <n v="109.76"/>
  </r>
  <r>
    <s v="North"/>
    <x v="7"/>
    <n v="2011192"/>
    <x v="295"/>
    <x v="1"/>
    <n v="299.33"/>
  </r>
  <r>
    <s v="South"/>
    <x v="1"/>
    <n v="2011193"/>
    <x v="296"/>
    <x v="1"/>
    <n v="663.26"/>
  </r>
  <r>
    <s v="South"/>
    <x v="5"/>
    <n v="2011194"/>
    <x v="296"/>
    <x v="1"/>
    <n v="1089.97"/>
  </r>
  <r>
    <s v="South"/>
    <x v="3"/>
    <n v="2011195"/>
    <x v="296"/>
    <x v="0"/>
    <n v="1064.75"/>
  </r>
  <r>
    <s v="South"/>
    <x v="3"/>
    <n v="2011196"/>
    <x v="296"/>
    <x v="0"/>
    <n v="441.45"/>
  </r>
  <r>
    <s v="North"/>
    <x v="2"/>
    <n v="2011197"/>
    <x v="296"/>
    <x v="1"/>
    <n v="650.64"/>
  </r>
  <r>
    <s v="South"/>
    <x v="1"/>
    <n v="2011198"/>
    <x v="297"/>
    <x v="0"/>
    <n v="1102.17"/>
  </r>
  <r>
    <s v="South"/>
    <x v="1"/>
    <n v="2011199"/>
    <x v="297"/>
    <x v="1"/>
    <n v="230.22"/>
  </r>
  <r>
    <s v="South"/>
    <x v="1"/>
    <n v="2011200"/>
    <x v="297"/>
    <x v="1"/>
    <n v="1012.75"/>
  </r>
  <r>
    <s v="South"/>
    <x v="0"/>
    <n v="2011201"/>
    <x v="297"/>
    <x v="1"/>
    <n v="818.85"/>
  </r>
  <r>
    <s v="North"/>
    <x v="8"/>
    <n v="2011202"/>
    <x v="297"/>
    <x v="0"/>
    <n v="1244.8800000000001"/>
  </r>
  <r>
    <s v="South"/>
    <x v="6"/>
    <n v="2011203"/>
    <x v="298"/>
    <x v="1"/>
    <n v="1139.3399999999999"/>
  </r>
  <r>
    <s v="North"/>
    <x v="7"/>
    <n v="2011204"/>
    <x v="298"/>
    <x v="0"/>
    <n v="956.9"/>
  </r>
  <r>
    <s v="North"/>
    <x v="9"/>
    <n v="2011205"/>
    <x v="299"/>
    <x v="1"/>
    <n v="1186.46"/>
  </r>
  <r>
    <s v="South"/>
    <x v="1"/>
    <n v="2011206"/>
    <x v="300"/>
    <x v="1"/>
    <n v="927.22"/>
  </r>
  <r>
    <s v="South"/>
    <x v="1"/>
    <n v="2011207"/>
    <x v="300"/>
    <x v="0"/>
    <n v="543.41999999999996"/>
  </r>
  <r>
    <s v="South"/>
    <x v="1"/>
    <n v="2011208"/>
    <x v="301"/>
    <x v="1"/>
    <n v="531.6"/>
  </r>
  <r>
    <s v="South"/>
    <x v="6"/>
    <n v="2011209"/>
    <x v="301"/>
    <x v="1"/>
    <n v="1252.93"/>
  </r>
  <r>
    <s v="South"/>
    <x v="0"/>
    <n v="2011210"/>
    <x v="301"/>
    <x v="0"/>
    <n v="194.64"/>
  </r>
  <r>
    <s v="South"/>
    <x v="3"/>
    <n v="2011211"/>
    <x v="302"/>
    <x v="1"/>
    <n v="950.81"/>
  </r>
  <r>
    <s v="North"/>
    <x v="9"/>
    <n v="2011212"/>
    <x v="303"/>
    <x v="1"/>
    <n v="786.13"/>
  </r>
  <r>
    <s v="South"/>
    <x v="0"/>
    <n v="2011213"/>
    <x v="304"/>
    <x v="1"/>
    <n v="753.31"/>
  </r>
  <r>
    <s v="North"/>
    <x v="8"/>
    <n v="2011214"/>
    <x v="305"/>
    <x v="0"/>
    <n v="920.08"/>
  </r>
  <r>
    <s v="North"/>
    <x v="2"/>
    <n v="2011215"/>
    <x v="305"/>
    <x v="0"/>
    <n v="416.95"/>
  </r>
  <r>
    <s v="South"/>
    <x v="1"/>
    <n v="2011216"/>
    <x v="306"/>
    <x v="1"/>
    <n v="293.95"/>
  </r>
  <r>
    <s v="South"/>
    <x v="5"/>
    <n v="2011217"/>
    <x v="306"/>
    <x v="1"/>
    <n v="815.68"/>
  </r>
  <r>
    <s v="North"/>
    <x v="4"/>
    <n v="2011218"/>
    <x v="306"/>
    <x v="0"/>
    <n v="1121.98"/>
  </r>
  <r>
    <s v="South"/>
    <x v="6"/>
    <n v="2011219"/>
    <x v="307"/>
    <x v="0"/>
    <n v="617.62"/>
  </r>
  <r>
    <s v="South"/>
    <x v="1"/>
    <n v="2011220"/>
    <x v="308"/>
    <x v="0"/>
    <n v="760.26"/>
  </r>
  <r>
    <s v="South"/>
    <x v="6"/>
    <n v="2011221"/>
    <x v="308"/>
    <x v="0"/>
    <n v="990.88"/>
  </r>
  <r>
    <s v="South"/>
    <x v="0"/>
    <n v="2011222"/>
    <x v="308"/>
    <x v="1"/>
    <n v="876.19"/>
  </r>
  <r>
    <s v="South"/>
    <x v="5"/>
    <n v="2011223"/>
    <x v="308"/>
    <x v="0"/>
    <n v="99.17"/>
  </r>
  <r>
    <s v="North"/>
    <x v="2"/>
    <n v="2011224"/>
    <x v="308"/>
    <x v="0"/>
    <n v="69.61"/>
  </r>
  <r>
    <s v="North"/>
    <x v="2"/>
    <n v="2011225"/>
    <x v="308"/>
    <x v="1"/>
    <n v="119"/>
  </r>
  <r>
    <s v="South"/>
    <x v="6"/>
    <n v="2011226"/>
    <x v="309"/>
    <x v="1"/>
    <n v="283.75"/>
  </r>
  <r>
    <s v="South"/>
    <x v="5"/>
    <n v="2011227"/>
    <x v="309"/>
    <x v="0"/>
    <n v="557.29"/>
  </r>
  <r>
    <s v="North"/>
    <x v="10"/>
    <n v="2011228"/>
    <x v="309"/>
    <x v="0"/>
    <n v="258.25"/>
  </r>
  <r>
    <s v="South"/>
    <x v="5"/>
    <n v="2011229"/>
    <x v="310"/>
    <x v="0"/>
    <n v="451.36"/>
  </r>
  <r>
    <s v="South"/>
    <x v="5"/>
    <n v="2011230"/>
    <x v="310"/>
    <x v="1"/>
    <n v="992.7"/>
  </r>
  <r>
    <s v="South"/>
    <x v="5"/>
    <n v="2011231"/>
    <x v="311"/>
    <x v="1"/>
    <n v="430.31"/>
  </r>
  <r>
    <s v="South"/>
    <x v="3"/>
    <n v="2011232"/>
    <x v="312"/>
    <x v="0"/>
    <n v="1184.96"/>
  </r>
  <r>
    <s v="North"/>
    <x v="9"/>
    <n v="2011233"/>
    <x v="312"/>
    <x v="0"/>
    <n v="900.86"/>
  </r>
  <r>
    <s v="North"/>
    <x v="8"/>
    <n v="2011234"/>
    <x v="312"/>
    <x v="1"/>
    <n v="1175.4000000000001"/>
  </r>
  <r>
    <s v="South"/>
    <x v="6"/>
    <n v="2011235"/>
    <x v="313"/>
    <x v="0"/>
    <n v="141.41999999999999"/>
  </r>
  <r>
    <s v="South"/>
    <x v="0"/>
    <n v="2011236"/>
    <x v="313"/>
    <x v="0"/>
    <n v="1229.43"/>
  </r>
  <r>
    <s v="South"/>
    <x v="6"/>
    <n v="2011237"/>
    <x v="314"/>
    <x v="0"/>
    <n v="555.16"/>
  </r>
  <r>
    <s v="South"/>
    <x v="6"/>
    <n v="2011238"/>
    <x v="315"/>
    <x v="1"/>
    <n v="476.36"/>
  </r>
  <r>
    <s v="South"/>
    <x v="5"/>
    <n v="2011239"/>
    <x v="315"/>
    <x v="1"/>
    <n v="1128.57"/>
  </r>
  <r>
    <s v="South"/>
    <x v="5"/>
    <n v="2011240"/>
    <x v="315"/>
    <x v="1"/>
    <n v="1058.8"/>
  </r>
  <r>
    <s v="North"/>
    <x v="8"/>
    <n v="2011241"/>
    <x v="315"/>
    <x v="0"/>
    <n v="558.26"/>
  </r>
  <r>
    <s v="North"/>
    <x v="7"/>
    <n v="2011242"/>
    <x v="316"/>
    <x v="1"/>
    <n v="680.47"/>
  </r>
  <r>
    <s v="South"/>
    <x v="1"/>
    <n v="2011243"/>
    <x v="317"/>
    <x v="0"/>
    <n v="1137.3399999999999"/>
  </r>
  <r>
    <s v="North"/>
    <x v="10"/>
    <n v="2011244"/>
    <x v="317"/>
    <x v="1"/>
    <n v="177.58"/>
  </r>
  <r>
    <s v="North"/>
    <x v="10"/>
    <n v="2011245"/>
    <x v="317"/>
    <x v="1"/>
    <n v="143.5"/>
  </r>
  <r>
    <s v="North"/>
    <x v="4"/>
    <n v="2011246"/>
    <x v="317"/>
    <x v="0"/>
    <n v="758.58"/>
  </r>
  <r>
    <s v="South"/>
    <x v="0"/>
    <n v="2011247"/>
    <x v="318"/>
    <x v="1"/>
    <n v="592.14"/>
  </r>
  <r>
    <s v="South"/>
    <x v="6"/>
    <n v="2011248"/>
    <x v="319"/>
    <x v="0"/>
    <n v="392.23"/>
  </r>
  <r>
    <s v="North"/>
    <x v="8"/>
    <n v="2011249"/>
    <x v="319"/>
    <x v="0"/>
    <n v="983.12"/>
  </r>
  <r>
    <s v="South"/>
    <x v="6"/>
    <n v="2011250"/>
    <x v="320"/>
    <x v="1"/>
    <n v="1008.06"/>
  </r>
  <r>
    <s v="South"/>
    <x v="0"/>
    <n v="2011251"/>
    <x v="320"/>
    <x v="0"/>
    <n v="682.4"/>
  </r>
  <r>
    <s v="North"/>
    <x v="8"/>
    <n v="2011252"/>
    <x v="320"/>
    <x v="1"/>
    <n v="525.99"/>
  </r>
  <r>
    <s v="North"/>
    <x v="2"/>
    <n v="2011253"/>
    <x v="320"/>
    <x v="1"/>
    <n v="693.07"/>
  </r>
  <r>
    <s v="South"/>
    <x v="1"/>
    <n v="2011254"/>
    <x v="321"/>
    <x v="1"/>
    <n v="279.02"/>
  </r>
  <r>
    <s v="South"/>
    <x v="1"/>
    <n v="2011255"/>
    <x v="321"/>
    <x v="0"/>
    <n v="1126.79"/>
  </r>
  <r>
    <s v="South"/>
    <x v="6"/>
    <n v="2011256"/>
    <x v="321"/>
    <x v="0"/>
    <n v="671.62"/>
  </r>
  <r>
    <s v="South"/>
    <x v="6"/>
    <n v="2011257"/>
    <x v="321"/>
    <x v="0"/>
    <n v="442.65"/>
  </r>
  <r>
    <s v="South"/>
    <x v="1"/>
    <n v="2011258"/>
    <x v="322"/>
    <x v="0"/>
    <n v="538.77"/>
  </r>
  <r>
    <s v="South"/>
    <x v="3"/>
    <n v="2011259"/>
    <x v="322"/>
    <x v="1"/>
    <n v="570.41999999999996"/>
  </r>
  <r>
    <s v="South"/>
    <x v="3"/>
    <n v="2011260"/>
    <x v="322"/>
    <x v="1"/>
    <n v="1193.3800000000001"/>
  </r>
  <r>
    <s v="North"/>
    <x v="7"/>
    <n v="2011261"/>
    <x v="322"/>
    <x v="0"/>
    <n v="620.6"/>
  </r>
  <r>
    <s v="South"/>
    <x v="1"/>
    <n v="2011262"/>
    <x v="323"/>
    <x v="1"/>
    <n v="318.95999999999998"/>
  </r>
  <r>
    <s v="North"/>
    <x v="7"/>
    <n v="2011263"/>
    <x v="323"/>
    <x v="1"/>
    <n v="504.85"/>
  </r>
  <r>
    <s v="North"/>
    <x v="2"/>
    <n v="2011264"/>
    <x v="323"/>
    <x v="1"/>
    <n v="767.48"/>
  </r>
  <r>
    <s v="South"/>
    <x v="5"/>
    <n v="2011265"/>
    <x v="324"/>
    <x v="0"/>
    <n v="1126.6400000000001"/>
  </r>
  <r>
    <s v="South"/>
    <x v="3"/>
    <n v="2011266"/>
    <x v="324"/>
    <x v="1"/>
    <n v="256.95999999999998"/>
  </r>
  <r>
    <s v="South"/>
    <x v="3"/>
    <n v="2011267"/>
    <x v="325"/>
    <x v="0"/>
    <n v="269.08"/>
  </r>
  <r>
    <s v="South"/>
    <x v="3"/>
    <n v="2011268"/>
    <x v="325"/>
    <x v="1"/>
    <n v="519.1"/>
  </r>
  <r>
    <s v="South"/>
    <x v="1"/>
    <n v="2011269"/>
    <x v="326"/>
    <x v="1"/>
    <n v="1256.3399999999999"/>
  </r>
  <r>
    <s v="South"/>
    <x v="1"/>
    <n v="2011270"/>
    <x v="326"/>
    <x v="1"/>
    <n v="674.36"/>
  </r>
  <r>
    <s v="South"/>
    <x v="1"/>
    <n v="2011271"/>
    <x v="327"/>
    <x v="0"/>
    <n v="962.7"/>
  </r>
  <r>
    <s v="South"/>
    <x v="6"/>
    <n v="2011272"/>
    <x v="327"/>
    <x v="1"/>
    <n v="899.62"/>
  </r>
  <r>
    <s v="South"/>
    <x v="3"/>
    <n v="2011273"/>
    <x v="327"/>
    <x v="0"/>
    <n v="464.88"/>
  </r>
  <r>
    <s v="South"/>
    <x v="3"/>
    <n v="2011274"/>
    <x v="327"/>
    <x v="1"/>
    <n v="1266"/>
  </r>
  <r>
    <s v="North"/>
    <x v="9"/>
    <n v="2011275"/>
    <x v="327"/>
    <x v="0"/>
    <n v="644.79"/>
  </r>
  <r>
    <s v="South"/>
    <x v="5"/>
    <n v="2011276"/>
    <x v="328"/>
    <x v="0"/>
    <n v="1069.53"/>
  </r>
  <r>
    <s v="South"/>
    <x v="0"/>
    <n v="2011277"/>
    <x v="329"/>
    <x v="1"/>
    <n v="388"/>
  </r>
  <r>
    <s v="North"/>
    <x v="4"/>
    <n v="2011278"/>
    <x v="330"/>
    <x v="1"/>
    <n v="1218.8599999999999"/>
  </r>
  <r>
    <s v="North"/>
    <x v="4"/>
    <n v="2011279"/>
    <x v="330"/>
    <x v="0"/>
    <n v="971.9"/>
  </r>
  <r>
    <s v="South"/>
    <x v="1"/>
    <n v="2011280"/>
    <x v="331"/>
    <x v="0"/>
    <n v="236.16"/>
  </r>
  <r>
    <s v="South"/>
    <x v="1"/>
    <n v="2011281"/>
    <x v="331"/>
    <x v="0"/>
    <n v="294.76"/>
  </r>
  <r>
    <s v="South"/>
    <x v="6"/>
    <n v="2011282"/>
    <x v="331"/>
    <x v="0"/>
    <n v="159.13"/>
  </r>
  <r>
    <s v="North"/>
    <x v="2"/>
    <n v="2011283"/>
    <x v="331"/>
    <x v="1"/>
    <n v="957.75"/>
  </r>
  <r>
    <s v="North"/>
    <x v="9"/>
    <n v="2011284"/>
    <x v="332"/>
    <x v="1"/>
    <n v="779.23"/>
  </r>
  <r>
    <s v="North"/>
    <x v="10"/>
    <n v="2011285"/>
    <x v="333"/>
    <x v="0"/>
    <n v="653.04999999999995"/>
  </r>
  <r>
    <s v="North"/>
    <x v="2"/>
    <n v="2011286"/>
    <x v="333"/>
    <x v="0"/>
    <n v="184.7"/>
  </r>
  <r>
    <s v="North"/>
    <x v="2"/>
    <n v="2011287"/>
    <x v="333"/>
    <x v="0"/>
    <n v="592.9"/>
  </r>
  <r>
    <s v="South"/>
    <x v="0"/>
    <n v="2011288"/>
    <x v="334"/>
    <x v="0"/>
    <n v="103.61"/>
  </r>
  <r>
    <s v="South"/>
    <x v="0"/>
    <n v="2011289"/>
    <x v="334"/>
    <x v="0"/>
    <n v="577.91"/>
  </r>
  <r>
    <s v="South"/>
    <x v="5"/>
    <n v="2011290"/>
    <x v="334"/>
    <x v="0"/>
    <n v="987.76"/>
  </r>
  <r>
    <s v="North"/>
    <x v="8"/>
    <n v="2011291"/>
    <x v="334"/>
    <x v="0"/>
    <n v="957.91"/>
  </r>
  <r>
    <s v="South"/>
    <x v="0"/>
    <n v="2011292"/>
    <x v="335"/>
    <x v="0"/>
    <n v="882.24"/>
  </r>
  <r>
    <s v="South"/>
    <x v="3"/>
    <n v="2011293"/>
    <x v="335"/>
    <x v="0"/>
    <n v="801.07"/>
  </r>
  <r>
    <s v="North"/>
    <x v="10"/>
    <n v="2011294"/>
    <x v="335"/>
    <x v="0"/>
    <n v="698.57"/>
  </r>
  <r>
    <s v="South"/>
    <x v="6"/>
    <n v="2011295"/>
    <x v="336"/>
    <x v="1"/>
    <n v="1115.8699999999999"/>
  </r>
  <r>
    <s v="South"/>
    <x v="6"/>
    <n v="2011296"/>
    <x v="337"/>
    <x v="0"/>
    <n v="632.48"/>
  </r>
  <r>
    <s v="South"/>
    <x v="1"/>
    <n v="2011297"/>
    <x v="338"/>
    <x v="0"/>
    <n v="1211.6500000000001"/>
  </r>
  <r>
    <s v="South"/>
    <x v="0"/>
    <n v="2011298"/>
    <x v="338"/>
    <x v="0"/>
    <n v="307.45"/>
  </r>
  <r>
    <s v="South"/>
    <x v="0"/>
    <n v="2011299"/>
    <x v="338"/>
    <x v="0"/>
    <n v="893.88"/>
  </r>
  <r>
    <s v="South"/>
    <x v="5"/>
    <n v="2011300"/>
    <x v="338"/>
    <x v="0"/>
    <n v="1155.6300000000001"/>
  </r>
  <r>
    <s v="South"/>
    <x v="5"/>
    <n v="2011301"/>
    <x v="339"/>
    <x v="0"/>
    <n v="1131.92"/>
  </r>
  <r>
    <s v="South"/>
    <x v="5"/>
    <n v="2011302"/>
    <x v="339"/>
    <x v="1"/>
    <n v="432.47"/>
  </r>
  <r>
    <s v="North"/>
    <x v="9"/>
    <n v="2011303"/>
    <x v="339"/>
    <x v="1"/>
    <n v="845.32"/>
  </r>
  <r>
    <s v="North"/>
    <x v="8"/>
    <n v="2011304"/>
    <x v="339"/>
    <x v="0"/>
    <n v="632.66"/>
  </r>
  <r>
    <s v="North"/>
    <x v="2"/>
    <n v="2011305"/>
    <x v="340"/>
    <x v="0"/>
    <n v="335.47"/>
  </r>
  <r>
    <s v="South"/>
    <x v="0"/>
    <n v="2011306"/>
    <x v="341"/>
    <x v="1"/>
    <n v="245.13"/>
  </r>
  <r>
    <s v="South"/>
    <x v="5"/>
    <n v="2011307"/>
    <x v="341"/>
    <x v="0"/>
    <n v="423.25"/>
  </r>
  <r>
    <s v="South"/>
    <x v="5"/>
    <n v="2011308"/>
    <x v="342"/>
    <x v="1"/>
    <n v="591.11"/>
  </r>
  <r>
    <s v="North"/>
    <x v="9"/>
    <n v="2011309"/>
    <x v="343"/>
    <x v="0"/>
    <n v="459.98"/>
  </r>
  <r>
    <s v="South"/>
    <x v="0"/>
    <n v="2011310"/>
    <x v="344"/>
    <x v="1"/>
    <n v="182.49"/>
  </r>
  <r>
    <s v="South"/>
    <x v="6"/>
    <n v="2011311"/>
    <x v="345"/>
    <x v="0"/>
    <n v="226.2"/>
  </r>
  <r>
    <s v="South"/>
    <x v="0"/>
    <n v="2011312"/>
    <x v="345"/>
    <x v="1"/>
    <n v="37.64"/>
  </r>
  <r>
    <s v="North"/>
    <x v="4"/>
    <n v="2011313"/>
    <x v="345"/>
    <x v="0"/>
    <n v="928.21"/>
  </r>
  <r>
    <s v="North"/>
    <x v="2"/>
    <n v="2011314"/>
    <x v="346"/>
    <x v="0"/>
    <n v="670.64"/>
  </r>
  <r>
    <s v="South"/>
    <x v="6"/>
    <n v="2011315"/>
    <x v="347"/>
    <x v="1"/>
    <n v="1273.67"/>
  </r>
  <r>
    <s v="South"/>
    <x v="0"/>
    <n v="2011316"/>
    <x v="347"/>
    <x v="0"/>
    <n v="169.64"/>
  </r>
  <r>
    <s v="South"/>
    <x v="5"/>
    <n v="2011317"/>
    <x v="347"/>
    <x v="1"/>
    <n v="91.39"/>
  </r>
  <r>
    <s v="North"/>
    <x v="4"/>
    <n v="2011318"/>
    <x v="347"/>
    <x v="1"/>
    <n v="451.71"/>
  </r>
  <r>
    <s v="North"/>
    <x v="4"/>
    <n v="2011319"/>
    <x v="347"/>
    <x v="0"/>
    <n v="474.56"/>
  </r>
  <r>
    <s v="South"/>
    <x v="3"/>
    <n v="2011320"/>
    <x v="348"/>
    <x v="0"/>
    <n v="834.48"/>
  </r>
  <r>
    <s v="South"/>
    <x v="5"/>
    <n v="2011321"/>
    <x v="349"/>
    <x v="1"/>
    <n v="1065.49"/>
  </r>
  <r>
    <s v="South"/>
    <x v="3"/>
    <n v="2011322"/>
    <x v="349"/>
    <x v="1"/>
    <n v="1280.26"/>
  </r>
  <r>
    <s v="North"/>
    <x v="10"/>
    <n v="2011323"/>
    <x v="349"/>
    <x v="1"/>
    <n v="390.13"/>
  </r>
  <r>
    <s v="North"/>
    <x v="8"/>
    <n v="2011324"/>
    <x v="350"/>
    <x v="1"/>
    <n v="1282.46"/>
  </r>
  <r>
    <s v="South"/>
    <x v="1"/>
    <n v="2011325"/>
    <x v="351"/>
    <x v="1"/>
    <n v="1232.07"/>
  </r>
  <r>
    <s v="North"/>
    <x v="7"/>
    <n v="2011326"/>
    <x v="351"/>
    <x v="0"/>
    <n v="791.85"/>
  </r>
  <r>
    <s v="North"/>
    <x v="7"/>
    <n v="2011327"/>
    <x v="351"/>
    <x v="0"/>
    <n v="214.27"/>
  </r>
  <r>
    <s v="North"/>
    <x v="4"/>
    <n v="2011328"/>
    <x v="351"/>
    <x v="0"/>
    <n v="1176.77"/>
  </r>
  <r>
    <s v="South"/>
    <x v="1"/>
    <n v="2011329"/>
    <x v="352"/>
    <x v="0"/>
    <n v="380.66"/>
  </r>
  <r>
    <s v="South"/>
    <x v="6"/>
    <n v="2011330"/>
    <x v="352"/>
    <x v="0"/>
    <n v="669.56"/>
  </r>
  <r>
    <s v="South"/>
    <x v="6"/>
    <n v="2011331"/>
    <x v="353"/>
    <x v="1"/>
    <n v="334.04"/>
  </r>
  <r>
    <s v="South"/>
    <x v="3"/>
    <n v="2011332"/>
    <x v="353"/>
    <x v="0"/>
    <n v="373.28"/>
  </r>
  <r>
    <s v="North"/>
    <x v="10"/>
    <n v="2011333"/>
    <x v="353"/>
    <x v="1"/>
    <n v="695.76"/>
  </r>
  <r>
    <s v="North"/>
    <x v="10"/>
    <n v="2011334"/>
    <x v="353"/>
    <x v="1"/>
    <n v="1105.68"/>
  </r>
  <r>
    <s v="North"/>
    <x v="4"/>
    <n v="2011335"/>
    <x v="353"/>
    <x v="0"/>
    <n v="618.19000000000005"/>
  </r>
  <r>
    <s v="North"/>
    <x v="4"/>
    <n v="2011336"/>
    <x v="353"/>
    <x v="0"/>
    <n v="604.67999999999995"/>
  </r>
  <r>
    <s v="South"/>
    <x v="5"/>
    <n v="2011337"/>
    <x v="354"/>
    <x v="1"/>
    <n v="1033.03"/>
  </r>
  <r>
    <s v="South"/>
    <x v="3"/>
    <n v="2011338"/>
    <x v="355"/>
    <x v="1"/>
    <n v="1167.3699999999999"/>
  </r>
  <r>
    <s v="South"/>
    <x v="0"/>
    <n v="2011339"/>
    <x v="356"/>
    <x v="1"/>
    <n v="688.98"/>
  </r>
  <r>
    <s v="North"/>
    <x v="10"/>
    <n v="2011340"/>
    <x v="356"/>
    <x v="1"/>
    <n v="845.73"/>
  </r>
  <r>
    <s v="South"/>
    <x v="6"/>
    <n v="2011341"/>
    <x v="357"/>
    <x v="1"/>
    <n v="1011.01"/>
  </r>
  <r>
    <s v="South"/>
    <x v="0"/>
    <n v="2011342"/>
    <x v="357"/>
    <x v="0"/>
    <n v="119.85"/>
  </r>
  <r>
    <s v="South"/>
    <x v="5"/>
    <n v="2011343"/>
    <x v="358"/>
    <x v="1"/>
    <n v="606.36"/>
  </r>
  <r>
    <s v="North"/>
    <x v="9"/>
    <n v="2011344"/>
    <x v="358"/>
    <x v="0"/>
    <n v="608.88"/>
  </r>
  <r>
    <s v="North"/>
    <x v="9"/>
    <n v="2011345"/>
    <x v="359"/>
    <x v="1"/>
    <n v="1047.7"/>
  </r>
  <r>
    <s v="North"/>
    <x v="2"/>
    <n v="2011346"/>
    <x v="359"/>
    <x v="1"/>
    <n v="767.22"/>
  </r>
  <r>
    <s v="South"/>
    <x v="0"/>
    <n v="2011347"/>
    <x v="360"/>
    <x v="1"/>
    <n v="1103.26"/>
  </r>
  <r>
    <s v="North"/>
    <x v="9"/>
    <n v="2011348"/>
    <x v="360"/>
    <x v="0"/>
    <n v="1158.23"/>
  </r>
  <r>
    <s v="South"/>
    <x v="1"/>
    <n v="2011349"/>
    <x v="361"/>
    <x v="1"/>
    <n v="672"/>
  </r>
  <r>
    <s v="South"/>
    <x v="5"/>
    <n v="2011350"/>
    <x v="361"/>
    <x v="0"/>
    <n v="127.61"/>
  </r>
  <r>
    <s v="South"/>
    <x v="5"/>
    <n v="2011351"/>
    <x v="362"/>
    <x v="1"/>
    <n v="330.35"/>
  </r>
  <r>
    <s v="South"/>
    <x v="5"/>
    <n v="2011352"/>
    <x v="362"/>
    <x v="1"/>
    <n v="328.87"/>
  </r>
  <r>
    <s v="South"/>
    <x v="6"/>
    <n v="2011353"/>
    <x v="363"/>
    <x v="1"/>
    <n v="43.42"/>
  </r>
  <r>
    <s v="South"/>
    <x v="0"/>
    <n v="2011354"/>
    <x v="363"/>
    <x v="0"/>
    <n v="504.4"/>
  </r>
  <r>
    <s v="South"/>
    <x v="3"/>
    <n v="2011355"/>
    <x v="363"/>
    <x v="1"/>
    <n v="953.56"/>
  </r>
  <r>
    <s v="South"/>
    <x v="1"/>
    <n v="2011356"/>
    <x v="364"/>
    <x v="0"/>
    <n v="154.04"/>
  </r>
  <r>
    <s v="South"/>
    <x v="6"/>
    <n v="2011357"/>
    <x v="365"/>
    <x v="1"/>
    <n v="453.71"/>
  </r>
  <r>
    <s v="South"/>
    <x v="6"/>
    <n v="2011358"/>
    <x v="366"/>
    <x v="0"/>
    <n v="467.04"/>
  </r>
  <r>
    <s v="North"/>
    <x v="7"/>
    <n v="2011359"/>
    <x v="366"/>
    <x v="1"/>
    <n v="553.04999999999995"/>
  </r>
  <r>
    <s v="South"/>
    <x v="0"/>
    <n v="2011360"/>
    <x v="367"/>
    <x v="1"/>
    <n v="947.29"/>
  </r>
  <r>
    <s v="South"/>
    <x v="6"/>
    <n v="2011361"/>
    <x v="368"/>
    <x v="0"/>
    <n v="635.67999999999995"/>
  </r>
  <r>
    <s v="North"/>
    <x v="4"/>
    <n v="2011362"/>
    <x v="368"/>
    <x v="1"/>
    <n v="691.54"/>
  </r>
  <r>
    <s v="South"/>
    <x v="6"/>
    <n v="2011363"/>
    <x v="369"/>
    <x v="1"/>
    <n v="454.46"/>
  </r>
  <r>
    <s v="North"/>
    <x v="7"/>
    <n v="2011364"/>
    <x v="369"/>
    <x v="0"/>
    <n v="25.71"/>
  </r>
  <r>
    <s v="South"/>
    <x v="0"/>
    <n v="2011365"/>
    <x v="370"/>
    <x v="0"/>
    <n v="363.86"/>
  </r>
  <r>
    <s v="North"/>
    <x v="8"/>
    <n v="2011366"/>
    <x v="370"/>
    <x v="0"/>
    <n v="178.05"/>
  </r>
  <r>
    <s v="North"/>
    <x v="8"/>
    <n v="2011367"/>
    <x v="370"/>
    <x v="0"/>
    <n v="1012.12"/>
  </r>
  <r>
    <s v="South"/>
    <x v="1"/>
    <n v="2011368"/>
    <x v="371"/>
    <x v="1"/>
    <n v="24.56"/>
  </r>
  <r>
    <s v="South"/>
    <x v="3"/>
    <n v="2011369"/>
    <x v="371"/>
    <x v="1"/>
    <n v="1205.32"/>
  </r>
  <r>
    <s v="South"/>
    <x v="3"/>
    <n v="2011370"/>
    <x v="372"/>
    <x v="0"/>
    <n v="576.61"/>
  </r>
  <r>
    <s v="South"/>
    <x v="3"/>
    <n v="2011371"/>
    <x v="372"/>
    <x v="0"/>
    <n v="1020.32"/>
  </r>
  <r>
    <s v="North"/>
    <x v="9"/>
    <n v="2011372"/>
    <x v="372"/>
    <x v="0"/>
    <n v="331.95"/>
  </r>
  <r>
    <s v="South"/>
    <x v="3"/>
    <n v="2011373"/>
    <x v="373"/>
    <x v="0"/>
    <n v="209.62"/>
  </r>
  <r>
    <s v="South"/>
    <x v="3"/>
    <n v="2011374"/>
    <x v="373"/>
    <x v="1"/>
    <n v="392.43"/>
  </r>
  <r>
    <s v="South"/>
    <x v="6"/>
    <n v="2011375"/>
    <x v="374"/>
    <x v="0"/>
    <n v="1148.97"/>
  </r>
  <r>
    <s v="South"/>
    <x v="6"/>
    <n v="2011376"/>
    <x v="374"/>
    <x v="1"/>
    <n v="1221.55"/>
  </r>
  <r>
    <s v="South"/>
    <x v="0"/>
    <n v="2011377"/>
    <x v="374"/>
    <x v="0"/>
    <n v="518.96"/>
  </r>
  <r>
    <s v="South"/>
    <x v="1"/>
    <n v="2011378"/>
    <x v="375"/>
    <x v="1"/>
    <n v="842.95"/>
  </r>
  <r>
    <s v="South"/>
    <x v="3"/>
    <n v="2011379"/>
    <x v="375"/>
    <x v="0"/>
    <n v="619.38"/>
  </r>
  <r>
    <s v="North"/>
    <x v="10"/>
    <n v="2011380"/>
    <x v="375"/>
    <x v="1"/>
    <n v="184.42"/>
  </r>
  <r>
    <s v="North"/>
    <x v="9"/>
    <n v="2011381"/>
    <x v="375"/>
    <x v="1"/>
    <n v="394.09"/>
  </r>
  <r>
    <s v="South"/>
    <x v="5"/>
    <n v="2011382"/>
    <x v="376"/>
    <x v="0"/>
    <n v="957.42"/>
  </r>
  <r>
    <s v="South"/>
    <x v="5"/>
    <n v="2011383"/>
    <x v="376"/>
    <x v="1"/>
    <n v="778.1"/>
  </r>
  <r>
    <s v="South"/>
    <x v="3"/>
    <n v="2011384"/>
    <x v="376"/>
    <x v="0"/>
    <n v="345.72"/>
  </r>
  <r>
    <s v="North"/>
    <x v="8"/>
    <n v="2011385"/>
    <x v="376"/>
    <x v="0"/>
    <n v="1178.3900000000001"/>
  </r>
  <r>
    <s v="South"/>
    <x v="5"/>
    <n v="2011386"/>
    <x v="377"/>
    <x v="1"/>
    <n v="985.35"/>
  </r>
  <r>
    <s v="South"/>
    <x v="3"/>
    <n v="2011387"/>
    <x v="378"/>
    <x v="1"/>
    <n v="675.29"/>
  </r>
  <r>
    <s v="South"/>
    <x v="0"/>
    <n v="2011388"/>
    <x v="379"/>
    <x v="1"/>
    <n v="757.74"/>
  </r>
  <r>
    <s v="North"/>
    <x v="2"/>
    <n v="2011389"/>
    <x v="380"/>
    <x v="0"/>
    <n v="674.51"/>
  </r>
  <r>
    <s v="South"/>
    <x v="3"/>
    <n v="2011390"/>
    <x v="381"/>
    <x v="0"/>
    <n v="395"/>
  </r>
  <r>
    <s v="South"/>
    <x v="1"/>
    <n v="2011391"/>
    <x v="382"/>
    <x v="1"/>
    <n v="40.67"/>
  </r>
  <r>
    <s v="North"/>
    <x v="8"/>
    <n v="2011392"/>
    <x v="382"/>
    <x v="1"/>
    <n v="476.27"/>
  </r>
  <r>
    <s v="South"/>
    <x v="0"/>
    <n v="2011393"/>
    <x v="383"/>
    <x v="0"/>
    <n v="481.17"/>
  </r>
  <r>
    <s v="South"/>
    <x v="5"/>
    <n v="2011394"/>
    <x v="384"/>
    <x v="0"/>
    <n v="526.57000000000005"/>
  </r>
  <r>
    <s v="South"/>
    <x v="3"/>
    <n v="2011395"/>
    <x v="384"/>
    <x v="0"/>
    <n v="1124.55"/>
  </r>
  <r>
    <s v="North"/>
    <x v="9"/>
    <n v="2011396"/>
    <x v="384"/>
    <x v="0"/>
    <n v="1090.49"/>
  </r>
  <r>
    <s v="South"/>
    <x v="1"/>
    <n v="2011397"/>
    <x v="385"/>
    <x v="1"/>
    <n v="666.99"/>
  </r>
  <r>
    <s v="North"/>
    <x v="9"/>
    <n v="2011398"/>
    <x v="385"/>
    <x v="1"/>
    <n v="576.65"/>
  </r>
  <r>
    <s v="South"/>
    <x v="1"/>
    <n v="2011399"/>
    <x v="386"/>
    <x v="1"/>
    <n v="958.25"/>
  </r>
  <r>
    <s v="South"/>
    <x v="6"/>
    <n v="2011400"/>
    <x v="386"/>
    <x v="0"/>
    <n v="634.24"/>
  </r>
  <r>
    <s v="North"/>
    <x v="2"/>
    <n v="2011401"/>
    <x v="386"/>
    <x v="1"/>
    <n v="797.08"/>
  </r>
  <r>
    <s v="South"/>
    <x v="5"/>
    <n v="2011402"/>
    <x v="387"/>
    <x v="1"/>
    <n v="749.31"/>
  </r>
  <r>
    <s v="South"/>
    <x v="6"/>
    <n v="2011403"/>
    <x v="388"/>
    <x v="1"/>
    <n v="795.12"/>
  </r>
  <r>
    <s v="North"/>
    <x v="7"/>
    <n v="2011404"/>
    <x v="388"/>
    <x v="1"/>
    <n v="157.71"/>
  </r>
  <r>
    <s v="South"/>
    <x v="1"/>
    <n v="2011405"/>
    <x v="389"/>
    <x v="0"/>
    <n v="131.52000000000001"/>
  </r>
  <r>
    <s v="South"/>
    <x v="1"/>
    <n v="2011406"/>
    <x v="390"/>
    <x v="1"/>
    <n v="885.06"/>
  </r>
  <r>
    <s v="South"/>
    <x v="0"/>
    <n v="2011407"/>
    <x v="390"/>
    <x v="1"/>
    <n v="1014.61"/>
  </r>
  <r>
    <s v="South"/>
    <x v="5"/>
    <n v="2011408"/>
    <x v="390"/>
    <x v="1"/>
    <n v="406.29"/>
  </r>
  <r>
    <s v="South"/>
    <x v="1"/>
    <n v="2011409"/>
    <x v="391"/>
    <x v="0"/>
    <n v="331.43"/>
  </r>
  <r>
    <s v="North"/>
    <x v="4"/>
    <n v="2011410"/>
    <x v="391"/>
    <x v="1"/>
    <n v="613.85"/>
  </r>
  <r>
    <s v="North"/>
    <x v="4"/>
    <n v="2011411"/>
    <x v="391"/>
    <x v="0"/>
    <n v="571.1"/>
  </r>
  <r>
    <s v="South"/>
    <x v="6"/>
    <n v="2011412"/>
    <x v="392"/>
    <x v="1"/>
    <n v="279.10000000000002"/>
  </r>
  <r>
    <s v="South"/>
    <x v="1"/>
    <n v="2011413"/>
    <x v="393"/>
    <x v="1"/>
    <n v="588.72"/>
  </r>
  <r>
    <s v="South"/>
    <x v="1"/>
    <n v="2011414"/>
    <x v="393"/>
    <x v="0"/>
    <n v="350.17"/>
  </r>
  <r>
    <s v="South"/>
    <x v="1"/>
    <n v="2011415"/>
    <x v="394"/>
    <x v="1"/>
    <n v="1161.5999999999999"/>
  </r>
  <r>
    <s v="South"/>
    <x v="3"/>
    <n v="2011416"/>
    <x v="394"/>
    <x v="0"/>
    <n v="1018.16"/>
  </r>
  <r>
    <s v="South"/>
    <x v="3"/>
    <n v="2011417"/>
    <x v="394"/>
    <x v="1"/>
    <n v="869.96"/>
  </r>
  <r>
    <s v="South"/>
    <x v="0"/>
    <n v="2011418"/>
    <x v="395"/>
    <x v="1"/>
    <n v="1003.24"/>
  </r>
  <r>
    <s v="South"/>
    <x v="5"/>
    <n v="2011419"/>
    <x v="396"/>
    <x v="0"/>
    <n v="607.63"/>
  </r>
  <r>
    <s v="North"/>
    <x v="4"/>
    <n v="2011420"/>
    <x v="396"/>
    <x v="0"/>
    <n v="855.91"/>
  </r>
  <r>
    <s v="South"/>
    <x v="0"/>
    <n v="2011421"/>
    <x v="397"/>
    <x v="1"/>
    <n v="640.59"/>
  </r>
  <r>
    <s v="North"/>
    <x v="10"/>
    <n v="2011422"/>
    <x v="397"/>
    <x v="0"/>
    <n v="146.25"/>
  </r>
  <r>
    <s v="North"/>
    <x v="2"/>
    <n v="2011423"/>
    <x v="397"/>
    <x v="0"/>
    <n v="146.47"/>
  </r>
  <r>
    <s v="South"/>
    <x v="1"/>
    <n v="2011424"/>
    <x v="398"/>
    <x v="1"/>
    <n v="135.52000000000001"/>
  </r>
  <r>
    <s v="South"/>
    <x v="1"/>
    <n v="2011425"/>
    <x v="398"/>
    <x v="0"/>
    <n v="86.06"/>
  </r>
  <r>
    <s v="South"/>
    <x v="5"/>
    <n v="2011426"/>
    <x v="398"/>
    <x v="1"/>
    <n v="623.29"/>
  </r>
  <r>
    <s v="North"/>
    <x v="9"/>
    <n v="2011427"/>
    <x v="398"/>
    <x v="0"/>
    <n v="169.92"/>
  </r>
  <r>
    <s v="North"/>
    <x v="8"/>
    <n v="2011428"/>
    <x v="398"/>
    <x v="0"/>
    <n v="1232.51"/>
  </r>
  <r>
    <s v="South"/>
    <x v="1"/>
    <n v="2011429"/>
    <x v="399"/>
    <x v="1"/>
    <n v="1110.19"/>
  </r>
  <r>
    <s v="North"/>
    <x v="10"/>
    <n v="2011430"/>
    <x v="399"/>
    <x v="1"/>
    <n v="277.19"/>
  </r>
  <r>
    <s v="North"/>
    <x v="8"/>
    <n v="2011431"/>
    <x v="399"/>
    <x v="1"/>
    <n v="545.26"/>
  </r>
  <r>
    <s v="South"/>
    <x v="1"/>
    <n v="2011432"/>
    <x v="400"/>
    <x v="1"/>
    <n v="556.45000000000005"/>
  </r>
  <r>
    <s v="South"/>
    <x v="1"/>
    <n v="2011433"/>
    <x v="400"/>
    <x v="1"/>
    <n v="241.04"/>
  </r>
  <r>
    <s v="North"/>
    <x v="9"/>
    <n v="2011434"/>
    <x v="401"/>
    <x v="1"/>
    <n v="339.52"/>
  </r>
  <r>
    <s v="South"/>
    <x v="3"/>
    <n v="2011435"/>
    <x v="402"/>
    <x v="1"/>
    <n v="1247.23"/>
  </r>
  <r>
    <s v="South"/>
    <x v="6"/>
    <n v="2011436"/>
    <x v="403"/>
    <x v="0"/>
    <n v="217.97"/>
  </r>
  <r>
    <s v="North"/>
    <x v="10"/>
    <n v="2011437"/>
    <x v="403"/>
    <x v="1"/>
    <n v="721.08"/>
  </r>
  <r>
    <s v="North"/>
    <x v="9"/>
    <n v="2011438"/>
    <x v="403"/>
    <x v="0"/>
    <n v="715.88"/>
  </r>
  <r>
    <s v="North"/>
    <x v="2"/>
    <n v="2011439"/>
    <x v="403"/>
    <x v="1"/>
    <n v="84.48"/>
  </r>
  <r>
    <s v="South"/>
    <x v="1"/>
    <n v="2011440"/>
    <x v="404"/>
    <x v="0"/>
    <n v="489.02"/>
  </r>
  <r>
    <s v="South"/>
    <x v="0"/>
    <n v="2011441"/>
    <x v="404"/>
    <x v="1"/>
    <n v="824.39"/>
  </r>
  <r>
    <s v="South"/>
    <x v="5"/>
    <n v="2011442"/>
    <x v="405"/>
    <x v="0"/>
    <n v="1235.6400000000001"/>
  </r>
  <r>
    <s v="North"/>
    <x v="2"/>
    <n v="2011443"/>
    <x v="405"/>
    <x v="1"/>
    <n v="1064.17"/>
  </r>
  <r>
    <s v="South"/>
    <x v="0"/>
    <n v="2011444"/>
    <x v="406"/>
    <x v="1"/>
    <n v="134.94999999999999"/>
  </r>
  <r>
    <s v="North"/>
    <x v="9"/>
    <n v="2011445"/>
    <x v="407"/>
    <x v="1"/>
    <n v="710.88"/>
  </r>
  <r>
    <s v="South"/>
    <x v="0"/>
    <n v="2011446"/>
    <x v="408"/>
    <x v="1"/>
    <n v="1134.3"/>
  </r>
  <r>
    <s v="North"/>
    <x v="10"/>
    <n v="2011447"/>
    <x v="408"/>
    <x v="0"/>
    <n v="159.06"/>
  </r>
  <r>
    <s v="North"/>
    <x v="4"/>
    <n v="2011448"/>
    <x v="408"/>
    <x v="1"/>
    <n v="1040.3399999999999"/>
  </r>
  <r>
    <s v="South"/>
    <x v="3"/>
    <n v="2011449"/>
    <x v="409"/>
    <x v="0"/>
    <n v="1160.1600000000001"/>
  </r>
  <r>
    <s v="North"/>
    <x v="7"/>
    <n v="2011450"/>
    <x v="409"/>
    <x v="1"/>
    <n v="339.4"/>
  </r>
  <r>
    <s v="South"/>
    <x v="1"/>
    <n v="2011451"/>
    <x v="410"/>
    <x v="0"/>
    <n v="847.72"/>
  </r>
  <r>
    <s v="South"/>
    <x v="1"/>
    <n v="2011452"/>
    <x v="411"/>
    <x v="1"/>
    <n v="95.8"/>
  </r>
  <r>
    <s v="South"/>
    <x v="1"/>
    <n v="2011453"/>
    <x v="411"/>
    <x v="1"/>
    <n v="815.39"/>
  </r>
  <r>
    <s v="South"/>
    <x v="1"/>
    <n v="2011454"/>
    <x v="411"/>
    <x v="0"/>
    <n v="198.28"/>
  </r>
  <r>
    <s v="South"/>
    <x v="3"/>
    <n v="2011455"/>
    <x v="411"/>
    <x v="1"/>
    <n v="1148.1600000000001"/>
  </r>
  <r>
    <s v="North"/>
    <x v="4"/>
    <n v="2011456"/>
    <x v="411"/>
    <x v="1"/>
    <n v="871.21"/>
  </r>
  <r>
    <s v="South"/>
    <x v="1"/>
    <n v="2011457"/>
    <x v="412"/>
    <x v="0"/>
    <n v="457.39"/>
  </r>
  <r>
    <s v="South"/>
    <x v="6"/>
    <n v="2011458"/>
    <x v="412"/>
    <x v="0"/>
    <n v="846.67"/>
  </r>
  <r>
    <s v="North"/>
    <x v="7"/>
    <n v="2011459"/>
    <x v="412"/>
    <x v="0"/>
    <n v="210.2"/>
  </r>
  <r>
    <s v="South"/>
    <x v="5"/>
    <n v="2011460"/>
    <x v="413"/>
    <x v="1"/>
    <n v="1193.57"/>
  </r>
  <r>
    <s v="North"/>
    <x v="4"/>
    <n v="2011461"/>
    <x v="413"/>
    <x v="1"/>
    <n v="622.67999999999995"/>
  </r>
  <r>
    <s v="North"/>
    <x v="9"/>
    <n v="2011462"/>
    <x v="414"/>
    <x v="0"/>
    <n v="1123.9100000000001"/>
  </r>
  <r>
    <s v="North"/>
    <x v="9"/>
    <n v="2011463"/>
    <x v="414"/>
    <x v="1"/>
    <n v="635.28"/>
  </r>
  <r>
    <s v="South"/>
    <x v="6"/>
    <n v="2011464"/>
    <x v="415"/>
    <x v="1"/>
    <n v="664.55"/>
  </r>
  <r>
    <s v="North"/>
    <x v="10"/>
    <n v="2011465"/>
    <x v="415"/>
    <x v="0"/>
    <n v="388.96"/>
  </r>
  <r>
    <s v="North"/>
    <x v="9"/>
    <n v="2011466"/>
    <x v="415"/>
    <x v="0"/>
    <n v="659.73"/>
  </r>
  <r>
    <s v="South"/>
    <x v="6"/>
    <n v="2011467"/>
    <x v="416"/>
    <x v="0"/>
    <n v="1066.58"/>
  </r>
  <r>
    <s v="South"/>
    <x v="6"/>
    <n v="2011468"/>
    <x v="416"/>
    <x v="1"/>
    <n v="392.38"/>
  </r>
  <r>
    <s v="South"/>
    <x v="0"/>
    <n v="2011469"/>
    <x v="416"/>
    <x v="1"/>
    <n v="1044.1199999999999"/>
  </r>
  <r>
    <s v="South"/>
    <x v="1"/>
    <n v="2011470"/>
    <x v="417"/>
    <x v="0"/>
    <n v="670.6"/>
  </r>
  <r>
    <s v="South"/>
    <x v="0"/>
    <n v="2011471"/>
    <x v="417"/>
    <x v="1"/>
    <n v="1078.25"/>
  </r>
  <r>
    <s v="South"/>
    <x v="5"/>
    <n v="2011472"/>
    <x v="417"/>
    <x v="1"/>
    <n v="145.99"/>
  </r>
  <r>
    <s v="South"/>
    <x v="1"/>
    <n v="2011473"/>
    <x v="418"/>
    <x v="0"/>
    <n v="476.95"/>
  </r>
  <r>
    <s v="South"/>
    <x v="1"/>
    <n v="2011474"/>
    <x v="418"/>
    <x v="0"/>
    <n v="174.42"/>
  </r>
  <r>
    <s v="South"/>
    <x v="6"/>
    <n v="2011475"/>
    <x v="418"/>
    <x v="1"/>
    <n v="350.67"/>
  </r>
  <r>
    <s v="South"/>
    <x v="5"/>
    <n v="2011476"/>
    <x v="418"/>
    <x v="0"/>
    <n v="748.35"/>
  </r>
  <r>
    <s v="South"/>
    <x v="5"/>
    <n v="2011477"/>
    <x v="419"/>
    <x v="0"/>
    <n v="756.39"/>
  </r>
  <r>
    <s v="South"/>
    <x v="3"/>
    <n v="2011478"/>
    <x v="419"/>
    <x v="1"/>
    <n v="394.65"/>
  </r>
  <r>
    <s v="South"/>
    <x v="1"/>
    <n v="2011479"/>
    <x v="420"/>
    <x v="1"/>
    <n v="605.99"/>
  </r>
  <r>
    <s v="South"/>
    <x v="6"/>
    <n v="2011480"/>
    <x v="420"/>
    <x v="0"/>
    <n v="809.66"/>
  </r>
  <r>
    <s v="North"/>
    <x v="7"/>
    <n v="2011481"/>
    <x v="420"/>
    <x v="1"/>
    <n v="284.02"/>
  </r>
  <r>
    <s v="South"/>
    <x v="3"/>
    <n v="2011482"/>
    <x v="421"/>
    <x v="1"/>
    <n v="747.38"/>
  </r>
  <r>
    <s v="North"/>
    <x v="9"/>
    <n v="2011483"/>
    <x v="422"/>
    <x v="1"/>
    <n v="1024.8599999999999"/>
  </r>
  <r>
    <s v="North"/>
    <x v="2"/>
    <n v="2011484"/>
    <x v="422"/>
    <x v="0"/>
    <n v="1092.7"/>
  </r>
  <r>
    <s v="North"/>
    <x v="10"/>
    <n v="2011485"/>
    <x v="423"/>
    <x v="1"/>
    <n v="645.70000000000005"/>
  </r>
  <r>
    <s v="South"/>
    <x v="0"/>
    <n v="2011486"/>
    <x v="424"/>
    <x v="1"/>
    <n v="386.27"/>
  </r>
  <r>
    <s v="South"/>
    <x v="6"/>
    <n v="2011487"/>
    <x v="425"/>
    <x v="1"/>
    <n v="297.41000000000003"/>
  </r>
  <r>
    <s v="South"/>
    <x v="0"/>
    <n v="2011488"/>
    <x v="425"/>
    <x v="1"/>
    <n v="638.62"/>
  </r>
  <r>
    <s v="North"/>
    <x v="7"/>
    <n v="2011489"/>
    <x v="425"/>
    <x v="0"/>
    <n v="804.38"/>
  </r>
  <r>
    <s v="South"/>
    <x v="5"/>
    <n v="2011490"/>
    <x v="426"/>
    <x v="1"/>
    <n v="907.84"/>
  </r>
  <r>
    <s v="South"/>
    <x v="5"/>
    <n v="2011491"/>
    <x v="426"/>
    <x v="0"/>
    <n v="141.08000000000001"/>
  </r>
  <r>
    <s v="South"/>
    <x v="3"/>
    <n v="2011492"/>
    <x v="426"/>
    <x v="0"/>
    <n v="571.86"/>
  </r>
  <r>
    <s v="South"/>
    <x v="1"/>
    <n v="2011493"/>
    <x v="427"/>
    <x v="1"/>
    <n v="33.81"/>
  </r>
  <r>
    <s v="South"/>
    <x v="5"/>
    <n v="2011494"/>
    <x v="427"/>
    <x v="1"/>
    <n v="764.25"/>
  </r>
  <r>
    <s v="North"/>
    <x v="2"/>
    <n v="2011495"/>
    <x v="427"/>
    <x v="0"/>
    <n v="278.67"/>
  </r>
  <r>
    <s v="North"/>
    <x v="4"/>
    <n v="2011496"/>
    <x v="427"/>
    <x v="1"/>
    <n v="1085.06"/>
  </r>
  <r>
    <s v="South"/>
    <x v="0"/>
    <n v="2011497"/>
    <x v="428"/>
    <x v="1"/>
    <n v="38.76"/>
  </r>
  <r>
    <s v="South"/>
    <x v="1"/>
    <n v="2011498"/>
    <x v="429"/>
    <x v="1"/>
    <n v="865.88"/>
  </r>
  <r>
    <s v="South"/>
    <x v="1"/>
    <n v="2011499"/>
    <x v="429"/>
    <x v="1"/>
    <n v="1091.99"/>
  </r>
  <r>
    <s v="North"/>
    <x v="7"/>
    <n v="2011500"/>
    <x v="429"/>
    <x v="1"/>
    <n v="1006.44"/>
  </r>
  <r>
    <s v="North"/>
    <x v="4"/>
    <n v="2011501"/>
    <x v="429"/>
    <x v="0"/>
    <n v="1160.73"/>
  </r>
  <r>
    <s v="South"/>
    <x v="1"/>
    <n v="2011502"/>
    <x v="430"/>
    <x v="0"/>
    <n v="32.25"/>
  </r>
  <r>
    <s v="North"/>
    <x v="4"/>
    <n v="2011503"/>
    <x v="430"/>
    <x v="1"/>
    <n v="1253.43"/>
  </r>
  <r>
    <s v="South"/>
    <x v="1"/>
    <n v="2011504"/>
    <x v="431"/>
    <x v="1"/>
    <n v="1057.7"/>
  </r>
  <r>
    <s v="South"/>
    <x v="5"/>
    <n v="2011505"/>
    <x v="431"/>
    <x v="0"/>
    <n v="1175.8499999999999"/>
  </r>
  <r>
    <s v="South"/>
    <x v="3"/>
    <n v="2011506"/>
    <x v="432"/>
    <x v="0"/>
    <n v="1118.6199999999999"/>
  </r>
  <r>
    <s v="South"/>
    <x v="0"/>
    <n v="2011507"/>
    <x v="433"/>
    <x v="0"/>
    <n v="906.45"/>
  </r>
  <r>
    <s v="South"/>
    <x v="5"/>
    <n v="2011508"/>
    <x v="434"/>
    <x v="1"/>
    <n v="205.77"/>
  </r>
  <r>
    <s v="South"/>
    <x v="5"/>
    <n v="2011509"/>
    <x v="434"/>
    <x v="0"/>
    <n v="342.93"/>
  </r>
  <r>
    <s v="North"/>
    <x v="7"/>
    <n v="2011510"/>
    <x v="435"/>
    <x v="0"/>
    <n v="448.69"/>
  </r>
  <r>
    <s v="North"/>
    <x v="4"/>
    <n v="2011511"/>
    <x v="435"/>
    <x v="1"/>
    <n v="119.6"/>
  </r>
  <r>
    <s v="South"/>
    <x v="0"/>
    <n v="2011512"/>
    <x v="436"/>
    <x v="1"/>
    <n v="110.59"/>
  </r>
  <r>
    <s v="North"/>
    <x v="10"/>
    <n v="2011513"/>
    <x v="436"/>
    <x v="1"/>
    <n v="1205.02"/>
  </r>
  <r>
    <s v="North"/>
    <x v="7"/>
    <n v="2011514"/>
    <x v="436"/>
    <x v="0"/>
    <n v="468.11"/>
  </r>
  <r>
    <s v="North"/>
    <x v="7"/>
    <n v="2011515"/>
    <x v="436"/>
    <x v="1"/>
    <n v="541.37"/>
  </r>
  <r>
    <s v="South"/>
    <x v="6"/>
    <n v="2011516"/>
    <x v="437"/>
    <x v="1"/>
    <n v="900"/>
  </r>
  <r>
    <s v="South"/>
    <x v="5"/>
    <n v="2011517"/>
    <x v="438"/>
    <x v="1"/>
    <n v="329.38"/>
  </r>
  <r>
    <s v="North"/>
    <x v="8"/>
    <n v="2011518"/>
    <x v="438"/>
    <x v="1"/>
    <n v="612.55999999999995"/>
  </r>
  <r>
    <s v="South"/>
    <x v="1"/>
    <n v="2011519"/>
    <x v="439"/>
    <x v="1"/>
    <n v="620.66"/>
  </r>
  <r>
    <s v="South"/>
    <x v="6"/>
    <n v="2011520"/>
    <x v="439"/>
    <x v="1"/>
    <n v="213.33"/>
  </r>
  <r>
    <s v="South"/>
    <x v="5"/>
    <n v="2011521"/>
    <x v="439"/>
    <x v="0"/>
    <n v="874.89"/>
  </r>
  <r>
    <s v="North"/>
    <x v="9"/>
    <n v="2011522"/>
    <x v="439"/>
    <x v="1"/>
    <n v="104.76"/>
  </r>
  <r>
    <s v="North"/>
    <x v="7"/>
    <n v="2011523"/>
    <x v="439"/>
    <x v="1"/>
    <n v="1023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ACE27-46BE-4884-A028-3DB0BF3DA0C9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13:Q26" firstHeaderRow="1" firstDataRow="2" firstDataCol="1"/>
  <pivotFields count="8">
    <pivotField showAll="0"/>
    <pivotField axis="axisRow" showAll="0">
      <items count="12">
        <item x="1"/>
        <item x="10"/>
        <item x="6"/>
        <item x="7"/>
        <item x="2"/>
        <item x="0"/>
        <item x="5"/>
        <item x="9"/>
        <item x="3"/>
        <item x="4"/>
        <item x="8"/>
        <item t="default"/>
      </items>
    </pivotField>
    <pivotField showAll="0"/>
    <pivotField numFmtId="186" showAll="0"/>
    <pivotField axis="axisCol" showAll="0">
      <items count="3">
        <item x="1"/>
        <item x="0"/>
        <item t="default"/>
      </items>
    </pivotField>
    <pivotField dataField="1" numFmtId="174" showAll="0"/>
    <pivotField showAll="0" defaultSubtotal="0"/>
    <pivotField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InvoiceAmount" fld="5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DB93-BFD8-4D50-A6A6-2353CCF2818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Quarters" colHeaderCaption="Years">
  <location ref="H4:K10" firstHeaderRow="1" firstDataRow="2" firstDataCol="1"/>
  <pivotFields count="8">
    <pivotField showAll="0"/>
    <pivotField showAll="0"/>
    <pivotField showAll="0"/>
    <pivotField axis="axisRow" numFmtId="18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17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2">
    <field x="6"/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InvoiceAmount" fld="5" baseField="6" baseItem="3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4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78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4" showAll="0">
      <items count="3">
        <item x="0"/>
        <item x="1"/>
        <item t="default"/>
      </items>
    </pivotField>
    <pivotField axis="axisCol" numFmtId="174" showAll="0">
      <items count="3">
        <item n="Q3" x="0"/>
        <item n="Q4" x="1"/>
        <item t="default"/>
      </items>
    </pivotField>
    <pivotField dataField="1" numFmtId="166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79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8" showAll="0">
      <items count="4">
        <item x="0"/>
        <item x="1"/>
        <item x="2"/>
        <item t="default"/>
      </items>
    </pivotField>
    <pivotField axis="axisPage" numFmtId="174" showAll="0">
      <items count="4">
        <item x="0"/>
        <item x="2"/>
        <item x="1"/>
        <item t="default"/>
      </items>
    </pivotField>
    <pivotField numFmtId="174" showAll="0"/>
    <pivotField axis="axisCol" numFmtId="174" showAll="0">
      <items count="4">
        <item x="0"/>
        <item x="2"/>
        <item x="1"/>
        <item t="default"/>
      </items>
    </pivotField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13832-903C-4846-959A-352FBFD49B05}" name="SalesData" displayName="SalesData" ref="A1:F923" totalsRowShown="0" headerRowDxfId="19">
  <autoFilter ref="A1:F923" xr:uid="{00000000-0009-0000-0100-000001000000}"/>
  <tableColumns count="6">
    <tableColumn id="1" xr3:uid="{AAB4084D-EE49-40BB-98C7-F81E272481FA}" name="Region"/>
    <tableColumn id="2" xr3:uid="{8D2598B6-506D-48CF-9283-6739A703AAA6}" name="Salesman"/>
    <tableColumn id="3" xr3:uid="{71E52FCD-1402-48AB-BDCE-096DA96A7610}" name="InvoiceNr"/>
    <tableColumn id="4" xr3:uid="{A67FBCEF-D7CD-4A7E-954F-716064408F93}" name="InvoiceDate" dataDxfId="18"/>
    <tableColumn id="8" xr3:uid="{F86B6594-5807-4FE4-8E59-9EB632801A08}" name="Productcategory" dataDxfId="17"/>
    <tableColumn id="5" xr3:uid="{3603FC28-457A-4157-9654-B1517550D727}" name="InvoiceAmount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F4018-1CFD-4EEA-B1F6-4A0DB86C7427}" name="Medals" displayName="Medals" ref="A1:E87" totalsRowShown="0">
  <autoFilter ref="A1:E87" xr:uid="{3A0F4018-1CFD-4EEA-B1F6-4A0DB86C7427}"/>
  <tableColumns count="5">
    <tableColumn id="1" xr3:uid="{41BA9B4B-8312-4942-BF41-04326A4C5285}" name="Country"/>
    <tableColumn id="2" xr3:uid="{4EEF10FA-8D81-4C28-9C24-043A6B1146A0}" name="Gold"/>
    <tableColumn id="3" xr3:uid="{3BE16A85-CBC2-4844-BF30-0AC6D4C84FA5}" name="Silver"/>
    <tableColumn id="4" xr3:uid="{2C6A8F61-2650-4C24-ACC9-0777DF060FB2}" name="Bronze"/>
    <tableColumn id="5" xr3:uid="{A375EA59-82D5-4E2E-8A1A-D7933CECAEF5}" name="Total" dataDxfId="15">
      <calculatedColumnFormula>SUM(Medals[[#This Row],[Gold]:[Bronze]])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4"/>
    <tableColumn id="2" xr3:uid="{A5B97B2C-06A4-4AB3-AC36-26BAC02CF6A0}" name="Volu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DB331C-B0C8-408B-A6C6-835A58FC0140}" name="tblData" displayName="tblData" ref="A1:E25" totalsRowShown="0">
  <autoFilter ref="A1:E25" xr:uid="{5B11CA23-6F85-423A-8C4F-1FF3706F9E66}"/>
  <tableColumns count="5">
    <tableColumn id="1" xr3:uid="{202B9853-1558-4E4F-BC10-A268A708E4AD}" name="hour"/>
    <tableColumn id="2" xr3:uid="{079E669D-521F-404D-A1BE-97AA34259431}" name="temp" dataDxfId="13"/>
    <tableColumn id="5" xr3:uid="{9AB1C86A-ED0D-4856-9175-8C0FA926DC7A}" name="CL" dataDxfId="12">
      <calculatedColumnFormula>$H$1</calculatedColumnFormula>
    </tableColumn>
    <tableColumn id="3" xr3:uid="{23A3F69D-0F9A-4F41-A9AA-979C988A082F}" name="UCL" dataDxfId="11">
      <calculatedColumnFormula>$H$1+2*$H$2</calculatedColumnFormula>
    </tableColumn>
    <tableColumn id="4" xr3:uid="{8FC1AE4C-56A3-4656-A7F3-00D5AD040F06}" name="LCL" dataDxfId="10">
      <calculatedColumnFormula>$H$1-2*$H$2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DC5FD-05EE-4F43-B5D8-4C04B3959165}" name="Tabel2" displayName="Tabel2" ref="A1:C6" totalsRowShown="0" headerRowCellStyle="Standaard 13" dataCellStyle="Standaard 13">
  <autoFilter ref="A1:C6" xr:uid="{B1251AFC-4B6F-45F7-87DB-17835E9C3541}"/>
  <tableColumns count="3">
    <tableColumn id="1" xr3:uid="{91F22510-CCAF-4583-B05C-227C1EB12615}" name="score" dataCellStyle="Standaard 13"/>
    <tableColumn id="2" xr3:uid="{DEDF15F3-7C8F-40F5-813D-C5F6754AA443}" name="male" dataCellStyle="Standaard 13"/>
    <tableColumn id="3" xr3:uid="{93856471-5D14-4E88-95AF-CA2C6B36F020}" name="female" dataCellStyle="Standaard 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78BD-31A1-425B-8A8E-4C9929A7E267}">
  <dimension ref="A1:Q923"/>
  <sheetViews>
    <sheetView topLeftCell="C2" workbookViewId="0">
      <selection activeCell="I19" sqref="I19"/>
    </sheetView>
  </sheetViews>
  <sheetFormatPr defaultRowHeight="12.75" x14ac:dyDescent="0.2"/>
  <cols>
    <col min="1" max="1" width="9.5703125" style="137" bestFit="1" customWidth="1"/>
    <col min="2" max="2" width="12.140625" style="137" bestFit="1" customWidth="1"/>
    <col min="3" max="3" width="11.7109375" style="137" bestFit="1" customWidth="1"/>
    <col min="4" max="4" width="13.85546875" style="137" bestFit="1" customWidth="1"/>
    <col min="5" max="5" width="18.140625" style="137" bestFit="1" customWidth="1"/>
    <col min="6" max="6" width="16.85546875" style="137" bestFit="1" customWidth="1"/>
    <col min="7" max="7" width="9.140625" style="137"/>
    <col min="8" max="8" width="21.5703125" style="137" bestFit="1" customWidth="1"/>
    <col min="9" max="11" width="12.7109375" style="137" customWidth="1"/>
    <col min="12" max="13" width="9.140625" style="137"/>
    <col min="14" max="14" width="21.5703125" style="137" bestFit="1" customWidth="1"/>
    <col min="15" max="15" width="16.28515625" style="137" bestFit="1" customWidth="1"/>
    <col min="16" max="16" width="11.140625" style="137" bestFit="1" customWidth="1"/>
    <col min="17" max="17" width="11.28515625" style="137" bestFit="1" customWidth="1"/>
    <col min="18" max="256" width="9.140625" style="137"/>
    <col min="257" max="257" width="6.28515625" style="137" bestFit="1" customWidth="1"/>
    <col min="258" max="258" width="10.28515625" style="137" bestFit="1" customWidth="1"/>
    <col min="259" max="259" width="14.42578125" style="137" bestFit="1" customWidth="1"/>
    <col min="260" max="260" width="9.7109375" style="137" bestFit="1" customWidth="1"/>
    <col min="261" max="261" width="13.7109375" style="137" bestFit="1" customWidth="1"/>
    <col min="262" max="512" width="9.140625" style="137"/>
    <col min="513" max="513" width="6.28515625" style="137" bestFit="1" customWidth="1"/>
    <col min="514" max="514" width="10.28515625" style="137" bestFit="1" customWidth="1"/>
    <col min="515" max="515" width="14.42578125" style="137" bestFit="1" customWidth="1"/>
    <col min="516" max="516" width="9.7109375" style="137" bestFit="1" customWidth="1"/>
    <col min="517" max="517" width="13.7109375" style="137" bestFit="1" customWidth="1"/>
    <col min="518" max="768" width="9.140625" style="137"/>
    <col min="769" max="769" width="6.28515625" style="137" bestFit="1" customWidth="1"/>
    <col min="770" max="770" width="10.28515625" style="137" bestFit="1" customWidth="1"/>
    <col min="771" max="771" width="14.42578125" style="137" bestFit="1" customWidth="1"/>
    <col min="772" max="772" width="9.7109375" style="137" bestFit="1" customWidth="1"/>
    <col min="773" max="773" width="13.7109375" style="137" bestFit="1" customWidth="1"/>
    <col min="774" max="1024" width="9.140625" style="137"/>
    <col min="1025" max="1025" width="6.28515625" style="137" bestFit="1" customWidth="1"/>
    <col min="1026" max="1026" width="10.28515625" style="137" bestFit="1" customWidth="1"/>
    <col min="1027" max="1027" width="14.42578125" style="137" bestFit="1" customWidth="1"/>
    <col min="1028" max="1028" width="9.7109375" style="137" bestFit="1" customWidth="1"/>
    <col min="1029" max="1029" width="13.7109375" style="137" bestFit="1" customWidth="1"/>
    <col min="1030" max="1280" width="9.140625" style="137"/>
    <col min="1281" max="1281" width="6.28515625" style="137" bestFit="1" customWidth="1"/>
    <col min="1282" max="1282" width="10.28515625" style="137" bestFit="1" customWidth="1"/>
    <col min="1283" max="1283" width="14.42578125" style="137" bestFit="1" customWidth="1"/>
    <col min="1284" max="1284" width="9.7109375" style="137" bestFit="1" customWidth="1"/>
    <col min="1285" max="1285" width="13.7109375" style="137" bestFit="1" customWidth="1"/>
    <col min="1286" max="1536" width="9.140625" style="137"/>
    <col min="1537" max="1537" width="6.28515625" style="137" bestFit="1" customWidth="1"/>
    <col min="1538" max="1538" width="10.28515625" style="137" bestFit="1" customWidth="1"/>
    <col min="1539" max="1539" width="14.42578125" style="137" bestFit="1" customWidth="1"/>
    <col min="1540" max="1540" width="9.7109375" style="137" bestFit="1" customWidth="1"/>
    <col min="1541" max="1541" width="13.7109375" style="137" bestFit="1" customWidth="1"/>
    <col min="1542" max="1792" width="9.140625" style="137"/>
    <col min="1793" max="1793" width="6.28515625" style="137" bestFit="1" customWidth="1"/>
    <col min="1794" max="1794" width="10.28515625" style="137" bestFit="1" customWidth="1"/>
    <col min="1795" max="1795" width="14.42578125" style="137" bestFit="1" customWidth="1"/>
    <col min="1796" max="1796" width="9.7109375" style="137" bestFit="1" customWidth="1"/>
    <col min="1797" max="1797" width="13.7109375" style="137" bestFit="1" customWidth="1"/>
    <col min="1798" max="2048" width="9.140625" style="137"/>
    <col min="2049" max="2049" width="6.28515625" style="137" bestFit="1" customWidth="1"/>
    <col min="2050" max="2050" width="10.28515625" style="137" bestFit="1" customWidth="1"/>
    <col min="2051" max="2051" width="14.42578125" style="137" bestFit="1" customWidth="1"/>
    <col min="2052" max="2052" width="9.7109375" style="137" bestFit="1" customWidth="1"/>
    <col min="2053" max="2053" width="13.7109375" style="137" bestFit="1" customWidth="1"/>
    <col min="2054" max="2304" width="9.140625" style="137"/>
    <col min="2305" max="2305" width="6.28515625" style="137" bestFit="1" customWidth="1"/>
    <col min="2306" max="2306" width="10.28515625" style="137" bestFit="1" customWidth="1"/>
    <col min="2307" max="2307" width="14.42578125" style="137" bestFit="1" customWidth="1"/>
    <col min="2308" max="2308" width="9.7109375" style="137" bestFit="1" customWidth="1"/>
    <col min="2309" max="2309" width="13.7109375" style="137" bestFit="1" customWidth="1"/>
    <col min="2310" max="2560" width="9.140625" style="137"/>
    <col min="2561" max="2561" width="6.28515625" style="137" bestFit="1" customWidth="1"/>
    <col min="2562" max="2562" width="10.28515625" style="137" bestFit="1" customWidth="1"/>
    <col min="2563" max="2563" width="14.42578125" style="137" bestFit="1" customWidth="1"/>
    <col min="2564" max="2564" width="9.7109375" style="137" bestFit="1" customWidth="1"/>
    <col min="2565" max="2565" width="13.7109375" style="137" bestFit="1" customWidth="1"/>
    <col min="2566" max="2816" width="9.140625" style="137"/>
    <col min="2817" max="2817" width="6.28515625" style="137" bestFit="1" customWidth="1"/>
    <col min="2818" max="2818" width="10.28515625" style="137" bestFit="1" customWidth="1"/>
    <col min="2819" max="2819" width="14.42578125" style="137" bestFit="1" customWidth="1"/>
    <col min="2820" max="2820" width="9.7109375" style="137" bestFit="1" customWidth="1"/>
    <col min="2821" max="2821" width="13.7109375" style="137" bestFit="1" customWidth="1"/>
    <col min="2822" max="3072" width="9.140625" style="137"/>
    <col min="3073" max="3073" width="6.28515625" style="137" bestFit="1" customWidth="1"/>
    <col min="3074" max="3074" width="10.28515625" style="137" bestFit="1" customWidth="1"/>
    <col min="3075" max="3075" width="14.42578125" style="137" bestFit="1" customWidth="1"/>
    <col min="3076" max="3076" width="9.7109375" style="137" bestFit="1" customWidth="1"/>
    <col min="3077" max="3077" width="13.7109375" style="137" bestFit="1" customWidth="1"/>
    <col min="3078" max="3328" width="9.140625" style="137"/>
    <col min="3329" max="3329" width="6.28515625" style="137" bestFit="1" customWidth="1"/>
    <col min="3330" max="3330" width="10.28515625" style="137" bestFit="1" customWidth="1"/>
    <col min="3331" max="3331" width="14.42578125" style="137" bestFit="1" customWidth="1"/>
    <col min="3332" max="3332" width="9.7109375" style="137" bestFit="1" customWidth="1"/>
    <col min="3333" max="3333" width="13.7109375" style="137" bestFit="1" customWidth="1"/>
    <col min="3334" max="3584" width="9.140625" style="137"/>
    <col min="3585" max="3585" width="6.28515625" style="137" bestFit="1" customWidth="1"/>
    <col min="3586" max="3586" width="10.28515625" style="137" bestFit="1" customWidth="1"/>
    <col min="3587" max="3587" width="14.42578125" style="137" bestFit="1" customWidth="1"/>
    <col min="3588" max="3588" width="9.7109375" style="137" bestFit="1" customWidth="1"/>
    <col min="3589" max="3589" width="13.7109375" style="137" bestFit="1" customWidth="1"/>
    <col min="3590" max="3840" width="9.140625" style="137"/>
    <col min="3841" max="3841" width="6.28515625" style="137" bestFit="1" customWidth="1"/>
    <col min="3842" max="3842" width="10.28515625" style="137" bestFit="1" customWidth="1"/>
    <col min="3843" max="3843" width="14.42578125" style="137" bestFit="1" customWidth="1"/>
    <col min="3844" max="3844" width="9.7109375" style="137" bestFit="1" customWidth="1"/>
    <col min="3845" max="3845" width="13.7109375" style="137" bestFit="1" customWidth="1"/>
    <col min="3846" max="4096" width="9.140625" style="137"/>
    <col min="4097" max="4097" width="6.28515625" style="137" bestFit="1" customWidth="1"/>
    <col min="4098" max="4098" width="10.28515625" style="137" bestFit="1" customWidth="1"/>
    <col min="4099" max="4099" width="14.42578125" style="137" bestFit="1" customWidth="1"/>
    <col min="4100" max="4100" width="9.7109375" style="137" bestFit="1" customWidth="1"/>
    <col min="4101" max="4101" width="13.7109375" style="137" bestFit="1" customWidth="1"/>
    <col min="4102" max="4352" width="9.140625" style="137"/>
    <col min="4353" max="4353" width="6.28515625" style="137" bestFit="1" customWidth="1"/>
    <col min="4354" max="4354" width="10.28515625" style="137" bestFit="1" customWidth="1"/>
    <col min="4355" max="4355" width="14.42578125" style="137" bestFit="1" customWidth="1"/>
    <col min="4356" max="4356" width="9.7109375" style="137" bestFit="1" customWidth="1"/>
    <col min="4357" max="4357" width="13.7109375" style="137" bestFit="1" customWidth="1"/>
    <col min="4358" max="4608" width="9.140625" style="137"/>
    <col min="4609" max="4609" width="6.28515625" style="137" bestFit="1" customWidth="1"/>
    <col min="4610" max="4610" width="10.28515625" style="137" bestFit="1" customWidth="1"/>
    <col min="4611" max="4611" width="14.42578125" style="137" bestFit="1" customWidth="1"/>
    <col min="4612" max="4612" width="9.7109375" style="137" bestFit="1" customWidth="1"/>
    <col min="4613" max="4613" width="13.7109375" style="137" bestFit="1" customWidth="1"/>
    <col min="4614" max="4864" width="9.140625" style="137"/>
    <col min="4865" max="4865" width="6.28515625" style="137" bestFit="1" customWidth="1"/>
    <col min="4866" max="4866" width="10.28515625" style="137" bestFit="1" customWidth="1"/>
    <col min="4867" max="4867" width="14.42578125" style="137" bestFit="1" customWidth="1"/>
    <col min="4868" max="4868" width="9.7109375" style="137" bestFit="1" customWidth="1"/>
    <col min="4869" max="4869" width="13.7109375" style="137" bestFit="1" customWidth="1"/>
    <col min="4870" max="5120" width="9.140625" style="137"/>
    <col min="5121" max="5121" width="6.28515625" style="137" bestFit="1" customWidth="1"/>
    <col min="5122" max="5122" width="10.28515625" style="137" bestFit="1" customWidth="1"/>
    <col min="5123" max="5123" width="14.42578125" style="137" bestFit="1" customWidth="1"/>
    <col min="5124" max="5124" width="9.7109375" style="137" bestFit="1" customWidth="1"/>
    <col min="5125" max="5125" width="13.7109375" style="137" bestFit="1" customWidth="1"/>
    <col min="5126" max="5376" width="9.140625" style="137"/>
    <col min="5377" max="5377" width="6.28515625" style="137" bestFit="1" customWidth="1"/>
    <col min="5378" max="5378" width="10.28515625" style="137" bestFit="1" customWidth="1"/>
    <col min="5379" max="5379" width="14.42578125" style="137" bestFit="1" customWidth="1"/>
    <col min="5380" max="5380" width="9.7109375" style="137" bestFit="1" customWidth="1"/>
    <col min="5381" max="5381" width="13.7109375" style="137" bestFit="1" customWidth="1"/>
    <col min="5382" max="5632" width="9.140625" style="137"/>
    <col min="5633" max="5633" width="6.28515625" style="137" bestFit="1" customWidth="1"/>
    <col min="5634" max="5634" width="10.28515625" style="137" bestFit="1" customWidth="1"/>
    <col min="5635" max="5635" width="14.42578125" style="137" bestFit="1" customWidth="1"/>
    <col min="5636" max="5636" width="9.7109375" style="137" bestFit="1" customWidth="1"/>
    <col min="5637" max="5637" width="13.7109375" style="137" bestFit="1" customWidth="1"/>
    <col min="5638" max="5888" width="9.140625" style="137"/>
    <col min="5889" max="5889" width="6.28515625" style="137" bestFit="1" customWidth="1"/>
    <col min="5890" max="5890" width="10.28515625" style="137" bestFit="1" customWidth="1"/>
    <col min="5891" max="5891" width="14.42578125" style="137" bestFit="1" customWidth="1"/>
    <col min="5892" max="5892" width="9.7109375" style="137" bestFit="1" customWidth="1"/>
    <col min="5893" max="5893" width="13.7109375" style="137" bestFit="1" customWidth="1"/>
    <col min="5894" max="6144" width="9.140625" style="137"/>
    <col min="6145" max="6145" width="6.28515625" style="137" bestFit="1" customWidth="1"/>
    <col min="6146" max="6146" width="10.28515625" style="137" bestFit="1" customWidth="1"/>
    <col min="6147" max="6147" width="14.42578125" style="137" bestFit="1" customWidth="1"/>
    <col min="6148" max="6148" width="9.7109375" style="137" bestFit="1" customWidth="1"/>
    <col min="6149" max="6149" width="13.7109375" style="137" bestFit="1" customWidth="1"/>
    <col min="6150" max="6400" width="9.140625" style="137"/>
    <col min="6401" max="6401" width="6.28515625" style="137" bestFit="1" customWidth="1"/>
    <col min="6402" max="6402" width="10.28515625" style="137" bestFit="1" customWidth="1"/>
    <col min="6403" max="6403" width="14.42578125" style="137" bestFit="1" customWidth="1"/>
    <col min="6404" max="6404" width="9.7109375" style="137" bestFit="1" customWidth="1"/>
    <col min="6405" max="6405" width="13.7109375" style="137" bestFit="1" customWidth="1"/>
    <col min="6406" max="6656" width="9.140625" style="137"/>
    <col min="6657" max="6657" width="6.28515625" style="137" bestFit="1" customWidth="1"/>
    <col min="6658" max="6658" width="10.28515625" style="137" bestFit="1" customWidth="1"/>
    <col min="6659" max="6659" width="14.42578125" style="137" bestFit="1" customWidth="1"/>
    <col min="6660" max="6660" width="9.7109375" style="137" bestFit="1" customWidth="1"/>
    <col min="6661" max="6661" width="13.7109375" style="137" bestFit="1" customWidth="1"/>
    <col min="6662" max="6912" width="9.140625" style="137"/>
    <col min="6913" max="6913" width="6.28515625" style="137" bestFit="1" customWidth="1"/>
    <col min="6914" max="6914" width="10.28515625" style="137" bestFit="1" customWidth="1"/>
    <col min="6915" max="6915" width="14.42578125" style="137" bestFit="1" customWidth="1"/>
    <col min="6916" max="6916" width="9.7109375" style="137" bestFit="1" customWidth="1"/>
    <col min="6917" max="6917" width="13.7109375" style="137" bestFit="1" customWidth="1"/>
    <col min="6918" max="7168" width="9.140625" style="137"/>
    <col min="7169" max="7169" width="6.28515625" style="137" bestFit="1" customWidth="1"/>
    <col min="7170" max="7170" width="10.28515625" style="137" bestFit="1" customWidth="1"/>
    <col min="7171" max="7171" width="14.42578125" style="137" bestFit="1" customWidth="1"/>
    <col min="7172" max="7172" width="9.7109375" style="137" bestFit="1" customWidth="1"/>
    <col min="7173" max="7173" width="13.7109375" style="137" bestFit="1" customWidth="1"/>
    <col min="7174" max="7424" width="9.140625" style="137"/>
    <col min="7425" max="7425" width="6.28515625" style="137" bestFit="1" customWidth="1"/>
    <col min="7426" max="7426" width="10.28515625" style="137" bestFit="1" customWidth="1"/>
    <col min="7427" max="7427" width="14.42578125" style="137" bestFit="1" customWidth="1"/>
    <col min="7428" max="7428" width="9.7109375" style="137" bestFit="1" customWidth="1"/>
    <col min="7429" max="7429" width="13.7109375" style="137" bestFit="1" customWidth="1"/>
    <col min="7430" max="7680" width="9.140625" style="137"/>
    <col min="7681" max="7681" width="6.28515625" style="137" bestFit="1" customWidth="1"/>
    <col min="7682" max="7682" width="10.28515625" style="137" bestFit="1" customWidth="1"/>
    <col min="7683" max="7683" width="14.42578125" style="137" bestFit="1" customWidth="1"/>
    <col min="7684" max="7684" width="9.7109375" style="137" bestFit="1" customWidth="1"/>
    <col min="7685" max="7685" width="13.7109375" style="137" bestFit="1" customWidth="1"/>
    <col min="7686" max="7936" width="9.140625" style="137"/>
    <col min="7937" max="7937" width="6.28515625" style="137" bestFit="1" customWidth="1"/>
    <col min="7938" max="7938" width="10.28515625" style="137" bestFit="1" customWidth="1"/>
    <col min="7939" max="7939" width="14.42578125" style="137" bestFit="1" customWidth="1"/>
    <col min="7940" max="7940" width="9.7109375" style="137" bestFit="1" customWidth="1"/>
    <col min="7941" max="7941" width="13.7109375" style="137" bestFit="1" customWidth="1"/>
    <col min="7942" max="8192" width="9.140625" style="137"/>
    <col min="8193" max="8193" width="6.28515625" style="137" bestFit="1" customWidth="1"/>
    <col min="8194" max="8194" width="10.28515625" style="137" bestFit="1" customWidth="1"/>
    <col min="8195" max="8195" width="14.42578125" style="137" bestFit="1" customWidth="1"/>
    <col min="8196" max="8196" width="9.7109375" style="137" bestFit="1" customWidth="1"/>
    <col min="8197" max="8197" width="13.7109375" style="137" bestFit="1" customWidth="1"/>
    <col min="8198" max="8448" width="9.140625" style="137"/>
    <col min="8449" max="8449" width="6.28515625" style="137" bestFit="1" customWidth="1"/>
    <col min="8450" max="8450" width="10.28515625" style="137" bestFit="1" customWidth="1"/>
    <col min="8451" max="8451" width="14.42578125" style="137" bestFit="1" customWidth="1"/>
    <col min="8452" max="8452" width="9.7109375" style="137" bestFit="1" customWidth="1"/>
    <col min="8453" max="8453" width="13.7109375" style="137" bestFit="1" customWidth="1"/>
    <col min="8454" max="8704" width="9.140625" style="137"/>
    <col min="8705" max="8705" width="6.28515625" style="137" bestFit="1" customWidth="1"/>
    <col min="8706" max="8706" width="10.28515625" style="137" bestFit="1" customWidth="1"/>
    <col min="8707" max="8707" width="14.42578125" style="137" bestFit="1" customWidth="1"/>
    <col min="8708" max="8708" width="9.7109375" style="137" bestFit="1" customWidth="1"/>
    <col min="8709" max="8709" width="13.7109375" style="137" bestFit="1" customWidth="1"/>
    <col min="8710" max="8960" width="9.140625" style="137"/>
    <col min="8961" max="8961" width="6.28515625" style="137" bestFit="1" customWidth="1"/>
    <col min="8962" max="8962" width="10.28515625" style="137" bestFit="1" customWidth="1"/>
    <col min="8963" max="8963" width="14.42578125" style="137" bestFit="1" customWidth="1"/>
    <col min="8964" max="8964" width="9.7109375" style="137" bestFit="1" customWidth="1"/>
    <col min="8965" max="8965" width="13.7109375" style="137" bestFit="1" customWidth="1"/>
    <col min="8966" max="9216" width="9.140625" style="137"/>
    <col min="9217" max="9217" width="6.28515625" style="137" bestFit="1" customWidth="1"/>
    <col min="9218" max="9218" width="10.28515625" style="137" bestFit="1" customWidth="1"/>
    <col min="9219" max="9219" width="14.42578125" style="137" bestFit="1" customWidth="1"/>
    <col min="9220" max="9220" width="9.7109375" style="137" bestFit="1" customWidth="1"/>
    <col min="9221" max="9221" width="13.7109375" style="137" bestFit="1" customWidth="1"/>
    <col min="9222" max="9472" width="9.140625" style="137"/>
    <col min="9473" max="9473" width="6.28515625" style="137" bestFit="1" customWidth="1"/>
    <col min="9474" max="9474" width="10.28515625" style="137" bestFit="1" customWidth="1"/>
    <col min="9475" max="9475" width="14.42578125" style="137" bestFit="1" customWidth="1"/>
    <col min="9476" max="9476" width="9.7109375" style="137" bestFit="1" customWidth="1"/>
    <col min="9477" max="9477" width="13.7109375" style="137" bestFit="1" customWidth="1"/>
    <col min="9478" max="9728" width="9.140625" style="137"/>
    <col min="9729" max="9729" width="6.28515625" style="137" bestFit="1" customWidth="1"/>
    <col min="9730" max="9730" width="10.28515625" style="137" bestFit="1" customWidth="1"/>
    <col min="9731" max="9731" width="14.42578125" style="137" bestFit="1" customWidth="1"/>
    <col min="9732" max="9732" width="9.7109375" style="137" bestFit="1" customWidth="1"/>
    <col min="9733" max="9733" width="13.7109375" style="137" bestFit="1" customWidth="1"/>
    <col min="9734" max="9984" width="9.140625" style="137"/>
    <col min="9985" max="9985" width="6.28515625" style="137" bestFit="1" customWidth="1"/>
    <col min="9986" max="9986" width="10.28515625" style="137" bestFit="1" customWidth="1"/>
    <col min="9987" max="9987" width="14.42578125" style="137" bestFit="1" customWidth="1"/>
    <col min="9988" max="9988" width="9.7109375" style="137" bestFit="1" customWidth="1"/>
    <col min="9989" max="9989" width="13.7109375" style="137" bestFit="1" customWidth="1"/>
    <col min="9990" max="10240" width="9.140625" style="137"/>
    <col min="10241" max="10241" width="6.28515625" style="137" bestFit="1" customWidth="1"/>
    <col min="10242" max="10242" width="10.28515625" style="137" bestFit="1" customWidth="1"/>
    <col min="10243" max="10243" width="14.42578125" style="137" bestFit="1" customWidth="1"/>
    <col min="10244" max="10244" width="9.7109375" style="137" bestFit="1" customWidth="1"/>
    <col min="10245" max="10245" width="13.7109375" style="137" bestFit="1" customWidth="1"/>
    <col min="10246" max="10496" width="9.140625" style="137"/>
    <col min="10497" max="10497" width="6.28515625" style="137" bestFit="1" customWidth="1"/>
    <col min="10498" max="10498" width="10.28515625" style="137" bestFit="1" customWidth="1"/>
    <col min="10499" max="10499" width="14.42578125" style="137" bestFit="1" customWidth="1"/>
    <col min="10500" max="10500" width="9.7109375" style="137" bestFit="1" customWidth="1"/>
    <col min="10501" max="10501" width="13.7109375" style="137" bestFit="1" customWidth="1"/>
    <col min="10502" max="10752" width="9.140625" style="137"/>
    <col min="10753" max="10753" width="6.28515625" style="137" bestFit="1" customWidth="1"/>
    <col min="10754" max="10754" width="10.28515625" style="137" bestFit="1" customWidth="1"/>
    <col min="10755" max="10755" width="14.42578125" style="137" bestFit="1" customWidth="1"/>
    <col min="10756" max="10756" width="9.7109375" style="137" bestFit="1" customWidth="1"/>
    <col min="10757" max="10757" width="13.7109375" style="137" bestFit="1" customWidth="1"/>
    <col min="10758" max="11008" width="9.140625" style="137"/>
    <col min="11009" max="11009" width="6.28515625" style="137" bestFit="1" customWidth="1"/>
    <col min="11010" max="11010" width="10.28515625" style="137" bestFit="1" customWidth="1"/>
    <col min="11011" max="11011" width="14.42578125" style="137" bestFit="1" customWidth="1"/>
    <col min="11012" max="11012" width="9.7109375" style="137" bestFit="1" customWidth="1"/>
    <col min="11013" max="11013" width="13.7109375" style="137" bestFit="1" customWidth="1"/>
    <col min="11014" max="11264" width="9.140625" style="137"/>
    <col min="11265" max="11265" width="6.28515625" style="137" bestFit="1" customWidth="1"/>
    <col min="11266" max="11266" width="10.28515625" style="137" bestFit="1" customWidth="1"/>
    <col min="11267" max="11267" width="14.42578125" style="137" bestFit="1" customWidth="1"/>
    <col min="11268" max="11268" width="9.7109375" style="137" bestFit="1" customWidth="1"/>
    <col min="11269" max="11269" width="13.7109375" style="137" bestFit="1" customWidth="1"/>
    <col min="11270" max="11520" width="9.140625" style="137"/>
    <col min="11521" max="11521" width="6.28515625" style="137" bestFit="1" customWidth="1"/>
    <col min="11522" max="11522" width="10.28515625" style="137" bestFit="1" customWidth="1"/>
    <col min="11523" max="11523" width="14.42578125" style="137" bestFit="1" customWidth="1"/>
    <col min="11524" max="11524" width="9.7109375" style="137" bestFit="1" customWidth="1"/>
    <col min="11525" max="11525" width="13.7109375" style="137" bestFit="1" customWidth="1"/>
    <col min="11526" max="11776" width="9.140625" style="137"/>
    <col min="11777" max="11777" width="6.28515625" style="137" bestFit="1" customWidth="1"/>
    <col min="11778" max="11778" width="10.28515625" style="137" bestFit="1" customWidth="1"/>
    <col min="11779" max="11779" width="14.42578125" style="137" bestFit="1" customWidth="1"/>
    <col min="11780" max="11780" width="9.7109375" style="137" bestFit="1" customWidth="1"/>
    <col min="11781" max="11781" width="13.7109375" style="137" bestFit="1" customWidth="1"/>
    <col min="11782" max="12032" width="9.140625" style="137"/>
    <col min="12033" max="12033" width="6.28515625" style="137" bestFit="1" customWidth="1"/>
    <col min="12034" max="12034" width="10.28515625" style="137" bestFit="1" customWidth="1"/>
    <col min="12035" max="12035" width="14.42578125" style="137" bestFit="1" customWidth="1"/>
    <col min="12036" max="12036" width="9.7109375" style="137" bestFit="1" customWidth="1"/>
    <col min="12037" max="12037" width="13.7109375" style="137" bestFit="1" customWidth="1"/>
    <col min="12038" max="12288" width="9.140625" style="137"/>
    <col min="12289" max="12289" width="6.28515625" style="137" bestFit="1" customWidth="1"/>
    <col min="12290" max="12290" width="10.28515625" style="137" bestFit="1" customWidth="1"/>
    <col min="12291" max="12291" width="14.42578125" style="137" bestFit="1" customWidth="1"/>
    <col min="12292" max="12292" width="9.7109375" style="137" bestFit="1" customWidth="1"/>
    <col min="12293" max="12293" width="13.7109375" style="137" bestFit="1" customWidth="1"/>
    <col min="12294" max="12544" width="9.140625" style="137"/>
    <col min="12545" max="12545" width="6.28515625" style="137" bestFit="1" customWidth="1"/>
    <col min="12546" max="12546" width="10.28515625" style="137" bestFit="1" customWidth="1"/>
    <col min="12547" max="12547" width="14.42578125" style="137" bestFit="1" customWidth="1"/>
    <col min="12548" max="12548" width="9.7109375" style="137" bestFit="1" customWidth="1"/>
    <col min="12549" max="12549" width="13.7109375" style="137" bestFit="1" customWidth="1"/>
    <col min="12550" max="12800" width="9.140625" style="137"/>
    <col min="12801" max="12801" width="6.28515625" style="137" bestFit="1" customWidth="1"/>
    <col min="12802" max="12802" width="10.28515625" style="137" bestFit="1" customWidth="1"/>
    <col min="12803" max="12803" width="14.42578125" style="137" bestFit="1" customWidth="1"/>
    <col min="12804" max="12804" width="9.7109375" style="137" bestFit="1" customWidth="1"/>
    <col min="12805" max="12805" width="13.7109375" style="137" bestFit="1" customWidth="1"/>
    <col min="12806" max="13056" width="9.140625" style="137"/>
    <col min="13057" max="13057" width="6.28515625" style="137" bestFit="1" customWidth="1"/>
    <col min="13058" max="13058" width="10.28515625" style="137" bestFit="1" customWidth="1"/>
    <col min="13059" max="13059" width="14.42578125" style="137" bestFit="1" customWidth="1"/>
    <col min="13060" max="13060" width="9.7109375" style="137" bestFit="1" customWidth="1"/>
    <col min="13061" max="13061" width="13.7109375" style="137" bestFit="1" customWidth="1"/>
    <col min="13062" max="13312" width="9.140625" style="137"/>
    <col min="13313" max="13313" width="6.28515625" style="137" bestFit="1" customWidth="1"/>
    <col min="13314" max="13314" width="10.28515625" style="137" bestFit="1" customWidth="1"/>
    <col min="13315" max="13315" width="14.42578125" style="137" bestFit="1" customWidth="1"/>
    <col min="13316" max="13316" width="9.7109375" style="137" bestFit="1" customWidth="1"/>
    <col min="13317" max="13317" width="13.7109375" style="137" bestFit="1" customWidth="1"/>
    <col min="13318" max="13568" width="9.140625" style="137"/>
    <col min="13569" max="13569" width="6.28515625" style="137" bestFit="1" customWidth="1"/>
    <col min="13570" max="13570" width="10.28515625" style="137" bestFit="1" customWidth="1"/>
    <col min="13571" max="13571" width="14.42578125" style="137" bestFit="1" customWidth="1"/>
    <col min="13572" max="13572" width="9.7109375" style="137" bestFit="1" customWidth="1"/>
    <col min="13573" max="13573" width="13.7109375" style="137" bestFit="1" customWidth="1"/>
    <col min="13574" max="13824" width="9.140625" style="137"/>
    <col min="13825" max="13825" width="6.28515625" style="137" bestFit="1" customWidth="1"/>
    <col min="13826" max="13826" width="10.28515625" style="137" bestFit="1" customWidth="1"/>
    <col min="13827" max="13827" width="14.42578125" style="137" bestFit="1" customWidth="1"/>
    <col min="13828" max="13828" width="9.7109375" style="137" bestFit="1" customWidth="1"/>
    <col min="13829" max="13829" width="13.7109375" style="137" bestFit="1" customWidth="1"/>
    <col min="13830" max="14080" width="9.140625" style="137"/>
    <col min="14081" max="14081" width="6.28515625" style="137" bestFit="1" customWidth="1"/>
    <col min="14082" max="14082" width="10.28515625" style="137" bestFit="1" customWidth="1"/>
    <col min="14083" max="14083" width="14.42578125" style="137" bestFit="1" customWidth="1"/>
    <col min="14084" max="14084" width="9.7109375" style="137" bestFit="1" customWidth="1"/>
    <col min="14085" max="14085" width="13.7109375" style="137" bestFit="1" customWidth="1"/>
    <col min="14086" max="14336" width="9.140625" style="137"/>
    <col min="14337" max="14337" width="6.28515625" style="137" bestFit="1" customWidth="1"/>
    <col min="14338" max="14338" width="10.28515625" style="137" bestFit="1" customWidth="1"/>
    <col min="14339" max="14339" width="14.42578125" style="137" bestFit="1" customWidth="1"/>
    <col min="14340" max="14340" width="9.7109375" style="137" bestFit="1" customWidth="1"/>
    <col min="14341" max="14341" width="13.7109375" style="137" bestFit="1" customWidth="1"/>
    <col min="14342" max="14592" width="9.140625" style="137"/>
    <col min="14593" max="14593" width="6.28515625" style="137" bestFit="1" customWidth="1"/>
    <col min="14594" max="14594" width="10.28515625" style="137" bestFit="1" customWidth="1"/>
    <col min="14595" max="14595" width="14.42578125" style="137" bestFit="1" customWidth="1"/>
    <col min="14596" max="14596" width="9.7109375" style="137" bestFit="1" customWidth="1"/>
    <col min="14597" max="14597" width="13.7109375" style="137" bestFit="1" customWidth="1"/>
    <col min="14598" max="14848" width="9.140625" style="137"/>
    <col min="14849" max="14849" width="6.28515625" style="137" bestFit="1" customWidth="1"/>
    <col min="14850" max="14850" width="10.28515625" style="137" bestFit="1" customWidth="1"/>
    <col min="14851" max="14851" width="14.42578125" style="137" bestFit="1" customWidth="1"/>
    <col min="14852" max="14852" width="9.7109375" style="137" bestFit="1" customWidth="1"/>
    <col min="14853" max="14853" width="13.7109375" style="137" bestFit="1" customWidth="1"/>
    <col min="14854" max="15104" width="9.140625" style="137"/>
    <col min="15105" max="15105" width="6.28515625" style="137" bestFit="1" customWidth="1"/>
    <col min="15106" max="15106" width="10.28515625" style="137" bestFit="1" customWidth="1"/>
    <col min="15107" max="15107" width="14.42578125" style="137" bestFit="1" customWidth="1"/>
    <col min="15108" max="15108" width="9.7109375" style="137" bestFit="1" customWidth="1"/>
    <col min="15109" max="15109" width="13.7109375" style="137" bestFit="1" customWidth="1"/>
    <col min="15110" max="15360" width="9.140625" style="137"/>
    <col min="15361" max="15361" width="6.28515625" style="137" bestFit="1" customWidth="1"/>
    <col min="15362" max="15362" width="10.28515625" style="137" bestFit="1" customWidth="1"/>
    <col min="15363" max="15363" width="14.42578125" style="137" bestFit="1" customWidth="1"/>
    <col min="15364" max="15364" width="9.7109375" style="137" bestFit="1" customWidth="1"/>
    <col min="15365" max="15365" width="13.7109375" style="137" bestFit="1" customWidth="1"/>
    <col min="15366" max="15616" width="9.140625" style="137"/>
    <col min="15617" max="15617" width="6.28515625" style="137" bestFit="1" customWidth="1"/>
    <col min="15618" max="15618" width="10.28515625" style="137" bestFit="1" customWidth="1"/>
    <col min="15619" max="15619" width="14.42578125" style="137" bestFit="1" customWidth="1"/>
    <col min="15620" max="15620" width="9.7109375" style="137" bestFit="1" customWidth="1"/>
    <col min="15621" max="15621" width="13.7109375" style="137" bestFit="1" customWidth="1"/>
    <col min="15622" max="15872" width="9.140625" style="137"/>
    <col min="15873" max="15873" width="6.28515625" style="137" bestFit="1" customWidth="1"/>
    <col min="15874" max="15874" width="10.28515625" style="137" bestFit="1" customWidth="1"/>
    <col min="15875" max="15875" width="14.42578125" style="137" bestFit="1" customWidth="1"/>
    <col min="15876" max="15876" width="9.7109375" style="137" bestFit="1" customWidth="1"/>
    <col min="15877" max="15877" width="13.7109375" style="137" bestFit="1" customWidth="1"/>
    <col min="15878" max="16128" width="9.140625" style="137"/>
    <col min="16129" max="16129" width="6.28515625" style="137" bestFit="1" customWidth="1"/>
    <col min="16130" max="16130" width="10.28515625" style="137" bestFit="1" customWidth="1"/>
    <col min="16131" max="16131" width="14.42578125" style="137" bestFit="1" customWidth="1"/>
    <col min="16132" max="16132" width="9.7109375" style="137" bestFit="1" customWidth="1"/>
    <col min="16133" max="16133" width="13.7109375" style="137" bestFit="1" customWidth="1"/>
    <col min="16134" max="16384" width="9.140625" style="137"/>
  </cols>
  <sheetData>
    <row r="1" spans="1:17" x14ac:dyDescent="0.2">
      <c r="A1" s="196" t="s">
        <v>308</v>
      </c>
      <c r="B1" s="196" t="s">
        <v>322</v>
      </c>
      <c r="C1" s="196" t="s">
        <v>647</v>
      </c>
      <c r="D1" s="196" t="s">
        <v>328</v>
      </c>
      <c r="E1" s="196" t="s">
        <v>648</v>
      </c>
      <c r="F1" s="196" t="s">
        <v>326</v>
      </c>
    </row>
    <row r="2" spans="1:17" ht="15" x14ac:dyDescent="0.25">
      <c r="A2" s="137" t="s">
        <v>313</v>
      </c>
      <c r="B2" s="137" t="s">
        <v>649</v>
      </c>
      <c r="C2" s="137">
        <v>2010001</v>
      </c>
      <c r="D2" s="197">
        <v>40179</v>
      </c>
      <c r="E2" s="139" t="s">
        <v>650</v>
      </c>
      <c r="F2" s="138">
        <v>109.39</v>
      </c>
    </row>
    <row r="3" spans="1:17" ht="15" x14ac:dyDescent="0.25">
      <c r="A3" s="137" t="s">
        <v>313</v>
      </c>
      <c r="B3" s="137" t="s">
        <v>649</v>
      </c>
      <c r="C3" s="137">
        <v>2010002</v>
      </c>
      <c r="D3" s="197">
        <v>40179</v>
      </c>
      <c r="E3" s="139" t="s">
        <v>651</v>
      </c>
      <c r="F3" s="138">
        <v>37.520000000000003</v>
      </c>
    </row>
    <row r="4" spans="1:17" ht="15" x14ac:dyDescent="0.25">
      <c r="A4" s="137" t="s">
        <v>313</v>
      </c>
      <c r="B4" s="137" t="s">
        <v>652</v>
      </c>
      <c r="C4" s="137">
        <v>2010003</v>
      </c>
      <c r="D4" s="197">
        <v>40179</v>
      </c>
      <c r="E4" s="139" t="s">
        <v>650</v>
      </c>
      <c r="F4" s="138">
        <v>512.91999999999996</v>
      </c>
      <c r="H4" s="7" t="s">
        <v>330</v>
      </c>
      <c r="I4" s="7" t="s">
        <v>664</v>
      </c>
      <c r="J4"/>
      <c r="K4"/>
    </row>
    <row r="5" spans="1:17" ht="15" x14ac:dyDescent="0.25">
      <c r="A5" s="137" t="s">
        <v>311</v>
      </c>
      <c r="B5" s="137" t="s">
        <v>653</v>
      </c>
      <c r="C5" s="137">
        <v>2010004</v>
      </c>
      <c r="D5" s="197">
        <v>40184</v>
      </c>
      <c r="E5" s="139" t="s">
        <v>650</v>
      </c>
      <c r="F5" s="138">
        <v>508.09</v>
      </c>
      <c r="H5" s="7" t="s">
        <v>665</v>
      </c>
      <c r="I5" t="s">
        <v>662</v>
      </c>
      <c r="J5" t="s">
        <v>663</v>
      </c>
      <c r="K5" t="s">
        <v>249</v>
      </c>
    </row>
    <row r="6" spans="1:17" ht="15" x14ac:dyDescent="0.25">
      <c r="A6" s="137" t="s">
        <v>313</v>
      </c>
      <c r="B6" s="137" t="s">
        <v>654</v>
      </c>
      <c r="C6" s="137">
        <v>2010005</v>
      </c>
      <c r="D6" s="197">
        <v>40184</v>
      </c>
      <c r="E6" s="139" t="s">
        <v>650</v>
      </c>
      <c r="F6" s="138">
        <v>935.59</v>
      </c>
      <c r="H6" s="2" t="s">
        <v>332</v>
      </c>
      <c r="I6" s="95">
        <v>67163.89</v>
      </c>
      <c r="J6" s="95">
        <v>106274.62999999999</v>
      </c>
      <c r="K6" s="95">
        <v>173438.52</v>
      </c>
    </row>
    <row r="7" spans="1:17" ht="15" x14ac:dyDescent="0.25">
      <c r="A7" s="137" t="s">
        <v>311</v>
      </c>
      <c r="B7" s="137" t="s">
        <v>655</v>
      </c>
      <c r="C7" s="137">
        <v>2010006</v>
      </c>
      <c r="D7" s="197">
        <v>40184</v>
      </c>
      <c r="E7" s="139" t="s">
        <v>650</v>
      </c>
      <c r="F7" s="138">
        <v>709.27</v>
      </c>
      <c r="H7" s="2" t="s">
        <v>333</v>
      </c>
      <c r="I7" s="95">
        <v>66894.239999999991</v>
      </c>
      <c r="J7" s="95">
        <v>80519.870000000024</v>
      </c>
      <c r="K7" s="95">
        <v>147414.11000000002</v>
      </c>
    </row>
    <row r="8" spans="1:17" ht="15" x14ac:dyDescent="0.25">
      <c r="A8" s="137" t="s">
        <v>313</v>
      </c>
      <c r="B8" s="137" t="s">
        <v>654</v>
      </c>
      <c r="C8" s="137">
        <v>2010007</v>
      </c>
      <c r="D8" s="197">
        <v>40185</v>
      </c>
      <c r="E8" s="139" t="s">
        <v>650</v>
      </c>
      <c r="F8" s="138">
        <v>752.04</v>
      </c>
      <c r="H8" s="2" t="s">
        <v>334</v>
      </c>
      <c r="I8" s="95">
        <v>58218.18</v>
      </c>
      <c r="J8" s="95">
        <v>84199.47000000003</v>
      </c>
      <c r="K8" s="95">
        <v>142417.65000000002</v>
      </c>
    </row>
    <row r="9" spans="1:17" ht="15" x14ac:dyDescent="0.25">
      <c r="A9" s="137" t="s">
        <v>313</v>
      </c>
      <c r="B9" s="137" t="s">
        <v>656</v>
      </c>
      <c r="C9" s="137">
        <v>2010008</v>
      </c>
      <c r="D9" s="197">
        <v>40186</v>
      </c>
      <c r="E9" s="139" t="s">
        <v>650</v>
      </c>
      <c r="F9" s="138">
        <v>398.5</v>
      </c>
      <c r="H9" s="2" t="s">
        <v>335</v>
      </c>
      <c r="I9" s="95">
        <v>58973.360000000008</v>
      </c>
      <c r="J9" s="95">
        <v>79336.959999999977</v>
      </c>
      <c r="K9" s="95">
        <v>138310.31999999998</v>
      </c>
    </row>
    <row r="10" spans="1:17" ht="15" x14ac:dyDescent="0.25">
      <c r="A10" s="137" t="s">
        <v>313</v>
      </c>
      <c r="B10" s="137" t="s">
        <v>649</v>
      </c>
      <c r="C10" s="137">
        <v>2010009</v>
      </c>
      <c r="D10" s="197">
        <v>40186</v>
      </c>
      <c r="E10" s="139" t="s">
        <v>651</v>
      </c>
      <c r="F10" s="138">
        <v>887.84</v>
      </c>
      <c r="H10" s="2" t="s">
        <v>249</v>
      </c>
      <c r="I10" s="95">
        <v>251249.67</v>
      </c>
      <c r="J10" s="95">
        <v>350330.93</v>
      </c>
      <c r="K10" s="95">
        <v>601580.6</v>
      </c>
    </row>
    <row r="11" spans="1:17" ht="15" x14ac:dyDescent="0.25">
      <c r="A11" s="137" t="s">
        <v>313</v>
      </c>
      <c r="B11" s="137" t="s">
        <v>657</v>
      </c>
      <c r="C11" s="137">
        <v>2010010</v>
      </c>
      <c r="D11" s="197">
        <v>40187</v>
      </c>
      <c r="E11" s="139" t="s">
        <v>651</v>
      </c>
      <c r="F11" s="138">
        <v>908.22</v>
      </c>
      <c r="H11"/>
      <c r="I11"/>
      <c r="J11"/>
    </row>
    <row r="12" spans="1:17" ht="15" x14ac:dyDescent="0.25">
      <c r="A12" s="137" t="s">
        <v>311</v>
      </c>
      <c r="B12" s="137" t="s">
        <v>658</v>
      </c>
      <c r="C12" s="137">
        <v>2010011</v>
      </c>
      <c r="D12" s="197">
        <v>40188</v>
      </c>
      <c r="E12" s="139" t="s">
        <v>651</v>
      </c>
      <c r="F12" s="138">
        <v>349.06</v>
      </c>
      <c r="H12"/>
      <c r="I12"/>
      <c r="J12"/>
    </row>
    <row r="13" spans="1:17" ht="15" x14ac:dyDescent="0.25">
      <c r="A13" s="137" t="s">
        <v>313</v>
      </c>
      <c r="B13" s="137" t="s">
        <v>652</v>
      </c>
      <c r="C13" s="137">
        <v>2010012</v>
      </c>
      <c r="D13" s="197">
        <v>40188</v>
      </c>
      <c r="E13" s="139" t="s">
        <v>651</v>
      </c>
      <c r="F13" s="138">
        <v>901.96</v>
      </c>
      <c r="H13"/>
      <c r="I13"/>
      <c r="J13"/>
      <c r="N13" s="7" t="s">
        <v>330</v>
      </c>
      <c r="O13" s="7" t="s">
        <v>331</v>
      </c>
      <c r="P13"/>
      <c r="Q13"/>
    </row>
    <row r="14" spans="1:17" ht="15" x14ac:dyDescent="0.25">
      <c r="A14" s="137" t="s">
        <v>313</v>
      </c>
      <c r="B14" s="137" t="s">
        <v>652</v>
      </c>
      <c r="C14" s="137">
        <v>2010013</v>
      </c>
      <c r="D14" s="197">
        <v>40191</v>
      </c>
      <c r="E14" s="139" t="s">
        <v>651</v>
      </c>
      <c r="F14" s="138">
        <v>1037.8599999999999</v>
      </c>
      <c r="H14"/>
      <c r="I14"/>
      <c r="J14"/>
      <c r="N14" s="7" t="s">
        <v>329</v>
      </c>
      <c r="O14" t="s">
        <v>651</v>
      </c>
      <c r="P14" t="s">
        <v>650</v>
      </c>
      <c r="Q14" t="s">
        <v>249</v>
      </c>
    </row>
    <row r="15" spans="1:17" ht="15" x14ac:dyDescent="0.25">
      <c r="A15" s="137" t="s">
        <v>313</v>
      </c>
      <c r="B15" s="137" t="s">
        <v>656</v>
      </c>
      <c r="C15" s="137">
        <v>2010014</v>
      </c>
      <c r="D15" s="197">
        <v>40191</v>
      </c>
      <c r="E15" s="139" t="s">
        <v>651</v>
      </c>
      <c r="F15" s="138">
        <v>710.33</v>
      </c>
      <c r="H15"/>
      <c r="I15"/>
      <c r="J15"/>
      <c r="N15" s="2" t="s">
        <v>652</v>
      </c>
      <c r="O15" s="140">
        <v>52746.069999999963</v>
      </c>
      <c r="P15" s="140">
        <v>51973.789999999979</v>
      </c>
      <c r="Q15" s="140">
        <v>104719.85999999994</v>
      </c>
    </row>
    <row r="16" spans="1:17" ht="15" x14ac:dyDescent="0.25">
      <c r="A16" s="137" t="s">
        <v>313</v>
      </c>
      <c r="B16" s="137" t="s">
        <v>654</v>
      </c>
      <c r="C16" s="137">
        <v>2010015</v>
      </c>
      <c r="D16" s="197">
        <v>40191</v>
      </c>
      <c r="E16" s="139" t="s">
        <v>651</v>
      </c>
      <c r="F16" s="138">
        <v>169.25</v>
      </c>
      <c r="H16"/>
      <c r="I16"/>
      <c r="J16"/>
      <c r="N16" s="2" t="s">
        <v>661</v>
      </c>
      <c r="O16" s="140">
        <v>8198.380000000001</v>
      </c>
      <c r="P16" s="140">
        <v>4697.58</v>
      </c>
      <c r="Q16" s="140">
        <v>12895.960000000001</v>
      </c>
    </row>
    <row r="17" spans="1:17" ht="15" x14ac:dyDescent="0.25">
      <c r="A17" s="137" t="s">
        <v>313</v>
      </c>
      <c r="B17" s="137" t="s">
        <v>652</v>
      </c>
      <c r="C17" s="137">
        <v>2010016</v>
      </c>
      <c r="D17" s="197">
        <v>40191</v>
      </c>
      <c r="E17" s="139" t="s">
        <v>650</v>
      </c>
      <c r="F17" s="138">
        <v>1058.72</v>
      </c>
      <c r="H17"/>
      <c r="I17"/>
      <c r="J17"/>
      <c r="N17" s="2" t="s">
        <v>657</v>
      </c>
      <c r="O17" s="140">
        <v>41053.30000000001</v>
      </c>
      <c r="P17" s="140">
        <v>34337.910000000011</v>
      </c>
      <c r="Q17" s="140">
        <v>75391.210000000021</v>
      </c>
    </row>
    <row r="18" spans="1:17" ht="15" x14ac:dyDescent="0.25">
      <c r="A18" s="137" t="s">
        <v>313</v>
      </c>
      <c r="B18" s="137" t="s">
        <v>649</v>
      </c>
      <c r="C18" s="137">
        <v>2010017</v>
      </c>
      <c r="D18" s="197">
        <v>40192</v>
      </c>
      <c r="E18" s="139" t="s">
        <v>651</v>
      </c>
      <c r="F18" s="138">
        <v>1005.3</v>
      </c>
      <c r="H18"/>
      <c r="I18"/>
      <c r="J18"/>
      <c r="N18" s="2" t="s">
        <v>658</v>
      </c>
      <c r="O18" s="140">
        <v>10409.640000000001</v>
      </c>
      <c r="P18" s="140">
        <v>14405.000000000002</v>
      </c>
      <c r="Q18" s="140">
        <v>24814.640000000003</v>
      </c>
    </row>
    <row r="19" spans="1:17" ht="15" x14ac:dyDescent="0.25">
      <c r="A19" s="137" t="s">
        <v>313</v>
      </c>
      <c r="B19" s="137" t="s">
        <v>657</v>
      </c>
      <c r="C19" s="137">
        <v>2010018</v>
      </c>
      <c r="D19" s="197">
        <v>40193</v>
      </c>
      <c r="E19" s="139" t="s">
        <v>650</v>
      </c>
      <c r="F19" s="138">
        <v>1113.06</v>
      </c>
      <c r="H19"/>
      <c r="I19"/>
      <c r="J19"/>
      <c r="N19" s="2" t="s">
        <v>653</v>
      </c>
      <c r="O19" s="140">
        <v>20413.93</v>
      </c>
      <c r="P19" s="140">
        <v>24458.660000000003</v>
      </c>
      <c r="Q19" s="140">
        <v>44872.590000000004</v>
      </c>
    </row>
    <row r="20" spans="1:17" ht="15" x14ac:dyDescent="0.25">
      <c r="A20" s="137" t="s">
        <v>313</v>
      </c>
      <c r="B20" s="137" t="s">
        <v>649</v>
      </c>
      <c r="C20" s="137">
        <v>2010019</v>
      </c>
      <c r="D20" s="197">
        <v>40194</v>
      </c>
      <c r="E20" s="139" t="s">
        <v>651</v>
      </c>
      <c r="F20" s="138">
        <v>204.71</v>
      </c>
      <c r="H20"/>
      <c r="I20"/>
      <c r="J20"/>
      <c r="N20" s="2" t="s">
        <v>649</v>
      </c>
      <c r="O20" s="140">
        <v>43955.740000000005</v>
      </c>
      <c r="P20" s="140">
        <v>27947.930000000004</v>
      </c>
      <c r="Q20" s="140">
        <v>71903.670000000013</v>
      </c>
    </row>
    <row r="21" spans="1:17" ht="15" x14ac:dyDescent="0.25">
      <c r="A21" s="137" t="s">
        <v>311</v>
      </c>
      <c r="B21" s="137" t="s">
        <v>655</v>
      </c>
      <c r="C21" s="137">
        <v>2010020</v>
      </c>
      <c r="D21" s="197">
        <v>40195</v>
      </c>
      <c r="E21" s="139" t="s">
        <v>651</v>
      </c>
      <c r="F21" s="138">
        <v>32.909999999999997</v>
      </c>
      <c r="H21"/>
      <c r="I21"/>
      <c r="J21"/>
      <c r="N21" s="2" t="s">
        <v>656</v>
      </c>
      <c r="O21" s="140">
        <v>53014.919999999976</v>
      </c>
      <c r="P21" s="140">
        <v>44373.169999999991</v>
      </c>
      <c r="Q21" s="140">
        <v>97388.089999999967</v>
      </c>
    </row>
    <row r="22" spans="1:17" ht="15" x14ac:dyDescent="0.25">
      <c r="A22" s="137" t="s">
        <v>313</v>
      </c>
      <c r="B22" s="137" t="s">
        <v>652</v>
      </c>
      <c r="C22" s="137">
        <v>2010021</v>
      </c>
      <c r="D22" s="197">
        <v>40195</v>
      </c>
      <c r="E22" s="139" t="s">
        <v>651</v>
      </c>
      <c r="F22" s="138">
        <v>618.63</v>
      </c>
      <c r="H22"/>
      <c r="I22"/>
      <c r="N22" s="2" t="s">
        <v>660</v>
      </c>
      <c r="O22" s="140">
        <v>10775.25</v>
      </c>
      <c r="P22" s="140">
        <v>9226.119999999999</v>
      </c>
      <c r="Q22" s="140">
        <v>20001.37</v>
      </c>
    </row>
    <row r="23" spans="1:17" ht="15" x14ac:dyDescent="0.25">
      <c r="A23" s="137" t="s">
        <v>313</v>
      </c>
      <c r="B23" s="137" t="s">
        <v>656</v>
      </c>
      <c r="C23" s="137">
        <v>2010022</v>
      </c>
      <c r="D23" s="197">
        <v>40195</v>
      </c>
      <c r="E23" s="139" t="s">
        <v>651</v>
      </c>
      <c r="F23" s="138">
        <v>278</v>
      </c>
      <c r="H23"/>
      <c r="I23"/>
      <c r="N23" s="2" t="s">
        <v>654</v>
      </c>
      <c r="O23" s="140">
        <v>32382.55</v>
      </c>
      <c r="P23" s="140">
        <v>38371.99000000002</v>
      </c>
      <c r="Q23" s="140">
        <v>70754.540000000023</v>
      </c>
    </row>
    <row r="24" spans="1:17" ht="15" x14ac:dyDescent="0.25">
      <c r="A24" s="137" t="s">
        <v>313</v>
      </c>
      <c r="B24" s="137" t="s">
        <v>656</v>
      </c>
      <c r="C24" s="137">
        <v>2010023</v>
      </c>
      <c r="D24" s="197">
        <v>40198</v>
      </c>
      <c r="E24" s="139" t="s">
        <v>651</v>
      </c>
      <c r="F24" s="138">
        <v>599.09</v>
      </c>
      <c r="H24"/>
      <c r="I24"/>
      <c r="N24" s="2" t="s">
        <v>655</v>
      </c>
      <c r="O24" s="140">
        <v>21307.209999999995</v>
      </c>
      <c r="P24" s="140">
        <v>24131.77</v>
      </c>
      <c r="Q24" s="140">
        <v>45438.979999999996</v>
      </c>
    </row>
    <row r="25" spans="1:17" ht="15" x14ac:dyDescent="0.25">
      <c r="A25" s="137" t="s">
        <v>313</v>
      </c>
      <c r="B25" s="137" t="s">
        <v>656</v>
      </c>
      <c r="C25" s="137">
        <v>2010024</v>
      </c>
      <c r="D25" s="197">
        <v>40198</v>
      </c>
      <c r="E25" s="139" t="s">
        <v>650</v>
      </c>
      <c r="F25" s="138">
        <v>312.58</v>
      </c>
      <c r="H25"/>
      <c r="I25"/>
      <c r="N25" s="2" t="s">
        <v>659</v>
      </c>
      <c r="O25" s="140">
        <v>16639.099999999999</v>
      </c>
      <c r="P25" s="140">
        <v>16760.59</v>
      </c>
      <c r="Q25" s="140">
        <v>33399.69</v>
      </c>
    </row>
    <row r="26" spans="1:17" ht="15" x14ac:dyDescent="0.25">
      <c r="A26" s="137" t="s">
        <v>313</v>
      </c>
      <c r="B26" s="137" t="s">
        <v>652</v>
      </c>
      <c r="C26" s="137">
        <v>2010025</v>
      </c>
      <c r="D26" s="197">
        <v>40198</v>
      </c>
      <c r="E26" s="139" t="s">
        <v>650</v>
      </c>
      <c r="F26" s="138">
        <v>827.39</v>
      </c>
      <c r="H26"/>
      <c r="I26"/>
      <c r="N26" s="2" t="s">
        <v>249</v>
      </c>
      <c r="O26" s="140">
        <v>310896.08999999997</v>
      </c>
      <c r="P26" s="140">
        <v>290684.51</v>
      </c>
      <c r="Q26" s="140">
        <v>601580.60000000009</v>
      </c>
    </row>
    <row r="27" spans="1:17" ht="15" x14ac:dyDescent="0.25">
      <c r="A27" s="137" t="s">
        <v>313</v>
      </c>
      <c r="B27" s="137" t="s">
        <v>652</v>
      </c>
      <c r="C27" s="137">
        <v>2010026</v>
      </c>
      <c r="D27" s="197">
        <v>40200</v>
      </c>
      <c r="E27" s="139" t="s">
        <v>650</v>
      </c>
      <c r="F27" s="138">
        <v>877.66</v>
      </c>
      <c r="H27"/>
      <c r="I27"/>
      <c r="N27"/>
      <c r="O27"/>
      <c r="P27"/>
    </row>
    <row r="28" spans="1:17" ht="15" x14ac:dyDescent="0.25">
      <c r="A28" s="137" t="s">
        <v>313</v>
      </c>
      <c r="B28" s="137" t="s">
        <v>656</v>
      </c>
      <c r="C28" s="137">
        <v>2010027</v>
      </c>
      <c r="D28" s="197">
        <v>40201</v>
      </c>
      <c r="E28" s="139" t="s">
        <v>651</v>
      </c>
      <c r="F28" s="138">
        <v>753.22</v>
      </c>
      <c r="H28"/>
      <c r="I28"/>
      <c r="N28"/>
      <c r="O28"/>
      <c r="P28"/>
    </row>
    <row r="29" spans="1:17" ht="15" x14ac:dyDescent="0.25">
      <c r="A29" s="137" t="s">
        <v>313</v>
      </c>
      <c r="B29" s="137" t="s">
        <v>656</v>
      </c>
      <c r="C29" s="137">
        <v>2010028</v>
      </c>
      <c r="D29" s="197">
        <v>40201</v>
      </c>
      <c r="E29" s="139" t="s">
        <v>650</v>
      </c>
      <c r="F29" s="138">
        <v>307.93</v>
      </c>
      <c r="H29"/>
      <c r="I29"/>
      <c r="N29"/>
      <c r="O29"/>
      <c r="P29"/>
    </row>
    <row r="30" spans="1:17" ht="15" x14ac:dyDescent="0.25">
      <c r="A30" s="137" t="s">
        <v>313</v>
      </c>
      <c r="B30" s="137" t="s">
        <v>652</v>
      </c>
      <c r="C30" s="137">
        <v>2010029</v>
      </c>
      <c r="D30" s="197">
        <v>40201</v>
      </c>
      <c r="E30" s="139" t="s">
        <v>650</v>
      </c>
      <c r="F30" s="138">
        <v>46.7</v>
      </c>
      <c r="H30"/>
      <c r="I30"/>
      <c r="N30"/>
      <c r="O30"/>
      <c r="P30"/>
    </row>
    <row r="31" spans="1:17" ht="15" x14ac:dyDescent="0.25">
      <c r="A31" s="137" t="s">
        <v>311</v>
      </c>
      <c r="B31" s="137" t="s">
        <v>659</v>
      </c>
      <c r="C31" s="137">
        <v>2010030</v>
      </c>
      <c r="D31" s="197">
        <v>40202</v>
      </c>
      <c r="E31" s="139" t="s">
        <v>651</v>
      </c>
      <c r="F31" s="138">
        <v>195.89</v>
      </c>
      <c r="H31"/>
      <c r="I31"/>
    </row>
    <row r="32" spans="1:17" ht="15" x14ac:dyDescent="0.25">
      <c r="A32" s="137" t="s">
        <v>313</v>
      </c>
      <c r="B32" s="137" t="s">
        <v>656</v>
      </c>
      <c r="C32" s="137">
        <v>2010031</v>
      </c>
      <c r="D32" s="197">
        <v>40202</v>
      </c>
      <c r="E32" s="139" t="s">
        <v>651</v>
      </c>
      <c r="F32" s="138">
        <v>972.14</v>
      </c>
      <c r="H32"/>
      <c r="I32"/>
    </row>
    <row r="33" spans="1:9" ht="15" x14ac:dyDescent="0.25">
      <c r="A33" s="137" t="s">
        <v>311</v>
      </c>
      <c r="B33" s="137" t="s">
        <v>655</v>
      </c>
      <c r="C33" s="137">
        <v>2010032</v>
      </c>
      <c r="D33" s="197">
        <v>40202</v>
      </c>
      <c r="E33" s="139" t="s">
        <v>650</v>
      </c>
      <c r="F33" s="138">
        <v>981.04</v>
      </c>
      <c r="H33"/>
      <c r="I33"/>
    </row>
    <row r="34" spans="1:9" ht="15" x14ac:dyDescent="0.25">
      <c r="A34" s="137" t="s">
        <v>313</v>
      </c>
      <c r="B34" s="137" t="s">
        <v>652</v>
      </c>
      <c r="C34" s="137">
        <v>2010033</v>
      </c>
      <c r="D34" s="197">
        <v>40205</v>
      </c>
      <c r="E34" s="139" t="s">
        <v>650</v>
      </c>
      <c r="F34" s="138">
        <v>1188</v>
      </c>
      <c r="H34"/>
      <c r="I34"/>
    </row>
    <row r="35" spans="1:9" ht="15" x14ac:dyDescent="0.25">
      <c r="A35" s="137" t="s">
        <v>313</v>
      </c>
      <c r="B35" s="137" t="s">
        <v>654</v>
      </c>
      <c r="C35" s="137">
        <v>2010034</v>
      </c>
      <c r="D35" s="197">
        <v>40205</v>
      </c>
      <c r="E35" s="139" t="s">
        <v>651</v>
      </c>
      <c r="F35" s="138">
        <v>1106.73</v>
      </c>
      <c r="H35"/>
      <c r="I35"/>
    </row>
    <row r="36" spans="1:9" ht="15" x14ac:dyDescent="0.25">
      <c r="A36" s="137" t="s">
        <v>313</v>
      </c>
      <c r="B36" s="137" t="s">
        <v>656</v>
      </c>
      <c r="C36" s="137">
        <v>2010035</v>
      </c>
      <c r="D36" s="197">
        <v>40206</v>
      </c>
      <c r="E36" s="139" t="s">
        <v>651</v>
      </c>
      <c r="F36" s="138">
        <v>1077.24</v>
      </c>
      <c r="H36"/>
      <c r="I36"/>
    </row>
    <row r="37" spans="1:9" ht="15" x14ac:dyDescent="0.25">
      <c r="A37" s="137" t="s">
        <v>313</v>
      </c>
      <c r="B37" s="137" t="s">
        <v>656</v>
      </c>
      <c r="C37" s="137">
        <v>2010036</v>
      </c>
      <c r="D37" s="197">
        <v>40207</v>
      </c>
      <c r="E37" s="139" t="s">
        <v>651</v>
      </c>
      <c r="F37" s="138">
        <v>705.76</v>
      </c>
      <c r="H37"/>
      <c r="I37"/>
    </row>
    <row r="38" spans="1:9" ht="15" x14ac:dyDescent="0.25">
      <c r="A38" s="137" t="s">
        <v>313</v>
      </c>
      <c r="B38" s="137" t="s">
        <v>657</v>
      </c>
      <c r="C38" s="137">
        <v>2010037</v>
      </c>
      <c r="D38" s="197">
        <v>40208</v>
      </c>
      <c r="E38" s="139" t="s">
        <v>651</v>
      </c>
      <c r="F38" s="138">
        <v>100.27</v>
      </c>
      <c r="H38"/>
      <c r="I38"/>
    </row>
    <row r="39" spans="1:9" ht="15" x14ac:dyDescent="0.25">
      <c r="A39" s="137" t="s">
        <v>313</v>
      </c>
      <c r="B39" s="137" t="s">
        <v>656</v>
      </c>
      <c r="C39" s="137">
        <v>2010038</v>
      </c>
      <c r="D39" s="197">
        <v>40210</v>
      </c>
      <c r="E39" s="139" t="s">
        <v>650</v>
      </c>
      <c r="F39" s="138">
        <v>662.07</v>
      </c>
      <c r="H39"/>
      <c r="I39"/>
    </row>
    <row r="40" spans="1:9" ht="15" x14ac:dyDescent="0.25">
      <c r="A40" s="137" t="s">
        <v>313</v>
      </c>
      <c r="B40" s="137" t="s">
        <v>654</v>
      </c>
      <c r="C40" s="137">
        <v>2010039</v>
      </c>
      <c r="D40" s="197">
        <v>40210</v>
      </c>
      <c r="E40" s="139" t="s">
        <v>651</v>
      </c>
      <c r="F40" s="138">
        <v>457.08</v>
      </c>
      <c r="H40"/>
      <c r="I40"/>
    </row>
    <row r="41" spans="1:9" ht="15" x14ac:dyDescent="0.25">
      <c r="A41" s="137" t="s">
        <v>313</v>
      </c>
      <c r="B41" s="137" t="s">
        <v>652</v>
      </c>
      <c r="C41" s="137">
        <v>2010040</v>
      </c>
      <c r="D41" s="197">
        <v>40210</v>
      </c>
      <c r="E41" s="139" t="s">
        <v>651</v>
      </c>
      <c r="F41" s="138">
        <v>667.55</v>
      </c>
      <c r="H41"/>
      <c r="I41"/>
    </row>
    <row r="42" spans="1:9" ht="15" x14ac:dyDescent="0.25">
      <c r="A42" s="137" t="s">
        <v>311</v>
      </c>
      <c r="B42" s="137" t="s">
        <v>658</v>
      </c>
      <c r="C42" s="137">
        <v>2010041</v>
      </c>
      <c r="D42" s="197">
        <v>40211</v>
      </c>
      <c r="E42" s="139" t="s">
        <v>650</v>
      </c>
      <c r="F42" s="138">
        <v>1080.3800000000001</v>
      </c>
      <c r="H42"/>
      <c r="I42"/>
    </row>
    <row r="43" spans="1:9" ht="15" x14ac:dyDescent="0.25">
      <c r="A43" s="137" t="s">
        <v>313</v>
      </c>
      <c r="B43" s="137" t="s">
        <v>656</v>
      </c>
      <c r="C43" s="137">
        <v>2010042</v>
      </c>
      <c r="D43" s="197">
        <v>40211</v>
      </c>
      <c r="E43" s="139" t="s">
        <v>651</v>
      </c>
      <c r="F43" s="138">
        <v>50.62</v>
      </c>
      <c r="H43"/>
      <c r="I43"/>
    </row>
    <row r="44" spans="1:9" ht="15" x14ac:dyDescent="0.25">
      <c r="A44" s="137" t="s">
        <v>311</v>
      </c>
      <c r="B44" s="137" t="s">
        <v>655</v>
      </c>
      <c r="C44" s="137">
        <v>2010043</v>
      </c>
      <c r="D44" s="197">
        <v>40211</v>
      </c>
      <c r="E44" s="139" t="s">
        <v>651</v>
      </c>
      <c r="F44" s="138">
        <v>431.76</v>
      </c>
      <c r="H44"/>
      <c r="I44"/>
    </row>
    <row r="45" spans="1:9" ht="15" x14ac:dyDescent="0.25">
      <c r="A45" s="137" t="s">
        <v>311</v>
      </c>
      <c r="B45" s="137" t="s">
        <v>655</v>
      </c>
      <c r="C45" s="137">
        <v>2010044</v>
      </c>
      <c r="D45" s="197">
        <v>40212</v>
      </c>
      <c r="E45" s="139" t="s">
        <v>651</v>
      </c>
      <c r="F45" s="138">
        <v>838.84</v>
      </c>
      <c r="H45"/>
      <c r="I45"/>
    </row>
    <row r="46" spans="1:9" ht="15" x14ac:dyDescent="0.25">
      <c r="A46" s="137" t="s">
        <v>313</v>
      </c>
      <c r="B46" s="137" t="s">
        <v>656</v>
      </c>
      <c r="C46" s="137">
        <v>2010045</v>
      </c>
      <c r="D46" s="197">
        <v>40213</v>
      </c>
      <c r="E46" s="139" t="s">
        <v>651</v>
      </c>
      <c r="F46" s="138">
        <v>420.63</v>
      </c>
      <c r="H46"/>
      <c r="I46"/>
    </row>
    <row r="47" spans="1:9" ht="15" x14ac:dyDescent="0.25">
      <c r="A47" s="137" t="s">
        <v>313</v>
      </c>
      <c r="B47" s="137" t="s">
        <v>652</v>
      </c>
      <c r="C47" s="137">
        <v>2010046</v>
      </c>
      <c r="D47" s="197">
        <v>40213</v>
      </c>
      <c r="E47" s="139" t="s">
        <v>650</v>
      </c>
      <c r="F47" s="138">
        <v>804.81</v>
      </c>
      <c r="H47"/>
      <c r="I47"/>
    </row>
    <row r="48" spans="1:9" ht="15" x14ac:dyDescent="0.25">
      <c r="A48" s="137" t="s">
        <v>311</v>
      </c>
      <c r="B48" s="137" t="s">
        <v>655</v>
      </c>
      <c r="C48" s="137">
        <v>2010047</v>
      </c>
      <c r="D48" s="197">
        <v>40214</v>
      </c>
      <c r="E48" s="139" t="s">
        <v>651</v>
      </c>
      <c r="F48" s="138">
        <v>756.84</v>
      </c>
      <c r="H48"/>
      <c r="I48"/>
    </row>
    <row r="49" spans="1:9" ht="15" x14ac:dyDescent="0.25">
      <c r="A49" s="137" t="s">
        <v>311</v>
      </c>
      <c r="B49" s="137" t="s">
        <v>658</v>
      </c>
      <c r="C49" s="137">
        <v>2010048</v>
      </c>
      <c r="D49" s="197">
        <v>40214</v>
      </c>
      <c r="E49" s="139" t="s">
        <v>651</v>
      </c>
      <c r="F49" s="138">
        <v>718.23</v>
      </c>
      <c r="H49"/>
      <c r="I49"/>
    </row>
    <row r="50" spans="1:9" ht="15" x14ac:dyDescent="0.25">
      <c r="A50" s="137" t="s">
        <v>311</v>
      </c>
      <c r="B50" s="137" t="s">
        <v>655</v>
      </c>
      <c r="C50" s="137">
        <v>2010049</v>
      </c>
      <c r="D50" s="197">
        <v>40217</v>
      </c>
      <c r="E50" s="139" t="s">
        <v>650</v>
      </c>
      <c r="F50" s="138">
        <v>464.07</v>
      </c>
      <c r="H50"/>
      <c r="I50"/>
    </row>
    <row r="51" spans="1:9" ht="15" x14ac:dyDescent="0.25">
      <c r="A51" s="137" t="s">
        <v>311</v>
      </c>
      <c r="B51" s="137" t="s">
        <v>658</v>
      </c>
      <c r="C51" s="137">
        <v>2010050</v>
      </c>
      <c r="D51" s="197">
        <v>40217</v>
      </c>
      <c r="E51" s="139" t="s">
        <v>651</v>
      </c>
      <c r="F51" s="138">
        <v>764.12</v>
      </c>
      <c r="H51"/>
      <c r="I51"/>
    </row>
    <row r="52" spans="1:9" ht="15" x14ac:dyDescent="0.25">
      <c r="A52" s="137" t="s">
        <v>313</v>
      </c>
      <c r="B52" s="137" t="s">
        <v>649</v>
      </c>
      <c r="C52" s="137">
        <v>2010051</v>
      </c>
      <c r="D52" s="197">
        <v>40217</v>
      </c>
      <c r="E52" s="139" t="s">
        <v>651</v>
      </c>
      <c r="F52" s="138">
        <v>43.92</v>
      </c>
      <c r="H52"/>
      <c r="I52"/>
    </row>
    <row r="53" spans="1:9" ht="15" x14ac:dyDescent="0.25">
      <c r="A53" s="137" t="s">
        <v>313</v>
      </c>
      <c r="B53" s="137" t="s">
        <v>649</v>
      </c>
      <c r="C53" s="137">
        <v>2010052</v>
      </c>
      <c r="D53" s="197">
        <v>40217</v>
      </c>
      <c r="E53" s="139" t="s">
        <v>651</v>
      </c>
      <c r="F53" s="138">
        <v>841.22</v>
      </c>
      <c r="H53"/>
      <c r="I53"/>
    </row>
    <row r="54" spans="1:9" ht="15" x14ac:dyDescent="0.25">
      <c r="A54" s="137" t="s">
        <v>313</v>
      </c>
      <c r="B54" s="137" t="s">
        <v>649</v>
      </c>
      <c r="C54" s="137">
        <v>2010053</v>
      </c>
      <c r="D54" s="197">
        <v>40218</v>
      </c>
      <c r="E54" s="139" t="s">
        <v>650</v>
      </c>
      <c r="F54" s="138">
        <v>901.41</v>
      </c>
      <c r="H54"/>
      <c r="I54"/>
    </row>
    <row r="55" spans="1:9" ht="15" x14ac:dyDescent="0.25">
      <c r="A55" s="137" t="s">
        <v>311</v>
      </c>
      <c r="B55" s="137" t="s">
        <v>658</v>
      </c>
      <c r="C55" s="137">
        <v>2010054</v>
      </c>
      <c r="D55" s="197">
        <v>40220</v>
      </c>
      <c r="E55" s="139" t="s">
        <v>650</v>
      </c>
      <c r="F55" s="138">
        <v>46.92</v>
      </c>
      <c r="H55"/>
      <c r="I55"/>
    </row>
    <row r="56" spans="1:9" ht="15" x14ac:dyDescent="0.25">
      <c r="A56" s="137" t="s">
        <v>313</v>
      </c>
      <c r="B56" s="137" t="s">
        <v>654</v>
      </c>
      <c r="C56" s="137">
        <v>2010055</v>
      </c>
      <c r="D56" s="197">
        <v>40220</v>
      </c>
      <c r="E56" s="139" t="s">
        <v>650</v>
      </c>
      <c r="F56" s="138">
        <v>938.88</v>
      </c>
      <c r="H56"/>
      <c r="I56"/>
    </row>
    <row r="57" spans="1:9" ht="15" x14ac:dyDescent="0.25">
      <c r="A57" s="137" t="s">
        <v>313</v>
      </c>
      <c r="B57" s="137" t="s">
        <v>654</v>
      </c>
      <c r="C57" s="137">
        <v>2010056</v>
      </c>
      <c r="D57" s="197">
        <v>40220</v>
      </c>
      <c r="E57" s="139" t="s">
        <v>650</v>
      </c>
      <c r="F57" s="138">
        <v>310.24</v>
      </c>
      <c r="H57"/>
      <c r="I57"/>
    </row>
    <row r="58" spans="1:9" ht="15" x14ac:dyDescent="0.25">
      <c r="A58" s="137" t="s">
        <v>313</v>
      </c>
      <c r="B58" s="137" t="s">
        <v>652</v>
      </c>
      <c r="C58" s="137">
        <v>2010057</v>
      </c>
      <c r="D58" s="197">
        <v>40220</v>
      </c>
      <c r="E58" s="139" t="s">
        <v>651</v>
      </c>
      <c r="F58" s="138">
        <v>183.85</v>
      </c>
      <c r="H58"/>
      <c r="I58"/>
    </row>
    <row r="59" spans="1:9" ht="15" x14ac:dyDescent="0.25">
      <c r="A59" s="137" t="s">
        <v>313</v>
      </c>
      <c r="B59" s="137" t="s">
        <v>656</v>
      </c>
      <c r="C59" s="137">
        <v>2010058</v>
      </c>
      <c r="D59" s="197">
        <v>40220</v>
      </c>
      <c r="E59" s="139" t="s">
        <v>651</v>
      </c>
      <c r="F59" s="138">
        <v>297.20999999999998</v>
      </c>
      <c r="H59"/>
      <c r="I59"/>
    </row>
    <row r="60" spans="1:9" ht="15" x14ac:dyDescent="0.25">
      <c r="A60" s="137" t="s">
        <v>313</v>
      </c>
      <c r="B60" s="137" t="s">
        <v>656</v>
      </c>
      <c r="C60" s="137">
        <v>2010059</v>
      </c>
      <c r="D60" s="197">
        <v>40221</v>
      </c>
      <c r="E60" s="139" t="s">
        <v>650</v>
      </c>
      <c r="F60" s="138">
        <v>486.13</v>
      </c>
      <c r="H60"/>
      <c r="I60"/>
    </row>
    <row r="61" spans="1:9" ht="15" x14ac:dyDescent="0.25">
      <c r="A61" s="137" t="s">
        <v>313</v>
      </c>
      <c r="B61" s="137" t="s">
        <v>657</v>
      </c>
      <c r="C61" s="137">
        <v>2010060</v>
      </c>
      <c r="D61" s="197">
        <v>40224</v>
      </c>
      <c r="E61" s="139" t="s">
        <v>651</v>
      </c>
      <c r="F61" s="138">
        <v>721.23</v>
      </c>
      <c r="H61"/>
      <c r="I61"/>
    </row>
    <row r="62" spans="1:9" ht="15" x14ac:dyDescent="0.25">
      <c r="A62" s="137" t="s">
        <v>311</v>
      </c>
      <c r="B62" s="137" t="s">
        <v>659</v>
      </c>
      <c r="C62" s="137">
        <v>2010061</v>
      </c>
      <c r="D62" s="197">
        <v>40224</v>
      </c>
      <c r="E62" s="139" t="s">
        <v>650</v>
      </c>
      <c r="F62" s="138">
        <v>644.9</v>
      </c>
      <c r="H62"/>
      <c r="I62"/>
    </row>
    <row r="63" spans="1:9" ht="15" x14ac:dyDescent="0.25">
      <c r="A63" s="137" t="s">
        <v>311</v>
      </c>
      <c r="B63" s="137" t="s">
        <v>653</v>
      </c>
      <c r="C63" s="137">
        <v>2010062</v>
      </c>
      <c r="D63" s="197">
        <v>40224</v>
      </c>
      <c r="E63" s="139" t="s">
        <v>650</v>
      </c>
      <c r="F63" s="138">
        <v>1112.55</v>
      </c>
      <c r="H63"/>
      <c r="I63"/>
    </row>
    <row r="64" spans="1:9" ht="15" x14ac:dyDescent="0.25">
      <c r="A64" s="137" t="s">
        <v>313</v>
      </c>
      <c r="B64" s="137" t="s">
        <v>654</v>
      </c>
      <c r="C64" s="137">
        <v>2010063</v>
      </c>
      <c r="D64" s="197">
        <v>40226</v>
      </c>
      <c r="E64" s="139" t="s">
        <v>650</v>
      </c>
      <c r="F64" s="138">
        <v>437.76</v>
      </c>
      <c r="H64"/>
      <c r="I64"/>
    </row>
    <row r="65" spans="1:9" ht="15" x14ac:dyDescent="0.25">
      <c r="A65" s="137" t="s">
        <v>313</v>
      </c>
      <c r="B65" s="137" t="s">
        <v>652</v>
      </c>
      <c r="C65" s="137">
        <v>2010064</v>
      </c>
      <c r="D65" s="197">
        <v>40227</v>
      </c>
      <c r="E65" s="139" t="s">
        <v>650</v>
      </c>
      <c r="F65" s="138">
        <v>822.74</v>
      </c>
      <c r="H65"/>
      <c r="I65"/>
    </row>
    <row r="66" spans="1:9" ht="15" x14ac:dyDescent="0.25">
      <c r="A66" s="137" t="s">
        <v>313</v>
      </c>
      <c r="B66" s="137" t="s">
        <v>649</v>
      </c>
      <c r="C66" s="137">
        <v>2010065</v>
      </c>
      <c r="D66" s="197">
        <v>40228</v>
      </c>
      <c r="E66" s="139" t="s">
        <v>650</v>
      </c>
      <c r="F66" s="138">
        <v>431.17</v>
      </c>
      <c r="H66"/>
      <c r="I66"/>
    </row>
    <row r="67" spans="1:9" ht="15" x14ac:dyDescent="0.25">
      <c r="A67" s="137" t="s">
        <v>311</v>
      </c>
      <c r="B67" s="137" t="s">
        <v>655</v>
      </c>
      <c r="C67" s="137">
        <v>2010066</v>
      </c>
      <c r="D67" s="197">
        <v>40231</v>
      </c>
      <c r="E67" s="139" t="s">
        <v>651</v>
      </c>
      <c r="F67" s="138">
        <v>627.74</v>
      </c>
      <c r="H67"/>
      <c r="I67"/>
    </row>
    <row r="68" spans="1:9" ht="15" x14ac:dyDescent="0.25">
      <c r="A68" s="137" t="s">
        <v>313</v>
      </c>
      <c r="B68" s="137" t="s">
        <v>656</v>
      </c>
      <c r="C68" s="137">
        <v>2010067</v>
      </c>
      <c r="D68" s="197">
        <v>40231</v>
      </c>
      <c r="E68" s="139" t="s">
        <v>651</v>
      </c>
      <c r="F68" s="138">
        <v>774.48</v>
      </c>
      <c r="H68"/>
      <c r="I68"/>
    </row>
    <row r="69" spans="1:9" ht="15" x14ac:dyDescent="0.25">
      <c r="A69" s="137" t="s">
        <v>311</v>
      </c>
      <c r="B69" s="137" t="s">
        <v>655</v>
      </c>
      <c r="C69" s="137">
        <v>2010068</v>
      </c>
      <c r="D69" s="197">
        <v>40233</v>
      </c>
      <c r="E69" s="139" t="s">
        <v>650</v>
      </c>
      <c r="F69" s="138">
        <v>321.14</v>
      </c>
      <c r="H69"/>
      <c r="I69"/>
    </row>
    <row r="70" spans="1:9" ht="15" x14ac:dyDescent="0.25">
      <c r="A70" s="137" t="s">
        <v>313</v>
      </c>
      <c r="B70" s="137" t="s">
        <v>657</v>
      </c>
      <c r="C70" s="137">
        <v>2010069</v>
      </c>
      <c r="D70" s="197">
        <v>40233</v>
      </c>
      <c r="E70" s="139" t="s">
        <v>650</v>
      </c>
      <c r="F70" s="138">
        <v>369.81</v>
      </c>
      <c r="H70"/>
      <c r="I70"/>
    </row>
    <row r="71" spans="1:9" ht="15" x14ac:dyDescent="0.25">
      <c r="A71" s="137" t="s">
        <v>313</v>
      </c>
      <c r="B71" s="137" t="s">
        <v>657</v>
      </c>
      <c r="C71" s="137">
        <v>2010070</v>
      </c>
      <c r="D71" s="197">
        <v>40233</v>
      </c>
      <c r="E71" s="139" t="s">
        <v>651</v>
      </c>
      <c r="F71" s="138">
        <v>696.21</v>
      </c>
      <c r="H71"/>
      <c r="I71"/>
    </row>
    <row r="72" spans="1:9" ht="15" x14ac:dyDescent="0.25">
      <c r="A72" s="137" t="s">
        <v>313</v>
      </c>
      <c r="B72" s="137" t="s">
        <v>657</v>
      </c>
      <c r="C72" s="137">
        <v>2010071</v>
      </c>
      <c r="D72" s="197">
        <v>40233</v>
      </c>
      <c r="E72" s="139" t="s">
        <v>651</v>
      </c>
      <c r="F72" s="138">
        <v>188.94</v>
      </c>
      <c r="H72"/>
      <c r="I72"/>
    </row>
    <row r="73" spans="1:9" ht="15" x14ac:dyDescent="0.25">
      <c r="A73" s="137" t="s">
        <v>313</v>
      </c>
      <c r="B73" s="137" t="s">
        <v>652</v>
      </c>
      <c r="C73" s="137">
        <v>2010072</v>
      </c>
      <c r="D73" s="197">
        <v>40233</v>
      </c>
      <c r="E73" s="139" t="s">
        <v>651</v>
      </c>
      <c r="F73" s="138">
        <v>53</v>
      </c>
      <c r="H73"/>
      <c r="I73"/>
    </row>
    <row r="74" spans="1:9" ht="15" x14ac:dyDescent="0.25">
      <c r="A74" s="137" t="s">
        <v>313</v>
      </c>
      <c r="B74" s="137" t="s">
        <v>657</v>
      </c>
      <c r="C74" s="137">
        <v>2010073</v>
      </c>
      <c r="D74" s="197">
        <v>40234</v>
      </c>
      <c r="E74" s="139" t="s">
        <v>651</v>
      </c>
      <c r="F74" s="138">
        <v>282.98</v>
      </c>
      <c r="H74"/>
      <c r="I74"/>
    </row>
    <row r="75" spans="1:9" ht="15" x14ac:dyDescent="0.25">
      <c r="A75" s="137" t="s">
        <v>313</v>
      </c>
      <c r="B75" s="137" t="s">
        <v>656</v>
      </c>
      <c r="C75" s="137">
        <v>2010074</v>
      </c>
      <c r="D75" s="197">
        <v>40238</v>
      </c>
      <c r="E75" s="139" t="s">
        <v>651</v>
      </c>
      <c r="F75" s="138">
        <v>587.16</v>
      </c>
      <c r="H75"/>
      <c r="I75"/>
    </row>
    <row r="76" spans="1:9" ht="15" x14ac:dyDescent="0.25">
      <c r="A76" s="137" t="s">
        <v>311</v>
      </c>
      <c r="B76" s="137" t="s">
        <v>659</v>
      </c>
      <c r="C76" s="137">
        <v>2010075</v>
      </c>
      <c r="D76" s="197">
        <v>40238</v>
      </c>
      <c r="E76" s="139" t="s">
        <v>651</v>
      </c>
      <c r="F76" s="138">
        <v>1174.3499999999999</v>
      </c>
      <c r="H76"/>
      <c r="I76"/>
    </row>
    <row r="77" spans="1:9" ht="15" x14ac:dyDescent="0.25">
      <c r="A77" s="137" t="s">
        <v>311</v>
      </c>
      <c r="B77" s="137" t="s">
        <v>658</v>
      </c>
      <c r="C77" s="137">
        <v>2010076</v>
      </c>
      <c r="D77" s="197">
        <v>40239</v>
      </c>
      <c r="E77" s="139" t="s">
        <v>651</v>
      </c>
      <c r="F77" s="138">
        <v>105.03</v>
      </c>
      <c r="H77"/>
      <c r="I77"/>
    </row>
    <row r="78" spans="1:9" ht="15" x14ac:dyDescent="0.25">
      <c r="A78" s="137" t="s">
        <v>311</v>
      </c>
      <c r="B78" s="137" t="s">
        <v>659</v>
      </c>
      <c r="C78" s="137">
        <v>2010077</v>
      </c>
      <c r="D78" s="197">
        <v>40240</v>
      </c>
      <c r="E78" s="139" t="s">
        <v>651</v>
      </c>
      <c r="F78" s="138">
        <v>1015.4</v>
      </c>
      <c r="H78"/>
      <c r="I78"/>
    </row>
    <row r="79" spans="1:9" ht="15" x14ac:dyDescent="0.25">
      <c r="A79" s="137" t="s">
        <v>313</v>
      </c>
      <c r="B79" s="137" t="s">
        <v>656</v>
      </c>
      <c r="C79" s="137">
        <v>2010078</v>
      </c>
      <c r="D79" s="197">
        <v>40240</v>
      </c>
      <c r="E79" s="139" t="s">
        <v>650</v>
      </c>
      <c r="F79" s="138">
        <v>742.57</v>
      </c>
      <c r="H79"/>
      <c r="I79"/>
    </row>
    <row r="80" spans="1:9" ht="15" x14ac:dyDescent="0.25">
      <c r="A80" s="137" t="s">
        <v>313</v>
      </c>
      <c r="B80" s="137" t="s">
        <v>649</v>
      </c>
      <c r="C80" s="137">
        <v>2010079</v>
      </c>
      <c r="D80" s="197">
        <v>40240</v>
      </c>
      <c r="E80" s="139" t="s">
        <v>651</v>
      </c>
      <c r="F80" s="138">
        <v>985.1</v>
      </c>
      <c r="H80"/>
      <c r="I80"/>
    </row>
    <row r="81" spans="1:9" ht="15" x14ac:dyDescent="0.25">
      <c r="A81" s="137" t="s">
        <v>313</v>
      </c>
      <c r="B81" s="137" t="s">
        <v>649</v>
      </c>
      <c r="C81" s="137">
        <v>2010080</v>
      </c>
      <c r="D81" s="197">
        <v>40240</v>
      </c>
      <c r="E81" s="139" t="s">
        <v>651</v>
      </c>
      <c r="F81" s="138">
        <v>382.43</v>
      </c>
      <c r="H81"/>
      <c r="I81"/>
    </row>
    <row r="82" spans="1:9" ht="15" x14ac:dyDescent="0.25">
      <c r="A82" s="137" t="s">
        <v>311</v>
      </c>
      <c r="B82" s="137" t="s">
        <v>659</v>
      </c>
      <c r="C82" s="137">
        <v>2010081</v>
      </c>
      <c r="D82" s="197">
        <v>40242</v>
      </c>
      <c r="E82" s="139" t="s">
        <v>651</v>
      </c>
      <c r="F82" s="138">
        <v>241.88</v>
      </c>
      <c r="H82"/>
      <c r="I82"/>
    </row>
    <row r="83" spans="1:9" ht="15" x14ac:dyDescent="0.25">
      <c r="A83" s="137" t="s">
        <v>313</v>
      </c>
      <c r="B83" s="137" t="s">
        <v>652</v>
      </c>
      <c r="C83" s="137">
        <v>2010082</v>
      </c>
      <c r="D83" s="197">
        <v>40242</v>
      </c>
      <c r="E83" s="139" t="s">
        <v>650</v>
      </c>
      <c r="F83" s="138">
        <v>556.42999999999995</v>
      </c>
      <c r="H83"/>
      <c r="I83"/>
    </row>
    <row r="84" spans="1:9" ht="15" x14ac:dyDescent="0.25">
      <c r="A84" s="137" t="s">
        <v>313</v>
      </c>
      <c r="B84" s="137" t="s">
        <v>649</v>
      </c>
      <c r="C84" s="137">
        <v>2010083</v>
      </c>
      <c r="D84" s="197">
        <v>40245</v>
      </c>
      <c r="E84" s="139" t="s">
        <v>650</v>
      </c>
      <c r="F84" s="138">
        <v>703.38</v>
      </c>
      <c r="H84"/>
      <c r="I84"/>
    </row>
    <row r="85" spans="1:9" ht="15" x14ac:dyDescent="0.25">
      <c r="A85" s="137" t="s">
        <v>313</v>
      </c>
      <c r="B85" s="137" t="s">
        <v>652</v>
      </c>
      <c r="C85" s="137">
        <v>2010084</v>
      </c>
      <c r="D85" s="197">
        <v>40246</v>
      </c>
      <c r="E85" s="139" t="s">
        <v>650</v>
      </c>
      <c r="F85" s="138">
        <v>1088.18</v>
      </c>
      <c r="H85"/>
      <c r="I85"/>
    </row>
    <row r="86" spans="1:9" ht="15" x14ac:dyDescent="0.25">
      <c r="A86" s="137" t="s">
        <v>313</v>
      </c>
      <c r="B86" s="137" t="s">
        <v>649</v>
      </c>
      <c r="C86" s="137">
        <v>2010085</v>
      </c>
      <c r="D86" s="197">
        <v>40246</v>
      </c>
      <c r="E86" s="139" t="s">
        <v>650</v>
      </c>
      <c r="F86" s="138">
        <v>317.45</v>
      </c>
      <c r="H86"/>
      <c r="I86"/>
    </row>
    <row r="87" spans="1:9" ht="15" x14ac:dyDescent="0.25">
      <c r="A87" s="137" t="s">
        <v>313</v>
      </c>
      <c r="B87" s="137" t="s">
        <v>654</v>
      </c>
      <c r="C87" s="137">
        <v>2010086</v>
      </c>
      <c r="D87" s="197">
        <v>40247</v>
      </c>
      <c r="E87" s="139" t="s">
        <v>650</v>
      </c>
      <c r="F87" s="138">
        <v>996.18</v>
      </c>
      <c r="H87"/>
      <c r="I87"/>
    </row>
    <row r="88" spans="1:9" ht="15" x14ac:dyDescent="0.25">
      <c r="A88" s="137" t="s">
        <v>313</v>
      </c>
      <c r="B88" s="137" t="s">
        <v>652</v>
      </c>
      <c r="C88" s="137">
        <v>2010087</v>
      </c>
      <c r="D88" s="197">
        <v>40248</v>
      </c>
      <c r="E88" s="139" t="s">
        <v>651</v>
      </c>
      <c r="F88" s="138">
        <v>19.48</v>
      </c>
      <c r="H88"/>
      <c r="I88"/>
    </row>
    <row r="89" spans="1:9" ht="15" x14ac:dyDescent="0.25">
      <c r="A89" s="137" t="s">
        <v>313</v>
      </c>
      <c r="B89" s="137" t="s">
        <v>657</v>
      </c>
      <c r="C89" s="137">
        <v>2010088</v>
      </c>
      <c r="D89" s="197">
        <v>40248</v>
      </c>
      <c r="E89" s="139" t="s">
        <v>651</v>
      </c>
      <c r="F89" s="138">
        <v>364.76</v>
      </c>
      <c r="H89"/>
      <c r="I89"/>
    </row>
    <row r="90" spans="1:9" ht="15" x14ac:dyDescent="0.25">
      <c r="A90" s="137" t="s">
        <v>311</v>
      </c>
      <c r="B90" s="137" t="s">
        <v>655</v>
      </c>
      <c r="C90" s="137">
        <v>2010089</v>
      </c>
      <c r="D90" s="197">
        <v>40249</v>
      </c>
      <c r="E90" s="139" t="s">
        <v>650</v>
      </c>
      <c r="F90" s="138">
        <v>553.02</v>
      </c>
      <c r="H90"/>
      <c r="I90"/>
    </row>
    <row r="91" spans="1:9" ht="15" x14ac:dyDescent="0.25">
      <c r="A91" s="137" t="s">
        <v>313</v>
      </c>
      <c r="B91" s="137" t="s">
        <v>652</v>
      </c>
      <c r="C91" s="137">
        <v>2010090</v>
      </c>
      <c r="D91" s="197">
        <v>40252</v>
      </c>
      <c r="E91" s="139" t="s">
        <v>651</v>
      </c>
      <c r="F91" s="138">
        <v>83.3</v>
      </c>
      <c r="H91"/>
      <c r="I91"/>
    </row>
    <row r="92" spans="1:9" ht="15" x14ac:dyDescent="0.25">
      <c r="A92" s="137" t="s">
        <v>311</v>
      </c>
      <c r="B92" s="137" t="s">
        <v>653</v>
      </c>
      <c r="C92" s="137">
        <v>2010091</v>
      </c>
      <c r="D92" s="197">
        <v>40253</v>
      </c>
      <c r="E92" s="139" t="s">
        <v>650</v>
      </c>
      <c r="F92" s="138">
        <v>994.1</v>
      </c>
      <c r="H92"/>
      <c r="I92"/>
    </row>
    <row r="93" spans="1:9" ht="15" x14ac:dyDescent="0.25">
      <c r="A93" s="137" t="s">
        <v>313</v>
      </c>
      <c r="B93" s="137" t="s">
        <v>656</v>
      </c>
      <c r="C93" s="137">
        <v>2010092</v>
      </c>
      <c r="D93" s="197">
        <v>40253</v>
      </c>
      <c r="E93" s="139" t="s">
        <v>650</v>
      </c>
      <c r="F93" s="138">
        <v>883.45</v>
      </c>
      <c r="H93"/>
      <c r="I93"/>
    </row>
    <row r="94" spans="1:9" ht="15" x14ac:dyDescent="0.25">
      <c r="A94" s="137" t="s">
        <v>313</v>
      </c>
      <c r="B94" s="137" t="s">
        <v>657</v>
      </c>
      <c r="C94" s="137">
        <v>2010093</v>
      </c>
      <c r="D94" s="197">
        <v>40254</v>
      </c>
      <c r="E94" s="139" t="s">
        <v>650</v>
      </c>
      <c r="F94" s="138">
        <v>194.17</v>
      </c>
      <c r="H94"/>
      <c r="I94"/>
    </row>
    <row r="95" spans="1:9" ht="15" x14ac:dyDescent="0.25">
      <c r="A95" s="137" t="s">
        <v>311</v>
      </c>
      <c r="B95" s="137" t="s">
        <v>655</v>
      </c>
      <c r="C95" s="137">
        <v>2010094</v>
      </c>
      <c r="D95" s="197">
        <v>40254</v>
      </c>
      <c r="E95" s="139" t="s">
        <v>650</v>
      </c>
      <c r="F95" s="138">
        <v>996.44</v>
      </c>
      <c r="H95"/>
      <c r="I95"/>
    </row>
    <row r="96" spans="1:9" ht="15" x14ac:dyDescent="0.25">
      <c r="A96" s="137" t="s">
        <v>311</v>
      </c>
      <c r="B96" s="137" t="s">
        <v>653</v>
      </c>
      <c r="C96" s="137">
        <v>2010095</v>
      </c>
      <c r="D96" s="197">
        <v>40255</v>
      </c>
      <c r="E96" s="139" t="s">
        <v>651</v>
      </c>
      <c r="F96" s="138">
        <v>386.49</v>
      </c>
      <c r="H96"/>
      <c r="I96"/>
    </row>
    <row r="97" spans="1:9" ht="15" x14ac:dyDescent="0.25">
      <c r="A97" s="137" t="s">
        <v>313</v>
      </c>
      <c r="B97" s="137" t="s">
        <v>657</v>
      </c>
      <c r="C97" s="137">
        <v>2010096</v>
      </c>
      <c r="D97" s="197">
        <v>40255</v>
      </c>
      <c r="E97" s="139" t="s">
        <v>650</v>
      </c>
      <c r="F97" s="138">
        <v>942.58</v>
      </c>
      <c r="H97"/>
      <c r="I97"/>
    </row>
    <row r="98" spans="1:9" ht="15" x14ac:dyDescent="0.25">
      <c r="A98" s="137" t="s">
        <v>313</v>
      </c>
      <c r="B98" s="137" t="s">
        <v>656</v>
      </c>
      <c r="C98" s="137">
        <v>2010097</v>
      </c>
      <c r="D98" s="197">
        <v>40255</v>
      </c>
      <c r="E98" s="139" t="s">
        <v>650</v>
      </c>
      <c r="F98" s="138">
        <v>1080.53</v>
      </c>
      <c r="H98"/>
      <c r="I98"/>
    </row>
    <row r="99" spans="1:9" ht="15" x14ac:dyDescent="0.25">
      <c r="A99" s="137" t="s">
        <v>313</v>
      </c>
      <c r="B99" s="137" t="s">
        <v>652</v>
      </c>
      <c r="C99" s="137">
        <v>2010098</v>
      </c>
      <c r="D99" s="197">
        <v>40256</v>
      </c>
      <c r="E99" s="139" t="s">
        <v>651</v>
      </c>
      <c r="F99" s="138">
        <v>543.4</v>
      </c>
      <c r="H99"/>
      <c r="I99"/>
    </row>
    <row r="100" spans="1:9" ht="15" x14ac:dyDescent="0.25">
      <c r="A100" s="137" t="s">
        <v>313</v>
      </c>
      <c r="B100" s="137" t="s">
        <v>656</v>
      </c>
      <c r="C100" s="137">
        <v>2010099</v>
      </c>
      <c r="D100" s="197">
        <v>40256</v>
      </c>
      <c r="E100" s="139" t="s">
        <v>650</v>
      </c>
      <c r="F100" s="138">
        <v>940.93</v>
      </c>
      <c r="H100"/>
      <c r="I100"/>
    </row>
    <row r="101" spans="1:9" ht="15" x14ac:dyDescent="0.25">
      <c r="A101" s="137" t="s">
        <v>313</v>
      </c>
      <c r="B101" s="137" t="s">
        <v>656</v>
      </c>
      <c r="C101" s="137">
        <v>2010100</v>
      </c>
      <c r="D101" s="197">
        <v>40259</v>
      </c>
      <c r="E101" s="139" t="s">
        <v>651</v>
      </c>
      <c r="F101" s="138">
        <v>296.62</v>
      </c>
      <c r="H101"/>
      <c r="I101"/>
    </row>
    <row r="102" spans="1:9" ht="15" x14ac:dyDescent="0.25">
      <c r="A102" s="137" t="s">
        <v>313</v>
      </c>
      <c r="B102" s="137" t="s">
        <v>657</v>
      </c>
      <c r="C102" s="137">
        <v>2010101</v>
      </c>
      <c r="D102" s="197">
        <v>40260</v>
      </c>
      <c r="E102" s="139" t="s">
        <v>651</v>
      </c>
      <c r="F102" s="138">
        <v>913.78</v>
      </c>
      <c r="H102"/>
      <c r="I102"/>
    </row>
    <row r="103" spans="1:9" ht="15" x14ac:dyDescent="0.25">
      <c r="A103" s="137" t="s">
        <v>313</v>
      </c>
      <c r="B103" s="137" t="s">
        <v>654</v>
      </c>
      <c r="C103" s="137">
        <v>2010102</v>
      </c>
      <c r="D103" s="197">
        <v>40261</v>
      </c>
      <c r="E103" s="139" t="s">
        <v>651</v>
      </c>
      <c r="F103" s="138">
        <v>829.84</v>
      </c>
      <c r="H103"/>
      <c r="I103"/>
    </row>
    <row r="104" spans="1:9" ht="15" x14ac:dyDescent="0.25">
      <c r="A104" s="137" t="s">
        <v>313</v>
      </c>
      <c r="B104" s="137" t="s">
        <v>652</v>
      </c>
      <c r="C104" s="137">
        <v>2010103</v>
      </c>
      <c r="D104" s="197">
        <v>40262</v>
      </c>
      <c r="E104" s="139" t="s">
        <v>650</v>
      </c>
      <c r="F104" s="138">
        <v>310.45999999999998</v>
      </c>
      <c r="H104"/>
      <c r="I104"/>
    </row>
    <row r="105" spans="1:9" ht="15" x14ac:dyDescent="0.25">
      <c r="A105" s="137" t="s">
        <v>313</v>
      </c>
      <c r="B105" s="137" t="s">
        <v>649</v>
      </c>
      <c r="C105" s="137">
        <v>2010104</v>
      </c>
      <c r="D105" s="197">
        <v>40262</v>
      </c>
      <c r="E105" s="139" t="s">
        <v>650</v>
      </c>
      <c r="F105" s="138">
        <v>730.49</v>
      </c>
      <c r="H105"/>
      <c r="I105"/>
    </row>
    <row r="106" spans="1:9" ht="15" x14ac:dyDescent="0.25">
      <c r="A106" s="137" t="s">
        <v>313</v>
      </c>
      <c r="B106" s="137" t="s">
        <v>654</v>
      </c>
      <c r="C106" s="137">
        <v>2010105</v>
      </c>
      <c r="D106" s="197">
        <v>40266</v>
      </c>
      <c r="E106" s="139" t="s">
        <v>650</v>
      </c>
      <c r="F106" s="138">
        <v>981.37</v>
      </c>
      <c r="H106"/>
      <c r="I106"/>
    </row>
    <row r="107" spans="1:9" ht="15" x14ac:dyDescent="0.25">
      <c r="A107" s="137" t="s">
        <v>313</v>
      </c>
      <c r="B107" s="137" t="s">
        <v>652</v>
      </c>
      <c r="C107" s="137">
        <v>2010106</v>
      </c>
      <c r="D107" s="197">
        <v>40266</v>
      </c>
      <c r="E107" s="139" t="s">
        <v>650</v>
      </c>
      <c r="F107" s="138">
        <v>836.57</v>
      </c>
      <c r="H107"/>
      <c r="I107"/>
    </row>
    <row r="108" spans="1:9" ht="15" x14ac:dyDescent="0.25">
      <c r="A108" s="137" t="s">
        <v>313</v>
      </c>
      <c r="B108" s="137" t="s">
        <v>649</v>
      </c>
      <c r="C108" s="137">
        <v>2010107</v>
      </c>
      <c r="D108" s="197">
        <v>40266</v>
      </c>
      <c r="E108" s="139" t="s">
        <v>651</v>
      </c>
      <c r="F108" s="138">
        <v>233.58</v>
      </c>
      <c r="H108"/>
      <c r="I108"/>
    </row>
    <row r="109" spans="1:9" ht="15" x14ac:dyDescent="0.25">
      <c r="A109" s="137" t="s">
        <v>313</v>
      </c>
      <c r="B109" s="137" t="s">
        <v>656</v>
      </c>
      <c r="C109" s="137">
        <v>2010108</v>
      </c>
      <c r="D109" s="197">
        <v>40268</v>
      </c>
      <c r="E109" s="139" t="s">
        <v>651</v>
      </c>
      <c r="F109" s="138">
        <v>1157.81</v>
      </c>
      <c r="H109"/>
      <c r="I109"/>
    </row>
    <row r="110" spans="1:9" ht="15" x14ac:dyDescent="0.25">
      <c r="A110" s="137" t="s">
        <v>313</v>
      </c>
      <c r="B110" s="137" t="s">
        <v>654</v>
      </c>
      <c r="C110" s="137">
        <v>2010109</v>
      </c>
      <c r="D110" s="197">
        <v>40268</v>
      </c>
      <c r="E110" s="139" t="s">
        <v>650</v>
      </c>
      <c r="F110" s="138">
        <v>1052.94</v>
      </c>
      <c r="H110"/>
      <c r="I110"/>
    </row>
    <row r="111" spans="1:9" ht="15" x14ac:dyDescent="0.25">
      <c r="A111" s="137" t="s">
        <v>313</v>
      </c>
      <c r="B111" s="137" t="s">
        <v>652</v>
      </c>
      <c r="C111" s="137">
        <v>2010110</v>
      </c>
      <c r="D111" s="197">
        <v>40269</v>
      </c>
      <c r="E111" s="139" t="s">
        <v>651</v>
      </c>
      <c r="F111" s="138">
        <v>498.14</v>
      </c>
      <c r="H111"/>
      <c r="I111"/>
    </row>
    <row r="112" spans="1:9" ht="15" x14ac:dyDescent="0.25">
      <c r="A112" s="137" t="s">
        <v>313</v>
      </c>
      <c r="B112" s="137" t="s">
        <v>657</v>
      </c>
      <c r="C112" s="137">
        <v>2010111</v>
      </c>
      <c r="D112" s="197">
        <v>40269</v>
      </c>
      <c r="E112" s="139" t="s">
        <v>651</v>
      </c>
      <c r="F112" s="138">
        <v>1032.6300000000001</v>
      </c>
      <c r="H112"/>
      <c r="I112"/>
    </row>
    <row r="113" spans="1:9" ht="15" x14ac:dyDescent="0.25">
      <c r="A113" s="137" t="s">
        <v>313</v>
      </c>
      <c r="B113" s="137" t="s">
        <v>656</v>
      </c>
      <c r="C113" s="137">
        <v>2010112</v>
      </c>
      <c r="D113" s="197">
        <v>40269</v>
      </c>
      <c r="E113" s="139" t="s">
        <v>650</v>
      </c>
      <c r="F113" s="138">
        <v>729.5</v>
      </c>
      <c r="H113"/>
      <c r="I113"/>
    </row>
    <row r="114" spans="1:9" ht="15" x14ac:dyDescent="0.25">
      <c r="A114" s="137" t="s">
        <v>313</v>
      </c>
      <c r="B114" s="137" t="s">
        <v>656</v>
      </c>
      <c r="C114" s="137">
        <v>2010113</v>
      </c>
      <c r="D114" s="197">
        <v>40269</v>
      </c>
      <c r="E114" s="139" t="s">
        <v>651</v>
      </c>
      <c r="F114" s="138">
        <v>1010.02</v>
      </c>
      <c r="H114"/>
      <c r="I114"/>
    </row>
    <row r="115" spans="1:9" ht="15" x14ac:dyDescent="0.25">
      <c r="A115" s="137" t="s">
        <v>313</v>
      </c>
      <c r="B115" s="137" t="s">
        <v>654</v>
      </c>
      <c r="C115" s="137">
        <v>2010114</v>
      </c>
      <c r="D115" s="197">
        <v>40270</v>
      </c>
      <c r="E115" s="139" t="s">
        <v>651</v>
      </c>
      <c r="F115" s="138">
        <v>333.58</v>
      </c>
      <c r="H115"/>
      <c r="I115"/>
    </row>
    <row r="116" spans="1:9" ht="15" x14ac:dyDescent="0.25">
      <c r="A116" s="137" t="s">
        <v>311</v>
      </c>
      <c r="B116" s="137" t="s">
        <v>658</v>
      </c>
      <c r="C116" s="137">
        <v>2010115</v>
      </c>
      <c r="D116" s="197">
        <v>40273</v>
      </c>
      <c r="E116" s="139" t="s">
        <v>650</v>
      </c>
      <c r="F116" s="138">
        <v>861.49</v>
      </c>
      <c r="H116"/>
      <c r="I116"/>
    </row>
    <row r="117" spans="1:9" ht="15" x14ac:dyDescent="0.25">
      <c r="A117" s="137" t="s">
        <v>313</v>
      </c>
      <c r="B117" s="137" t="s">
        <v>649</v>
      </c>
      <c r="C117" s="137">
        <v>2010116</v>
      </c>
      <c r="D117" s="197">
        <v>40273</v>
      </c>
      <c r="E117" s="139" t="s">
        <v>651</v>
      </c>
      <c r="F117" s="138">
        <v>51.5</v>
      </c>
      <c r="H117"/>
      <c r="I117"/>
    </row>
    <row r="118" spans="1:9" ht="15" x14ac:dyDescent="0.25">
      <c r="A118" s="137" t="s">
        <v>313</v>
      </c>
      <c r="B118" s="137" t="s">
        <v>649</v>
      </c>
      <c r="C118" s="137">
        <v>2010117</v>
      </c>
      <c r="D118" s="197">
        <v>40273</v>
      </c>
      <c r="E118" s="139" t="s">
        <v>650</v>
      </c>
      <c r="F118" s="138">
        <v>962.96</v>
      </c>
      <c r="H118"/>
      <c r="I118"/>
    </row>
    <row r="119" spans="1:9" ht="15" x14ac:dyDescent="0.25">
      <c r="A119" s="137" t="s">
        <v>313</v>
      </c>
      <c r="B119" s="137" t="s">
        <v>649</v>
      </c>
      <c r="C119" s="137">
        <v>2010118</v>
      </c>
      <c r="D119" s="197">
        <v>40275</v>
      </c>
      <c r="E119" s="139" t="s">
        <v>651</v>
      </c>
      <c r="F119" s="138">
        <v>370.25</v>
      </c>
      <c r="H119"/>
      <c r="I119"/>
    </row>
    <row r="120" spans="1:9" ht="15" x14ac:dyDescent="0.25">
      <c r="A120" s="137" t="s">
        <v>313</v>
      </c>
      <c r="B120" s="137" t="s">
        <v>649</v>
      </c>
      <c r="C120" s="137">
        <v>2010119</v>
      </c>
      <c r="D120" s="197">
        <v>40276</v>
      </c>
      <c r="E120" s="139" t="s">
        <v>651</v>
      </c>
      <c r="F120" s="138">
        <v>1115.73</v>
      </c>
      <c r="H120"/>
      <c r="I120"/>
    </row>
    <row r="121" spans="1:9" ht="15" x14ac:dyDescent="0.25">
      <c r="A121" s="137" t="s">
        <v>311</v>
      </c>
      <c r="B121" s="137" t="s">
        <v>659</v>
      </c>
      <c r="C121" s="137">
        <v>2010120</v>
      </c>
      <c r="D121" s="197">
        <v>40276</v>
      </c>
      <c r="E121" s="139" t="s">
        <v>650</v>
      </c>
      <c r="F121" s="138">
        <v>238.44</v>
      </c>
      <c r="H121"/>
      <c r="I121"/>
    </row>
    <row r="122" spans="1:9" ht="15" x14ac:dyDescent="0.25">
      <c r="A122" s="137" t="s">
        <v>311</v>
      </c>
      <c r="B122" s="137" t="s">
        <v>653</v>
      </c>
      <c r="C122" s="137">
        <v>2010121</v>
      </c>
      <c r="D122" s="197">
        <v>40277</v>
      </c>
      <c r="E122" s="139" t="s">
        <v>651</v>
      </c>
      <c r="F122" s="138">
        <v>1120.56</v>
      </c>
      <c r="H122"/>
      <c r="I122"/>
    </row>
    <row r="123" spans="1:9" ht="15" x14ac:dyDescent="0.25">
      <c r="A123" s="137" t="s">
        <v>313</v>
      </c>
      <c r="B123" s="137" t="s">
        <v>654</v>
      </c>
      <c r="C123" s="137">
        <v>2010122</v>
      </c>
      <c r="D123" s="197">
        <v>40277</v>
      </c>
      <c r="E123" s="139" t="s">
        <v>650</v>
      </c>
      <c r="F123" s="138">
        <v>759.14</v>
      </c>
      <c r="H123"/>
      <c r="I123"/>
    </row>
    <row r="124" spans="1:9" ht="15" x14ac:dyDescent="0.25">
      <c r="A124" s="137" t="s">
        <v>313</v>
      </c>
      <c r="B124" s="137" t="s">
        <v>649</v>
      </c>
      <c r="C124" s="137">
        <v>2010123</v>
      </c>
      <c r="D124" s="197">
        <v>40280</v>
      </c>
      <c r="E124" s="139" t="s">
        <v>650</v>
      </c>
      <c r="F124" s="138">
        <v>472.16</v>
      </c>
      <c r="H124"/>
      <c r="I124"/>
    </row>
    <row r="125" spans="1:9" ht="15" x14ac:dyDescent="0.25">
      <c r="A125" s="137" t="s">
        <v>313</v>
      </c>
      <c r="B125" s="137" t="s">
        <v>649</v>
      </c>
      <c r="C125" s="137">
        <v>2010124</v>
      </c>
      <c r="D125" s="197">
        <v>40280</v>
      </c>
      <c r="E125" s="139" t="s">
        <v>650</v>
      </c>
      <c r="F125" s="138">
        <v>673.37</v>
      </c>
      <c r="H125"/>
      <c r="I125"/>
    </row>
    <row r="126" spans="1:9" ht="15" x14ac:dyDescent="0.25">
      <c r="A126" s="137" t="s">
        <v>311</v>
      </c>
      <c r="B126" s="137" t="s">
        <v>653</v>
      </c>
      <c r="C126" s="137">
        <v>2010125</v>
      </c>
      <c r="D126" s="197">
        <v>40280</v>
      </c>
      <c r="E126" s="139" t="s">
        <v>650</v>
      </c>
      <c r="F126" s="138">
        <v>1145.5899999999999</v>
      </c>
      <c r="H126"/>
      <c r="I126"/>
    </row>
    <row r="127" spans="1:9" ht="15" x14ac:dyDescent="0.25">
      <c r="A127" s="137" t="s">
        <v>313</v>
      </c>
      <c r="B127" s="137" t="s">
        <v>654</v>
      </c>
      <c r="C127" s="137">
        <v>2010126</v>
      </c>
      <c r="D127" s="197">
        <v>40280</v>
      </c>
      <c r="E127" s="139" t="s">
        <v>651</v>
      </c>
      <c r="F127" s="138">
        <v>1021.58</v>
      </c>
      <c r="H127"/>
      <c r="I127"/>
    </row>
    <row r="128" spans="1:9" ht="15" x14ac:dyDescent="0.25">
      <c r="A128" s="137" t="s">
        <v>313</v>
      </c>
      <c r="B128" s="137" t="s">
        <v>656</v>
      </c>
      <c r="C128" s="137">
        <v>2010127</v>
      </c>
      <c r="D128" s="197">
        <v>40281</v>
      </c>
      <c r="E128" s="139" t="s">
        <v>651</v>
      </c>
      <c r="F128" s="138">
        <v>1109.6600000000001</v>
      </c>
      <c r="H128"/>
      <c r="I128"/>
    </row>
    <row r="129" spans="1:9" ht="15" x14ac:dyDescent="0.25">
      <c r="A129" s="137" t="s">
        <v>313</v>
      </c>
      <c r="B129" s="137" t="s">
        <v>652</v>
      </c>
      <c r="C129" s="137">
        <v>2010128</v>
      </c>
      <c r="D129" s="197">
        <v>40281</v>
      </c>
      <c r="E129" s="139" t="s">
        <v>650</v>
      </c>
      <c r="F129" s="138">
        <v>764.27</v>
      </c>
      <c r="H129"/>
      <c r="I129"/>
    </row>
    <row r="130" spans="1:9" ht="15" x14ac:dyDescent="0.25">
      <c r="A130" s="137" t="s">
        <v>313</v>
      </c>
      <c r="B130" s="137" t="s">
        <v>649</v>
      </c>
      <c r="C130" s="137">
        <v>2010129</v>
      </c>
      <c r="D130" s="197">
        <v>40282</v>
      </c>
      <c r="E130" s="139" t="s">
        <v>651</v>
      </c>
      <c r="F130" s="138">
        <v>285.54000000000002</v>
      </c>
      <c r="H130"/>
      <c r="I130"/>
    </row>
    <row r="131" spans="1:9" ht="15" x14ac:dyDescent="0.25">
      <c r="A131" s="137" t="s">
        <v>313</v>
      </c>
      <c r="B131" s="137" t="s">
        <v>654</v>
      </c>
      <c r="C131" s="137">
        <v>2010130</v>
      </c>
      <c r="D131" s="197">
        <v>40284</v>
      </c>
      <c r="E131" s="139" t="s">
        <v>651</v>
      </c>
      <c r="F131" s="138">
        <v>515.41</v>
      </c>
      <c r="H131"/>
      <c r="I131"/>
    </row>
    <row r="132" spans="1:9" ht="15" x14ac:dyDescent="0.25">
      <c r="A132" s="137" t="s">
        <v>311</v>
      </c>
      <c r="B132" s="137" t="s">
        <v>653</v>
      </c>
      <c r="C132" s="137">
        <v>2010131</v>
      </c>
      <c r="D132" s="197">
        <v>40284</v>
      </c>
      <c r="E132" s="139" t="s">
        <v>650</v>
      </c>
      <c r="F132" s="138">
        <v>551.04999999999995</v>
      </c>
      <c r="H132"/>
      <c r="I132"/>
    </row>
    <row r="133" spans="1:9" ht="15" x14ac:dyDescent="0.25">
      <c r="A133" s="137" t="s">
        <v>313</v>
      </c>
      <c r="B133" s="137" t="s">
        <v>657</v>
      </c>
      <c r="C133" s="137">
        <v>2010132</v>
      </c>
      <c r="D133" s="197">
        <v>40288</v>
      </c>
      <c r="E133" s="139" t="s">
        <v>651</v>
      </c>
      <c r="F133" s="138">
        <v>492.94</v>
      </c>
      <c r="H133"/>
      <c r="I133"/>
    </row>
    <row r="134" spans="1:9" ht="15" x14ac:dyDescent="0.25">
      <c r="A134" s="137" t="s">
        <v>311</v>
      </c>
      <c r="B134" s="137" t="s">
        <v>659</v>
      </c>
      <c r="C134" s="137">
        <v>2010133</v>
      </c>
      <c r="D134" s="197">
        <v>40288</v>
      </c>
      <c r="E134" s="139" t="s">
        <v>651</v>
      </c>
      <c r="F134" s="138">
        <v>398.9</v>
      </c>
      <c r="H134"/>
      <c r="I134"/>
    </row>
    <row r="135" spans="1:9" ht="15" x14ac:dyDescent="0.25">
      <c r="A135" s="137" t="s">
        <v>313</v>
      </c>
      <c r="B135" s="137" t="s">
        <v>649</v>
      </c>
      <c r="C135" s="137">
        <v>2010134</v>
      </c>
      <c r="D135" s="197">
        <v>40288</v>
      </c>
      <c r="E135" s="139" t="s">
        <v>651</v>
      </c>
      <c r="F135" s="138">
        <v>577.25</v>
      </c>
      <c r="H135"/>
      <c r="I135"/>
    </row>
    <row r="136" spans="1:9" ht="15" x14ac:dyDescent="0.25">
      <c r="A136" s="137" t="s">
        <v>311</v>
      </c>
      <c r="B136" s="137" t="s">
        <v>655</v>
      </c>
      <c r="C136" s="137">
        <v>2010135</v>
      </c>
      <c r="D136" s="197">
        <v>40289</v>
      </c>
      <c r="E136" s="139" t="s">
        <v>651</v>
      </c>
      <c r="F136" s="138">
        <v>911.55</v>
      </c>
      <c r="H136"/>
      <c r="I136"/>
    </row>
    <row r="137" spans="1:9" ht="15" x14ac:dyDescent="0.25">
      <c r="A137" s="137" t="s">
        <v>311</v>
      </c>
      <c r="B137" s="137" t="s">
        <v>653</v>
      </c>
      <c r="C137" s="137">
        <v>2010136</v>
      </c>
      <c r="D137" s="197">
        <v>40289</v>
      </c>
      <c r="E137" s="139" t="s">
        <v>650</v>
      </c>
      <c r="F137" s="138">
        <v>340.79</v>
      </c>
      <c r="H137"/>
      <c r="I137"/>
    </row>
    <row r="138" spans="1:9" ht="15" x14ac:dyDescent="0.25">
      <c r="A138" s="137" t="s">
        <v>311</v>
      </c>
      <c r="B138" s="137" t="s">
        <v>659</v>
      </c>
      <c r="C138" s="137">
        <v>2010137</v>
      </c>
      <c r="D138" s="197">
        <v>40290</v>
      </c>
      <c r="E138" s="139" t="s">
        <v>651</v>
      </c>
      <c r="F138" s="138">
        <v>544.61</v>
      </c>
      <c r="H138"/>
      <c r="I138"/>
    </row>
    <row r="139" spans="1:9" ht="15" x14ac:dyDescent="0.25">
      <c r="A139" s="137" t="s">
        <v>313</v>
      </c>
      <c r="B139" s="137" t="s">
        <v>652</v>
      </c>
      <c r="C139" s="137">
        <v>2010138</v>
      </c>
      <c r="D139" s="197">
        <v>40291</v>
      </c>
      <c r="E139" s="139" t="s">
        <v>651</v>
      </c>
      <c r="F139" s="138">
        <v>1121.33</v>
      </c>
      <c r="H139"/>
      <c r="I139"/>
    </row>
    <row r="140" spans="1:9" ht="15" x14ac:dyDescent="0.25">
      <c r="A140" s="137" t="s">
        <v>313</v>
      </c>
      <c r="B140" s="137" t="s">
        <v>652</v>
      </c>
      <c r="C140" s="137">
        <v>2010139</v>
      </c>
      <c r="D140" s="197">
        <v>40291</v>
      </c>
      <c r="E140" s="139" t="s">
        <v>651</v>
      </c>
      <c r="F140" s="138">
        <v>197.35</v>
      </c>
      <c r="H140"/>
      <c r="I140"/>
    </row>
    <row r="141" spans="1:9" ht="15" x14ac:dyDescent="0.25">
      <c r="A141" s="137" t="s">
        <v>311</v>
      </c>
      <c r="B141" s="137" t="s">
        <v>653</v>
      </c>
      <c r="C141" s="137">
        <v>2010140</v>
      </c>
      <c r="D141" s="197">
        <v>40294</v>
      </c>
      <c r="E141" s="139" t="s">
        <v>650</v>
      </c>
      <c r="F141" s="138">
        <v>388.87</v>
      </c>
      <c r="H141"/>
      <c r="I141"/>
    </row>
    <row r="142" spans="1:9" ht="15" x14ac:dyDescent="0.25">
      <c r="A142" s="137" t="s">
        <v>311</v>
      </c>
      <c r="B142" s="137" t="s">
        <v>658</v>
      </c>
      <c r="C142" s="137">
        <v>2010141</v>
      </c>
      <c r="D142" s="197">
        <v>40296</v>
      </c>
      <c r="E142" s="139" t="s">
        <v>651</v>
      </c>
      <c r="F142" s="138">
        <v>114.18</v>
      </c>
      <c r="H142"/>
      <c r="I142"/>
    </row>
    <row r="143" spans="1:9" ht="15" x14ac:dyDescent="0.25">
      <c r="A143" s="137" t="s">
        <v>313</v>
      </c>
      <c r="B143" s="137" t="s">
        <v>652</v>
      </c>
      <c r="C143" s="137">
        <v>2010142</v>
      </c>
      <c r="D143" s="197">
        <v>40296</v>
      </c>
      <c r="E143" s="139" t="s">
        <v>651</v>
      </c>
      <c r="F143" s="138">
        <v>75.87</v>
      </c>
      <c r="H143"/>
      <c r="I143"/>
    </row>
    <row r="144" spans="1:9" ht="15" x14ac:dyDescent="0.25">
      <c r="A144" s="137" t="s">
        <v>311</v>
      </c>
      <c r="B144" s="137" t="s">
        <v>659</v>
      </c>
      <c r="C144" s="137">
        <v>2010143</v>
      </c>
      <c r="D144" s="197">
        <v>40296</v>
      </c>
      <c r="E144" s="139" t="s">
        <v>651</v>
      </c>
      <c r="F144" s="138">
        <v>120</v>
      </c>
      <c r="H144"/>
      <c r="I144"/>
    </row>
    <row r="145" spans="1:9" ht="15" x14ac:dyDescent="0.25">
      <c r="A145" s="137" t="s">
        <v>311</v>
      </c>
      <c r="B145" s="137" t="s">
        <v>655</v>
      </c>
      <c r="C145" s="137">
        <v>2010144</v>
      </c>
      <c r="D145" s="197">
        <v>40297</v>
      </c>
      <c r="E145" s="139" t="s">
        <v>650</v>
      </c>
      <c r="F145" s="138">
        <v>1010.93</v>
      </c>
      <c r="H145"/>
      <c r="I145"/>
    </row>
    <row r="146" spans="1:9" ht="15" x14ac:dyDescent="0.25">
      <c r="A146" s="137" t="s">
        <v>313</v>
      </c>
      <c r="B146" s="137" t="s">
        <v>652</v>
      </c>
      <c r="C146" s="137">
        <v>2010145</v>
      </c>
      <c r="D146" s="197">
        <v>40297</v>
      </c>
      <c r="E146" s="139" t="s">
        <v>650</v>
      </c>
      <c r="F146" s="138">
        <v>601.14</v>
      </c>
      <c r="H146"/>
      <c r="I146"/>
    </row>
    <row r="147" spans="1:9" ht="15" x14ac:dyDescent="0.25">
      <c r="A147" s="137" t="s">
        <v>313</v>
      </c>
      <c r="B147" s="137" t="s">
        <v>656</v>
      </c>
      <c r="C147" s="137">
        <v>2010146</v>
      </c>
      <c r="D147" s="197">
        <v>40298</v>
      </c>
      <c r="E147" s="139" t="s">
        <v>650</v>
      </c>
      <c r="F147" s="138">
        <v>67.930000000000007</v>
      </c>
      <c r="H147"/>
      <c r="I147"/>
    </row>
    <row r="148" spans="1:9" ht="15" x14ac:dyDescent="0.25">
      <c r="A148" s="137" t="s">
        <v>313</v>
      </c>
      <c r="B148" s="137" t="s">
        <v>656</v>
      </c>
      <c r="C148" s="137">
        <v>2010147</v>
      </c>
      <c r="D148" s="197">
        <v>40298</v>
      </c>
      <c r="E148" s="139" t="s">
        <v>650</v>
      </c>
      <c r="F148" s="138">
        <v>588.70000000000005</v>
      </c>
      <c r="H148"/>
      <c r="I148"/>
    </row>
    <row r="149" spans="1:9" ht="15" x14ac:dyDescent="0.25">
      <c r="A149" s="137" t="s">
        <v>311</v>
      </c>
      <c r="B149" s="137" t="s">
        <v>659</v>
      </c>
      <c r="C149" s="137">
        <v>2010148</v>
      </c>
      <c r="D149" s="197">
        <v>40299</v>
      </c>
      <c r="E149" s="139" t="s">
        <v>650</v>
      </c>
      <c r="F149" s="138">
        <v>615.34</v>
      </c>
      <c r="H149"/>
      <c r="I149"/>
    </row>
    <row r="150" spans="1:9" ht="15" x14ac:dyDescent="0.25">
      <c r="A150" s="137" t="s">
        <v>313</v>
      </c>
      <c r="B150" s="137" t="s">
        <v>652</v>
      </c>
      <c r="C150" s="137">
        <v>2010149</v>
      </c>
      <c r="D150" s="197">
        <v>40300</v>
      </c>
      <c r="E150" s="139" t="s">
        <v>651</v>
      </c>
      <c r="F150" s="138">
        <v>1052.3900000000001</v>
      </c>
      <c r="H150"/>
      <c r="I150"/>
    </row>
    <row r="151" spans="1:9" ht="15" x14ac:dyDescent="0.25">
      <c r="A151" s="137" t="s">
        <v>311</v>
      </c>
      <c r="B151" s="137" t="s">
        <v>653</v>
      </c>
      <c r="C151" s="137">
        <v>2010150</v>
      </c>
      <c r="D151" s="197">
        <v>40301</v>
      </c>
      <c r="E151" s="139" t="s">
        <v>650</v>
      </c>
      <c r="F151" s="138">
        <v>1068.23</v>
      </c>
      <c r="H151"/>
      <c r="I151"/>
    </row>
    <row r="152" spans="1:9" ht="15" x14ac:dyDescent="0.25">
      <c r="A152" s="137" t="s">
        <v>313</v>
      </c>
      <c r="B152" s="137" t="s">
        <v>652</v>
      </c>
      <c r="C152" s="137">
        <v>2010151</v>
      </c>
      <c r="D152" s="197">
        <v>40302</v>
      </c>
      <c r="E152" s="139" t="s">
        <v>650</v>
      </c>
      <c r="F152" s="138">
        <v>1185.03</v>
      </c>
      <c r="H152"/>
      <c r="I152"/>
    </row>
    <row r="153" spans="1:9" ht="15" x14ac:dyDescent="0.25">
      <c r="A153" s="137" t="s">
        <v>311</v>
      </c>
      <c r="B153" s="137" t="s">
        <v>655</v>
      </c>
      <c r="C153" s="137">
        <v>2010152</v>
      </c>
      <c r="D153" s="197">
        <v>40302</v>
      </c>
      <c r="E153" s="139" t="s">
        <v>651</v>
      </c>
      <c r="F153" s="138">
        <v>37.81</v>
      </c>
      <c r="H153"/>
      <c r="I153"/>
    </row>
    <row r="154" spans="1:9" ht="15" x14ac:dyDescent="0.25">
      <c r="A154" s="137" t="s">
        <v>313</v>
      </c>
      <c r="B154" s="137" t="s">
        <v>652</v>
      </c>
      <c r="C154" s="137">
        <v>2010153</v>
      </c>
      <c r="D154" s="197">
        <v>40302</v>
      </c>
      <c r="E154" s="139" t="s">
        <v>650</v>
      </c>
      <c r="F154" s="138">
        <v>1003.39</v>
      </c>
      <c r="H154"/>
      <c r="I154"/>
    </row>
    <row r="155" spans="1:9" ht="15" x14ac:dyDescent="0.25">
      <c r="A155" s="137" t="s">
        <v>313</v>
      </c>
      <c r="B155" s="137" t="s">
        <v>657</v>
      </c>
      <c r="C155" s="137">
        <v>2010154</v>
      </c>
      <c r="D155" s="197">
        <v>40307</v>
      </c>
      <c r="E155" s="139" t="s">
        <v>650</v>
      </c>
      <c r="F155" s="138">
        <v>954.03</v>
      </c>
      <c r="H155"/>
      <c r="I155"/>
    </row>
    <row r="156" spans="1:9" ht="15" x14ac:dyDescent="0.25">
      <c r="A156" s="137" t="s">
        <v>313</v>
      </c>
      <c r="B156" s="137" t="s">
        <v>652</v>
      </c>
      <c r="C156" s="137">
        <v>2010155</v>
      </c>
      <c r="D156" s="197">
        <v>40307</v>
      </c>
      <c r="E156" s="139" t="s">
        <v>651</v>
      </c>
      <c r="F156" s="138">
        <v>494.77</v>
      </c>
      <c r="H156"/>
      <c r="I156"/>
    </row>
    <row r="157" spans="1:9" ht="15" x14ac:dyDescent="0.25">
      <c r="A157" s="137" t="s">
        <v>313</v>
      </c>
      <c r="B157" s="137" t="s">
        <v>657</v>
      </c>
      <c r="C157" s="137">
        <v>2010156</v>
      </c>
      <c r="D157" s="197">
        <v>40307</v>
      </c>
      <c r="E157" s="139" t="s">
        <v>651</v>
      </c>
      <c r="F157" s="138">
        <v>445.41</v>
      </c>
      <c r="H157"/>
      <c r="I157"/>
    </row>
    <row r="158" spans="1:9" ht="15" x14ac:dyDescent="0.25">
      <c r="A158" s="137" t="s">
        <v>313</v>
      </c>
      <c r="B158" s="137" t="s">
        <v>649</v>
      </c>
      <c r="C158" s="137">
        <v>2010157</v>
      </c>
      <c r="D158" s="197">
        <v>40308</v>
      </c>
      <c r="E158" s="139" t="s">
        <v>651</v>
      </c>
      <c r="F158" s="138">
        <v>569.96</v>
      </c>
      <c r="H158"/>
      <c r="I158"/>
    </row>
    <row r="159" spans="1:9" ht="15" x14ac:dyDescent="0.25">
      <c r="A159" s="137" t="s">
        <v>313</v>
      </c>
      <c r="B159" s="137" t="s">
        <v>652</v>
      </c>
      <c r="C159" s="137">
        <v>2010158</v>
      </c>
      <c r="D159" s="197">
        <v>40308</v>
      </c>
      <c r="E159" s="139" t="s">
        <v>650</v>
      </c>
      <c r="F159" s="138">
        <v>439.22</v>
      </c>
      <c r="H159"/>
      <c r="I159"/>
    </row>
    <row r="160" spans="1:9" ht="15" x14ac:dyDescent="0.25">
      <c r="A160" s="137" t="s">
        <v>313</v>
      </c>
      <c r="B160" s="137" t="s">
        <v>652</v>
      </c>
      <c r="C160" s="137">
        <v>2010159</v>
      </c>
      <c r="D160" s="197">
        <v>40308</v>
      </c>
      <c r="E160" s="139" t="s">
        <v>650</v>
      </c>
      <c r="F160" s="138">
        <v>1028.75</v>
      </c>
      <c r="H160"/>
      <c r="I160"/>
    </row>
    <row r="161" spans="1:9" ht="15" x14ac:dyDescent="0.25">
      <c r="A161" s="137" t="s">
        <v>313</v>
      </c>
      <c r="B161" s="137" t="s">
        <v>652</v>
      </c>
      <c r="C161" s="137">
        <v>2010160</v>
      </c>
      <c r="D161" s="197">
        <v>40309</v>
      </c>
      <c r="E161" s="139" t="s">
        <v>651</v>
      </c>
      <c r="F161" s="138">
        <v>1150.3499999999999</v>
      </c>
      <c r="H161"/>
      <c r="I161"/>
    </row>
    <row r="162" spans="1:9" ht="15" x14ac:dyDescent="0.25">
      <c r="A162" s="137" t="s">
        <v>313</v>
      </c>
      <c r="B162" s="137" t="s">
        <v>649</v>
      </c>
      <c r="C162" s="137">
        <v>2010161</v>
      </c>
      <c r="D162" s="197">
        <v>40309</v>
      </c>
      <c r="E162" s="139" t="s">
        <v>650</v>
      </c>
      <c r="F162" s="138">
        <v>598.91</v>
      </c>
      <c r="H162"/>
      <c r="I162"/>
    </row>
    <row r="163" spans="1:9" ht="15" x14ac:dyDescent="0.25">
      <c r="A163" s="137" t="s">
        <v>313</v>
      </c>
      <c r="B163" s="137" t="s">
        <v>657</v>
      </c>
      <c r="C163" s="137">
        <v>2010162</v>
      </c>
      <c r="D163" s="197">
        <v>40309</v>
      </c>
      <c r="E163" s="139" t="s">
        <v>650</v>
      </c>
      <c r="F163" s="138">
        <v>637.07000000000005</v>
      </c>
      <c r="H163"/>
      <c r="I163"/>
    </row>
    <row r="164" spans="1:9" ht="15" x14ac:dyDescent="0.25">
      <c r="A164" s="137" t="s">
        <v>311</v>
      </c>
      <c r="B164" s="137" t="s">
        <v>653</v>
      </c>
      <c r="C164" s="137">
        <v>2010163</v>
      </c>
      <c r="D164" s="197">
        <v>40310</v>
      </c>
      <c r="E164" s="139" t="s">
        <v>650</v>
      </c>
      <c r="F164" s="138">
        <v>461.47</v>
      </c>
      <c r="H164"/>
      <c r="I164"/>
    </row>
    <row r="165" spans="1:9" ht="15" x14ac:dyDescent="0.25">
      <c r="A165" s="137" t="s">
        <v>313</v>
      </c>
      <c r="B165" s="137" t="s">
        <v>657</v>
      </c>
      <c r="C165" s="137">
        <v>2010164</v>
      </c>
      <c r="D165" s="197">
        <v>40313</v>
      </c>
      <c r="E165" s="139" t="s">
        <v>650</v>
      </c>
      <c r="F165" s="138">
        <v>234.24</v>
      </c>
      <c r="H165"/>
      <c r="I165"/>
    </row>
    <row r="166" spans="1:9" ht="15" x14ac:dyDescent="0.25">
      <c r="A166" s="137" t="s">
        <v>313</v>
      </c>
      <c r="B166" s="137" t="s">
        <v>654</v>
      </c>
      <c r="C166" s="137">
        <v>2010165</v>
      </c>
      <c r="D166" s="197">
        <v>40314</v>
      </c>
      <c r="E166" s="139" t="s">
        <v>651</v>
      </c>
      <c r="F166" s="138">
        <v>463.37</v>
      </c>
      <c r="H166"/>
      <c r="I166"/>
    </row>
    <row r="167" spans="1:9" ht="15" x14ac:dyDescent="0.25">
      <c r="A167" s="137" t="s">
        <v>313</v>
      </c>
      <c r="B167" s="137" t="s">
        <v>656</v>
      </c>
      <c r="C167" s="137">
        <v>2010166</v>
      </c>
      <c r="D167" s="197">
        <v>40314</v>
      </c>
      <c r="E167" s="139" t="s">
        <v>650</v>
      </c>
      <c r="F167" s="138">
        <v>896.55</v>
      </c>
      <c r="H167"/>
      <c r="I167"/>
    </row>
    <row r="168" spans="1:9" ht="15" x14ac:dyDescent="0.25">
      <c r="A168" s="137" t="s">
        <v>311</v>
      </c>
      <c r="B168" s="137" t="s">
        <v>653</v>
      </c>
      <c r="C168" s="137">
        <v>2010167</v>
      </c>
      <c r="D168" s="197">
        <v>40315</v>
      </c>
      <c r="E168" s="139" t="s">
        <v>650</v>
      </c>
      <c r="F168" s="138">
        <v>1097.6500000000001</v>
      </c>
      <c r="H168"/>
      <c r="I168"/>
    </row>
    <row r="169" spans="1:9" ht="15" x14ac:dyDescent="0.25">
      <c r="A169" s="137" t="s">
        <v>313</v>
      </c>
      <c r="B169" s="137" t="s">
        <v>657</v>
      </c>
      <c r="C169" s="137">
        <v>2010168</v>
      </c>
      <c r="D169" s="197">
        <v>40316</v>
      </c>
      <c r="E169" s="139" t="s">
        <v>651</v>
      </c>
      <c r="F169" s="138">
        <v>230.87</v>
      </c>
      <c r="H169"/>
      <c r="I169"/>
    </row>
    <row r="170" spans="1:9" ht="15" x14ac:dyDescent="0.25">
      <c r="A170" s="137" t="s">
        <v>313</v>
      </c>
      <c r="B170" s="137" t="s">
        <v>657</v>
      </c>
      <c r="C170" s="137">
        <v>2010169</v>
      </c>
      <c r="D170" s="197">
        <v>40316</v>
      </c>
      <c r="E170" s="139" t="s">
        <v>651</v>
      </c>
      <c r="F170" s="138">
        <v>92.52</v>
      </c>
      <c r="H170"/>
      <c r="I170"/>
    </row>
    <row r="171" spans="1:9" ht="15" x14ac:dyDescent="0.25">
      <c r="A171" s="137" t="s">
        <v>313</v>
      </c>
      <c r="B171" s="137" t="s">
        <v>652</v>
      </c>
      <c r="C171" s="137">
        <v>2010170</v>
      </c>
      <c r="D171" s="197">
        <v>40317</v>
      </c>
      <c r="E171" s="139" t="s">
        <v>650</v>
      </c>
      <c r="F171" s="138">
        <v>668.18</v>
      </c>
      <c r="H171"/>
      <c r="I171"/>
    </row>
    <row r="172" spans="1:9" ht="15" x14ac:dyDescent="0.25">
      <c r="A172" s="137" t="s">
        <v>313</v>
      </c>
      <c r="B172" s="137" t="s">
        <v>652</v>
      </c>
      <c r="C172" s="137">
        <v>2010171</v>
      </c>
      <c r="D172" s="197">
        <v>40317</v>
      </c>
      <c r="E172" s="139" t="s">
        <v>651</v>
      </c>
      <c r="F172" s="138">
        <v>288.72000000000003</v>
      </c>
      <c r="H172"/>
      <c r="I172"/>
    </row>
    <row r="173" spans="1:9" ht="15" x14ac:dyDescent="0.25">
      <c r="A173" s="137" t="s">
        <v>313</v>
      </c>
      <c r="B173" s="137" t="s">
        <v>657</v>
      </c>
      <c r="C173" s="137">
        <v>2010172</v>
      </c>
      <c r="D173" s="197">
        <v>40320</v>
      </c>
      <c r="E173" s="139" t="s">
        <v>650</v>
      </c>
      <c r="F173" s="138">
        <v>642.01</v>
      </c>
      <c r="H173"/>
      <c r="I173"/>
    </row>
    <row r="174" spans="1:9" ht="15" x14ac:dyDescent="0.25">
      <c r="A174" s="137" t="s">
        <v>313</v>
      </c>
      <c r="B174" s="137" t="s">
        <v>649</v>
      </c>
      <c r="C174" s="137">
        <v>2010173</v>
      </c>
      <c r="D174" s="197">
        <v>40320</v>
      </c>
      <c r="E174" s="139" t="s">
        <v>651</v>
      </c>
      <c r="F174" s="138">
        <v>782.93</v>
      </c>
      <c r="H174"/>
      <c r="I174"/>
    </row>
    <row r="175" spans="1:9" ht="15" x14ac:dyDescent="0.25">
      <c r="A175" s="137" t="s">
        <v>313</v>
      </c>
      <c r="B175" s="137" t="s">
        <v>656</v>
      </c>
      <c r="C175" s="137">
        <v>2010174</v>
      </c>
      <c r="D175" s="197">
        <v>40321</v>
      </c>
      <c r="E175" s="139" t="s">
        <v>650</v>
      </c>
      <c r="F175" s="138">
        <v>513.61</v>
      </c>
      <c r="H175"/>
      <c r="I175"/>
    </row>
    <row r="176" spans="1:9" ht="15" x14ac:dyDescent="0.25">
      <c r="A176" s="137" t="s">
        <v>313</v>
      </c>
      <c r="B176" s="137" t="s">
        <v>657</v>
      </c>
      <c r="C176" s="137">
        <v>2010175</v>
      </c>
      <c r="D176" s="197">
        <v>40322</v>
      </c>
      <c r="E176" s="139" t="s">
        <v>651</v>
      </c>
      <c r="F176" s="138">
        <v>751.94</v>
      </c>
      <c r="H176"/>
      <c r="I176"/>
    </row>
    <row r="177" spans="1:9" ht="15" x14ac:dyDescent="0.25">
      <c r="A177" s="137" t="s">
        <v>313</v>
      </c>
      <c r="B177" s="137" t="s">
        <v>654</v>
      </c>
      <c r="C177" s="137">
        <v>2010176</v>
      </c>
      <c r="D177" s="197">
        <v>40322</v>
      </c>
      <c r="E177" s="139" t="s">
        <v>650</v>
      </c>
      <c r="F177" s="138">
        <v>1190.3800000000001</v>
      </c>
      <c r="H177"/>
      <c r="I177"/>
    </row>
    <row r="178" spans="1:9" ht="15" x14ac:dyDescent="0.25">
      <c r="A178" s="137" t="s">
        <v>313</v>
      </c>
      <c r="B178" s="137" t="s">
        <v>649</v>
      </c>
      <c r="C178" s="137">
        <v>2010177</v>
      </c>
      <c r="D178" s="197">
        <v>40323</v>
      </c>
      <c r="E178" s="139" t="s">
        <v>651</v>
      </c>
      <c r="F178" s="138">
        <v>776.56</v>
      </c>
      <c r="H178"/>
      <c r="I178"/>
    </row>
    <row r="179" spans="1:9" ht="15" x14ac:dyDescent="0.25">
      <c r="A179" s="137" t="s">
        <v>313</v>
      </c>
      <c r="B179" s="137" t="s">
        <v>652</v>
      </c>
      <c r="C179" s="137">
        <v>2010178</v>
      </c>
      <c r="D179" s="197">
        <v>40324</v>
      </c>
      <c r="E179" s="139" t="s">
        <v>650</v>
      </c>
      <c r="F179" s="138">
        <v>341.34</v>
      </c>
      <c r="H179"/>
      <c r="I179"/>
    </row>
    <row r="180" spans="1:9" ht="15" x14ac:dyDescent="0.25">
      <c r="A180" s="137" t="s">
        <v>313</v>
      </c>
      <c r="B180" s="137" t="s">
        <v>652</v>
      </c>
      <c r="C180" s="137">
        <v>2010179</v>
      </c>
      <c r="D180" s="197">
        <v>40327</v>
      </c>
      <c r="E180" s="139" t="s">
        <v>651</v>
      </c>
      <c r="F180" s="138">
        <v>515.63</v>
      </c>
      <c r="H180"/>
      <c r="I180"/>
    </row>
    <row r="181" spans="1:9" ht="15" x14ac:dyDescent="0.25">
      <c r="A181" s="137" t="s">
        <v>311</v>
      </c>
      <c r="B181" s="137" t="s">
        <v>655</v>
      </c>
      <c r="C181" s="137">
        <v>2010180</v>
      </c>
      <c r="D181" s="197">
        <v>40327</v>
      </c>
      <c r="E181" s="139" t="s">
        <v>651</v>
      </c>
      <c r="F181" s="138">
        <v>99.07</v>
      </c>
      <c r="H181"/>
      <c r="I181"/>
    </row>
    <row r="182" spans="1:9" ht="15" x14ac:dyDescent="0.25">
      <c r="A182" s="137" t="s">
        <v>313</v>
      </c>
      <c r="B182" s="137" t="s">
        <v>649</v>
      </c>
      <c r="C182" s="137">
        <v>2010181</v>
      </c>
      <c r="D182" s="197">
        <v>40327</v>
      </c>
      <c r="E182" s="139" t="s">
        <v>651</v>
      </c>
      <c r="F182" s="138">
        <v>1033.8699999999999</v>
      </c>
      <c r="H182"/>
      <c r="I182"/>
    </row>
    <row r="183" spans="1:9" ht="15" x14ac:dyDescent="0.25">
      <c r="A183" s="137" t="s">
        <v>313</v>
      </c>
      <c r="B183" s="137" t="s">
        <v>652</v>
      </c>
      <c r="C183" s="137">
        <v>2010182</v>
      </c>
      <c r="D183" s="197">
        <v>40327</v>
      </c>
      <c r="E183" s="139" t="s">
        <v>651</v>
      </c>
      <c r="F183" s="138">
        <v>216.38</v>
      </c>
      <c r="H183"/>
      <c r="I183"/>
    </row>
    <row r="184" spans="1:9" ht="15" x14ac:dyDescent="0.25">
      <c r="A184" s="137" t="s">
        <v>313</v>
      </c>
      <c r="B184" s="137" t="s">
        <v>657</v>
      </c>
      <c r="C184" s="137">
        <v>2010183</v>
      </c>
      <c r="D184" s="197">
        <v>40327</v>
      </c>
      <c r="E184" s="139" t="s">
        <v>650</v>
      </c>
      <c r="F184" s="138">
        <v>705.5</v>
      </c>
      <c r="H184"/>
      <c r="I184"/>
    </row>
    <row r="185" spans="1:9" ht="15" x14ac:dyDescent="0.25">
      <c r="A185" s="137" t="s">
        <v>313</v>
      </c>
      <c r="B185" s="137" t="s">
        <v>652</v>
      </c>
      <c r="C185" s="137">
        <v>2010184</v>
      </c>
      <c r="D185" s="197">
        <v>40330</v>
      </c>
      <c r="E185" s="139" t="s">
        <v>650</v>
      </c>
      <c r="F185" s="138">
        <v>720.61</v>
      </c>
      <c r="H185"/>
      <c r="I185"/>
    </row>
    <row r="186" spans="1:9" ht="15" x14ac:dyDescent="0.25">
      <c r="A186" s="137" t="s">
        <v>311</v>
      </c>
      <c r="B186" s="137" t="s">
        <v>653</v>
      </c>
      <c r="C186" s="137">
        <v>2010185</v>
      </c>
      <c r="D186" s="197">
        <v>40331</v>
      </c>
      <c r="E186" s="139" t="s">
        <v>650</v>
      </c>
      <c r="F186" s="138">
        <v>1161.58</v>
      </c>
      <c r="H186"/>
      <c r="I186"/>
    </row>
    <row r="187" spans="1:9" ht="15" x14ac:dyDescent="0.25">
      <c r="A187" s="137" t="s">
        <v>313</v>
      </c>
      <c r="B187" s="137" t="s">
        <v>649</v>
      </c>
      <c r="C187" s="137">
        <v>2010186</v>
      </c>
      <c r="D187" s="197">
        <v>40332</v>
      </c>
      <c r="E187" s="139" t="s">
        <v>650</v>
      </c>
      <c r="F187" s="138">
        <v>338.56</v>
      </c>
      <c r="H187"/>
      <c r="I187"/>
    </row>
    <row r="188" spans="1:9" ht="15" x14ac:dyDescent="0.25">
      <c r="A188" s="137" t="s">
        <v>313</v>
      </c>
      <c r="B188" s="137" t="s">
        <v>649</v>
      </c>
      <c r="C188" s="137">
        <v>2010187</v>
      </c>
      <c r="D188" s="197">
        <v>40332</v>
      </c>
      <c r="E188" s="139" t="s">
        <v>651</v>
      </c>
      <c r="F188" s="138">
        <v>225.27</v>
      </c>
      <c r="H188"/>
      <c r="I188"/>
    </row>
    <row r="189" spans="1:9" ht="15" x14ac:dyDescent="0.25">
      <c r="A189" s="137" t="s">
        <v>313</v>
      </c>
      <c r="B189" s="137" t="s">
        <v>652</v>
      </c>
      <c r="C189" s="137">
        <v>2010188</v>
      </c>
      <c r="D189" s="197">
        <v>40336</v>
      </c>
      <c r="E189" s="139" t="s">
        <v>651</v>
      </c>
      <c r="F189" s="138">
        <v>241.15</v>
      </c>
      <c r="H189"/>
      <c r="I189"/>
    </row>
    <row r="190" spans="1:9" ht="15" x14ac:dyDescent="0.25">
      <c r="A190" s="137" t="s">
        <v>311</v>
      </c>
      <c r="B190" s="137" t="s">
        <v>659</v>
      </c>
      <c r="C190" s="137">
        <v>2010189</v>
      </c>
      <c r="D190" s="197">
        <v>40336</v>
      </c>
      <c r="E190" s="139" t="s">
        <v>651</v>
      </c>
      <c r="F190" s="138">
        <v>978.22</v>
      </c>
      <c r="H190"/>
      <c r="I190"/>
    </row>
    <row r="191" spans="1:9" ht="15" x14ac:dyDescent="0.25">
      <c r="A191" s="137" t="s">
        <v>311</v>
      </c>
      <c r="B191" s="137" t="s">
        <v>653</v>
      </c>
      <c r="C191" s="137">
        <v>2010190</v>
      </c>
      <c r="D191" s="197">
        <v>40339</v>
      </c>
      <c r="E191" s="139" t="s">
        <v>650</v>
      </c>
      <c r="F191" s="138">
        <v>931.97</v>
      </c>
      <c r="H191"/>
      <c r="I191"/>
    </row>
    <row r="192" spans="1:9" ht="15" x14ac:dyDescent="0.25">
      <c r="A192" s="137" t="s">
        <v>313</v>
      </c>
      <c r="B192" s="137" t="s">
        <v>657</v>
      </c>
      <c r="C192" s="137">
        <v>2010191</v>
      </c>
      <c r="D192" s="197">
        <v>40339</v>
      </c>
      <c r="E192" s="139" t="s">
        <v>650</v>
      </c>
      <c r="F192" s="138">
        <v>898.52</v>
      </c>
      <c r="H192"/>
      <c r="I192"/>
    </row>
    <row r="193" spans="1:9" ht="15" x14ac:dyDescent="0.25">
      <c r="A193" s="137" t="s">
        <v>311</v>
      </c>
      <c r="B193" s="137" t="s">
        <v>655</v>
      </c>
      <c r="C193" s="137">
        <v>2010192</v>
      </c>
      <c r="D193" s="197">
        <v>40340</v>
      </c>
      <c r="E193" s="139" t="s">
        <v>651</v>
      </c>
      <c r="F193" s="138">
        <v>1037.0899999999999</v>
      </c>
      <c r="H193"/>
      <c r="I193"/>
    </row>
    <row r="194" spans="1:9" ht="15" x14ac:dyDescent="0.25">
      <c r="A194" s="137" t="s">
        <v>313</v>
      </c>
      <c r="B194" s="137" t="s">
        <v>652</v>
      </c>
      <c r="C194" s="137">
        <v>2010193</v>
      </c>
      <c r="D194" s="197">
        <v>40340</v>
      </c>
      <c r="E194" s="139" t="s">
        <v>651</v>
      </c>
      <c r="F194" s="138">
        <v>292.56</v>
      </c>
      <c r="H194"/>
      <c r="I194"/>
    </row>
    <row r="195" spans="1:9" ht="15" x14ac:dyDescent="0.25">
      <c r="A195" s="137" t="s">
        <v>311</v>
      </c>
      <c r="B195" s="137" t="s">
        <v>653</v>
      </c>
      <c r="C195" s="137">
        <v>2010194</v>
      </c>
      <c r="D195" s="197">
        <v>40343</v>
      </c>
      <c r="E195" s="139" t="s">
        <v>651</v>
      </c>
      <c r="F195" s="138">
        <v>762.62</v>
      </c>
      <c r="H195"/>
      <c r="I195"/>
    </row>
    <row r="196" spans="1:9" ht="15" x14ac:dyDescent="0.25">
      <c r="A196" s="137" t="s">
        <v>313</v>
      </c>
      <c r="B196" s="137" t="s">
        <v>649</v>
      </c>
      <c r="C196" s="137">
        <v>2010195</v>
      </c>
      <c r="D196" s="197">
        <v>40343</v>
      </c>
      <c r="E196" s="139" t="s">
        <v>651</v>
      </c>
      <c r="F196" s="138">
        <v>773.05</v>
      </c>
      <c r="H196"/>
      <c r="I196"/>
    </row>
    <row r="197" spans="1:9" ht="15" x14ac:dyDescent="0.25">
      <c r="A197" s="137" t="s">
        <v>313</v>
      </c>
      <c r="B197" s="137" t="s">
        <v>649</v>
      </c>
      <c r="C197" s="137">
        <v>2010196</v>
      </c>
      <c r="D197" s="197">
        <v>40345</v>
      </c>
      <c r="E197" s="139" t="s">
        <v>651</v>
      </c>
      <c r="F197" s="138">
        <v>195.05</v>
      </c>
      <c r="H197"/>
      <c r="I197"/>
    </row>
    <row r="198" spans="1:9" ht="15" x14ac:dyDescent="0.25">
      <c r="A198" s="137" t="s">
        <v>313</v>
      </c>
      <c r="B198" s="137" t="s">
        <v>656</v>
      </c>
      <c r="C198" s="137">
        <v>2010197</v>
      </c>
      <c r="D198" s="197">
        <v>40345</v>
      </c>
      <c r="E198" s="139" t="s">
        <v>650</v>
      </c>
      <c r="F198" s="138">
        <v>568.42999999999995</v>
      </c>
      <c r="H198"/>
      <c r="I198"/>
    </row>
    <row r="199" spans="1:9" ht="15" x14ac:dyDescent="0.25">
      <c r="A199" s="137" t="s">
        <v>313</v>
      </c>
      <c r="B199" s="137" t="s">
        <v>656</v>
      </c>
      <c r="C199" s="137">
        <v>2010198</v>
      </c>
      <c r="D199" s="197">
        <v>40345</v>
      </c>
      <c r="E199" s="139" t="s">
        <v>650</v>
      </c>
      <c r="F199" s="138">
        <v>1003.06</v>
      </c>
      <c r="H199"/>
      <c r="I199"/>
    </row>
    <row r="200" spans="1:9" ht="15" x14ac:dyDescent="0.25">
      <c r="A200" s="137" t="s">
        <v>313</v>
      </c>
      <c r="B200" s="137" t="s">
        <v>656</v>
      </c>
      <c r="C200" s="137">
        <v>2010199</v>
      </c>
      <c r="D200" s="197">
        <v>40347</v>
      </c>
      <c r="E200" s="139" t="s">
        <v>651</v>
      </c>
      <c r="F200" s="138">
        <v>356.78</v>
      </c>
      <c r="H200"/>
      <c r="I200"/>
    </row>
    <row r="201" spans="1:9" ht="15" x14ac:dyDescent="0.25">
      <c r="A201" s="137" t="s">
        <v>313</v>
      </c>
      <c r="B201" s="137" t="s">
        <v>657</v>
      </c>
      <c r="C201" s="137">
        <v>2010200</v>
      </c>
      <c r="D201" s="197">
        <v>40347</v>
      </c>
      <c r="E201" s="139" t="s">
        <v>651</v>
      </c>
      <c r="F201" s="138">
        <v>288.57</v>
      </c>
      <c r="H201"/>
      <c r="I201"/>
    </row>
    <row r="202" spans="1:9" ht="15" x14ac:dyDescent="0.25">
      <c r="A202" s="137" t="s">
        <v>313</v>
      </c>
      <c r="B202" s="137" t="s">
        <v>652</v>
      </c>
      <c r="C202" s="137">
        <v>2010201</v>
      </c>
      <c r="D202" s="197">
        <v>40347</v>
      </c>
      <c r="E202" s="139" t="s">
        <v>651</v>
      </c>
      <c r="F202" s="138">
        <v>899.14</v>
      </c>
      <c r="H202"/>
      <c r="I202"/>
    </row>
    <row r="203" spans="1:9" ht="15" x14ac:dyDescent="0.25">
      <c r="A203" s="137" t="s">
        <v>313</v>
      </c>
      <c r="B203" s="137" t="s">
        <v>654</v>
      </c>
      <c r="C203" s="137">
        <v>2010202</v>
      </c>
      <c r="D203" s="197">
        <v>40347</v>
      </c>
      <c r="E203" s="139" t="s">
        <v>651</v>
      </c>
      <c r="F203" s="138">
        <v>918.57</v>
      </c>
      <c r="H203"/>
      <c r="I203"/>
    </row>
    <row r="204" spans="1:9" ht="15" x14ac:dyDescent="0.25">
      <c r="A204" s="137" t="s">
        <v>311</v>
      </c>
      <c r="B204" s="137" t="s">
        <v>659</v>
      </c>
      <c r="C204" s="137">
        <v>2010203</v>
      </c>
      <c r="D204" s="197">
        <v>40350</v>
      </c>
      <c r="E204" s="139" t="s">
        <v>651</v>
      </c>
      <c r="F204" s="138">
        <v>1140.6099999999999</v>
      </c>
      <c r="H204"/>
      <c r="I204"/>
    </row>
    <row r="205" spans="1:9" ht="15" x14ac:dyDescent="0.25">
      <c r="A205" s="137" t="s">
        <v>311</v>
      </c>
      <c r="B205" s="137" t="s">
        <v>653</v>
      </c>
      <c r="C205" s="137">
        <v>2010204</v>
      </c>
      <c r="D205" s="197">
        <v>40351</v>
      </c>
      <c r="E205" s="139" t="s">
        <v>651</v>
      </c>
      <c r="F205" s="138">
        <v>615.12</v>
      </c>
      <c r="H205"/>
      <c r="I205"/>
    </row>
    <row r="206" spans="1:9" ht="15" x14ac:dyDescent="0.25">
      <c r="A206" s="137" t="s">
        <v>313</v>
      </c>
      <c r="B206" s="137" t="s">
        <v>654</v>
      </c>
      <c r="C206" s="137">
        <v>2010205</v>
      </c>
      <c r="D206" s="197">
        <v>40351</v>
      </c>
      <c r="E206" s="139" t="s">
        <v>650</v>
      </c>
      <c r="F206" s="138">
        <v>687.53</v>
      </c>
      <c r="H206"/>
      <c r="I206"/>
    </row>
    <row r="207" spans="1:9" ht="15" x14ac:dyDescent="0.25">
      <c r="A207" s="137" t="s">
        <v>313</v>
      </c>
      <c r="B207" s="137" t="s">
        <v>656</v>
      </c>
      <c r="C207" s="137">
        <v>2010206</v>
      </c>
      <c r="D207" s="197">
        <v>40352</v>
      </c>
      <c r="E207" s="139" t="s">
        <v>650</v>
      </c>
      <c r="F207" s="138">
        <v>764.41</v>
      </c>
      <c r="H207"/>
      <c r="I207"/>
    </row>
    <row r="208" spans="1:9" ht="15" x14ac:dyDescent="0.25">
      <c r="A208" s="137" t="s">
        <v>311</v>
      </c>
      <c r="B208" s="137" t="s">
        <v>658</v>
      </c>
      <c r="C208" s="137">
        <v>2010207</v>
      </c>
      <c r="D208" s="197">
        <v>40352</v>
      </c>
      <c r="E208" s="139" t="s">
        <v>651</v>
      </c>
      <c r="F208" s="138">
        <v>219.09</v>
      </c>
      <c r="H208"/>
      <c r="I208"/>
    </row>
    <row r="209" spans="1:9" ht="15" x14ac:dyDescent="0.25">
      <c r="A209" s="137" t="s">
        <v>313</v>
      </c>
      <c r="B209" s="137" t="s">
        <v>649</v>
      </c>
      <c r="C209" s="137">
        <v>2010208</v>
      </c>
      <c r="D209" s="197">
        <v>40352</v>
      </c>
      <c r="E209" s="139" t="s">
        <v>651</v>
      </c>
      <c r="F209" s="138">
        <v>604.62</v>
      </c>
      <c r="H209"/>
      <c r="I209"/>
    </row>
    <row r="210" spans="1:9" ht="15" x14ac:dyDescent="0.25">
      <c r="A210" s="137" t="s">
        <v>313</v>
      </c>
      <c r="B210" s="137" t="s">
        <v>657</v>
      </c>
      <c r="C210" s="137">
        <v>2010209</v>
      </c>
      <c r="D210" s="197">
        <v>40357</v>
      </c>
      <c r="E210" s="139" t="s">
        <v>650</v>
      </c>
      <c r="F210" s="138">
        <v>198.56</v>
      </c>
      <c r="H210"/>
      <c r="I210"/>
    </row>
    <row r="211" spans="1:9" ht="15" x14ac:dyDescent="0.25">
      <c r="A211" s="137" t="s">
        <v>313</v>
      </c>
      <c r="B211" s="137" t="s">
        <v>649</v>
      </c>
      <c r="C211" s="137">
        <v>2010210</v>
      </c>
      <c r="D211" s="197">
        <v>40357</v>
      </c>
      <c r="E211" s="139" t="s">
        <v>651</v>
      </c>
      <c r="F211" s="138">
        <v>660.42</v>
      </c>
      <c r="H211"/>
      <c r="I211"/>
    </row>
    <row r="212" spans="1:9" ht="15" x14ac:dyDescent="0.25">
      <c r="A212" s="137" t="s">
        <v>313</v>
      </c>
      <c r="B212" s="137" t="s">
        <v>654</v>
      </c>
      <c r="C212" s="137">
        <v>2010211</v>
      </c>
      <c r="D212" s="197">
        <v>40357</v>
      </c>
      <c r="E212" s="139" t="s">
        <v>650</v>
      </c>
      <c r="F212" s="138">
        <v>327.11</v>
      </c>
      <c r="H212"/>
      <c r="I212"/>
    </row>
    <row r="213" spans="1:9" ht="15" x14ac:dyDescent="0.25">
      <c r="A213" s="137" t="s">
        <v>313</v>
      </c>
      <c r="B213" s="137" t="s">
        <v>652</v>
      </c>
      <c r="C213" s="137">
        <v>2010212</v>
      </c>
      <c r="D213" s="197">
        <v>40357</v>
      </c>
      <c r="E213" s="139" t="s">
        <v>651</v>
      </c>
      <c r="F213" s="138">
        <v>975.33</v>
      </c>
      <c r="H213"/>
      <c r="I213"/>
    </row>
    <row r="214" spans="1:9" ht="15" x14ac:dyDescent="0.25">
      <c r="A214" s="137" t="s">
        <v>313</v>
      </c>
      <c r="B214" s="137" t="s">
        <v>652</v>
      </c>
      <c r="C214" s="137">
        <v>2010213</v>
      </c>
      <c r="D214" s="197">
        <v>40359</v>
      </c>
      <c r="E214" s="139" t="s">
        <v>651</v>
      </c>
      <c r="F214" s="138">
        <v>696.24</v>
      </c>
      <c r="H214"/>
      <c r="I214"/>
    </row>
    <row r="215" spans="1:9" ht="15" x14ac:dyDescent="0.25">
      <c r="A215" s="137" t="s">
        <v>313</v>
      </c>
      <c r="B215" s="137" t="s">
        <v>656</v>
      </c>
      <c r="C215" s="137">
        <v>2010214</v>
      </c>
      <c r="D215" s="197">
        <v>40359</v>
      </c>
      <c r="E215" s="139" t="s">
        <v>651</v>
      </c>
      <c r="F215" s="138">
        <v>956.04</v>
      </c>
      <c r="H215"/>
      <c r="I215"/>
    </row>
    <row r="216" spans="1:9" ht="15" x14ac:dyDescent="0.25">
      <c r="A216" s="137" t="s">
        <v>313</v>
      </c>
      <c r="B216" s="137" t="s">
        <v>652</v>
      </c>
      <c r="C216" s="137">
        <v>2010215</v>
      </c>
      <c r="D216" s="197">
        <v>40360</v>
      </c>
      <c r="E216" s="139" t="s">
        <v>651</v>
      </c>
      <c r="F216" s="138">
        <v>444.27</v>
      </c>
      <c r="H216"/>
      <c r="I216"/>
    </row>
    <row r="217" spans="1:9" ht="15" x14ac:dyDescent="0.25">
      <c r="A217" s="137" t="s">
        <v>311</v>
      </c>
      <c r="B217" s="137" t="s">
        <v>659</v>
      </c>
      <c r="C217" s="137">
        <v>2010216</v>
      </c>
      <c r="D217" s="197">
        <v>40360</v>
      </c>
      <c r="E217" s="139" t="s">
        <v>651</v>
      </c>
      <c r="F217" s="138">
        <v>939.65</v>
      </c>
      <c r="H217"/>
      <c r="I217"/>
    </row>
    <row r="218" spans="1:9" ht="15" x14ac:dyDescent="0.25">
      <c r="A218" s="137" t="s">
        <v>313</v>
      </c>
      <c r="B218" s="137" t="s">
        <v>656</v>
      </c>
      <c r="C218" s="137">
        <v>2010217</v>
      </c>
      <c r="D218" s="197">
        <v>40360</v>
      </c>
      <c r="E218" s="139" t="s">
        <v>651</v>
      </c>
      <c r="F218" s="138">
        <v>285.20999999999998</v>
      </c>
      <c r="H218"/>
      <c r="I218"/>
    </row>
    <row r="219" spans="1:9" ht="15" x14ac:dyDescent="0.25">
      <c r="A219" s="137" t="s">
        <v>311</v>
      </c>
      <c r="B219" s="137" t="s">
        <v>658</v>
      </c>
      <c r="C219" s="137">
        <v>2010218</v>
      </c>
      <c r="D219" s="197">
        <v>40360</v>
      </c>
      <c r="E219" s="139" t="s">
        <v>650</v>
      </c>
      <c r="F219" s="138">
        <v>1095.68</v>
      </c>
      <c r="H219"/>
      <c r="I219"/>
    </row>
    <row r="220" spans="1:9" ht="15" x14ac:dyDescent="0.25">
      <c r="A220" s="137" t="s">
        <v>313</v>
      </c>
      <c r="B220" s="137" t="s">
        <v>657</v>
      </c>
      <c r="C220" s="137">
        <v>2010219</v>
      </c>
      <c r="D220" s="197">
        <v>40364</v>
      </c>
      <c r="E220" s="139" t="s">
        <v>650</v>
      </c>
      <c r="F220" s="138">
        <v>1182.4000000000001</v>
      </c>
      <c r="H220"/>
      <c r="I220"/>
    </row>
    <row r="221" spans="1:9" ht="15" x14ac:dyDescent="0.25">
      <c r="A221" s="137" t="s">
        <v>313</v>
      </c>
      <c r="B221" s="137" t="s">
        <v>656</v>
      </c>
      <c r="C221" s="137">
        <v>2010220</v>
      </c>
      <c r="D221" s="197">
        <v>40365</v>
      </c>
      <c r="E221" s="139" t="s">
        <v>651</v>
      </c>
      <c r="F221" s="138">
        <v>358.39</v>
      </c>
      <c r="H221"/>
      <c r="I221"/>
    </row>
    <row r="222" spans="1:9" ht="15" x14ac:dyDescent="0.25">
      <c r="A222" s="137" t="s">
        <v>313</v>
      </c>
      <c r="B222" s="137" t="s">
        <v>654</v>
      </c>
      <c r="C222" s="137">
        <v>2010221</v>
      </c>
      <c r="D222" s="197">
        <v>40366</v>
      </c>
      <c r="E222" s="139" t="s">
        <v>650</v>
      </c>
      <c r="F222" s="138">
        <v>753.47</v>
      </c>
      <c r="H222"/>
      <c r="I222"/>
    </row>
    <row r="223" spans="1:9" ht="15" x14ac:dyDescent="0.25">
      <c r="A223" s="137" t="s">
        <v>311</v>
      </c>
      <c r="B223" s="137" t="s">
        <v>653</v>
      </c>
      <c r="C223" s="137">
        <v>2010222</v>
      </c>
      <c r="D223" s="197">
        <v>40370</v>
      </c>
      <c r="E223" s="139" t="s">
        <v>650</v>
      </c>
      <c r="F223" s="138">
        <v>80.400000000000006</v>
      </c>
      <c r="H223"/>
      <c r="I223"/>
    </row>
    <row r="224" spans="1:9" ht="15" x14ac:dyDescent="0.25">
      <c r="A224" s="137" t="s">
        <v>313</v>
      </c>
      <c r="B224" s="137" t="s">
        <v>656</v>
      </c>
      <c r="C224" s="137">
        <v>2010223</v>
      </c>
      <c r="D224" s="197">
        <v>40371</v>
      </c>
      <c r="E224" s="139" t="s">
        <v>651</v>
      </c>
      <c r="F224" s="138">
        <v>490.71</v>
      </c>
      <c r="H224"/>
      <c r="I224"/>
    </row>
    <row r="225" spans="1:9" ht="15" x14ac:dyDescent="0.25">
      <c r="A225" s="137" t="s">
        <v>313</v>
      </c>
      <c r="B225" s="137" t="s">
        <v>657</v>
      </c>
      <c r="C225" s="137">
        <v>2010224</v>
      </c>
      <c r="D225" s="197">
        <v>40372</v>
      </c>
      <c r="E225" s="139" t="s">
        <v>651</v>
      </c>
      <c r="F225" s="138">
        <v>941.55</v>
      </c>
      <c r="H225"/>
      <c r="I225"/>
    </row>
    <row r="226" spans="1:9" ht="15" x14ac:dyDescent="0.25">
      <c r="A226" s="137" t="s">
        <v>311</v>
      </c>
      <c r="B226" s="137" t="s">
        <v>658</v>
      </c>
      <c r="C226" s="137">
        <v>2010225</v>
      </c>
      <c r="D226" s="197">
        <v>40372</v>
      </c>
      <c r="E226" s="139" t="s">
        <v>650</v>
      </c>
      <c r="F226" s="138">
        <v>28.96</v>
      </c>
      <c r="H226"/>
      <c r="I226"/>
    </row>
    <row r="227" spans="1:9" ht="15" x14ac:dyDescent="0.25">
      <c r="A227" s="137" t="s">
        <v>313</v>
      </c>
      <c r="B227" s="137" t="s">
        <v>649</v>
      </c>
      <c r="C227" s="137">
        <v>2010226</v>
      </c>
      <c r="D227" s="197">
        <v>40373</v>
      </c>
      <c r="E227" s="139" t="s">
        <v>651</v>
      </c>
      <c r="F227" s="138">
        <v>990.18</v>
      </c>
      <c r="H227"/>
      <c r="I227"/>
    </row>
    <row r="228" spans="1:9" ht="15" x14ac:dyDescent="0.25">
      <c r="A228" s="137" t="s">
        <v>313</v>
      </c>
      <c r="B228" s="137" t="s">
        <v>652</v>
      </c>
      <c r="C228" s="137">
        <v>2010227</v>
      </c>
      <c r="D228" s="197">
        <v>40374</v>
      </c>
      <c r="E228" s="139" t="s">
        <v>650</v>
      </c>
      <c r="F228" s="138">
        <v>1130.51</v>
      </c>
      <c r="H228"/>
      <c r="I228"/>
    </row>
    <row r="229" spans="1:9" ht="15" x14ac:dyDescent="0.25">
      <c r="A229" s="137" t="s">
        <v>313</v>
      </c>
      <c r="B229" s="137" t="s">
        <v>656</v>
      </c>
      <c r="C229" s="137">
        <v>2010228</v>
      </c>
      <c r="D229" s="197">
        <v>40377</v>
      </c>
      <c r="E229" s="139" t="s">
        <v>650</v>
      </c>
      <c r="F229" s="138">
        <v>1027.76</v>
      </c>
      <c r="H229"/>
      <c r="I229"/>
    </row>
    <row r="230" spans="1:9" ht="15" x14ac:dyDescent="0.25">
      <c r="A230" s="137" t="s">
        <v>313</v>
      </c>
      <c r="B230" s="137" t="s">
        <v>654</v>
      </c>
      <c r="C230" s="137">
        <v>2010229</v>
      </c>
      <c r="D230" s="197">
        <v>40377</v>
      </c>
      <c r="E230" s="139" t="s">
        <v>650</v>
      </c>
      <c r="F230" s="138">
        <v>868.41</v>
      </c>
      <c r="H230"/>
      <c r="I230"/>
    </row>
    <row r="231" spans="1:9" ht="15" x14ac:dyDescent="0.25">
      <c r="A231" s="137" t="s">
        <v>311</v>
      </c>
      <c r="B231" s="137" t="s">
        <v>655</v>
      </c>
      <c r="C231" s="137">
        <v>2010230</v>
      </c>
      <c r="D231" s="197">
        <v>40377</v>
      </c>
      <c r="E231" s="139" t="s">
        <v>651</v>
      </c>
      <c r="F231" s="138">
        <v>72.430000000000007</v>
      </c>
      <c r="H231"/>
      <c r="I231"/>
    </row>
    <row r="232" spans="1:9" ht="15" x14ac:dyDescent="0.25">
      <c r="A232" s="137" t="s">
        <v>313</v>
      </c>
      <c r="B232" s="137" t="s">
        <v>649</v>
      </c>
      <c r="C232" s="137">
        <v>2010231</v>
      </c>
      <c r="D232" s="197">
        <v>40378</v>
      </c>
      <c r="E232" s="139" t="s">
        <v>650</v>
      </c>
      <c r="F232" s="138">
        <v>147.33000000000001</v>
      </c>
      <c r="H232"/>
      <c r="I232"/>
    </row>
    <row r="233" spans="1:9" ht="15" x14ac:dyDescent="0.25">
      <c r="A233" s="137" t="s">
        <v>313</v>
      </c>
      <c r="B233" s="137" t="s">
        <v>649</v>
      </c>
      <c r="C233" s="137">
        <v>2010232</v>
      </c>
      <c r="D233" s="197">
        <v>40380</v>
      </c>
      <c r="E233" s="139" t="s">
        <v>650</v>
      </c>
      <c r="F233" s="138">
        <v>334.06</v>
      </c>
      <c r="H233"/>
      <c r="I233"/>
    </row>
    <row r="234" spans="1:9" ht="15" x14ac:dyDescent="0.25">
      <c r="A234" s="137" t="s">
        <v>313</v>
      </c>
      <c r="B234" s="137" t="s">
        <v>657</v>
      </c>
      <c r="C234" s="137">
        <v>2010233</v>
      </c>
      <c r="D234" s="197">
        <v>40381</v>
      </c>
      <c r="E234" s="139" t="s">
        <v>651</v>
      </c>
      <c r="F234" s="138">
        <v>665.25</v>
      </c>
      <c r="H234"/>
      <c r="I234"/>
    </row>
    <row r="235" spans="1:9" ht="15" x14ac:dyDescent="0.25">
      <c r="A235" s="137" t="s">
        <v>313</v>
      </c>
      <c r="B235" s="137" t="s">
        <v>654</v>
      </c>
      <c r="C235" s="137">
        <v>2010234</v>
      </c>
      <c r="D235" s="197">
        <v>40381</v>
      </c>
      <c r="E235" s="139" t="s">
        <v>651</v>
      </c>
      <c r="F235" s="138">
        <v>191.06</v>
      </c>
      <c r="H235"/>
      <c r="I235"/>
    </row>
    <row r="236" spans="1:9" ht="15" x14ac:dyDescent="0.25">
      <c r="A236" s="137" t="s">
        <v>313</v>
      </c>
      <c r="B236" s="137" t="s">
        <v>656</v>
      </c>
      <c r="C236" s="137">
        <v>2010235</v>
      </c>
      <c r="D236" s="197">
        <v>40384</v>
      </c>
      <c r="E236" s="139" t="s">
        <v>650</v>
      </c>
      <c r="F236" s="138">
        <v>1042.1400000000001</v>
      </c>
      <c r="H236"/>
      <c r="I236"/>
    </row>
    <row r="237" spans="1:9" ht="15" x14ac:dyDescent="0.25">
      <c r="A237" s="137" t="s">
        <v>311</v>
      </c>
      <c r="B237" s="137" t="s">
        <v>653</v>
      </c>
      <c r="C237" s="137">
        <v>2010236</v>
      </c>
      <c r="D237" s="197">
        <v>40384</v>
      </c>
      <c r="E237" s="139" t="s">
        <v>651</v>
      </c>
      <c r="F237" s="138">
        <v>645.78</v>
      </c>
      <c r="H237"/>
      <c r="I237"/>
    </row>
    <row r="238" spans="1:9" ht="15" x14ac:dyDescent="0.25">
      <c r="A238" s="137" t="s">
        <v>313</v>
      </c>
      <c r="B238" s="137" t="s">
        <v>652</v>
      </c>
      <c r="C238" s="137">
        <v>2010237</v>
      </c>
      <c r="D238" s="197">
        <v>40384</v>
      </c>
      <c r="E238" s="139" t="s">
        <v>651</v>
      </c>
      <c r="F238" s="138">
        <v>247.77</v>
      </c>
      <c r="H238"/>
      <c r="I238"/>
    </row>
    <row r="239" spans="1:9" ht="15" x14ac:dyDescent="0.25">
      <c r="A239" s="137" t="s">
        <v>311</v>
      </c>
      <c r="B239" s="137" t="s">
        <v>658</v>
      </c>
      <c r="C239" s="137">
        <v>2010238</v>
      </c>
      <c r="D239" s="197">
        <v>40384</v>
      </c>
      <c r="E239" s="139" t="s">
        <v>650</v>
      </c>
      <c r="F239" s="138">
        <v>958.61</v>
      </c>
      <c r="H239"/>
      <c r="I239"/>
    </row>
    <row r="240" spans="1:9" ht="15" x14ac:dyDescent="0.25">
      <c r="A240" s="137" t="s">
        <v>313</v>
      </c>
      <c r="B240" s="137" t="s">
        <v>654</v>
      </c>
      <c r="C240" s="137">
        <v>2010239</v>
      </c>
      <c r="D240" s="197">
        <v>40385</v>
      </c>
      <c r="E240" s="139" t="s">
        <v>651</v>
      </c>
      <c r="F240" s="138">
        <v>1059.23</v>
      </c>
      <c r="H240"/>
      <c r="I240"/>
    </row>
    <row r="241" spans="1:9" ht="15" x14ac:dyDescent="0.25">
      <c r="A241" s="137" t="s">
        <v>313</v>
      </c>
      <c r="B241" s="137" t="s">
        <v>652</v>
      </c>
      <c r="C241" s="137">
        <v>2010240</v>
      </c>
      <c r="D241" s="197">
        <v>40385</v>
      </c>
      <c r="E241" s="139" t="s">
        <v>651</v>
      </c>
      <c r="F241" s="138">
        <v>1135.1199999999999</v>
      </c>
      <c r="H241"/>
      <c r="I241"/>
    </row>
    <row r="242" spans="1:9" ht="15" x14ac:dyDescent="0.25">
      <c r="A242" s="137" t="s">
        <v>311</v>
      </c>
      <c r="B242" s="137" t="s">
        <v>655</v>
      </c>
      <c r="C242" s="137">
        <v>2010241</v>
      </c>
      <c r="D242" s="197">
        <v>40386</v>
      </c>
      <c r="E242" s="139" t="s">
        <v>650</v>
      </c>
      <c r="F242" s="138">
        <v>629.39</v>
      </c>
      <c r="H242"/>
      <c r="I242"/>
    </row>
    <row r="243" spans="1:9" ht="15" x14ac:dyDescent="0.25">
      <c r="A243" s="137" t="s">
        <v>313</v>
      </c>
      <c r="B243" s="137" t="s">
        <v>654</v>
      </c>
      <c r="C243" s="137">
        <v>2010242</v>
      </c>
      <c r="D243" s="197">
        <v>40387</v>
      </c>
      <c r="E243" s="139" t="s">
        <v>650</v>
      </c>
      <c r="F243" s="138">
        <v>751.83</v>
      </c>
      <c r="H243"/>
      <c r="I243"/>
    </row>
    <row r="244" spans="1:9" ht="15" x14ac:dyDescent="0.25">
      <c r="A244" s="137" t="s">
        <v>313</v>
      </c>
      <c r="B244" s="137" t="s">
        <v>656</v>
      </c>
      <c r="C244" s="137">
        <v>2010243</v>
      </c>
      <c r="D244" s="197">
        <v>40388</v>
      </c>
      <c r="E244" s="139" t="s">
        <v>651</v>
      </c>
      <c r="F244" s="138">
        <v>843.23</v>
      </c>
      <c r="H244"/>
      <c r="I244"/>
    </row>
    <row r="245" spans="1:9" ht="15" x14ac:dyDescent="0.25">
      <c r="A245" s="137" t="s">
        <v>313</v>
      </c>
      <c r="B245" s="137" t="s">
        <v>656</v>
      </c>
      <c r="C245" s="137">
        <v>2010244</v>
      </c>
      <c r="D245" s="197">
        <v>40388</v>
      </c>
      <c r="E245" s="139" t="s">
        <v>651</v>
      </c>
      <c r="F245" s="138">
        <v>582.85</v>
      </c>
      <c r="H245"/>
      <c r="I245"/>
    </row>
    <row r="246" spans="1:9" ht="15" x14ac:dyDescent="0.25">
      <c r="A246" s="137" t="s">
        <v>311</v>
      </c>
      <c r="B246" s="137" t="s">
        <v>653</v>
      </c>
      <c r="C246" s="137">
        <v>2010245</v>
      </c>
      <c r="D246" s="197">
        <v>40391</v>
      </c>
      <c r="E246" s="139" t="s">
        <v>650</v>
      </c>
      <c r="F246" s="138">
        <v>1165.8599999999999</v>
      </c>
      <c r="H246"/>
      <c r="I246"/>
    </row>
    <row r="247" spans="1:9" ht="15" x14ac:dyDescent="0.25">
      <c r="A247" s="137" t="s">
        <v>313</v>
      </c>
      <c r="B247" s="137" t="s">
        <v>652</v>
      </c>
      <c r="C247" s="137">
        <v>2010246</v>
      </c>
      <c r="D247" s="197">
        <v>40391</v>
      </c>
      <c r="E247" s="139" t="s">
        <v>651</v>
      </c>
      <c r="F247" s="138">
        <v>84.58</v>
      </c>
      <c r="H247"/>
      <c r="I247"/>
    </row>
    <row r="248" spans="1:9" ht="15" x14ac:dyDescent="0.25">
      <c r="A248" s="137" t="s">
        <v>311</v>
      </c>
      <c r="B248" s="137" t="s">
        <v>659</v>
      </c>
      <c r="C248" s="137">
        <v>2010247</v>
      </c>
      <c r="D248" s="197">
        <v>40391</v>
      </c>
      <c r="E248" s="139" t="s">
        <v>650</v>
      </c>
      <c r="F248" s="138">
        <v>968.92</v>
      </c>
      <c r="H248"/>
      <c r="I248"/>
    </row>
    <row r="249" spans="1:9" ht="15" x14ac:dyDescent="0.25">
      <c r="A249" s="137" t="s">
        <v>313</v>
      </c>
      <c r="B249" s="137" t="s">
        <v>654</v>
      </c>
      <c r="C249" s="137">
        <v>2010248</v>
      </c>
      <c r="D249" s="197">
        <v>40392</v>
      </c>
      <c r="E249" s="139" t="s">
        <v>650</v>
      </c>
      <c r="F249" s="138">
        <v>495.24</v>
      </c>
      <c r="H249"/>
      <c r="I249"/>
    </row>
    <row r="250" spans="1:9" ht="15" x14ac:dyDescent="0.25">
      <c r="A250" s="137" t="s">
        <v>313</v>
      </c>
      <c r="B250" s="137" t="s">
        <v>649</v>
      </c>
      <c r="C250" s="137">
        <v>2010249</v>
      </c>
      <c r="D250" s="197">
        <v>40394</v>
      </c>
      <c r="E250" s="139" t="s">
        <v>651</v>
      </c>
      <c r="F250" s="138">
        <v>299.7</v>
      </c>
      <c r="H250"/>
      <c r="I250"/>
    </row>
    <row r="251" spans="1:9" ht="15" x14ac:dyDescent="0.25">
      <c r="A251" s="137" t="s">
        <v>313</v>
      </c>
      <c r="B251" s="137" t="s">
        <v>649</v>
      </c>
      <c r="C251" s="137">
        <v>2010250</v>
      </c>
      <c r="D251" s="197">
        <v>40395</v>
      </c>
      <c r="E251" s="139" t="s">
        <v>651</v>
      </c>
      <c r="F251" s="138">
        <v>1102.3399999999999</v>
      </c>
      <c r="H251"/>
      <c r="I251"/>
    </row>
    <row r="252" spans="1:9" ht="15" x14ac:dyDescent="0.25">
      <c r="A252" s="137" t="s">
        <v>313</v>
      </c>
      <c r="B252" s="137" t="s">
        <v>654</v>
      </c>
      <c r="C252" s="137">
        <v>2010251</v>
      </c>
      <c r="D252" s="197">
        <v>40398</v>
      </c>
      <c r="E252" s="139" t="s">
        <v>651</v>
      </c>
      <c r="F252" s="138">
        <v>1163.74</v>
      </c>
      <c r="H252"/>
      <c r="I252"/>
    </row>
    <row r="253" spans="1:9" ht="15" x14ac:dyDescent="0.25">
      <c r="A253" s="137" t="s">
        <v>313</v>
      </c>
      <c r="B253" s="137" t="s">
        <v>649</v>
      </c>
      <c r="C253" s="137">
        <v>2010252</v>
      </c>
      <c r="D253" s="197">
        <v>40398</v>
      </c>
      <c r="E253" s="139" t="s">
        <v>651</v>
      </c>
      <c r="F253" s="138">
        <v>15.49</v>
      </c>
      <c r="H253"/>
      <c r="I253"/>
    </row>
    <row r="254" spans="1:9" ht="15" x14ac:dyDescent="0.25">
      <c r="A254" s="137" t="s">
        <v>311</v>
      </c>
      <c r="B254" s="137" t="s">
        <v>655</v>
      </c>
      <c r="C254" s="137">
        <v>2010253</v>
      </c>
      <c r="D254" s="197">
        <v>40398</v>
      </c>
      <c r="E254" s="139" t="s">
        <v>650</v>
      </c>
      <c r="F254" s="138">
        <v>888.42</v>
      </c>
      <c r="H254"/>
      <c r="I254"/>
    </row>
    <row r="255" spans="1:9" ht="15" x14ac:dyDescent="0.25">
      <c r="A255" s="137" t="s">
        <v>313</v>
      </c>
      <c r="B255" s="137" t="s">
        <v>657</v>
      </c>
      <c r="C255" s="137">
        <v>2010254</v>
      </c>
      <c r="D255" s="197">
        <v>40398</v>
      </c>
      <c r="E255" s="139" t="s">
        <v>651</v>
      </c>
      <c r="F255" s="138">
        <v>786.59</v>
      </c>
      <c r="H255"/>
      <c r="I255"/>
    </row>
    <row r="256" spans="1:9" ht="15" x14ac:dyDescent="0.25">
      <c r="A256" s="137" t="s">
        <v>313</v>
      </c>
      <c r="B256" s="137" t="s">
        <v>657</v>
      </c>
      <c r="C256" s="137">
        <v>2010255</v>
      </c>
      <c r="D256" s="197">
        <v>40399</v>
      </c>
      <c r="E256" s="139" t="s">
        <v>651</v>
      </c>
      <c r="F256" s="138">
        <v>562.83000000000004</v>
      </c>
      <c r="H256"/>
      <c r="I256"/>
    </row>
    <row r="257" spans="1:9" ht="15" x14ac:dyDescent="0.25">
      <c r="A257" s="137" t="s">
        <v>313</v>
      </c>
      <c r="B257" s="137" t="s">
        <v>652</v>
      </c>
      <c r="C257" s="137">
        <v>2010256</v>
      </c>
      <c r="D257" s="197">
        <v>40400</v>
      </c>
      <c r="E257" s="139" t="s">
        <v>650</v>
      </c>
      <c r="F257" s="138">
        <v>687.09</v>
      </c>
      <c r="H257"/>
      <c r="I257"/>
    </row>
    <row r="258" spans="1:9" ht="15" x14ac:dyDescent="0.25">
      <c r="A258" s="137" t="s">
        <v>311</v>
      </c>
      <c r="B258" s="137" t="s">
        <v>653</v>
      </c>
      <c r="C258" s="137">
        <v>2010257</v>
      </c>
      <c r="D258" s="197">
        <v>40402</v>
      </c>
      <c r="E258" s="139" t="s">
        <v>651</v>
      </c>
      <c r="F258" s="138">
        <v>80.11</v>
      </c>
      <c r="H258"/>
      <c r="I258"/>
    </row>
    <row r="259" spans="1:9" ht="15" x14ac:dyDescent="0.25">
      <c r="A259" s="137" t="s">
        <v>313</v>
      </c>
      <c r="B259" s="137" t="s">
        <v>649</v>
      </c>
      <c r="C259" s="137">
        <v>2010258</v>
      </c>
      <c r="D259" s="197">
        <v>40402</v>
      </c>
      <c r="E259" s="139" t="s">
        <v>651</v>
      </c>
      <c r="F259" s="138">
        <v>1142.55</v>
      </c>
      <c r="H259"/>
      <c r="I259"/>
    </row>
    <row r="260" spans="1:9" ht="15" x14ac:dyDescent="0.25">
      <c r="A260" s="137" t="s">
        <v>313</v>
      </c>
      <c r="B260" s="137" t="s">
        <v>656</v>
      </c>
      <c r="C260" s="137">
        <v>2010259</v>
      </c>
      <c r="D260" s="197">
        <v>40405</v>
      </c>
      <c r="E260" s="139" t="s">
        <v>650</v>
      </c>
      <c r="F260" s="138">
        <v>598.36</v>
      </c>
      <c r="H260"/>
      <c r="I260"/>
    </row>
    <row r="261" spans="1:9" ht="15" x14ac:dyDescent="0.25">
      <c r="A261" s="137" t="s">
        <v>311</v>
      </c>
      <c r="B261" s="137" t="s">
        <v>658</v>
      </c>
      <c r="C261" s="137">
        <v>2010260</v>
      </c>
      <c r="D261" s="197">
        <v>40405</v>
      </c>
      <c r="E261" s="139" t="s">
        <v>651</v>
      </c>
      <c r="F261" s="138">
        <v>581.53</v>
      </c>
      <c r="H261"/>
      <c r="I261"/>
    </row>
    <row r="262" spans="1:9" ht="15" x14ac:dyDescent="0.25">
      <c r="A262" s="137" t="s">
        <v>313</v>
      </c>
      <c r="B262" s="137" t="s">
        <v>652</v>
      </c>
      <c r="C262" s="137">
        <v>2010261</v>
      </c>
      <c r="D262" s="197">
        <v>40406</v>
      </c>
      <c r="E262" s="139" t="s">
        <v>650</v>
      </c>
      <c r="F262" s="138">
        <v>676.7</v>
      </c>
      <c r="H262"/>
      <c r="I262"/>
    </row>
    <row r="263" spans="1:9" ht="15" x14ac:dyDescent="0.25">
      <c r="A263" s="137" t="s">
        <v>313</v>
      </c>
      <c r="B263" s="137" t="s">
        <v>657</v>
      </c>
      <c r="C263" s="137">
        <v>2010262</v>
      </c>
      <c r="D263" s="197">
        <v>40407</v>
      </c>
      <c r="E263" s="139" t="s">
        <v>651</v>
      </c>
      <c r="F263" s="138">
        <v>816.67</v>
      </c>
      <c r="H263"/>
      <c r="I263"/>
    </row>
    <row r="264" spans="1:9" ht="15" x14ac:dyDescent="0.25">
      <c r="A264" s="137" t="s">
        <v>313</v>
      </c>
      <c r="B264" s="137" t="s">
        <v>649</v>
      </c>
      <c r="C264" s="137">
        <v>2010263</v>
      </c>
      <c r="D264" s="197">
        <v>40408</v>
      </c>
      <c r="E264" s="139" t="s">
        <v>650</v>
      </c>
      <c r="F264" s="138">
        <v>1050.4100000000001</v>
      </c>
      <c r="H264"/>
      <c r="I264"/>
    </row>
    <row r="265" spans="1:9" ht="15" x14ac:dyDescent="0.25">
      <c r="A265" s="137" t="s">
        <v>313</v>
      </c>
      <c r="B265" s="137" t="s">
        <v>656</v>
      </c>
      <c r="C265" s="137">
        <v>2010264</v>
      </c>
      <c r="D265" s="197">
        <v>40409</v>
      </c>
      <c r="E265" s="139" t="s">
        <v>651</v>
      </c>
      <c r="F265" s="138">
        <v>540.73</v>
      </c>
      <c r="H265"/>
      <c r="I265"/>
    </row>
    <row r="266" spans="1:9" ht="15" x14ac:dyDescent="0.25">
      <c r="A266" s="137" t="s">
        <v>311</v>
      </c>
      <c r="B266" s="137" t="s">
        <v>653</v>
      </c>
      <c r="C266" s="137">
        <v>2010265</v>
      </c>
      <c r="D266" s="197">
        <v>40409</v>
      </c>
      <c r="E266" s="139" t="s">
        <v>650</v>
      </c>
      <c r="F266" s="138">
        <v>480.24</v>
      </c>
      <c r="H266"/>
      <c r="I266"/>
    </row>
    <row r="267" spans="1:9" ht="15" x14ac:dyDescent="0.25">
      <c r="A267" s="137" t="s">
        <v>311</v>
      </c>
      <c r="B267" s="137" t="s">
        <v>655</v>
      </c>
      <c r="C267" s="137">
        <v>2010266</v>
      </c>
      <c r="D267" s="197">
        <v>40412</v>
      </c>
      <c r="E267" s="139" t="s">
        <v>651</v>
      </c>
      <c r="F267" s="138">
        <v>815.49</v>
      </c>
      <c r="H267"/>
      <c r="I267"/>
    </row>
    <row r="268" spans="1:9" ht="15" x14ac:dyDescent="0.25">
      <c r="A268" s="137" t="s">
        <v>311</v>
      </c>
      <c r="B268" s="137" t="s">
        <v>659</v>
      </c>
      <c r="C268" s="137">
        <v>2010267</v>
      </c>
      <c r="D268" s="197">
        <v>40412</v>
      </c>
      <c r="E268" s="139" t="s">
        <v>651</v>
      </c>
      <c r="F268" s="138">
        <v>474.28</v>
      </c>
      <c r="H268"/>
      <c r="I268"/>
    </row>
    <row r="269" spans="1:9" ht="15" x14ac:dyDescent="0.25">
      <c r="A269" s="137" t="s">
        <v>313</v>
      </c>
      <c r="B269" s="137" t="s">
        <v>649</v>
      </c>
      <c r="C269" s="137">
        <v>2010268</v>
      </c>
      <c r="D269" s="197">
        <v>40414</v>
      </c>
      <c r="E269" s="139" t="s">
        <v>651</v>
      </c>
      <c r="F269" s="138">
        <v>893.07</v>
      </c>
      <c r="H269"/>
      <c r="I269"/>
    </row>
    <row r="270" spans="1:9" ht="15" x14ac:dyDescent="0.25">
      <c r="A270" s="137" t="s">
        <v>311</v>
      </c>
      <c r="B270" s="137" t="s">
        <v>653</v>
      </c>
      <c r="C270" s="137">
        <v>2010269</v>
      </c>
      <c r="D270" s="197">
        <v>40414</v>
      </c>
      <c r="E270" s="139" t="s">
        <v>650</v>
      </c>
      <c r="F270" s="138">
        <v>1192.28</v>
      </c>
      <c r="H270"/>
      <c r="I270"/>
    </row>
    <row r="271" spans="1:9" ht="15" x14ac:dyDescent="0.25">
      <c r="A271" s="137" t="s">
        <v>313</v>
      </c>
      <c r="B271" s="137" t="s">
        <v>652</v>
      </c>
      <c r="C271" s="137">
        <v>2010270</v>
      </c>
      <c r="D271" s="197">
        <v>40415</v>
      </c>
      <c r="E271" s="139" t="s">
        <v>650</v>
      </c>
      <c r="F271" s="138">
        <v>1034.42</v>
      </c>
      <c r="H271"/>
      <c r="I271"/>
    </row>
    <row r="272" spans="1:9" ht="15" x14ac:dyDescent="0.25">
      <c r="A272" s="137" t="s">
        <v>313</v>
      </c>
      <c r="B272" s="137" t="s">
        <v>652</v>
      </c>
      <c r="C272" s="137">
        <v>2010271</v>
      </c>
      <c r="D272" s="197">
        <v>40416</v>
      </c>
      <c r="E272" s="139" t="s">
        <v>651</v>
      </c>
      <c r="F272" s="138">
        <v>359.38</v>
      </c>
      <c r="H272"/>
      <c r="I272"/>
    </row>
    <row r="273" spans="1:9" ht="15" x14ac:dyDescent="0.25">
      <c r="A273" s="137" t="s">
        <v>311</v>
      </c>
      <c r="B273" s="137" t="s">
        <v>658</v>
      </c>
      <c r="C273" s="137">
        <v>2010272</v>
      </c>
      <c r="D273" s="197">
        <v>40419</v>
      </c>
      <c r="E273" s="139" t="s">
        <v>650</v>
      </c>
      <c r="F273" s="138">
        <v>876.82</v>
      </c>
      <c r="H273"/>
      <c r="I273"/>
    </row>
    <row r="274" spans="1:9" ht="15" x14ac:dyDescent="0.25">
      <c r="A274" s="137" t="s">
        <v>313</v>
      </c>
      <c r="B274" s="137" t="s">
        <v>657</v>
      </c>
      <c r="C274" s="137">
        <v>2010273</v>
      </c>
      <c r="D274" s="197">
        <v>40419</v>
      </c>
      <c r="E274" s="139" t="s">
        <v>651</v>
      </c>
      <c r="F274" s="138">
        <v>586.16999999999996</v>
      </c>
      <c r="H274"/>
      <c r="I274"/>
    </row>
    <row r="275" spans="1:9" ht="15" x14ac:dyDescent="0.25">
      <c r="A275" s="137" t="s">
        <v>313</v>
      </c>
      <c r="B275" s="137" t="s">
        <v>654</v>
      </c>
      <c r="C275" s="137">
        <v>2010274</v>
      </c>
      <c r="D275" s="197">
        <v>40420</v>
      </c>
      <c r="E275" s="139" t="s">
        <v>651</v>
      </c>
      <c r="F275" s="138">
        <v>789.81</v>
      </c>
      <c r="H275"/>
      <c r="I275"/>
    </row>
    <row r="276" spans="1:9" ht="15" x14ac:dyDescent="0.25">
      <c r="A276" s="137" t="s">
        <v>311</v>
      </c>
      <c r="B276" s="137" t="s">
        <v>655</v>
      </c>
      <c r="C276" s="137">
        <v>2010275</v>
      </c>
      <c r="D276" s="197">
        <v>40420</v>
      </c>
      <c r="E276" s="139" t="s">
        <v>650</v>
      </c>
      <c r="F276" s="138">
        <v>332.48</v>
      </c>
      <c r="H276"/>
      <c r="I276"/>
    </row>
    <row r="277" spans="1:9" ht="15" x14ac:dyDescent="0.25">
      <c r="A277" s="137" t="s">
        <v>311</v>
      </c>
      <c r="B277" s="137" t="s">
        <v>653</v>
      </c>
      <c r="C277" s="137">
        <v>2010276</v>
      </c>
      <c r="D277" s="197">
        <v>40420</v>
      </c>
      <c r="E277" s="139" t="s">
        <v>650</v>
      </c>
      <c r="F277" s="138">
        <v>1160.1500000000001</v>
      </c>
      <c r="H277"/>
      <c r="I277"/>
    </row>
    <row r="278" spans="1:9" ht="15" x14ac:dyDescent="0.25">
      <c r="A278" s="137" t="s">
        <v>313</v>
      </c>
      <c r="B278" s="137" t="s">
        <v>654</v>
      </c>
      <c r="C278" s="137">
        <v>2010277</v>
      </c>
      <c r="D278" s="197">
        <v>40422</v>
      </c>
      <c r="E278" s="139" t="s">
        <v>651</v>
      </c>
      <c r="F278" s="138">
        <v>255.24</v>
      </c>
      <c r="H278"/>
      <c r="I278"/>
    </row>
    <row r="279" spans="1:9" ht="15" x14ac:dyDescent="0.25">
      <c r="A279" s="137" t="s">
        <v>313</v>
      </c>
      <c r="B279" s="137" t="s">
        <v>652</v>
      </c>
      <c r="C279" s="137">
        <v>2010278</v>
      </c>
      <c r="D279" s="197">
        <v>40422</v>
      </c>
      <c r="E279" s="139" t="s">
        <v>650</v>
      </c>
      <c r="F279" s="138">
        <v>37.01</v>
      </c>
      <c r="H279"/>
      <c r="I279"/>
    </row>
    <row r="280" spans="1:9" ht="15" x14ac:dyDescent="0.25">
      <c r="A280" s="137" t="s">
        <v>313</v>
      </c>
      <c r="B280" s="137" t="s">
        <v>656</v>
      </c>
      <c r="C280" s="137">
        <v>2010279</v>
      </c>
      <c r="D280" s="197">
        <v>40422</v>
      </c>
      <c r="E280" s="139" t="s">
        <v>651</v>
      </c>
      <c r="F280" s="138">
        <v>51.75</v>
      </c>
      <c r="H280"/>
      <c r="I280"/>
    </row>
    <row r="281" spans="1:9" ht="15" x14ac:dyDescent="0.25">
      <c r="A281" s="137" t="s">
        <v>311</v>
      </c>
      <c r="B281" s="137" t="s">
        <v>655</v>
      </c>
      <c r="C281" s="137">
        <v>2010280</v>
      </c>
      <c r="D281" s="197">
        <v>40423</v>
      </c>
      <c r="E281" s="139" t="s">
        <v>650</v>
      </c>
      <c r="F281" s="138">
        <v>802.8</v>
      </c>
      <c r="H281"/>
      <c r="I281"/>
    </row>
    <row r="282" spans="1:9" ht="15" x14ac:dyDescent="0.25">
      <c r="A282" s="137" t="s">
        <v>311</v>
      </c>
      <c r="B282" s="137" t="s">
        <v>653</v>
      </c>
      <c r="C282" s="137">
        <v>2010281</v>
      </c>
      <c r="D282" s="197">
        <v>40423</v>
      </c>
      <c r="E282" s="139" t="s">
        <v>650</v>
      </c>
      <c r="F282" s="138">
        <v>848.5</v>
      </c>
      <c r="H282"/>
      <c r="I282"/>
    </row>
    <row r="283" spans="1:9" ht="15" x14ac:dyDescent="0.25">
      <c r="A283" s="137" t="s">
        <v>311</v>
      </c>
      <c r="B283" s="137" t="s">
        <v>653</v>
      </c>
      <c r="C283" s="137">
        <v>2010282</v>
      </c>
      <c r="D283" s="197">
        <v>40426</v>
      </c>
      <c r="E283" s="139" t="s">
        <v>651</v>
      </c>
      <c r="F283" s="138">
        <v>574.1</v>
      </c>
      <c r="H283"/>
      <c r="I283"/>
    </row>
    <row r="284" spans="1:9" ht="15" x14ac:dyDescent="0.25">
      <c r="A284" s="137" t="s">
        <v>311</v>
      </c>
      <c r="B284" s="137" t="s">
        <v>653</v>
      </c>
      <c r="C284" s="137">
        <v>2010283</v>
      </c>
      <c r="D284" s="197">
        <v>40427</v>
      </c>
      <c r="E284" s="139" t="s">
        <v>650</v>
      </c>
      <c r="F284" s="138">
        <v>101.12</v>
      </c>
      <c r="H284"/>
      <c r="I284"/>
    </row>
    <row r="285" spans="1:9" ht="15" x14ac:dyDescent="0.25">
      <c r="A285" s="137" t="s">
        <v>311</v>
      </c>
      <c r="B285" s="137" t="s">
        <v>653</v>
      </c>
      <c r="C285" s="137">
        <v>2010284</v>
      </c>
      <c r="D285" s="197">
        <v>40429</v>
      </c>
      <c r="E285" s="139" t="s">
        <v>650</v>
      </c>
      <c r="F285" s="138">
        <v>883.52</v>
      </c>
      <c r="H285"/>
      <c r="I285"/>
    </row>
    <row r="286" spans="1:9" ht="15" x14ac:dyDescent="0.25">
      <c r="A286" s="137" t="s">
        <v>313</v>
      </c>
      <c r="B286" s="137" t="s">
        <v>656</v>
      </c>
      <c r="C286" s="137">
        <v>2010285</v>
      </c>
      <c r="D286" s="197">
        <v>40430</v>
      </c>
      <c r="E286" s="139" t="s">
        <v>651</v>
      </c>
      <c r="F286" s="138">
        <v>494.88</v>
      </c>
      <c r="H286"/>
      <c r="I286"/>
    </row>
    <row r="287" spans="1:9" ht="15" x14ac:dyDescent="0.25">
      <c r="A287" s="137" t="s">
        <v>313</v>
      </c>
      <c r="B287" s="137" t="s">
        <v>652</v>
      </c>
      <c r="C287" s="137">
        <v>2010286</v>
      </c>
      <c r="D287" s="197">
        <v>40430</v>
      </c>
      <c r="E287" s="139" t="s">
        <v>650</v>
      </c>
      <c r="F287" s="138">
        <v>817.21</v>
      </c>
      <c r="H287"/>
      <c r="I287"/>
    </row>
    <row r="288" spans="1:9" ht="15" x14ac:dyDescent="0.25">
      <c r="A288" s="137" t="s">
        <v>313</v>
      </c>
      <c r="B288" s="137" t="s">
        <v>652</v>
      </c>
      <c r="C288" s="137">
        <v>2010287</v>
      </c>
      <c r="D288" s="197">
        <v>40433</v>
      </c>
      <c r="E288" s="139" t="s">
        <v>651</v>
      </c>
      <c r="F288" s="138">
        <v>119.7</v>
      </c>
      <c r="H288"/>
      <c r="I288"/>
    </row>
    <row r="289" spans="1:9" ht="15" x14ac:dyDescent="0.25">
      <c r="A289" s="137" t="s">
        <v>311</v>
      </c>
      <c r="B289" s="137" t="s">
        <v>655</v>
      </c>
      <c r="C289" s="137">
        <v>2010288</v>
      </c>
      <c r="D289" s="197">
        <v>40434</v>
      </c>
      <c r="E289" s="139" t="s">
        <v>650</v>
      </c>
      <c r="F289" s="138">
        <v>319.06</v>
      </c>
      <c r="H289"/>
      <c r="I289"/>
    </row>
    <row r="290" spans="1:9" ht="15" x14ac:dyDescent="0.25">
      <c r="A290" s="137" t="s">
        <v>313</v>
      </c>
      <c r="B290" s="137" t="s">
        <v>652</v>
      </c>
      <c r="C290" s="137">
        <v>2010289</v>
      </c>
      <c r="D290" s="197">
        <v>40435</v>
      </c>
      <c r="E290" s="139" t="s">
        <v>651</v>
      </c>
      <c r="F290" s="138">
        <v>640.66</v>
      </c>
      <c r="H290"/>
      <c r="I290"/>
    </row>
    <row r="291" spans="1:9" ht="15" x14ac:dyDescent="0.25">
      <c r="A291" s="137" t="s">
        <v>311</v>
      </c>
      <c r="B291" s="137" t="s">
        <v>658</v>
      </c>
      <c r="C291" s="137">
        <v>2010290</v>
      </c>
      <c r="D291" s="197">
        <v>40435</v>
      </c>
      <c r="E291" s="139" t="s">
        <v>651</v>
      </c>
      <c r="F291" s="138">
        <v>365.86</v>
      </c>
      <c r="H291"/>
      <c r="I291"/>
    </row>
    <row r="292" spans="1:9" ht="15" x14ac:dyDescent="0.25">
      <c r="A292" s="137" t="s">
        <v>311</v>
      </c>
      <c r="B292" s="137" t="s">
        <v>655</v>
      </c>
      <c r="C292" s="137">
        <v>2010291</v>
      </c>
      <c r="D292" s="197">
        <v>40435</v>
      </c>
      <c r="E292" s="139" t="s">
        <v>650</v>
      </c>
      <c r="F292" s="138">
        <v>420.3</v>
      </c>
      <c r="H292"/>
      <c r="I292"/>
    </row>
    <row r="293" spans="1:9" ht="15" x14ac:dyDescent="0.25">
      <c r="A293" s="137" t="s">
        <v>313</v>
      </c>
      <c r="B293" s="137" t="s">
        <v>656</v>
      </c>
      <c r="C293" s="137">
        <v>2010292</v>
      </c>
      <c r="D293" s="197">
        <v>40440</v>
      </c>
      <c r="E293" s="139" t="s">
        <v>651</v>
      </c>
      <c r="F293" s="138">
        <v>119.96</v>
      </c>
      <c r="H293"/>
      <c r="I293"/>
    </row>
    <row r="294" spans="1:9" ht="15" x14ac:dyDescent="0.25">
      <c r="A294" s="137" t="s">
        <v>313</v>
      </c>
      <c r="B294" s="137" t="s">
        <v>656</v>
      </c>
      <c r="C294" s="137">
        <v>2010293</v>
      </c>
      <c r="D294" s="197">
        <v>40440</v>
      </c>
      <c r="E294" s="139" t="s">
        <v>650</v>
      </c>
      <c r="F294" s="138">
        <v>1186.5</v>
      </c>
      <c r="H294"/>
      <c r="I294"/>
    </row>
    <row r="295" spans="1:9" ht="15" x14ac:dyDescent="0.25">
      <c r="A295" s="137" t="s">
        <v>313</v>
      </c>
      <c r="B295" s="137" t="s">
        <v>657</v>
      </c>
      <c r="C295" s="137">
        <v>2010294</v>
      </c>
      <c r="D295" s="197">
        <v>40440</v>
      </c>
      <c r="E295" s="139" t="s">
        <v>651</v>
      </c>
      <c r="F295" s="138">
        <v>473.51</v>
      </c>
      <c r="H295"/>
      <c r="I295"/>
    </row>
    <row r="296" spans="1:9" ht="15" x14ac:dyDescent="0.25">
      <c r="A296" s="137" t="s">
        <v>313</v>
      </c>
      <c r="B296" s="137" t="s">
        <v>649</v>
      </c>
      <c r="C296" s="137">
        <v>2010295</v>
      </c>
      <c r="D296" s="197">
        <v>40441</v>
      </c>
      <c r="E296" s="139" t="s">
        <v>650</v>
      </c>
      <c r="F296" s="138">
        <v>598.69000000000005</v>
      </c>
      <c r="H296"/>
      <c r="I296"/>
    </row>
    <row r="297" spans="1:9" ht="15" x14ac:dyDescent="0.25">
      <c r="A297" s="137" t="s">
        <v>313</v>
      </c>
      <c r="B297" s="137" t="s">
        <v>652</v>
      </c>
      <c r="C297" s="137">
        <v>2010296</v>
      </c>
      <c r="D297" s="197">
        <v>40441</v>
      </c>
      <c r="E297" s="139" t="s">
        <v>650</v>
      </c>
      <c r="F297" s="138">
        <v>470.65</v>
      </c>
      <c r="H297"/>
      <c r="I297"/>
    </row>
    <row r="298" spans="1:9" ht="15" x14ac:dyDescent="0.25">
      <c r="A298" s="137" t="s">
        <v>311</v>
      </c>
      <c r="B298" s="137" t="s">
        <v>655</v>
      </c>
      <c r="C298" s="137">
        <v>2010297</v>
      </c>
      <c r="D298" s="197">
        <v>40442</v>
      </c>
      <c r="E298" s="139" t="s">
        <v>651</v>
      </c>
      <c r="F298" s="138">
        <v>1115.03</v>
      </c>
      <c r="H298"/>
      <c r="I298"/>
    </row>
    <row r="299" spans="1:9" ht="15" x14ac:dyDescent="0.25">
      <c r="A299" s="137" t="s">
        <v>313</v>
      </c>
      <c r="B299" s="137" t="s">
        <v>652</v>
      </c>
      <c r="C299" s="137">
        <v>2010298</v>
      </c>
      <c r="D299" s="197">
        <v>40442</v>
      </c>
      <c r="E299" s="139" t="s">
        <v>650</v>
      </c>
      <c r="F299" s="138">
        <v>279.27999999999997</v>
      </c>
      <c r="H299"/>
      <c r="I299"/>
    </row>
    <row r="300" spans="1:9" ht="15" x14ac:dyDescent="0.25">
      <c r="A300" s="137" t="s">
        <v>313</v>
      </c>
      <c r="B300" s="137" t="s">
        <v>657</v>
      </c>
      <c r="C300" s="137">
        <v>2010299</v>
      </c>
      <c r="D300" s="197">
        <v>40443</v>
      </c>
      <c r="E300" s="139" t="s">
        <v>650</v>
      </c>
      <c r="F300" s="138">
        <v>715.42</v>
      </c>
      <c r="H300"/>
      <c r="I300"/>
    </row>
    <row r="301" spans="1:9" ht="15" x14ac:dyDescent="0.25">
      <c r="A301" s="137" t="s">
        <v>311</v>
      </c>
      <c r="B301" s="137" t="s">
        <v>653</v>
      </c>
      <c r="C301" s="137">
        <v>2010300</v>
      </c>
      <c r="D301" s="197">
        <v>40444</v>
      </c>
      <c r="E301" s="139" t="s">
        <v>650</v>
      </c>
      <c r="F301" s="138">
        <v>170.38</v>
      </c>
      <c r="H301"/>
      <c r="I301"/>
    </row>
    <row r="302" spans="1:9" ht="15" x14ac:dyDescent="0.25">
      <c r="A302" s="137" t="s">
        <v>311</v>
      </c>
      <c r="B302" s="137" t="s">
        <v>653</v>
      </c>
      <c r="C302" s="137">
        <v>2010301</v>
      </c>
      <c r="D302" s="197">
        <v>40444</v>
      </c>
      <c r="E302" s="139" t="s">
        <v>650</v>
      </c>
      <c r="F302" s="138">
        <v>254.84</v>
      </c>
      <c r="H302"/>
      <c r="I302"/>
    </row>
    <row r="303" spans="1:9" ht="15" x14ac:dyDescent="0.25">
      <c r="A303" s="137" t="s">
        <v>311</v>
      </c>
      <c r="B303" s="137" t="s">
        <v>658</v>
      </c>
      <c r="C303" s="137">
        <v>2010302</v>
      </c>
      <c r="D303" s="197">
        <v>40447</v>
      </c>
      <c r="E303" s="139" t="s">
        <v>650</v>
      </c>
      <c r="F303" s="138">
        <v>918.54</v>
      </c>
      <c r="H303"/>
      <c r="I303"/>
    </row>
    <row r="304" spans="1:9" ht="15" x14ac:dyDescent="0.25">
      <c r="A304" s="137" t="s">
        <v>311</v>
      </c>
      <c r="B304" s="137" t="s">
        <v>653</v>
      </c>
      <c r="C304" s="137">
        <v>2010303</v>
      </c>
      <c r="D304" s="197">
        <v>40448</v>
      </c>
      <c r="E304" s="139" t="s">
        <v>651</v>
      </c>
      <c r="F304" s="138">
        <v>1017.26</v>
      </c>
      <c r="H304"/>
      <c r="I304"/>
    </row>
    <row r="305" spans="1:9" ht="15" x14ac:dyDescent="0.25">
      <c r="A305" s="137" t="s">
        <v>313</v>
      </c>
      <c r="B305" s="137" t="s">
        <v>649</v>
      </c>
      <c r="C305" s="137">
        <v>2010304</v>
      </c>
      <c r="D305" s="197">
        <v>40449</v>
      </c>
      <c r="E305" s="139" t="s">
        <v>650</v>
      </c>
      <c r="F305" s="138">
        <v>849.67</v>
      </c>
      <c r="H305"/>
      <c r="I305"/>
    </row>
    <row r="306" spans="1:9" ht="15" x14ac:dyDescent="0.25">
      <c r="A306" s="137" t="s">
        <v>313</v>
      </c>
      <c r="B306" s="137" t="s">
        <v>657</v>
      </c>
      <c r="C306" s="137">
        <v>2010305</v>
      </c>
      <c r="D306" s="197">
        <v>40449</v>
      </c>
      <c r="E306" s="139" t="s">
        <v>650</v>
      </c>
      <c r="F306" s="138">
        <v>492.94</v>
      </c>
      <c r="H306"/>
      <c r="I306"/>
    </row>
    <row r="307" spans="1:9" ht="15" x14ac:dyDescent="0.25">
      <c r="A307" s="137" t="s">
        <v>313</v>
      </c>
      <c r="B307" s="137" t="s">
        <v>656</v>
      </c>
      <c r="C307" s="137">
        <v>2010306</v>
      </c>
      <c r="D307" s="197">
        <v>40450</v>
      </c>
      <c r="E307" s="139" t="s">
        <v>650</v>
      </c>
      <c r="F307" s="138">
        <v>197.72</v>
      </c>
      <c r="H307"/>
      <c r="I307"/>
    </row>
    <row r="308" spans="1:9" ht="15" x14ac:dyDescent="0.25">
      <c r="A308" s="137" t="s">
        <v>313</v>
      </c>
      <c r="B308" s="137" t="s">
        <v>652</v>
      </c>
      <c r="C308" s="137">
        <v>2010307</v>
      </c>
      <c r="D308" s="197">
        <v>40452</v>
      </c>
      <c r="E308" s="139" t="s">
        <v>650</v>
      </c>
      <c r="F308" s="138">
        <v>1145</v>
      </c>
      <c r="H308"/>
      <c r="I308"/>
    </row>
    <row r="309" spans="1:9" ht="15" x14ac:dyDescent="0.25">
      <c r="A309" s="137" t="s">
        <v>313</v>
      </c>
      <c r="B309" s="137" t="s">
        <v>654</v>
      </c>
      <c r="C309" s="137">
        <v>2010308</v>
      </c>
      <c r="D309" s="197">
        <v>40455</v>
      </c>
      <c r="E309" s="139" t="s">
        <v>650</v>
      </c>
      <c r="F309" s="138">
        <v>641.25</v>
      </c>
      <c r="H309"/>
      <c r="I309"/>
    </row>
    <row r="310" spans="1:9" ht="15" x14ac:dyDescent="0.25">
      <c r="A310" s="137" t="s">
        <v>313</v>
      </c>
      <c r="B310" s="137" t="s">
        <v>654</v>
      </c>
      <c r="C310" s="137">
        <v>2010309</v>
      </c>
      <c r="D310" s="197">
        <v>40457</v>
      </c>
      <c r="E310" s="139" t="s">
        <v>651</v>
      </c>
      <c r="F310" s="138">
        <v>859.11</v>
      </c>
      <c r="H310"/>
      <c r="I310"/>
    </row>
    <row r="311" spans="1:9" ht="15" x14ac:dyDescent="0.25">
      <c r="A311" s="137" t="s">
        <v>311</v>
      </c>
      <c r="B311" s="137" t="s">
        <v>659</v>
      </c>
      <c r="C311" s="137">
        <v>2010310</v>
      </c>
      <c r="D311" s="197">
        <v>40458</v>
      </c>
      <c r="E311" s="139" t="s">
        <v>650</v>
      </c>
      <c r="F311" s="138">
        <v>105.62</v>
      </c>
      <c r="H311"/>
      <c r="I311"/>
    </row>
    <row r="312" spans="1:9" ht="15" x14ac:dyDescent="0.25">
      <c r="A312" s="137" t="s">
        <v>313</v>
      </c>
      <c r="B312" s="137" t="s">
        <v>657</v>
      </c>
      <c r="C312" s="137">
        <v>2010311</v>
      </c>
      <c r="D312" s="197">
        <v>40458</v>
      </c>
      <c r="E312" s="139" t="s">
        <v>650</v>
      </c>
      <c r="F312" s="138">
        <v>245.18</v>
      </c>
      <c r="H312"/>
      <c r="I312"/>
    </row>
    <row r="313" spans="1:9" ht="15" x14ac:dyDescent="0.25">
      <c r="A313" s="137" t="s">
        <v>313</v>
      </c>
      <c r="B313" s="137" t="s">
        <v>657</v>
      </c>
      <c r="C313" s="137">
        <v>2010312</v>
      </c>
      <c r="D313" s="197">
        <v>40459</v>
      </c>
      <c r="E313" s="139" t="s">
        <v>651</v>
      </c>
      <c r="F313" s="138">
        <v>463.67</v>
      </c>
      <c r="H313"/>
      <c r="I313"/>
    </row>
    <row r="314" spans="1:9" ht="15" x14ac:dyDescent="0.25">
      <c r="A314" s="137" t="s">
        <v>311</v>
      </c>
      <c r="B314" s="137" t="s">
        <v>655</v>
      </c>
      <c r="C314" s="137">
        <v>2010313</v>
      </c>
      <c r="D314" s="197">
        <v>40459</v>
      </c>
      <c r="E314" s="139" t="s">
        <v>650</v>
      </c>
      <c r="F314" s="138">
        <v>846.93</v>
      </c>
      <c r="H314"/>
      <c r="I314"/>
    </row>
    <row r="315" spans="1:9" ht="15" x14ac:dyDescent="0.25">
      <c r="A315" s="137" t="s">
        <v>313</v>
      </c>
      <c r="B315" s="137" t="s">
        <v>649</v>
      </c>
      <c r="C315" s="137">
        <v>2010314</v>
      </c>
      <c r="D315" s="197">
        <v>40462</v>
      </c>
      <c r="E315" s="139" t="s">
        <v>650</v>
      </c>
      <c r="F315" s="138">
        <v>997.79</v>
      </c>
      <c r="H315"/>
      <c r="I315"/>
    </row>
    <row r="316" spans="1:9" ht="15" x14ac:dyDescent="0.25">
      <c r="A316" s="137" t="s">
        <v>311</v>
      </c>
      <c r="B316" s="137" t="s">
        <v>659</v>
      </c>
      <c r="C316" s="137">
        <v>2010315</v>
      </c>
      <c r="D316" s="197">
        <v>40462</v>
      </c>
      <c r="E316" s="139" t="s">
        <v>651</v>
      </c>
      <c r="F316" s="138">
        <v>1165.17</v>
      </c>
      <c r="H316"/>
      <c r="I316"/>
    </row>
    <row r="317" spans="1:9" ht="15" x14ac:dyDescent="0.25">
      <c r="A317" s="137" t="s">
        <v>313</v>
      </c>
      <c r="B317" s="137" t="s">
        <v>656</v>
      </c>
      <c r="C317" s="137">
        <v>2010316</v>
      </c>
      <c r="D317" s="197">
        <v>40462</v>
      </c>
      <c r="E317" s="139" t="s">
        <v>650</v>
      </c>
      <c r="F317" s="138">
        <v>600.99</v>
      </c>
      <c r="H317"/>
      <c r="I317"/>
    </row>
    <row r="318" spans="1:9" ht="15" x14ac:dyDescent="0.25">
      <c r="A318" s="137" t="s">
        <v>313</v>
      </c>
      <c r="B318" s="137" t="s">
        <v>657</v>
      </c>
      <c r="C318" s="137">
        <v>2010317</v>
      </c>
      <c r="D318" s="197">
        <v>40464</v>
      </c>
      <c r="E318" s="139" t="s">
        <v>651</v>
      </c>
      <c r="F318" s="138">
        <v>583.94000000000005</v>
      </c>
      <c r="H318"/>
      <c r="I318"/>
    </row>
    <row r="319" spans="1:9" ht="15" x14ac:dyDescent="0.25">
      <c r="A319" s="137" t="s">
        <v>313</v>
      </c>
      <c r="B319" s="137" t="s">
        <v>654</v>
      </c>
      <c r="C319" s="137">
        <v>2010318</v>
      </c>
      <c r="D319" s="197">
        <v>40465</v>
      </c>
      <c r="E319" s="139" t="s">
        <v>651</v>
      </c>
      <c r="F319" s="138">
        <v>1052.28</v>
      </c>
      <c r="H319"/>
      <c r="I319"/>
    </row>
    <row r="320" spans="1:9" ht="15" x14ac:dyDescent="0.25">
      <c r="A320" s="137" t="s">
        <v>313</v>
      </c>
      <c r="B320" s="137" t="s">
        <v>654</v>
      </c>
      <c r="C320" s="137">
        <v>2010319</v>
      </c>
      <c r="D320" s="197">
        <v>40465</v>
      </c>
      <c r="E320" s="139" t="s">
        <v>650</v>
      </c>
      <c r="F320" s="138">
        <v>938.7</v>
      </c>
      <c r="H320"/>
      <c r="I320"/>
    </row>
    <row r="321" spans="1:9" ht="15" x14ac:dyDescent="0.25">
      <c r="A321" s="137" t="s">
        <v>313</v>
      </c>
      <c r="B321" s="137" t="s">
        <v>656</v>
      </c>
      <c r="C321" s="137">
        <v>2010320</v>
      </c>
      <c r="D321" s="197">
        <v>40469</v>
      </c>
      <c r="E321" s="139" t="s">
        <v>650</v>
      </c>
      <c r="F321" s="138">
        <v>1170.25</v>
      </c>
      <c r="H321"/>
      <c r="I321"/>
    </row>
    <row r="322" spans="1:9" ht="15" x14ac:dyDescent="0.25">
      <c r="A322" s="137" t="s">
        <v>313</v>
      </c>
      <c r="B322" s="137" t="s">
        <v>652</v>
      </c>
      <c r="C322" s="137">
        <v>2010321</v>
      </c>
      <c r="D322" s="197">
        <v>40469</v>
      </c>
      <c r="E322" s="139" t="s">
        <v>650</v>
      </c>
      <c r="F322" s="138">
        <v>1046.28</v>
      </c>
      <c r="H322"/>
      <c r="I322"/>
    </row>
    <row r="323" spans="1:9" ht="15" x14ac:dyDescent="0.25">
      <c r="A323" s="137" t="s">
        <v>313</v>
      </c>
      <c r="B323" s="137" t="s">
        <v>649</v>
      </c>
      <c r="C323" s="137">
        <v>2010322</v>
      </c>
      <c r="D323" s="197">
        <v>40469</v>
      </c>
      <c r="E323" s="139" t="s">
        <v>650</v>
      </c>
      <c r="F323" s="138">
        <v>565.02</v>
      </c>
      <c r="H323"/>
      <c r="I323"/>
    </row>
    <row r="324" spans="1:9" ht="15" x14ac:dyDescent="0.25">
      <c r="A324" s="137" t="s">
        <v>313</v>
      </c>
      <c r="B324" s="137" t="s">
        <v>649</v>
      </c>
      <c r="C324" s="137">
        <v>2010323</v>
      </c>
      <c r="D324" s="197">
        <v>40469</v>
      </c>
      <c r="E324" s="139" t="s">
        <v>651</v>
      </c>
      <c r="F324" s="138">
        <v>13.37</v>
      </c>
      <c r="H324"/>
      <c r="I324"/>
    </row>
    <row r="325" spans="1:9" ht="15" x14ac:dyDescent="0.25">
      <c r="A325" s="137" t="s">
        <v>313</v>
      </c>
      <c r="B325" s="137" t="s">
        <v>652</v>
      </c>
      <c r="C325" s="137">
        <v>2010324</v>
      </c>
      <c r="D325" s="197">
        <v>40469</v>
      </c>
      <c r="E325" s="139" t="s">
        <v>651</v>
      </c>
      <c r="F325" s="138">
        <v>1029.01</v>
      </c>
      <c r="H325"/>
      <c r="I325"/>
    </row>
    <row r="326" spans="1:9" ht="15" x14ac:dyDescent="0.25">
      <c r="A326" s="137" t="s">
        <v>313</v>
      </c>
      <c r="B326" s="137" t="s">
        <v>652</v>
      </c>
      <c r="C326" s="137">
        <v>2010325</v>
      </c>
      <c r="D326" s="197">
        <v>40470</v>
      </c>
      <c r="E326" s="139" t="s">
        <v>651</v>
      </c>
      <c r="F326" s="138">
        <v>37.450000000000003</v>
      </c>
      <c r="H326"/>
      <c r="I326"/>
    </row>
    <row r="327" spans="1:9" ht="15" x14ac:dyDescent="0.25">
      <c r="A327" s="137" t="s">
        <v>313</v>
      </c>
      <c r="B327" s="137" t="s">
        <v>652</v>
      </c>
      <c r="C327" s="137">
        <v>2010326</v>
      </c>
      <c r="D327" s="197">
        <v>40471</v>
      </c>
      <c r="E327" s="139" t="s">
        <v>650</v>
      </c>
      <c r="F327" s="138">
        <v>1112.73</v>
      </c>
      <c r="H327"/>
      <c r="I327"/>
    </row>
    <row r="328" spans="1:9" ht="15" x14ac:dyDescent="0.25">
      <c r="A328" s="137" t="s">
        <v>313</v>
      </c>
      <c r="B328" s="137" t="s">
        <v>656</v>
      </c>
      <c r="C328" s="137">
        <v>2010327</v>
      </c>
      <c r="D328" s="197">
        <v>40471</v>
      </c>
      <c r="E328" s="139" t="s">
        <v>650</v>
      </c>
      <c r="F328" s="138">
        <v>52.63</v>
      </c>
      <c r="H328"/>
      <c r="I328"/>
    </row>
    <row r="329" spans="1:9" ht="15" x14ac:dyDescent="0.25">
      <c r="A329" s="137" t="s">
        <v>313</v>
      </c>
      <c r="B329" s="137" t="s">
        <v>657</v>
      </c>
      <c r="C329" s="137">
        <v>2010328</v>
      </c>
      <c r="D329" s="197">
        <v>40472</v>
      </c>
      <c r="E329" s="139" t="s">
        <v>650</v>
      </c>
      <c r="F329" s="138">
        <v>581.09</v>
      </c>
      <c r="H329"/>
      <c r="I329"/>
    </row>
    <row r="330" spans="1:9" ht="15" x14ac:dyDescent="0.25">
      <c r="A330" s="137" t="s">
        <v>313</v>
      </c>
      <c r="B330" s="137" t="s">
        <v>657</v>
      </c>
      <c r="C330" s="137">
        <v>2010329</v>
      </c>
      <c r="D330" s="197">
        <v>40472</v>
      </c>
      <c r="E330" s="139" t="s">
        <v>651</v>
      </c>
      <c r="F330" s="138">
        <v>843.71</v>
      </c>
      <c r="H330"/>
      <c r="I330"/>
    </row>
    <row r="331" spans="1:9" ht="15" x14ac:dyDescent="0.25">
      <c r="A331" s="137" t="s">
        <v>313</v>
      </c>
      <c r="B331" s="137" t="s">
        <v>652</v>
      </c>
      <c r="C331" s="137">
        <v>2010330</v>
      </c>
      <c r="D331" s="197">
        <v>40476</v>
      </c>
      <c r="E331" s="139" t="s">
        <v>651</v>
      </c>
      <c r="F331" s="138">
        <v>102.36</v>
      </c>
      <c r="H331"/>
      <c r="I331"/>
    </row>
    <row r="332" spans="1:9" ht="15" x14ac:dyDescent="0.25">
      <c r="A332" s="137" t="s">
        <v>311</v>
      </c>
      <c r="B332" s="137" t="s">
        <v>659</v>
      </c>
      <c r="C332" s="137">
        <v>2010331</v>
      </c>
      <c r="D332" s="197">
        <v>40477</v>
      </c>
      <c r="E332" s="139" t="s">
        <v>651</v>
      </c>
      <c r="F332" s="138">
        <v>799.58</v>
      </c>
      <c r="H332"/>
      <c r="I332"/>
    </row>
    <row r="333" spans="1:9" ht="15" x14ac:dyDescent="0.25">
      <c r="A333" s="137" t="s">
        <v>313</v>
      </c>
      <c r="B333" s="137" t="s">
        <v>649</v>
      </c>
      <c r="C333" s="137">
        <v>2010332</v>
      </c>
      <c r="D333" s="197">
        <v>40478</v>
      </c>
      <c r="E333" s="139" t="s">
        <v>650</v>
      </c>
      <c r="F333" s="138">
        <v>918.24</v>
      </c>
      <c r="H333"/>
      <c r="I333"/>
    </row>
    <row r="334" spans="1:9" ht="15" x14ac:dyDescent="0.25">
      <c r="A334" s="137" t="s">
        <v>313</v>
      </c>
      <c r="B334" s="137" t="s">
        <v>656</v>
      </c>
      <c r="C334" s="137">
        <v>2010333</v>
      </c>
      <c r="D334" s="197">
        <v>40479</v>
      </c>
      <c r="E334" s="139" t="s">
        <v>650</v>
      </c>
      <c r="F334" s="138">
        <v>842.87</v>
      </c>
      <c r="H334"/>
      <c r="I334"/>
    </row>
    <row r="335" spans="1:9" ht="15" x14ac:dyDescent="0.25">
      <c r="A335" s="137" t="s">
        <v>311</v>
      </c>
      <c r="B335" s="137" t="s">
        <v>653</v>
      </c>
      <c r="C335" s="137">
        <v>2010334</v>
      </c>
      <c r="D335" s="197">
        <v>40479</v>
      </c>
      <c r="E335" s="139" t="s">
        <v>650</v>
      </c>
      <c r="F335" s="138">
        <v>183.45</v>
      </c>
      <c r="H335"/>
      <c r="I335"/>
    </row>
    <row r="336" spans="1:9" ht="15" x14ac:dyDescent="0.25">
      <c r="A336" s="137" t="s">
        <v>313</v>
      </c>
      <c r="B336" s="137" t="s">
        <v>652</v>
      </c>
      <c r="C336" s="137">
        <v>2010335</v>
      </c>
      <c r="D336" s="197">
        <v>40480</v>
      </c>
      <c r="E336" s="139" t="s">
        <v>651</v>
      </c>
      <c r="F336" s="138">
        <v>593.79</v>
      </c>
      <c r="H336"/>
      <c r="I336"/>
    </row>
    <row r="337" spans="1:9" ht="15" x14ac:dyDescent="0.25">
      <c r="A337" s="137" t="s">
        <v>313</v>
      </c>
      <c r="B337" s="137" t="s">
        <v>657</v>
      </c>
      <c r="C337" s="137">
        <v>2010336</v>
      </c>
      <c r="D337" s="197">
        <v>40480</v>
      </c>
      <c r="E337" s="139" t="s">
        <v>651</v>
      </c>
      <c r="F337" s="138">
        <v>330.36</v>
      </c>
      <c r="H337"/>
      <c r="I337"/>
    </row>
    <row r="338" spans="1:9" ht="15" x14ac:dyDescent="0.25">
      <c r="A338" s="137" t="s">
        <v>313</v>
      </c>
      <c r="B338" s="137" t="s">
        <v>654</v>
      </c>
      <c r="C338" s="137">
        <v>2010337</v>
      </c>
      <c r="D338" s="197">
        <v>40480</v>
      </c>
      <c r="E338" s="139" t="s">
        <v>651</v>
      </c>
      <c r="F338" s="138">
        <v>145.97999999999999</v>
      </c>
      <c r="H338"/>
      <c r="I338"/>
    </row>
    <row r="339" spans="1:9" ht="15" x14ac:dyDescent="0.25">
      <c r="A339" s="137" t="s">
        <v>313</v>
      </c>
      <c r="B339" s="137" t="s">
        <v>657</v>
      </c>
      <c r="C339" s="137">
        <v>2010338</v>
      </c>
      <c r="D339" s="197">
        <v>40480</v>
      </c>
      <c r="E339" s="139" t="s">
        <v>651</v>
      </c>
      <c r="F339" s="138">
        <v>910.3</v>
      </c>
      <c r="H339"/>
      <c r="I339"/>
    </row>
    <row r="340" spans="1:9" ht="15" x14ac:dyDescent="0.25">
      <c r="A340" s="137" t="s">
        <v>313</v>
      </c>
      <c r="B340" s="137" t="s">
        <v>652</v>
      </c>
      <c r="C340" s="137">
        <v>2010339</v>
      </c>
      <c r="D340" s="197">
        <v>40483</v>
      </c>
      <c r="E340" s="139" t="s">
        <v>650</v>
      </c>
      <c r="F340" s="138">
        <v>1063.3699999999999</v>
      </c>
      <c r="H340"/>
      <c r="I340"/>
    </row>
    <row r="341" spans="1:9" ht="15" x14ac:dyDescent="0.25">
      <c r="A341" s="137" t="s">
        <v>313</v>
      </c>
      <c r="B341" s="137" t="s">
        <v>657</v>
      </c>
      <c r="C341" s="137">
        <v>2010340</v>
      </c>
      <c r="D341" s="197">
        <v>40483</v>
      </c>
      <c r="E341" s="139" t="s">
        <v>651</v>
      </c>
      <c r="F341" s="138">
        <v>281.88</v>
      </c>
      <c r="H341"/>
      <c r="I341"/>
    </row>
    <row r="342" spans="1:9" ht="15" x14ac:dyDescent="0.25">
      <c r="A342" s="137" t="s">
        <v>313</v>
      </c>
      <c r="B342" s="137" t="s">
        <v>652</v>
      </c>
      <c r="C342" s="137">
        <v>2010341</v>
      </c>
      <c r="D342" s="197">
        <v>40483</v>
      </c>
      <c r="E342" s="139" t="s">
        <v>651</v>
      </c>
      <c r="F342" s="138">
        <v>322.64</v>
      </c>
      <c r="H342"/>
      <c r="I342"/>
    </row>
    <row r="343" spans="1:9" ht="15" x14ac:dyDescent="0.25">
      <c r="A343" s="137" t="s">
        <v>313</v>
      </c>
      <c r="B343" s="137" t="s">
        <v>656</v>
      </c>
      <c r="C343" s="137">
        <v>2010342</v>
      </c>
      <c r="D343" s="197">
        <v>40484</v>
      </c>
      <c r="E343" s="139" t="s">
        <v>651</v>
      </c>
      <c r="F343" s="138">
        <v>831.89</v>
      </c>
      <c r="H343"/>
      <c r="I343"/>
    </row>
    <row r="344" spans="1:9" ht="15" x14ac:dyDescent="0.25">
      <c r="A344" s="137" t="s">
        <v>313</v>
      </c>
      <c r="B344" s="137" t="s">
        <v>657</v>
      </c>
      <c r="C344" s="137">
        <v>2010343</v>
      </c>
      <c r="D344" s="197">
        <v>40485</v>
      </c>
      <c r="E344" s="139" t="s">
        <v>651</v>
      </c>
      <c r="F344" s="138">
        <v>566.30999999999995</v>
      </c>
      <c r="H344"/>
      <c r="I344"/>
    </row>
    <row r="345" spans="1:9" ht="15" x14ac:dyDescent="0.25">
      <c r="A345" s="137" t="s">
        <v>313</v>
      </c>
      <c r="B345" s="137" t="s">
        <v>649</v>
      </c>
      <c r="C345" s="137">
        <v>2010344</v>
      </c>
      <c r="D345" s="197">
        <v>40485</v>
      </c>
      <c r="E345" s="139" t="s">
        <v>650</v>
      </c>
      <c r="F345" s="138">
        <v>586.03</v>
      </c>
      <c r="H345"/>
      <c r="I345"/>
    </row>
    <row r="346" spans="1:9" ht="15" x14ac:dyDescent="0.25">
      <c r="A346" s="137" t="s">
        <v>313</v>
      </c>
      <c r="B346" s="137" t="s">
        <v>652</v>
      </c>
      <c r="C346" s="137">
        <v>2010345</v>
      </c>
      <c r="D346" s="197">
        <v>40486</v>
      </c>
      <c r="E346" s="139" t="s">
        <v>651</v>
      </c>
      <c r="F346" s="138">
        <v>604.54</v>
      </c>
      <c r="H346"/>
      <c r="I346"/>
    </row>
    <row r="347" spans="1:9" ht="15" x14ac:dyDescent="0.25">
      <c r="A347" s="137" t="s">
        <v>311</v>
      </c>
      <c r="B347" s="137" t="s">
        <v>655</v>
      </c>
      <c r="C347" s="137">
        <v>2010346</v>
      </c>
      <c r="D347" s="197">
        <v>40487</v>
      </c>
      <c r="E347" s="139" t="s">
        <v>650</v>
      </c>
      <c r="F347" s="138">
        <v>233.65</v>
      </c>
      <c r="H347"/>
      <c r="I347"/>
    </row>
    <row r="348" spans="1:9" ht="15" x14ac:dyDescent="0.25">
      <c r="A348" s="137" t="s">
        <v>313</v>
      </c>
      <c r="B348" s="137" t="s">
        <v>652</v>
      </c>
      <c r="C348" s="137">
        <v>2010347</v>
      </c>
      <c r="D348" s="197">
        <v>40487</v>
      </c>
      <c r="E348" s="139" t="s">
        <v>650</v>
      </c>
      <c r="F348" s="138">
        <v>1178.8499999999999</v>
      </c>
      <c r="H348"/>
      <c r="I348"/>
    </row>
    <row r="349" spans="1:9" ht="15" x14ac:dyDescent="0.25">
      <c r="A349" s="137" t="s">
        <v>313</v>
      </c>
      <c r="B349" s="137" t="s">
        <v>656</v>
      </c>
      <c r="C349" s="137">
        <v>2010348</v>
      </c>
      <c r="D349" s="197">
        <v>40490</v>
      </c>
      <c r="E349" s="139" t="s">
        <v>651</v>
      </c>
      <c r="F349" s="138">
        <v>856.15</v>
      </c>
      <c r="H349"/>
      <c r="I349"/>
    </row>
    <row r="350" spans="1:9" ht="15" x14ac:dyDescent="0.25">
      <c r="A350" s="137" t="s">
        <v>313</v>
      </c>
      <c r="B350" s="137" t="s">
        <v>656</v>
      </c>
      <c r="C350" s="137">
        <v>2010349</v>
      </c>
      <c r="D350" s="197">
        <v>40491</v>
      </c>
      <c r="E350" s="139" t="s">
        <v>651</v>
      </c>
      <c r="F350" s="138">
        <v>291.17</v>
      </c>
      <c r="H350"/>
      <c r="I350"/>
    </row>
    <row r="351" spans="1:9" ht="15" x14ac:dyDescent="0.25">
      <c r="A351" s="137" t="s">
        <v>311</v>
      </c>
      <c r="B351" s="137" t="s">
        <v>655</v>
      </c>
      <c r="C351" s="137">
        <v>2010350</v>
      </c>
      <c r="D351" s="197">
        <v>40492</v>
      </c>
      <c r="E351" s="139" t="s">
        <v>650</v>
      </c>
      <c r="F351" s="138">
        <v>452.98</v>
      </c>
      <c r="H351"/>
      <c r="I351"/>
    </row>
    <row r="352" spans="1:9" ht="15" x14ac:dyDescent="0.25">
      <c r="A352" s="137" t="s">
        <v>313</v>
      </c>
      <c r="B352" s="137" t="s">
        <v>656</v>
      </c>
      <c r="C352" s="137">
        <v>2010351</v>
      </c>
      <c r="D352" s="197">
        <v>40493</v>
      </c>
      <c r="E352" s="139" t="s">
        <v>650</v>
      </c>
      <c r="F352" s="138">
        <v>226.95</v>
      </c>
      <c r="H352"/>
      <c r="I352"/>
    </row>
    <row r="353" spans="1:9" ht="15" x14ac:dyDescent="0.25">
      <c r="A353" s="137" t="s">
        <v>311</v>
      </c>
      <c r="B353" s="137" t="s">
        <v>655</v>
      </c>
      <c r="C353" s="137">
        <v>2010352</v>
      </c>
      <c r="D353" s="197">
        <v>40497</v>
      </c>
      <c r="E353" s="139" t="s">
        <v>650</v>
      </c>
      <c r="F353" s="138">
        <v>193.58</v>
      </c>
      <c r="H353"/>
      <c r="I353"/>
    </row>
    <row r="354" spans="1:9" ht="15" x14ac:dyDescent="0.25">
      <c r="A354" s="137" t="s">
        <v>313</v>
      </c>
      <c r="B354" s="137" t="s">
        <v>656</v>
      </c>
      <c r="C354" s="137">
        <v>2010353</v>
      </c>
      <c r="D354" s="197">
        <v>40497</v>
      </c>
      <c r="E354" s="139" t="s">
        <v>651</v>
      </c>
      <c r="F354" s="138">
        <v>1176.22</v>
      </c>
      <c r="H354"/>
      <c r="I354"/>
    </row>
    <row r="355" spans="1:9" ht="15" x14ac:dyDescent="0.25">
      <c r="A355" s="137" t="s">
        <v>313</v>
      </c>
      <c r="B355" s="137" t="s">
        <v>657</v>
      </c>
      <c r="C355" s="137">
        <v>2010354</v>
      </c>
      <c r="D355" s="197">
        <v>40497</v>
      </c>
      <c r="E355" s="139" t="s">
        <v>651</v>
      </c>
      <c r="F355" s="138">
        <v>144</v>
      </c>
      <c r="H355"/>
      <c r="I355"/>
    </row>
    <row r="356" spans="1:9" ht="15" x14ac:dyDescent="0.25">
      <c r="A356" s="137" t="s">
        <v>313</v>
      </c>
      <c r="B356" s="137" t="s">
        <v>656</v>
      </c>
      <c r="C356" s="137">
        <v>2010355</v>
      </c>
      <c r="D356" s="197">
        <v>40498</v>
      </c>
      <c r="E356" s="139" t="s">
        <v>651</v>
      </c>
      <c r="F356" s="138">
        <v>629.21</v>
      </c>
      <c r="H356"/>
      <c r="I356"/>
    </row>
    <row r="357" spans="1:9" ht="15" x14ac:dyDescent="0.25">
      <c r="A357" s="137" t="s">
        <v>313</v>
      </c>
      <c r="B357" s="137" t="s">
        <v>657</v>
      </c>
      <c r="C357" s="137">
        <v>2010356</v>
      </c>
      <c r="D357" s="197">
        <v>40499</v>
      </c>
      <c r="E357" s="139" t="s">
        <v>651</v>
      </c>
      <c r="F357" s="138">
        <v>944.04</v>
      </c>
      <c r="H357"/>
      <c r="I357"/>
    </row>
    <row r="358" spans="1:9" ht="15" x14ac:dyDescent="0.25">
      <c r="A358" s="137" t="s">
        <v>313</v>
      </c>
      <c r="B358" s="137" t="s">
        <v>656</v>
      </c>
      <c r="C358" s="137">
        <v>2010357</v>
      </c>
      <c r="D358" s="197">
        <v>40500</v>
      </c>
      <c r="E358" s="139" t="s">
        <v>650</v>
      </c>
      <c r="F358" s="138">
        <v>986.49</v>
      </c>
      <c r="H358"/>
      <c r="I358"/>
    </row>
    <row r="359" spans="1:9" ht="15" x14ac:dyDescent="0.25">
      <c r="A359" s="137" t="s">
        <v>311</v>
      </c>
      <c r="B359" s="137" t="s">
        <v>655</v>
      </c>
      <c r="C359" s="137">
        <v>2010358</v>
      </c>
      <c r="D359" s="197">
        <v>40501</v>
      </c>
      <c r="E359" s="139" t="s">
        <v>650</v>
      </c>
      <c r="F359" s="138">
        <v>718.89</v>
      </c>
      <c r="H359"/>
      <c r="I359"/>
    </row>
    <row r="360" spans="1:9" ht="15" x14ac:dyDescent="0.25">
      <c r="A360" s="137" t="s">
        <v>313</v>
      </c>
      <c r="B360" s="137" t="s">
        <v>656</v>
      </c>
      <c r="C360" s="137">
        <v>2010359</v>
      </c>
      <c r="D360" s="197">
        <v>40504</v>
      </c>
      <c r="E360" s="139" t="s">
        <v>651</v>
      </c>
      <c r="F360" s="138">
        <v>546.03</v>
      </c>
      <c r="H360"/>
      <c r="I360"/>
    </row>
    <row r="361" spans="1:9" ht="15" x14ac:dyDescent="0.25">
      <c r="A361" s="137" t="s">
        <v>313</v>
      </c>
      <c r="B361" s="137" t="s">
        <v>652</v>
      </c>
      <c r="C361" s="137">
        <v>2010360</v>
      </c>
      <c r="D361" s="197">
        <v>40504</v>
      </c>
      <c r="E361" s="139" t="s">
        <v>650</v>
      </c>
      <c r="F361" s="138">
        <v>633.49</v>
      </c>
      <c r="H361"/>
      <c r="I361"/>
    </row>
    <row r="362" spans="1:9" ht="15" x14ac:dyDescent="0.25">
      <c r="A362" s="137" t="s">
        <v>313</v>
      </c>
      <c r="B362" s="137" t="s">
        <v>656</v>
      </c>
      <c r="C362" s="137">
        <v>2010361</v>
      </c>
      <c r="D362" s="197">
        <v>40504</v>
      </c>
      <c r="E362" s="139" t="s">
        <v>651</v>
      </c>
      <c r="F362" s="138">
        <v>282.43</v>
      </c>
      <c r="H362"/>
      <c r="I362"/>
    </row>
    <row r="363" spans="1:9" ht="15" x14ac:dyDescent="0.25">
      <c r="A363" s="137" t="s">
        <v>313</v>
      </c>
      <c r="B363" s="137" t="s">
        <v>657</v>
      </c>
      <c r="C363" s="137">
        <v>2010362</v>
      </c>
      <c r="D363" s="197">
        <v>40504</v>
      </c>
      <c r="E363" s="139" t="s">
        <v>651</v>
      </c>
      <c r="F363" s="138">
        <v>530.26</v>
      </c>
      <c r="H363"/>
      <c r="I363"/>
    </row>
    <row r="364" spans="1:9" ht="15" x14ac:dyDescent="0.25">
      <c r="A364" s="137" t="s">
        <v>313</v>
      </c>
      <c r="B364" s="137" t="s">
        <v>652</v>
      </c>
      <c r="C364" s="137">
        <v>2010363</v>
      </c>
      <c r="D364" s="197">
        <v>40505</v>
      </c>
      <c r="E364" s="139" t="s">
        <v>651</v>
      </c>
      <c r="F364" s="138">
        <v>864.27</v>
      </c>
      <c r="H364"/>
      <c r="I364"/>
    </row>
    <row r="365" spans="1:9" ht="15" x14ac:dyDescent="0.25">
      <c r="A365" s="137" t="s">
        <v>311</v>
      </c>
      <c r="B365" s="137" t="s">
        <v>653</v>
      </c>
      <c r="C365" s="137">
        <v>2010364</v>
      </c>
      <c r="D365" s="197">
        <v>40507</v>
      </c>
      <c r="E365" s="139" t="s">
        <v>651</v>
      </c>
      <c r="F365" s="138">
        <v>1080.0899999999999</v>
      </c>
      <c r="H365"/>
      <c r="I365"/>
    </row>
    <row r="366" spans="1:9" ht="15" x14ac:dyDescent="0.25">
      <c r="A366" s="137" t="s">
        <v>313</v>
      </c>
      <c r="B366" s="137" t="s">
        <v>652</v>
      </c>
      <c r="C366" s="137">
        <v>2010365</v>
      </c>
      <c r="D366" s="197">
        <v>40508</v>
      </c>
      <c r="E366" s="139" t="s">
        <v>651</v>
      </c>
      <c r="F366" s="138">
        <v>986.16</v>
      </c>
      <c r="H366"/>
      <c r="I366"/>
    </row>
    <row r="367" spans="1:9" ht="15" x14ac:dyDescent="0.25">
      <c r="A367" s="137" t="s">
        <v>313</v>
      </c>
      <c r="B367" s="137" t="s">
        <v>654</v>
      </c>
      <c r="C367" s="137">
        <v>2010366</v>
      </c>
      <c r="D367" s="197">
        <v>40513</v>
      </c>
      <c r="E367" s="139" t="s">
        <v>650</v>
      </c>
      <c r="F367" s="138">
        <v>1151.55</v>
      </c>
      <c r="H367"/>
      <c r="I367"/>
    </row>
    <row r="368" spans="1:9" ht="15" x14ac:dyDescent="0.25">
      <c r="A368" s="137" t="s">
        <v>313</v>
      </c>
      <c r="B368" s="137" t="s">
        <v>654</v>
      </c>
      <c r="C368" s="137">
        <v>2010367</v>
      </c>
      <c r="D368" s="197">
        <v>40514</v>
      </c>
      <c r="E368" s="139" t="s">
        <v>651</v>
      </c>
      <c r="F368" s="138">
        <v>1086.97</v>
      </c>
      <c r="H368"/>
      <c r="I368"/>
    </row>
    <row r="369" spans="1:9" ht="15" x14ac:dyDescent="0.25">
      <c r="A369" s="137" t="s">
        <v>313</v>
      </c>
      <c r="B369" s="137" t="s">
        <v>652</v>
      </c>
      <c r="C369" s="137">
        <v>2010368</v>
      </c>
      <c r="D369" s="197">
        <v>40514</v>
      </c>
      <c r="E369" s="139" t="s">
        <v>651</v>
      </c>
      <c r="F369" s="138">
        <v>1169.26</v>
      </c>
      <c r="H369"/>
      <c r="I369"/>
    </row>
    <row r="370" spans="1:9" ht="15" x14ac:dyDescent="0.25">
      <c r="A370" s="137" t="s">
        <v>313</v>
      </c>
      <c r="B370" s="137" t="s">
        <v>652</v>
      </c>
      <c r="C370" s="137">
        <v>2010369</v>
      </c>
      <c r="D370" s="197">
        <v>40516</v>
      </c>
      <c r="E370" s="139" t="s">
        <v>651</v>
      </c>
      <c r="F370" s="138">
        <v>319.42</v>
      </c>
      <c r="H370"/>
      <c r="I370"/>
    </row>
    <row r="371" spans="1:9" ht="15" x14ac:dyDescent="0.25">
      <c r="A371" s="137" t="s">
        <v>313</v>
      </c>
      <c r="B371" s="137" t="s">
        <v>657</v>
      </c>
      <c r="C371" s="137">
        <v>2010370</v>
      </c>
      <c r="D371" s="197">
        <v>40517</v>
      </c>
      <c r="E371" s="139" t="s">
        <v>650</v>
      </c>
      <c r="F371" s="138">
        <v>420.23</v>
      </c>
      <c r="H371"/>
      <c r="I371"/>
    </row>
    <row r="372" spans="1:9" ht="15" x14ac:dyDescent="0.25">
      <c r="A372" s="137" t="s">
        <v>313</v>
      </c>
      <c r="B372" s="137" t="s">
        <v>656</v>
      </c>
      <c r="C372" s="137">
        <v>2010371</v>
      </c>
      <c r="D372" s="197">
        <v>40517</v>
      </c>
      <c r="E372" s="139" t="s">
        <v>650</v>
      </c>
      <c r="F372" s="138">
        <v>931.86</v>
      </c>
      <c r="H372"/>
      <c r="I372"/>
    </row>
    <row r="373" spans="1:9" ht="15" x14ac:dyDescent="0.25">
      <c r="A373" s="137" t="s">
        <v>313</v>
      </c>
      <c r="B373" s="137" t="s">
        <v>657</v>
      </c>
      <c r="C373" s="137">
        <v>2010372</v>
      </c>
      <c r="D373" s="197">
        <v>40517</v>
      </c>
      <c r="E373" s="139" t="s">
        <v>651</v>
      </c>
      <c r="F373" s="138">
        <v>614.13</v>
      </c>
      <c r="H373"/>
      <c r="I373"/>
    </row>
    <row r="374" spans="1:9" ht="15" x14ac:dyDescent="0.25">
      <c r="A374" s="137" t="s">
        <v>311</v>
      </c>
      <c r="B374" s="137" t="s">
        <v>653</v>
      </c>
      <c r="C374" s="137">
        <v>2010373</v>
      </c>
      <c r="D374" s="197">
        <v>40517</v>
      </c>
      <c r="E374" s="139" t="s">
        <v>650</v>
      </c>
      <c r="F374" s="138">
        <v>835.47</v>
      </c>
      <c r="H374"/>
      <c r="I374"/>
    </row>
    <row r="375" spans="1:9" ht="15" x14ac:dyDescent="0.25">
      <c r="A375" s="137" t="s">
        <v>313</v>
      </c>
      <c r="B375" s="137" t="s">
        <v>656</v>
      </c>
      <c r="C375" s="137">
        <v>2010374</v>
      </c>
      <c r="D375" s="197">
        <v>40520</v>
      </c>
      <c r="E375" s="139" t="s">
        <v>651</v>
      </c>
      <c r="F375" s="138">
        <v>688.01</v>
      </c>
      <c r="H375"/>
      <c r="I375"/>
    </row>
    <row r="376" spans="1:9" ht="15" x14ac:dyDescent="0.25">
      <c r="A376" s="137" t="s">
        <v>313</v>
      </c>
      <c r="B376" s="137" t="s">
        <v>652</v>
      </c>
      <c r="C376" s="137">
        <v>2010375</v>
      </c>
      <c r="D376" s="197">
        <v>40520</v>
      </c>
      <c r="E376" s="139" t="s">
        <v>650</v>
      </c>
      <c r="F376" s="138">
        <v>252.6</v>
      </c>
      <c r="H376"/>
      <c r="I376"/>
    </row>
    <row r="377" spans="1:9" ht="15" x14ac:dyDescent="0.25">
      <c r="A377" s="137" t="s">
        <v>313</v>
      </c>
      <c r="B377" s="137" t="s">
        <v>649</v>
      </c>
      <c r="C377" s="137">
        <v>2010376</v>
      </c>
      <c r="D377" s="197">
        <v>40522</v>
      </c>
      <c r="E377" s="139" t="s">
        <v>651</v>
      </c>
      <c r="F377" s="138">
        <v>255.68</v>
      </c>
      <c r="H377"/>
      <c r="I377"/>
    </row>
    <row r="378" spans="1:9" ht="15" x14ac:dyDescent="0.25">
      <c r="A378" s="137" t="s">
        <v>311</v>
      </c>
      <c r="B378" s="137" t="s">
        <v>658</v>
      </c>
      <c r="C378" s="137">
        <v>2010377</v>
      </c>
      <c r="D378" s="197">
        <v>40523</v>
      </c>
      <c r="E378" s="139" t="s">
        <v>650</v>
      </c>
      <c r="F378" s="138">
        <v>858.38</v>
      </c>
      <c r="H378"/>
      <c r="I378"/>
    </row>
    <row r="379" spans="1:9" ht="15" x14ac:dyDescent="0.25">
      <c r="A379" s="137" t="s">
        <v>313</v>
      </c>
      <c r="B379" s="137" t="s">
        <v>654</v>
      </c>
      <c r="C379" s="137">
        <v>2010378</v>
      </c>
      <c r="D379" s="197">
        <v>40527</v>
      </c>
      <c r="E379" s="139" t="s">
        <v>650</v>
      </c>
      <c r="F379" s="138">
        <v>985.24</v>
      </c>
      <c r="H379"/>
      <c r="I379"/>
    </row>
    <row r="380" spans="1:9" ht="15" x14ac:dyDescent="0.25">
      <c r="A380" s="137" t="s">
        <v>313</v>
      </c>
      <c r="B380" s="137" t="s">
        <v>657</v>
      </c>
      <c r="C380" s="137">
        <v>2010379</v>
      </c>
      <c r="D380" s="197">
        <v>40528</v>
      </c>
      <c r="E380" s="139" t="s">
        <v>651</v>
      </c>
      <c r="F380" s="138">
        <v>31.08</v>
      </c>
      <c r="H380"/>
      <c r="I380"/>
    </row>
    <row r="381" spans="1:9" ht="15" x14ac:dyDescent="0.25">
      <c r="A381" s="137" t="s">
        <v>313</v>
      </c>
      <c r="B381" s="137" t="s">
        <v>649</v>
      </c>
      <c r="C381" s="137">
        <v>2010380</v>
      </c>
      <c r="D381" s="197">
        <v>40528</v>
      </c>
      <c r="E381" s="139" t="s">
        <v>651</v>
      </c>
      <c r="F381" s="138">
        <v>80.290000000000006</v>
      </c>
      <c r="H381"/>
      <c r="I381"/>
    </row>
    <row r="382" spans="1:9" ht="15" x14ac:dyDescent="0.25">
      <c r="A382" s="137" t="s">
        <v>313</v>
      </c>
      <c r="B382" s="137" t="s">
        <v>656</v>
      </c>
      <c r="C382" s="137">
        <v>2010381</v>
      </c>
      <c r="D382" s="197">
        <v>40528</v>
      </c>
      <c r="E382" s="139" t="s">
        <v>650</v>
      </c>
      <c r="F382" s="138">
        <v>1120.23</v>
      </c>
      <c r="H382"/>
      <c r="I382"/>
    </row>
    <row r="383" spans="1:9" ht="15" x14ac:dyDescent="0.25">
      <c r="A383" s="137" t="s">
        <v>313</v>
      </c>
      <c r="B383" s="137" t="s">
        <v>656</v>
      </c>
      <c r="C383" s="137">
        <v>2010382</v>
      </c>
      <c r="D383" s="197">
        <v>40529</v>
      </c>
      <c r="E383" s="139" t="s">
        <v>651</v>
      </c>
      <c r="F383" s="138">
        <v>905.95</v>
      </c>
      <c r="H383"/>
      <c r="I383"/>
    </row>
    <row r="384" spans="1:9" ht="15" x14ac:dyDescent="0.25">
      <c r="A384" s="137" t="s">
        <v>313</v>
      </c>
      <c r="B384" s="137" t="s">
        <v>657</v>
      </c>
      <c r="C384" s="137">
        <v>2010383</v>
      </c>
      <c r="D384" s="197">
        <v>40529</v>
      </c>
      <c r="E384" s="139" t="s">
        <v>651</v>
      </c>
      <c r="F384" s="138">
        <v>410.35</v>
      </c>
      <c r="H384"/>
      <c r="I384"/>
    </row>
    <row r="385" spans="1:9" ht="15" x14ac:dyDescent="0.25">
      <c r="A385" s="137" t="s">
        <v>313</v>
      </c>
      <c r="B385" s="137" t="s">
        <v>657</v>
      </c>
      <c r="C385" s="137">
        <v>2010384</v>
      </c>
      <c r="D385" s="197">
        <v>40530</v>
      </c>
      <c r="E385" s="139" t="s">
        <v>650</v>
      </c>
      <c r="F385" s="138">
        <v>306.27999999999997</v>
      </c>
      <c r="H385"/>
      <c r="I385"/>
    </row>
    <row r="386" spans="1:9" ht="15" x14ac:dyDescent="0.25">
      <c r="A386" s="137" t="s">
        <v>313</v>
      </c>
      <c r="B386" s="137" t="s">
        <v>656</v>
      </c>
      <c r="C386" s="137">
        <v>2010385</v>
      </c>
      <c r="D386" s="197">
        <v>40530</v>
      </c>
      <c r="E386" s="139" t="s">
        <v>651</v>
      </c>
      <c r="F386" s="138">
        <v>1081</v>
      </c>
      <c r="H386"/>
      <c r="I386"/>
    </row>
    <row r="387" spans="1:9" ht="15" x14ac:dyDescent="0.25">
      <c r="A387" s="137" t="s">
        <v>311</v>
      </c>
      <c r="B387" s="137" t="s">
        <v>653</v>
      </c>
      <c r="C387" s="137">
        <v>2010386</v>
      </c>
      <c r="D387" s="197">
        <v>40531</v>
      </c>
      <c r="E387" s="139" t="s">
        <v>651</v>
      </c>
      <c r="F387" s="138">
        <v>500.88</v>
      </c>
      <c r="H387"/>
      <c r="I387"/>
    </row>
    <row r="388" spans="1:9" ht="15" x14ac:dyDescent="0.25">
      <c r="A388" s="137" t="s">
        <v>313</v>
      </c>
      <c r="B388" s="137" t="s">
        <v>649</v>
      </c>
      <c r="C388" s="137">
        <v>2010387</v>
      </c>
      <c r="D388" s="197">
        <v>40534</v>
      </c>
      <c r="E388" s="139" t="s">
        <v>651</v>
      </c>
      <c r="F388" s="138">
        <v>165.66</v>
      </c>
      <c r="H388"/>
      <c r="I388"/>
    </row>
    <row r="389" spans="1:9" ht="15" x14ac:dyDescent="0.25">
      <c r="A389" s="137" t="s">
        <v>313</v>
      </c>
      <c r="B389" s="137" t="s">
        <v>657</v>
      </c>
      <c r="C389" s="137">
        <v>2010388</v>
      </c>
      <c r="D389" s="197">
        <v>40534</v>
      </c>
      <c r="E389" s="139" t="s">
        <v>650</v>
      </c>
      <c r="F389" s="138">
        <v>1162.68</v>
      </c>
      <c r="H389"/>
      <c r="I389"/>
    </row>
    <row r="390" spans="1:9" ht="15" x14ac:dyDescent="0.25">
      <c r="A390" s="137" t="s">
        <v>313</v>
      </c>
      <c r="B390" s="137" t="s">
        <v>654</v>
      </c>
      <c r="C390" s="137">
        <v>2010389</v>
      </c>
      <c r="D390" s="197">
        <v>40535</v>
      </c>
      <c r="E390" s="139" t="s">
        <v>650</v>
      </c>
      <c r="F390" s="138">
        <v>610</v>
      </c>
      <c r="H390"/>
      <c r="I390"/>
    </row>
    <row r="391" spans="1:9" ht="15" x14ac:dyDescent="0.25">
      <c r="A391" s="137" t="s">
        <v>313</v>
      </c>
      <c r="B391" s="137" t="s">
        <v>652</v>
      </c>
      <c r="C391" s="137">
        <v>2010390</v>
      </c>
      <c r="D391" s="197">
        <v>40535</v>
      </c>
      <c r="E391" s="139" t="s">
        <v>650</v>
      </c>
      <c r="F391" s="138">
        <v>596.38</v>
      </c>
      <c r="H391"/>
      <c r="I391"/>
    </row>
    <row r="392" spans="1:9" ht="15" x14ac:dyDescent="0.25">
      <c r="A392" s="137" t="s">
        <v>313</v>
      </c>
      <c r="B392" s="137" t="s">
        <v>657</v>
      </c>
      <c r="C392" s="137">
        <v>2010391</v>
      </c>
      <c r="D392" s="197">
        <v>40536</v>
      </c>
      <c r="E392" s="139" t="s">
        <v>651</v>
      </c>
      <c r="F392" s="138">
        <v>866.8</v>
      </c>
      <c r="H392"/>
      <c r="I392"/>
    </row>
    <row r="393" spans="1:9" ht="15" x14ac:dyDescent="0.25">
      <c r="A393" s="137" t="s">
        <v>313</v>
      </c>
      <c r="B393" s="137" t="s">
        <v>654</v>
      </c>
      <c r="C393" s="137">
        <v>2010392</v>
      </c>
      <c r="D393" s="197">
        <v>40536</v>
      </c>
      <c r="E393" s="139" t="s">
        <v>650</v>
      </c>
      <c r="F393" s="138">
        <v>1068.97</v>
      </c>
      <c r="H393"/>
      <c r="I393"/>
    </row>
    <row r="394" spans="1:9" ht="15" x14ac:dyDescent="0.25">
      <c r="A394" s="137" t="s">
        <v>313</v>
      </c>
      <c r="B394" s="137" t="s">
        <v>649</v>
      </c>
      <c r="C394" s="137">
        <v>2010393</v>
      </c>
      <c r="D394" s="197">
        <v>40538</v>
      </c>
      <c r="E394" s="139" t="s">
        <v>651</v>
      </c>
      <c r="F394" s="138">
        <v>955.86</v>
      </c>
      <c r="H394"/>
      <c r="I394"/>
    </row>
    <row r="395" spans="1:9" ht="15" x14ac:dyDescent="0.25">
      <c r="A395" s="137" t="s">
        <v>313</v>
      </c>
      <c r="B395" s="137" t="s">
        <v>649</v>
      </c>
      <c r="C395" s="137">
        <v>2010394</v>
      </c>
      <c r="D395" s="197">
        <v>40541</v>
      </c>
      <c r="E395" s="139" t="s">
        <v>651</v>
      </c>
      <c r="F395" s="138">
        <v>561.88</v>
      </c>
      <c r="H395"/>
      <c r="I395"/>
    </row>
    <row r="396" spans="1:9" ht="15" x14ac:dyDescent="0.25">
      <c r="A396" s="137" t="s">
        <v>313</v>
      </c>
      <c r="B396" s="137" t="s">
        <v>649</v>
      </c>
      <c r="C396" s="137">
        <v>2010395</v>
      </c>
      <c r="D396" s="197">
        <v>40541</v>
      </c>
      <c r="E396" s="139" t="s">
        <v>651</v>
      </c>
      <c r="F396" s="138">
        <v>289.97000000000003</v>
      </c>
      <c r="H396"/>
      <c r="I396"/>
    </row>
    <row r="397" spans="1:9" ht="15" x14ac:dyDescent="0.25">
      <c r="A397" s="137" t="s">
        <v>311</v>
      </c>
      <c r="B397" s="137" t="s">
        <v>655</v>
      </c>
      <c r="C397" s="137">
        <v>2010396</v>
      </c>
      <c r="D397" s="197">
        <v>40541</v>
      </c>
      <c r="E397" s="139" t="s">
        <v>650</v>
      </c>
      <c r="F397" s="138">
        <v>103.75</v>
      </c>
      <c r="H397"/>
      <c r="I397"/>
    </row>
    <row r="398" spans="1:9" ht="15" x14ac:dyDescent="0.25">
      <c r="A398" s="137" t="s">
        <v>311</v>
      </c>
      <c r="B398" s="137" t="s">
        <v>659</v>
      </c>
      <c r="C398" s="137">
        <v>2010397</v>
      </c>
      <c r="D398" s="197">
        <v>40542</v>
      </c>
      <c r="E398" s="139" t="s">
        <v>650</v>
      </c>
      <c r="F398" s="138">
        <v>147.26</v>
      </c>
      <c r="H398"/>
      <c r="I398"/>
    </row>
    <row r="399" spans="1:9" ht="15" x14ac:dyDescent="0.25">
      <c r="A399" s="137" t="s">
        <v>311</v>
      </c>
      <c r="B399" s="137" t="s">
        <v>658</v>
      </c>
      <c r="C399" s="137">
        <v>2010398</v>
      </c>
      <c r="D399" s="197">
        <v>40542</v>
      </c>
      <c r="E399" s="139" t="s">
        <v>650</v>
      </c>
      <c r="F399" s="138">
        <v>14.28</v>
      </c>
      <c r="H399"/>
      <c r="I399"/>
    </row>
    <row r="400" spans="1:9" ht="15" x14ac:dyDescent="0.25">
      <c r="A400" s="137" t="s">
        <v>313</v>
      </c>
      <c r="B400" s="137" t="s">
        <v>654</v>
      </c>
      <c r="C400" s="137">
        <v>2010399</v>
      </c>
      <c r="D400" s="197">
        <v>40543</v>
      </c>
      <c r="E400" s="139" t="s">
        <v>651</v>
      </c>
      <c r="F400" s="138">
        <v>289.33999999999997</v>
      </c>
      <c r="H400"/>
      <c r="I400"/>
    </row>
    <row r="401" spans="1:9" ht="15" x14ac:dyDescent="0.25">
      <c r="A401" s="137" t="s">
        <v>313</v>
      </c>
      <c r="B401" s="137" t="s">
        <v>657</v>
      </c>
      <c r="C401" s="137">
        <v>2011001</v>
      </c>
      <c r="D401" s="197">
        <v>40546</v>
      </c>
      <c r="E401" s="139" t="s">
        <v>650</v>
      </c>
      <c r="F401" s="138">
        <v>645.42999999999995</v>
      </c>
      <c r="H401"/>
      <c r="I401"/>
    </row>
    <row r="402" spans="1:9" ht="15" x14ac:dyDescent="0.25">
      <c r="A402" s="137" t="s">
        <v>313</v>
      </c>
      <c r="B402" s="137" t="s">
        <v>657</v>
      </c>
      <c r="C402" s="137">
        <v>2011002</v>
      </c>
      <c r="D402" s="197">
        <v>40546</v>
      </c>
      <c r="E402" s="139" t="s">
        <v>650</v>
      </c>
      <c r="F402" s="138">
        <v>482.77</v>
      </c>
      <c r="H402"/>
      <c r="I402"/>
    </row>
    <row r="403" spans="1:9" ht="15" x14ac:dyDescent="0.25">
      <c r="A403" s="137" t="s">
        <v>313</v>
      </c>
      <c r="B403" s="137" t="s">
        <v>657</v>
      </c>
      <c r="C403" s="137">
        <v>2011003</v>
      </c>
      <c r="D403" s="197">
        <v>40546</v>
      </c>
      <c r="E403" s="139" t="s">
        <v>651</v>
      </c>
      <c r="F403" s="138">
        <v>98.86</v>
      </c>
      <c r="H403"/>
      <c r="I403"/>
    </row>
    <row r="404" spans="1:9" ht="15" x14ac:dyDescent="0.25">
      <c r="A404" s="137" t="s">
        <v>313</v>
      </c>
      <c r="B404" s="137" t="s">
        <v>649</v>
      </c>
      <c r="C404" s="137">
        <v>2011004</v>
      </c>
      <c r="D404" s="197">
        <v>40546</v>
      </c>
      <c r="E404" s="139" t="s">
        <v>651</v>
      </c>
      <c r="F404" s="138">
        <v>540.79</v>
      </c>
      <c r="H404"/>
      <c r="I404"/>
    </row>
    <row r="405" spans="1:9" ht="15" x14ac:dyDescent="0.25">
      <c r="A405" s="137" t="s">
        <v>311</v>
      </c>
      <c r="B405" s="137" t="s">
        <v>660</v>
      </c>
      <c r="C405" s="137">
        <v>2011005</v>
      </c>
      <c r="D405" s="197">
        <v>40548</v>
      </c>
      <c r="E405" s="139" t="s">
        <v>651</v>
      </c>
      <c r="F405" s="138">
        <v>284.70999999999998</v>
      </c>
      <c r="H405"/>
      <c r="I405"/>
    </row>
    <row r="406" spans="1:9" ht="15" x14ac:dyDescent="0.25">
      <c r="A406" s="137" t="s">
        <v>313</v>
      </c>
      <c r="B406" s="137" t="s">
        <v>652</v>
      </c>
      <c r="C406" s="137">
        <v>2011006</v>
      </c>
      <c r="D406" s="197">
        <v>40553</v>
      </c>
      <c r="E406" s="139" t="s">
        <v>651</v>
      </c>
      <c r="F406" s="138">
        <v>799.6</v>
      </c>
      <c r="H406"/>
      <c r="I406"/>
    </row>
    <row r="407" spans="1:9" ht="15" x14ac:dyDescent="0.25">
      <c r="A407" s="137" t="s">
        <v>311</v>
      </c>
      <c r="B407" s="137" t="s">
        <v>655</v>
      </c>
      <c r="C407" s="137">
        <v>2011007</v>
      </c>
      <c r="D407" s="197">
        <v>40553</v>
      </c>
      <c r="E407" s="139" t="s">
        <v>650</v>
      </c>
      <c r="F407" s="138">
        <v>1026.8399999999999</v>
      </c>
      <c r="H407"/>
      <c r="I407"/>
    </row>
    <row r="408" spans="1:9" ht="15" x14ac:dyDescent="0.25">
      <c r="A408" s="137" t="s">
        <v>313</v>
      </c>
      <c r="B408" s="137" t="s">
        <v>652</v>
      </c>
      <c r="C408" s="137">
        <v>2011008</v>
      </c>
      <c r="D408" s="197">
        <v>40554</v>
      </c>
      <c r="E408" s="139" t="s">
        <v>650</v>
      </c>
      <c r="F408" s="138">
        <v>795.42</v>
      </c>
      <c r="H408"/>
      <c r="I408"/>
    </row>
    <row r="409" spans="1:9" ht="15" x14ac:dyDescent="0.25">
      <c r="A409" s="137" t="s">
        <v>313</v>
      </c>
      <c r="B409" s="137" t="s">
        <v>654</v>
      </c>
      <c r="C409" s="137">
        <v>2011009</v>
      </c>
      <c r="D409" s="197">
        <v>40554</v>
      </c>
      <c r="E409" s="139" t="s">
        <v>651</v>
      </c>
      <c r="F409" s="138">
        <v>508.43</v>
      </c>
      <c r="H409"/>
      <c r="I409"/>
    </row>
    <row r="410" spans="1:9" ht="15" x14ac:dyDescent="0.25">
      <c r="A410" s="137" t="s">
        <v>311</v>
      </c>
      <c r="B410" s="137" t="s">
        <v>661</v>
      </c>
      <c r="C410" s="137">
        <v>2011010</v>
      </c>
      <c r="D410" s="197">
        <v>40554</v>
      </c>
      <c r="E410" s="139" t="s">
        <v>650</v>
      </c>
      <c r="F410" s="138">
        <v>313.36</v>
      </c>
      <c r="H410"/>
      <c r="I410"/>
    </row>
    <row r="411" spans="1:9" ht="15" x14ac:dyDescent="0.25">
      <c r="A411" s="137" t="s">
        <v>313</v>
      </c>
      <c r="B411" s="137" t="s">
        <v>652</v>
      </c>
      <c r="C411" s="137">
        <v>2011011</v>
      </c>
      <c r="D411" s="197">
        <v>40555</v>
      </c>
      <c r="E411" s="139" t="s">
        <v>650</v>
      </c>
      <c r="F411" s="138">
        <v>424.5</v>
      </c>
      <c r="H411"/>
      <c r="I411"/>
    </row>
    <row r="412" spans="1:9" ht="15" x14ac:dyDescent="0.25">
      <c r="A412" s="137" t="s">
        <v>313</v>
      </c>
      <c r="B412" s="137" t="s">
        <v>657</v>
      </c>
      <c r="C412" s="137">
        <v>2011012</v>
      </c>
      <c r="D412" s="197">
        <v>40556</v>
      </c>
      <c r="E412" s="139" t="s">
        <v>651</v>
      </c>
      <c r="F412" s="138">
        <v>821.24</v>
      </c>
      <c r="H412"/>
      <c r="I412"/>
    </row>
    <row r="413" spans="1:9" ht="15" x14ac:dyDescent="0.25">
      <c r="A413" s="137" t="s">
        <v>313</v>
      </c>
      <c r="B413" s="137" t="s">
        <v>649</v>
      </c>
      <c r="C413" s="137">
        <v>2011013</v>
      </c>
      <c r="D413" s="197">
        <v>40556</v>
      </c>
      <c r="E413" s="139" t="s">
        <v>650</v>
      </c>
      <c r="F413" s="138">
        <v>745.75</v>
      </c>
      <c r="H413"/>
      <c r="I413"/>
    </row>
    <row r="414" spans="1:9" ht="15" x14ac:dyDescent="0.25">
      <c r="A414" s="137" t="s">
        <v>313</v>
      </c>
      <c r="B414" s="137" t="s">
        <v>649</v>
      </c>
      <c r="C414" s="137">
        <v>2011014</v>
      </c>
      <c r="D414" s="197">
        <v>40556</v>
      </c>
      <c r="E414" s="139" t="s">
        <v>650</v>
      </c>
      <c r="F414" s="138">
        <v>370.71</v>
      </c>
      <c r="H414"/>
      <c r="I414"/>
    </row>
    <row r="415" spans="1:9" ht="15" x14ac:dyDescent="0.25">
      <c r="A415" s="137" t="s">
        <v>311</v>
      </c>
      <c r="B415" s="137" t="s">
        <v>653</v>
      </c>
      <c r="C415" s="137">
        <v>2011015</v>
      </c>
      <c r="D415" s="197">
        <v>40556</v>
      </c>
      <c r="E415" s="139" t="s">
        <v>651</v>
      </c>
      <c r="F415" s="138">
        <v>962.4</v>
      </c>
      <c r="H415"/>
      <c r="I415"/>
    </row>
    <row r="416" spans="1:9" ht="15" x14ac:dyDescent="0.25">
      <c r="A416" s="137" t="s">
        <v>311</v>
      </c>
      <c r="B416" s="137" t="s">
        <v>653</v>
      </c>
      <c r="C416" s="137">
        <v>2011016</v>
      </c>
      <c r="D416" s="197">
        <v>40556</v>
      </c>
      <c r="E416" s="139" t="s">
        <v>650</v>
      </c>
      <c r="F416" s="138">
        <v>769.23</v>
      </c>
      <c r="H416"/>
      <c r="I416"/>
    </row>
    <row r="417" spans="1:9" ht="15" x14ac:dyDescent="0.25">
      <c r="A417" s="137" t="s">
        <v>313</v>
      </c>
      <c r="B417" s="137" t="s">
        <v>656</v>
      </c>
      <c r="C417" s="137">
        <v>2011017</v>
      </c>
      <c r="D417" s="197">
        <v>40557</v>
      </c>
      <c r="E417" s="139" t="s">
        <v>651</v>
      </c>
      <c r="F417" s="138">
        <v>1211.6300000000001</v>
      </c>
      <c r="H417"/>
      <c r="I417"/>
    </row>
    <row r="418" spans="1:9" ht="15" x14ac:dyDescent="0.25">
      <c r="A418" s="137" t="s">
        <v>313</v>
      </c>
      <c r="B418" s="137" t="s">
        <v>652</v>
      </c>
      <c r="C418" s="137">
        <v>2011018</v>
      </c>
      <c r="D418" s="197">
        <v>40560</v>
      </c>
      <c r="E418" s="139" t="s">
        <v>650</v>
      </c>
      <c r="F418" s="138">
        <v>955.88</v>
      </c>
      <c r="H418"/>
      <c r="I418"/>
    </row>
    <row r="419" spans="1:9" ht="15" x14ac:dyDescent="0.25">
      <c r="A419" s="137" t="s">
        <v>313</v>
      </c>
      <c r="B419" s="137" t="s">
        <v>657</v>
      </c>
      <c r="C419" s="137">
        <v>2011019</v>
      </c>
      <c r="D419" s="197">
        <v>40561</v>
      </c>
      <c r="E419" s="139" t="s">
        <v>650</v>
      </c>
      <c r="F419" s="138">
        <v>602.51</v>
      </c>
      <c r="H419"/>
      <c r="I419"/>
    </row>
    <row r="420" spans="1:9" ht="15" x14ac:dyDescent="0.25">
      <c r="A420" s="137" t="s">
        <v>311</v>
      </c>
      <c r="B420" s="137" t="s">
        <v>661</v>
      </c>
      <c r="C420" s="137">
        <v>2011020</v>
      </c>
      <c r="D420" s="197">
        <v>40561</v>
      </c>
      <c r="E420" s="139" t="s">
        <v>650</v>
      </c>
      <c r="F420" s="138">
        <v>885.65</v>
      </c>
      <c r="H420"/>
      <c r="I420"/>
    </row>
    <row r="421" spans="1:9" ht="15" x14ac:dyDescent="0.25">
      <c r="A421" s="137" t="s">
        <v>313</v>
      </c>
      <c r="B421" s="137" t="s">
        <v>652</v>
      </c>
      <c r="C421" s="137">
        <v>2011021</v>
      </c>
      <c r="D421" s="197">
        <v>40562</v>
      </c>
      <c r="E421" s="139" t="s">
        <v>650</v>
      </c>
      <c r="F421" s="138">
        <v>464.71</v>
      </c>
      <c r="H421"/>
      <c r="I421"/>
    </row>
    <row r="422" spans="1:9" ht="15" x14ac:dyDescent="0.25">
      <c r="A422" s="137" t="s">
        <v>313</v>
      </c>
      <c r="B422" s="137" t="s">
        <v>657</v>
      </c>
      <c r="C422" s="137">
        <v>2011022</v>
      </c>
      <c r="D422" s="197">
        <v>40562</v>
      </c>
      <c r="E422" s="139" t="s">
        <v>651</v>
      </c>
      <c r="F422" s="138">
        <v>291.54000000000002</v>
      </c>
      <c r="H422"/>
      <c r="I422"/>
    </row>
    <row r="423" spans="1:9" ht="15" x14ac:dyDescent="0.25">
      <c r="A423" s="137" t="s">
        <v>313</v>
      </c>
      <c r="B423" s="137" t="s">
        <v>656</v>
      </c>
      <c r="C423" s="137">
        <v>2011023</v>
      </c>
      <c r="D423" s="197">
        <v>40562</v>
      </c>
      <c r="E423" s="139" t="s">
        <v>650</v>
      </c>
      <c r="F423" s="138">
        <v>1133.82</v>
      </c>
      <c r="H423"/>
      <c r="I423"/>
    </row>
    <row r="424" spans="1:9" ht="15" x14ac:dyDescent="0.25">
      <c r="A424" s="137" t="s">
        <v>313</v>
      </c>
      <c r="B424" s="137" t="s">
        <v>656</v>
      </c>
      <c r="C424" s="137">
        <v>2011024</v>
      </c>
      <c r="D424" s="197">
        <v>40563</v>
      </c>
      <c r="E424" s="139" t="s">
        <v>651</v>
      </c>
      <c r="F424" s="138">
        <v>1180.21</v>
      </c>
      <c r="H424"/>
      <c r="I424"/>
    </row>
    <row r="425" spans="1:9" ht="15" x14ac:dyDescent="0.25">
      <c r="A425" s="137" t="s">
        <v>311</v>
      </c>
      <c r="B425" s="137" t="s">
        <v>659</v>
      </c>
      <c r="C425" s="137">
        <v>2011025</v>
      </c>
      <c r="D425" s="197">
        <v>40563</v>
      </c>
      <c r="E425" s="139" t="s">
        <v>650</v>
      </c>
      <c r="F425" s="138">
        <v>1255.0999999999999</v>
      </c>
      <c r="H425"/>
      <c r="I425"/>
    </row>
    <row r="426" spans="1:9" ht="15" x14ac:dyDescent="0.25">
      <c r="A426" s="137" t="s">
        <v>313</v>
      </c>
      <c r="B426" s="137" t="s">
        <v>656</v>
      </c>
      <c r="C426" s="137">
        <v>2011026</v>
      </c>
      <c r="D426" s="197">
        <v>40564</v>
      </c>
      <c r="E426" s="139" t="s">
        <v>651</v>
      </c>
      <c r="F426" s="138">
        <v>222.19</v>
      </c>
      <c r="H426"/>
      <c r="I426"/>
    </row>
    <row r="427" spans="1:9" ht="15" x14ac:dyDescent="0.25">
      <c r="A427" s="137" t="s">
        <v>311</v>
      </c>
      <c r="B427" s="137" t="s">
        <v>653</v>
      </c>
      <c r="C427" s="137">
        <v>2011027</v>
      </c>
      <c r="D427" s="197">
        <v>40564</v>
      </c>
      <c r="E427" s="139" t="s">
        <v>650</v>
      </c>
      <c r="F427" s="138">
        <v>853.17</v>
      </c>
      <c r="H427"/>
      <c r="I427"/>
    </row>
    <row r="428" spans="1:9" ht="15" x14ac:dyDescent="0.25">
      <c r="A428" s="137" t="s">
        <v>313</v>
      </c>
      <c r="B428" s="137" t="s">
        <v>652</v>
      </c>
      <c r="C428" s="137">
        <v>2011028</v>
      </c>
      <c r="D428" s="197">
        <v>40567</v>
      </c>
      <c r="E428" s="139" t="s">
        <v>650</v>
      </c>
      <c r="F428" s="138">
        <v>833.36</v>
      </c>
      <c r="H428"/>
      <c r="I428"/>
    </row>
    <row r="429" spans="1:9" ht="15" x14ac:dyDescent="0.25">
      <c r="A429" s="137" t="s">
        <v>311</v>
      </c>
      <c r="B429" s="137" t="s">
        <v>658</v>
      </c>
      <c r="C429" s="137">
        <v>2011029</v>
      </c>
      <c r="D429" s="197">
        <v>40567</v>
      </c>
      <c r="E429" s="139" t="s">
        <v>650</v>
      </c>
      <c r="F429" s="138">
        <v>512.1</v>
      </c>
      <c r="H429"/>
      <c r="I429"/>
    </row>
    <row r="430" spans="1:9" ht="15" x14ac:dyDescent="0.25">
      <c r="A430" s="137" t="s">
        <v>311</v>
      </c>
      <c r="B430" s="137" t="s">
        <v>653</v>
      </c>
      <c r="C430" s="137">
        <v>2011030</v>
      </c>
      <c r="D430" s="197">
        <v>40567</v>
      </c>
      <c r="E430" s="139" t="s">
        <v>651</v>
      </c>
      <c r="F430" s="138">
        <v>1056.58</v>
      </c>
      <c r="H430"/>
      <c r="I430"/>
    </row>
    <row r="431" spans="1:9" ht="15" x14ac:dyDescent="0.25">
      <c r="A431" s="137" t="s">
        <v>311</v>
      </c>
      <c r="B431" s="137" t="s">
        <v>655</v>
      </c>
      <c r="C431" s="137">
        <v>2011031</v>
      </c>
      <c r="D431" s="197">
        <v>40567</v>
      </c>
      <c r="E431" s="139" t="s">
        <v>650</v>
      </c>
      <c r="F431" s="138">
        <v>222.61</v>
      </c>
      <c r="H431"/>
      <c r="I431"/>
    </row>
    <row r="432" spans="1:9" ht="15" x14ac:dyDescent="0.25">
      <c r="A432" s="137" t="s">
        <v>313</v>
      </c>
      <c r="B432" s="137" t="s">
        <v>649</v>
      </c>
      <c r="C432" s="137">
        <v>2011032</v>
      </c>
      <c r="D432" s="197">
        <v>40568</v>
      </c>
      <c r="E432" s="139" t="s">
        <v>651</v>
      </c>
      <c r="F432" s="138">
        <v>1005.62</v>
      </c>
      <c r="H432"/>
      <c r="I432"/>
    </row>
    <row r="433" spans="1:9" ht="15" x14ac:dyDescent="0.25">
      <c r="A433" s="137" t="s">
        <v>313</v>
      </c>
      <c r="B433" s="137" t="s">
        <v>649</v>
      </c>
      <c r="C433" s="137">
        <v>2011033</v>
      </c>
      <c r="D433" s="197">
        <v>40568</v>
      </c>
      <c r="E433" s="139" t="s">
        <v>650</v>
      </c>
      <c r="F433" s="138">
        <v>505.89</v>
      </c>
      <c r="H433"/>
      <c r="I433"/>
    </row>
    <row r="434" spans="1:9" ht="15" x14ac:dyDescent="0.25">
      <c r="A434" s="137" t="s">
        <v>313</v>
      </c>
      <c r="B434" s="137" t="s">
        <v>654</v>
      </c>
      <c r="C434" s="137">
        <v>2011034</v>
      </c>
      <c r="D434" s="197">
        <v>40568</v>
      </c>
      <c r="E434" s="139" t="s">
        <v>650</v>
      </c>
      <c r="F434" s="138">
        <v>711.09</v>
      </c>
      <c r="H434"/>
      <c r="I434"/>
    </row>
    <row r="435" spans="1:9" ht="15" x14ac:dyDescent="0.25">
      <c r="A435" s="137" t="s">
        <v>313</v>
      </c>
      <c r="B435" s="137" t="s">
        <v>654</v>
      </c>
      <c r="C435" s="137">
        <v>2011035</v>
      </c>
      <c r="D435" s="197">
        <v>40568</v>
      </c>
      <c r="E435" s="139" t="s">
        <v>650</v>
      </c>
      <c r="F435" s="138">
        <v>1276.6199999999999</v>
      </c>
      <c r="H435"/>
      <c r="I435"/>
    </row>
    <row r="436" spans="1:9" ht="15" x14ac:dyDescent="0.25">
      <c r="A436" s="137" t="s">
        <v>313</v>
      </c>
      <c r="B436" s="137" t="s">
        <v>656</v>
      </c>
      <c r="C436" s="137">
        <v>2011036</v>
      </c>
      <c r="D436" s="197">
        <v>40569</v>
      </c>
      <c r="E436" s="139" t="s">
        <v>650</v>
      </c>
      <c r="F436" s="138">
        <v>905.2</v>
      </c>
      <c r="H436"/>
      <c r="I436"/>
    </row>
    <row r="437" spans="1:9" ht="15" x14ac:dyDescent="0.25">
      <c r="A437" s="137" t="s">
        <v>311</v>
      </c>
      <c r="B437" s="137" t="s">
        <v>658</v>
      </c>
      <c r="C437" s="137">
        <v>2011037</v>
      </c>
      <c r="D437" s="197">
        <v>40569</v>
      </c>
      <c r="E437" s="139" t="s">
        <v>650</v>
      </c>
      <c r="F437" s="138">
        <v>1179.0999999999999</v>
      </c>
      <c r="H437"/>
      <c r="I437"/>
    </row>
    <row r="438" spans="1:9" ht="15" x14ac:dyDescent="0.25">
      <c r="A438" s="137" t="s">
        <v>311</v>
      </c>
      <c r="B438" s="137" t="s">
        <v>659</v>
      </c>
      <c r="C438" s="137">
        <v>2011038</v>
      </c>
      <c r="D438" s="197">
        <v>40569</v>
      </c>
      <c r="E438" s="139" t="s">
        <v>651</v>
      </c>
      <c r="F438" s="138">
        <v>893.5</v>
      </c>
      <c r="H438"/>
      <c r="I438"/>
    </row>
    <row r="439" spans="1:9" ht="15" x14ac:dyDescent="0.25">
      <c r="A439" s="137" t="s">
        <v>311</v>
      </c>
      <c r="B439" s="137" t="s">
        <v>653</v>
      </c>
      <c r="C439" s="137">
        <v>2011039</v>
      </c>
      <c r="D439" s="197">
        <v>40569</v>
      </c>
      <c r="E439" s="139" t="s">
        <v>650</v>
      </c>
      <c r="F439" s="138">
        <v>44.88</v>
      </c>
      <c r="H439"/>
      <c r="I439"/>
    </row>
    <row r="440" spans="1:9" ht="15" x14ac:dyDescent="0.25">
      <c r="A440" s="137" t="s">
        <v>313</v>
      </c>
      <c r="B440" s="137" t="s">
        <v>657</v>
      </c>
      <c r="C440" s="137">
        <v>2011040</v>
      </c>
      <c r="D440" s="197">
        <v>40570</v>
      </c>
      <c r="E440" s="139" t="s">
        <v>650</v>
      </c>
      <c r="F440" s="138">
        <v>858.2</v>
      </c>
      <c r="H440"/>
      <c r="I440"/>
    </row>
    <row r="441" spans="1:9" ht="15" x14ac:dyDescent="0.25">
      <c r="A441" s="137" t="s">
        <v>311</v>
      </c>
      <c r="B441" s="137" t="s">
        <v>660</v>
      </c>
      <c r="C441" s="137">
        <v>2011041</v>
      </c>
      <c r="D441" s="197">
        <v>40570</v>
      </c>
      <c r="E441" s="139" t="s">
        <v>650</v>
      </c>
      <c r="F441" s="138">
        <v>515.52</v>
      </c>
      <c r="H441"/>
      <c r="I441"/>
    </row>
    <row r="442" spans="1:9" ht="15" x14ac:dyDescent="0.25">
      <c r="A442" s="137" t="s">
        <v>311</v>
      </c>
      <c r="B442" s="137" t="s">
        <v>655</v>
      </c>
      <c r="C442" s="137">
        <v>2011042</v>
      </c>
      <c r="D442" s="197">
        <v>40570</v>
      </c>
      <c r="E442" s="139" t="s">
        <v>650</v>
      </c>
      <c r="F442" s="138">
        <v>1224.03</v>
      </c>
      <c r="H442"/>
      <c r="I442"/>
    </row>
    <row r="443" spans="1:9" ht="15" x14ac:dyDescent="0.25">
      <c r="A443" s="137" t="s">
        <v>313</v>
      </c>
      <c r="B443" s="137" t="s">
        <v>652</v>
      </c>
      <c r="C443" s="137">
        <v>2011043</v>
      </c>
      <c r="D443" s="197">
        <v>40571</v>
      </c>
      <c r="E443" s="139" t="s">
        <v>650</v>
      </c>
      <c r="F443" s="138">
        <v>284.97000000000003</v>
      </c>
      <c r="H443"/>
      <c r="I443"/>
    </row>
    <row r="444" spans="1:9" ht="15" x14ac:dyDescent="0.25">
      <c r="A444" s="137" t="s">
        <v>313</v>
      </c>
      <c r="B444" s="137" t="s">
        <v>649</v>
      </c>
      <c r="C444" s="137">
        <v>2011044</v>
      </c>
      <c r="D444" s="197">
        <v>40571</v>
      </c>
      <c r="E444" s="139" t="s">
        <v>651</v>
      </c>
      <c r="F444" s="138">
        <v>1134.31</v>
      </c>
      <c r="H444"/>
      <c r="I444"/>
    </row>
    <row r="445" spans="1:9" ht="15" x14ac:dyDescent="0.25">
      <c r="A445" s="137" t="s">
        <v>313</v>
      </c>
      <c r="B445" s="137" t="s">
        <v>656</v>
      </c>
      <c r="C445" s="137">
        <v>2011045</v>
      </c>
      <c r="D445" s="197">
        <v>40571</v>
      </c>
      <c r="E445" s="139" t="s">
        <v>650</v>
      </c>
      <c r="F445" s="138">
        <v>892.02</v>
      </c>
      <c r="H445"/>
      <c r="I445"/>
    </row>
    <row r="446" spans="1:9" ht="15" x14ac:dyDescent="0.25">
      <c r="A446" s="137" t="s">
        <v>311</v>
      </c>
      <c r="B446" s="137" t="s">
        <v>655</v>
      </c>
      <c r="C446" s="137">
        <v>2011046</v>
      </c>
      <c r="D446" s="197">
        <v>40571</v>
      </c>
      <c r="E446" s="139" t="s">
        <v>651</v>
      </c>
      <c r="F446" s="138">
        <v>1227.27</v>
      </c>
    </row>
    <row r="447" spans="1:9" ht="15" x14ac:dyDescent="0.25">
      <c r="A447" s="137" t="s">
        <v>313</v>
      </c>
      <c r="B447" s="137" t="s">
        <v>652</v>
      </c>
      <c r="C447" s="137">
        <v>2011047</v>
      </c>
      <c r="D447" s="197">
        <v>40574</v>
      </c>
      <c r="E447" s="139" t="s">
        <v>650</v>
      </c>
      <c r="F447" s="138">
        <v>556.12</v>
      </c>
    </row>
    <row r="448" spans="1:9" ht="15" x14ac:dyDescent="0.25">
      <c r="A448" s="137" t="s">
        <v>313</v>
      </c>
      <c r="B448" s="137" t="s">
        <v>649</v>
      </c>
      <c r="C448" s="137">
        <v>2011048</v>
      </c>
      <c r="D448" s="197">
        <v>40574</v>
      </c>
      <c r="E448" s="139" t="s">
        <v>651</v>
      </c>
      <c r="F448" s="138">
        <v>271.05</v>
      </c>
    </row>
    <row r="449" spans="1:6" ht="15" x14ac:dyDescent="0.25">
      <c r="A449" s="137" t="s">
        <v>311</v>
      </c>
      <c r="B449" s="137" t="s">
        <v>653</v>
      </c>
      <c r="C449" s="137">
        <v>2011049</v>
      </c>
      <c r="D449" s="197">
        <v>40574</v>
      </c>
      <c r="E449" s="139" t="s">
        <v>650</v>
      </c>
      <c r="F449" s="138">
        <v>626.25</v>
      </c>
    </row>
    <row r="450" spans="1:6" ht="15" x14ac:dyDescent="0.25">
      <c r="A450" s="137" t="s">
        <v>313</v>
      </c>
      <c r="B450" s="137" t="s">
        <v>652</v>
      </c>
      <c r="C450" s="137">
        <v>2011050</v>
      </c>
      <c r="D450" s="197">
        <v>40575</v>
      </c>
      <c r="E450" s="139" t="s">
        <v>651</v>
      </c>
      <c r="F450" s="138">
        <v>725.23</v>
      </c>
    </row>
    <row r="451" spans="1:6" ht="15" x14ac:dyDescent="0.25">
      <c r="A451" s="137" t="s">
        <v>313</v>
      </c>
      <c r="B451" s="137" t="s">
        <v>652</v>
      </c>
      <c r="C451" s="137">
        <v>2011051</v>
      </c>
      <c r="D451" s="197">
        <v>40575</v>
      </c>
      <c r="E451" s="139" t="s">
        <v>650</v>
      </c>
      <c r="F451" s="138">
        <v>594.37</v>
      </c>
    </row>
    <row r="452" spans="1:6" ht="15" x14ac:dyDescent="0.25">
      <c r="A452" s="137" t="s">
        <v>313</v>
      </c>
      <c r="B452" s="137" t="s">
        <v>657</v>
      </c>
      <c r="C452" s="137">
        <v>2011052</v>
      </c>
      <c r="D452" s="197">
        <v>40575</v>
      </c>
      <c r="E452" s="139" t="s">
        <v>651</v>
      </c>
      <c r="F452" s="138">
        <v>75.23</v>
      </c>
    </row>
    <row r="453" spans="1:6" ht="15" x14ac:dyDescent="0.25">
      <c r="A453" s="137" t="s">
        <v>313</v>
      </c>
      <c r="B453" s="137" t="s">
        <v>649</v>
      </c>
      <c r="C453" s="137">
        <v>2011053</v>
      </c>
      <c r="D453" s="197">
        <v>40575</v>
      </c>
      <c r="E453" s="139" t="s">
        <v>650</v>
      </c>
      <c r="F453" s="138">
        <v>134.08000000000001</v>
      </c>
    </row>
    <row r="454" spans="1:6" ht="15" x14ac:dyDescent="0.25">
      <c r="A454" s="137" t="s">
        <v>311</v>
      </c>
      <c r="B454" s="137" t="s">
        <v>659</v>
      </c>
      <c r="C454" s="137">
        <v>2011054</v>
      </c>
      <c r="D454" s="197">
        <v>40575</v>
      </c>
      <c r="E454" s="139" t="s">
        <v>650</v>
      </c>
      <c r="F454" s="138">
        <v>1207.6400000000001</v>
      </c>
    </row>
    <row r="455" spans="1:6" ht="15" x14ac:dyDescent="0.25">
      <c r="A455" s="137" t="s">
        <v>313</v>
      </c>
      <c r="B455" s="137" t="s">
        <v>652</v>
      </c>
      <c r="C455" s="137">
        <v>2011055</v>
      </c>
      <c r="D455" s="197">
        <v>40576</v>
      </c>
      <c r="E455" s="139" t="s">
        <v>650</v>
      </c>
      <c r="F455" s="138">
        <v>870.64</v>
      </c>
    </row>
    <row r="456" spans="1:6" ht="15" x14ac:dyDescent="0.25">
      <c r="A456" s="137" t="s">
        <v>313</v>
      </c>
      <c r="B456" s="137" t="s">
        <v>657</v>
      </c>
      <c r="C456" s="137">
        <v>2011056</v>
      </c>
      <c r="D456" s="197">
        <v>40576</v>
      </c>
      <c r="E456" s="139" t="s">
        <v>650</v>
      </c>
      <c r="F456" s="138">
        <v>498.36</v>
      </c>
    </row>
    <row r="457" spans="1:6" ht="15" x14ac:dyDescent="0.25">
      <c r="A457" s="137" t="s">
        <v>313</v>
      </c>
      <c r="B457" s="137" t="s">
        <v>652</v>
      </c>
      <c r="C457" s="137">
        <v>2011057</v>
      </c>
      <c r="D457" s="197">
        <v>40577</v>
      </c>
      <c r="E457" s="139" t="s">
        <v>651</v>
      </c>
      <c r="F457" s="138">
        <v>1006.35</v>
      </c>
    </row>
    <row r="458" spans="1:6" ht="15" x14ac:dyDescent="0.25">
      <c r="A458" s="137" t="s">
        <v>313</v>
      </c>
      <c r="B458" s="137" t="s">
        <v>657</v>
      </c>
      <c r="C458" s="137">
        <v>2011058</v>
      </c>
      <c r="D458" s="197">
        <v>40577</v>
      </c>
      <c r="E458" s="139" t="s">
        <v>650</v>
      </c>
      <c r="F458" s="138">
        <v>909.06</v>
      </c>
    </row>
    <row r="459" spans="1:6" ht="15" x14ac:dyDescent="0.25">
      <c r="A459" s="137" t="s">
        <v>313</v>
      </c>
      <c r="B459" s="137" t="s">
        <v>649</v>
      </c>
      <c r="C459" s="137">
        <v>2011059</v>
      </c>
      <c r="D459" s="197">
        <v>40577</v>
      </c>
      <c r="E459" s="139" t="s">
        <v>650</v>
      </c>
      <c r="F459" s="138">
        <v>386.97</v>
      </c>
    </row>
    <row r="460" spans="1:6" ht="15" x14ac:dyDescent="0.25">
      <c r="A460" s="137" t="s">
        <v>311</v>
      </c>
      <c r="B460" s="137" t="s">
        <v>660</v>
      </c>
      <c r="C460" s="137">
        <v>2011060</v>
      </c>
      <c r="D460" s="197">
        <v>40577</v>
      </c>
      <c r="E460" s="139" t="s">
        <v>650</v>
      </c>
      <c r="F460" s="138">
        <v>456.34</v>
      </c>
    </row>
    <row r="461" spans="1:6" ht="15" x14ac:dyDescent="0.25">
      <c r="A461" s="137" t="s">
        <v>313</v>
      </c>
      <c r="B461" s="137" t="s">
        <v>654</v>
      </c>
      <c r="C461" s="137">
        <v>2011061</v>
      </c>
      <c r="D461" s="197">
        <v>40578</v>
      </c>
      <c r="E461" s="139" t="s">
        <v>651</v>
      </c>
      <c r="F461" s="138">
        <v>465.58</v>
      </c>
    </row>
    <row r="462" spans="1:6" ht="15" x14ac:dyDescent="0.25">
      <c r="A462" s="137" t="s">
        <v>313</v>
      </c>
      <c r="B462" s="137" t="s">
        <v>649</v>
      </c>
      <c r="C462" s="137">
        <v>2011062</v>
      </c>
      <c r="D462" s="197">
        <v>40581</v>
      </c>
      <c r="E462" s="139" t="s">
        <v>651</v>
      </c>
      <c r="F462" s="138">
        <v>521.79999999999995</v>
      </c>
    </row>
    <row r="463" spans="1:6" ht="15" x14ac:dyDescent="0.25">
      <c r="A463" s="137" t="s">
        <v>311</v>
      </c>
      <c r="B463" s="137" t="s">
        <v>653</v>
      </c>
      <c r="C463" s="137">
        <v>2011063</v>
      </c>
      <c r="D463" s="197">
        <v>40581</v>
      </c>
      <c r="E463" s="139" t="s">
        <v>651</v>
      </c>
      <c r="F463" s="138">
        <v>207.44</v>
      </c>
    </row>
    <row r="464" spans="1:6" ht="15" x14ac:dyDescent="0.25">
      <c r="A464" s="137" t="s">
        <v>311</v>
      </c>
      <c r="B464" s="137" t="s">
        <v>655</v>
      </c>
      <c r="C464" s="137">
        <v>2011064</v>
      </c>
      <c r="D464" s="197">
        <v>40581</v>
      </c>
      <c r="E464" s="139" t="s">
        <v>651</v>
      </c>
      <c r="F464" s="138">
        <v>1189.32</v>
      </c>
    </row>
    <row r="465" spans="1:6" ht="15" x14ac:dyDescent="0.25">
      <c r="A465" s="137" t="s">
        <v>313</v>
      </c>
      <c r="B465" s="137" t="s">
        <v>656</v>
      </c>
      <c r="C465" s="137">
        <v>2011065</v>
      </c>
      <c r="D465" s="197">
        <v>40582</v>
      </c>
      <c r="E465" s="139" t="s">
        <v>651</v>
      </c>
      <c r="F465" s="138">
        <v>919.06</v>
      </c>
    </row>
    <row r="466" spans="1:6" ht="15" x14ac:dyDescent="0.25">
      <c r="A466" s="137" t="s">
        <v>311</v>
      </c>
      <c r="B466" s="137" t="s">
        <v>659</v>
      </c>
      <c r="C466" s="137">
        <v>2011066</v>
      </c>
      <c r="D466" s="197">
        <v>40582</v>
      </c>
      <c r="E466" s="139" t="s">
        <v>651</v>
      </c>
      <c r="F466" s="138">
        <v>169.63</v>
      </c>
    </row>
    <row r="467" spans="1:6" ht="15" x14ac:dyDescent="0.25">
      <c r="A467" s="137" t="s">
        <v>311</v>
      </c>
      <c r="B467" s="137" t="s">
        <v>661</v>
      </c>
      <c r="C467" s="137">
        <v>2011067</v>
      </c>
      <c r="D467" s="197">
        <v>40583</v>
      </c>
      <c r="E467" s="139" t="s">
        <v>651</v>
      </c>
      <c r="F467" s="138">
        <v>684.34</v>
      </c>
    </row>
    <row r="468" spans="1:6" ht="15" x14ac:dyDescent="0.25">
      <c r="A468" s="137" t="s">
        <v>313</v>
      </c>
      <c r="B468" s="137" t="s">
        <v>654</v>
      </c>
      <c r="C468" s="137">
        <v>2011068</v>
      </c>
      <c r="D468" s="197">
        <v>40584</v>
      </c>
      <c r="E468" s="139" t="s">
        <v>651</v>
      </c>
      <c r="F468" s="138">
        <v>619.88</v>
      </c>
    </row>
    <row r="469" spans="1:6" ht="15" x14ac:dyDescent="0.25">
      <c r="A469" s="137" t="s">
        <v>311</v>
      </c>
      <c r="B469" s="137" t="s">
        <v>659</v>
      </c>
      <c r="C469" s="137">
        <v>2011069</v>
      </c>
      <c r="D469" s="197">
        <v>40584</v>
      </c>
      <c r="E469" s="139" t="s">
        <v>651</v>
      </c>
      <c r="F469" s="138">
        <v>192.76</v>
      </c>
    </row>
    <row r="470" spans="1:6" ht="15" x14ac:dyDescent="0.25">
      <c r="A470" s="137" t="s">
        <v>313</v>
      </c>
      <c r="B470" s="137" t="s">
        <v>652</v>
      </c>
      <c r="C470" s="137">
        <v>2011070</v>
      </c>
      <c r="D470" s="197">
        <v>40585</v>
      </c>
      <c r="E470" s="139" t="s">
        <v>651</v>
      </c>
      <c r="F470" s="138">
        <v>800.84</v>
      </c>
    </row>
    <row r="471" spans="1:6" ht="15" x14ac:dyDescent="0.25">
      <c r="A471" s="137" t="s">
        <v>313</v>
      </c>
      <c r="B471" s="137" t="s">
        <v>649</v>
      </c>
      <c r="C471" s="137">
        <v>2011071</v>
      </c>
      <c r="D471" s="197">
        <v>40588</v>
      </c>
      <c r="E471" s="139" t="s">
        <v>650</v>
      </c>
      <c r="F471" s="138">
        <v>1017.07</v>
      </c>
    </row>
    <row r="472" spans="1:6" ht="15" x14ac:dyDescent="0.25">
      <c r="A472" s="137" t="s">
        <v>311</v>
      </c>
      <c r="B472" s="137" t="s">
        <v>658</v>
      </c>
      <c r="C472" s="137">
        <v>2011072</v>
      </c>
      <c r="D472" s="197">
        <v>40588</v>
      </c>
      <c r="E472" s="139" t="s">
        <v>650</v>
      </c>
      <c r="F472" s="138">
        <v>673.2</v>
      </c>
    </row>
    <row r="473" spans="1:6" ht="15" x14ac:dyDescent="0.25">
      <c r="A473" s="137" t="s">
        <v>313</v>
      </c>
      <c r="B473" s="137" t="s">
        <v>656</v>
      </c>
      <c r="C473" s="137">
        <v>2011073</v>
      </c>
      <c r="D473" s="197">
        <v>40589</v>
      </c>
      <c r="E473" s="139" t="s">
        <v>651</v>
      </c>
      <c r="F473" s="138">
        <v>918.51</v>
      </c>
    </row>
    <row r="474" spans="1:6" ht="15" x14ac:dyDescent="0.25">
      <c r="A474" s="137" t="s">
        <v>313</v>
      </c>
      <c r="B474" s="137" t="s">
        <v>654</v>
      </c>
      <c r="C474" s="137">
        <v>2011074</v>
      </c>
      <c r="D474" s="197">
        <v>40589</v>
      </c>
      <c r="E474" s="139" t="s">
        <v>650</v>
      </c>
      <c r="F474" s="138">
        <v>924.18</v>
      </c>
    </row>
    <row r="475" spans="1:6" ht="15" x14ac:dyDescent="0.25">
      <c r="A475" s="137" t="s">
        <v>311</v>
      </c>
      <c r="B475" s="137" t="s">
        <v>653</v>
      </c>
      <c r="C475" s="137">
        <v>2011075</v>
      </c>
      <c r="D475" s="197">
        <v>40589</v>
      </c>
      <c r="E475" s="139" t="s">
        <v>650</v>
      </c>
      <c r="F475" s="138">
        <v>148.51</v>
      </c>
    </row>
    <row r="476" spans="1:6" ht="15" x14ac:dyDescent="0.25">
      <c r="A476" s="137" t="s">
        <v>313</v>
      </c>
      <c r="B476" s="137" t="s">
        <v>652</v>
      </c>
      <c r="C476" s="137">
        <v>2011076</v>
      </c>
      <c r="D476" s="197">
        <v>40590</v>
      </c>
      <c r="E476" s="139" t="s">
        <v>650</v>
      </c>
      <c r="F476" s="138">
        <v>404.49</v>
      </c>
    </row>
    <row r="477" spans="1:6" ht="15" x14ac:dyDescent="0.25">
      <c r="A477" s="137" t="s">
        <v>313</v>
      </c>
      <c r="B477" s="137" t="s">
        <v>652</v>
      </c>
      <c r="C477" s="137">
        <v>2011077</v>
      </c>
      <c r="D477" s="197">
        <v>40590</v>
      </c>
      <c r="E477" s="139" t="s">
        <v>650</v>
      </c>
      <c r="F477" s="138">
        <v>900.3</v>
      </c>
    </row>
    <row r="478" spans="1:6" ht="15" x14ac:dyDescent="0.25">
      <c r="A478" s="137" t="s">
        <v>313</v>
      </c>
      <c r="B478" s="137" t="s">
        <v>656</v>
      </c>
      <c r="C478" s="137">
        <v>2011078</v>
      </c>
      <c r="D478" s="197">
        <v>40591</v>
      </c>
      <c r="E478" s="139" t="s">
        <v>651</v>
      </c>
      <c r="F478" s="138">
        <v>646.91</v>
      </c>
    </row>
    <row r="479" spans="1:6" ht="15" x14ac:dyDescent="0.25">
      <c r="A479" s="137" t="s">
        <v>313</v>
      </c>
      <c r="B479" s="137" t="s">
        <v>652</v>
      </c>
      <c r="C479" s="137">
        <v>2011079</v>
      </c>
      <c r="D479" s="197">
        <v>40592</v>
      </c>
      <c r="E479" s="139" t="s">
        <v>650</v>
      </c>
      <c r="F479" s="138">
        <v>441.33</v>
      </c>
    </row>
    <row r="480" spans="1:6" ht="15" x14ac:dyDescent="0.25">
      <c r="A480" s="137" t="s">
        <v>313</v>
      </c>
      <c r="B480" s="137" t="s">
        <v>649</v>
      </c>
      <c r="C480" s="137">
        <v>2011080</v>
      </c>
      <c r="D480" s="197">
        <v>40592</v>
      </c>
      <c r="E480" s="139" t="s">
        <v>651</v>
      </c>
      <c r="F480" s="138">
        <v>350.68</v>
      </c>
    </row>
    <row r="481" spans="1:6" ht="15" x14ac:dyDescent="0.25">
      <c r="A481" s="137" t="s">
        <v>311</v>
      </c>
      <c r="B481" s="137" t="s">
        <v>653</v>
      </c>
      <c r="C481" s="137">
        <v>2011081</v>
      </c>
      <c r="D481" s="197">
        <v>40592</v>
      </c>
      <c r="E481" s="139" t="s">
        <v>650</v>
      </c>
      <c r="F481" s="138">
        <v>202.02</v>
      </c>
    </row>
    <row r="482" spans="1:6" ht="15" x14ac:dyDescent="0.25">
      <c r="A482" s="137" t="s">
        <v>311</v>
      </c>
      <c r="B482" s="137" t="s">
        <v>653</v>
      </c>
      <c r="C482" s="137">
        <v>2011082</v>
      </c>
      <c r="D482" s="197">
        <v>40592</v>
      </c>
      <c r="E482" s="139" t="s">
        <v>651</v>
      </c>
      <c r="F482" s="138">
        <v>662.22</v>
      </c>
    </row>
    <row r="483" spans="1:6" ht="15" x14ac:dyDescent="0.25">
      <c r="A483" s="137" t="s">
        <v>313</v>
      </c>
      <c r="B483" s="137" t="s">
        <v>654</v>
      </c>
      <c r="C483" s="137">
        <v>2011083</v>
      </c>
      <c r="D483" s="197">
        <v>40595</v>
      </c>
      <c r="E483" s="139" t="s">
        <v>650</v>
      </c>
      <c r="F483" s="138">
        <v>457.47</v>
      </c>
    </row>
    <row r="484" spans="1:6" ht="15" x14ac:dyDescent="0.25">
      <c r="A484" s="137" t="s">
        <v>313</v>
      </c>
      <c r="B484" s="137" t="s">
        <v>649</v>
      </c>
      <c r="C484" s="137">
        <v>2011084</v>
      </c>
      <c r="D484" s="197">
        <v>40596</v>
      </c>
      <c r="E484" s="139" t="s">
        <v>651</v>
      </c>
      <c r="F484" s="138">
        <v>480.54</v>
      </c>
    </row>
    <row r="485" spans="1:6" ht="15" x14ac:dyDescent="0.25">
      <c r="A485" s="137" t="s">
        <v>313</v>
      </c>
      <c r="B485" s="137" t="s">
        <v>656</v>
      </c>
      <c r="C485" s="137">
        <v>2011085</v>
      </c>
      <c r="D485" s="197">
        <v>40596</v>
      </c>
      <c r="E485" s="139" t="s">
        <v>650</v>
      </c>
      <c r="F485" s="138">
        <v>381.66</v>
      </c>
    </row>
    <row r="486" spans="1:6" ht="15" x14ac:dyDescent="0.25">
      <c r="A486" s="137" t="s">
        <v>313</v>
      </c>
      <c r="B486" s="137" t="s">
        <v>656</v>
      </c>
      <c r="C486" s="137">
        <v>2011086</v>
      </c>
      <c r="D486" s="197">
        <v>40596</v>
      </c>
      <c r="E486" s="139" t="s">
        <v>651</v>
      </c>
      <c r="F486" s="138">
        <v>319.43</v>
      </c>
    </row>
    <row r="487" spans="1:6" ht="15" x14ac:dyDescent="0.25">
      <c r="A487" s="137" t="s">
        <v>313</v>
      </c>
      <c r="B487" s="137" t="s">
        <v>656</v>
      </c>
      <c r="C487" s="137">
        <v>2011087</v>
      </c>
      <c r="D487" s="197">
        <v>40596</v>
      </c>
      <c r="E487" s="139" t="s">
        <v>650</v>
      </c>
      <c r="F487" s="138">
        <v>73.45</v>
      </c>
    </row>
    <row r="488" spans="1:6" ht="15" x14ac:dyDescent="0.25">
      <c r="A488" s="137" t="s">
        <v>313</v>
      </c>
      <c r="B488" s="137" t="s">
        <v>656</v>
      </c>
      <c r="C488" s="137">
        <v>2011088</v>
      </c>
      <c r="D488" s="197">
        <v>40597</v>
      </c>
      <c r="E488" s="139" t="s">
        <v>651</v>
      </c>
      <c r="F488" s="138">
        <v>961.21</v>
      </c>
    </row>
    <row r="489" spans="1:6" ht="15" x14ac:dyDescent="0.25">
      <c r="A489" s="137" t="s">
        <v>313</v>
      </c>
      <c r="B489" s="137" t="s">
        <v>652</v>
      </c>
      <c r="C489" s="137">
        <v>2011089</v>
      </c>
      <c r="D489" s="197">
        <v>40598</v>
      </c>
      <c r="E489" s="139" t="s">
        <v>651</v>
      </c>
      <c r="F489" s="138">
        <v>148.59</v>
      </c>
    </row>
    <row r="490" spans="1:6" ht="15" x14ac:dyDescent="0.25">
      <c r="A490" s="137" t="s">
        <v>313</v>
      </c>
      <c r="B490" s="137" t="s">
        <v>657</v>
      </c>
      <c r="C490" s="137">
        <v>2011090</v>
      </c>
      <c r="D490" s="197">
        <v>40598</v>
      </c>
      <c r="E490" s="139" t="s">
        <v>651</v>
      </c>
      <c r="F490" s="138">
        <v>863.8</v>
      </c>
    </row>
    <row r="491" spans="1:6" ht="15" x14ac:dyDescent="0.25">
      <c r="A491" s="137" t="s">
        <v>313</v>
      </c>
      <c r="B491" s="137" t="s">
        <v>657</v>
      </c>
      <c r="C491" s="137">
        <v>2011091</v>
      </c>
      <c r="D491" s="197">
        <v>40599</v>
      </c>
      <c r="E491" s="139" t="s">
        <v>651</v>
      </c>
      <c r="F491" s="138">
        <v>229.32</v>
      </c>
    </row>
    <row r="492" spans="1:6" ht="15" x14ac:dyDescent="0.25">
      <c r="A492" s="137" t="s">
        <v>313</v>
      </c>
      <c r="B492" s="137" t="s">
        <v>649</v>
      </c>
      <c r="C492" s="137">
        <v>2011092</v>
      </c>
      <c r="D492" s="197">
        <v>40602</v>
      </c>
      <c r="E492" s="139" t="s">
        <v>650</v>
      </c>
      <c r="F492" s="138">
        <v>908.51</v>
      </c>
    </row>
    <row r="493" spans="1:6" ht="15" x14ac:dyDescent="0.25">
      <c r="A493" s="137" t="s">
        <v>313</v>
      </c>
      <c r="B493" s="137" t="s">
        <v>656</v>
      </c>
      <c r="C493" s="137">
        <v>2011093</v>
      </c>
      <c r="D493" s="197">
        <v>40602</v>
      </c>
      <c r="E493" s="139" t="s">
        <v>650</v>
      </c>
      <c r="F493" s="138">
        <v>224.1</v>
      </c>
    </row>
    <row r="494" spans="1:6" ht="15" x14ac:dyDescent="0.25">
      <c r="A494" s="137" t="s">
        <v>313</v>
      </c>
      <c r="B494" s="137" t="s">
        <v>654</v>
      </c>
      <c r="C494" s="137">
        <v>2011094</v>
      </c>
      <c r="D494" s="197">
        <v>40602</v>
      </c>
      <c r="E494" s="139" t="s">
        <v>650</v>
      </c>
      <c r="F494" s="138">
        <v>357.81</v>
      </c>
    </row>
    <row r="495" spans="1:6" ht="15" x14ac:dyDescent="0.25">
      <c r="A495" s="137" t="s">
        <v>313</v>
      </c>
      <c r="B495" s="137" t="s">
        <v>654</v>
      </c>
      <c r="C495" s="137">
        <v>2011095</v>
      </c>
      <c r="D495" s="197">
        <v>40602</v>
      </c>
      <c r="E495" s="139" t="s">
        <v>651</v>
      </c>
      <c r="F495" s="138">
        <v>959.77</v>
      </c>
    </row>
    <row r="496" spans="1:6" ht="15" x14ac:dyDescent="0.25">
      <c r="A496" s="137" t="s">
        <v>311</v>
      </c>
      <c r="B496" s="137" t="s">
        <v>659</v>
      </c>
      <c r="C496" s="137">
        <v>2011096</v>
      </c>
      <c r="D496" s="197">
        <v>40603</v>
      </c>
      <c r="E496" s="139" t="s">
        <v>650</v>
      </c>
      <c r="F496" s="138">
        <v>243.17</v>
      </c>
    </row>
    <row r="497" spans="1:6" ht="15" x14ac:dyDescent="0.25">
      <c r="A497" s="137" t="s">
        <v>313</v>
      </c>
      <c r="B497" s="137" t="s">
        <v>657</v>
      </c>
      <c r="C497" s="137">
        <v>2011097</v>
      </c>
      <c r="D497" s="197">
        <v>40604</v>
      </c>
      <c r="E497" s="139" t="s">
        <v>651</v>
      </c>
      <c r="F497" s="138">
        <v>267.47000000000003</v>
      </c>
    </row>
    <row r="498" spans="1:6" ht="15" x14ac:dyDescent="0.25">
      <c r="A498" s="137" t="s">
        <v>313</v>
      </c>
      <c r="B498" s="137" t="s">
        <v>656</v>
      </c>
      <c r="C498" s="137">
        <v>2011098</v>
      </c>
      <c r="D498" s="197">
        <v>40604</v>
      </c>
      <c r="E498" s="139" t="s">
        <v>651</v>
      </c>
      <c r="F498" s="138">
        <v>1102.53</v>
      </c>
    </row>
    <row r="499" spans="1:6" ht="15" x14ac:dyDescent="0.25">
      <c r="A499" s="137" t="s">
        <v>311</v>
      </c>
      <c r="B499" s="137" t="s">
        <v>661</v>
      </c>
      <c r="C499" s="137">
        <v>2011099</v>
      </c>
      <c r="D499" s="197">
        <v>40604</v>
      </c>
      <c r="E499" s="139" t="s">
        <v>650</v>
      </c>
      <c r="F499" s="138">
        <v>778.23</v>
      </c>
    </row>
    <row r="500" spans="1:6" ht="15" x14ac:dyDescent="0.25">
      <c r="A500" s="137" t="s">
        <v>311</v>
      </c>
      <c r="B500" s="137" t="s">
        <v>661</v>
      </c>
      <c r="C500" s="137">
        <v>2011100</v>
      </c>
      <c r="D500" s="197">
        <v>40604</v>
      </c>
      <c r="E500" s="139" t="s">
        <v>651</v>
      </c>
      <c r="F500" s="138">
        <v>506.09</v>
      </c>
    </row>
    <row r="501" spans="1:6" ht="15" x14ac:dyDescent="0.25">
      <c r="A501" s="137" t="s">
        <v>311</v>
      </c>
      <c r="B501" s="137" t="s">
        <v>658</v>
      </c>
      <c r="C501" s="137">
        <v>2011101</v>
      </c>
      <c r="D501" s="197">
        <v>40604</v>
      </c>
      <c r="E501" s="139" t="s">
        <v>651</v>
      </c>
      <c r="F501" s="138">
        <v>861.55</v>
      </c>
    </row>
    <row r="502" spans="1:6" ht="15" x14ac:dyDescent="0.25">
      <c r="A502" s="137" t="s">
        <v>313</v>
      </c>
      <c r="B502" s="137" t="s">
        <v>657</v>
      </c>
      <c r="C502" s="137">
        <v>2011102</v>
      </c>
      <c r="D502" s="197">
        <v>40605</v>
      </c>
      <c r="E502" s="139" t="s">
        <v>651</v>
      </c>
      <c r="F502" s="138">
        <v>1187.93</v>
      </c>
    </row>
    <row r="503" spans="1:6" ht="15" x14ac:dyDescent="0.25">
      <c r="A503" s="137" t="s">
        <v>313</v>
      </c>
      <c r="B503" s="137" t="s">
        <v>649</v>
      </c>
      <c r="C503" s="137">
        <v>2011103</v>
      </c>
      <c r="D503" s="197">
        <v>40605</v>
      </c>
      <c r="E503" s="139" t="s">
        <v>651</v>
      </c>
      <c r="F503" s="138">
        <v>783.72</v>
      </c>
    </row>
    <row r="504" spans="1:6" ht="15" x14ac:dyDescent="0.25">
      <c r="A504" s="137" t="s">
        <v>313</v>
      </c>
      <c r="B504" s="137" t="s">
        <v>649</v>
      </c>
      <c r="C504" s="137">
        <v>2011104</v>
      </c>
      <c r="D504" s="197">
        <v>40605</v>
      </c>
      <c r="E504" s="139" t="s">
        <v>650</v>
      </c>
      <c r="F504" s="138">
        <v>897.35</v>
      </c>
    </row>
    <row r="505" spans="1:6" ht="15" x14ac:dyDescent="0.25">
      <c r="A505" s="137" t="s">
        <v>311</v>
      </c>
      <c r="B505" s="137" t="s">
        <v>659</v>
      </c>
      <c r="C505" s="137">
        <v>2011105</v>
      </c>
      <c r="D505" s="197">
        <v>40605</v>
      </c>
      <c r="E505" s="139" t="s">
        <v>651</v>
      </c>
      <c r="F505" s="138">
        <v>1209.32</v>
      </c>
    </row>
    <row r="506" spans="1:6" ht="15" x14ac:dyDescent="0.25">
      <c r="A506" s="137" t="s">
        <v>313</v>
      </c>
      <c r="B506" s="137" t="s">
        <v>652</v>
      </c>
      <c r="C506" s="137">
        <v>2011106</v>
      </c>
      <c r="D506" s="197">
        <v>40606</v>
      </c>
      <c r="E506" s="139" t="s">
        <v>651</v>
      </c>
      <c r="F506" s="138">
        <v>1197.6199999999999</v>
      </c>
    </row>
    <row r="507" spans="1:6" ht="15" x14ac:dyDescent="0.25">
      <c r="A507" s="137" t="s">
        <v>313</v>
      </c>
      <c r="B507" s="137" t="s">
        <v>652</v>
      </c>
      <c r="C507" s="137">
        <v>2011107</v>
      </c>
      <c r="D507" s="197">
        <v>40609</v>
      </c>
      <c r="E507" s="139" t="s">
        <v>651</v>
      </c>
      <c r="F507" s="138">
        <v>548.78</v>
      </c>
    </row>
    <row r="508" spans="1:6" ht="15" x14ac:dyDescent="0.25">
      <c r="A508" s="137" t="s">
        <v>313</v>
      </c>
      <c r="B508" s="137" t="s">
        <v>656</v>
      </c>
      <c r="C508" s="137">
        <v>2011108</v>
      </c>
      <c r="D508" s="197">
        <v>40609</v>
      </c>
      <c r="E508" s="139" t="s">
        <v>650</v>
      </c>
      <c r="F508" s="138">
        <v>585.04</v>
      </c>
    </row>
    <row r="509" spans="1:6" ht="15" x14ac:dyDescent="0.25">
      <c r="A509" s="137" t="s">
        <v>311</v>
      </c>
      <c r="B509" s="137" t="s">
        <v>661</v>
      </c>
      <c r="C509" s="137">
        <v>2011109</v>
      </c>
      <c r="D509" s="197">
        <v>40609</v>
      </c>
      <c r="E509" s="139" t="s">
        <v>651</v>
      </c>
      <c r="F509" s="138">
        <v>394.53</v>
      </c>
    </row>
    <row r="510" spans="1:6" ht="15" x14ac:dyDescent="0.25">
      <c r="A510" s="137" t="s">
        <v>311</v>
      </c>
      <c r="B510" s="137" t="s">
        <v>655</v>
      </c>
      <c r="C510" s="137">
        <v>2011110</v>
      </c>
      <c r="D510" s="197">
        <v>40609</v>
      </c>
      <c r="E510" s="139" t="s">
        <v>650</v>
      </c>
      <c r="F510" s="138">
        <v>761.7</v>
      </c>
    </row>
    <row r="511" spans="1:6" ht="15" x14ac:dyDescent="0.25">
      <c r="A511" s="137" t="s">
        <v>313</v>
      </c>
      <c r="B511" s="137" t="s">
        <v>657</v>
      </c>
      <c r="C511" s="137">
        <v>2011111</v>
      </c>
      <c r="D511" s="197">
        <v>40610</v>
      </c>
      <c r="E511" s="139" t="s">
        <v>650</v>
      </c>
      <c r="F511" s="138">
        <v>1005.19</v>
      </c>
    </row>
    <row r="512" spans="1:6" ht="15" x14ac:dyDescent="0.25">
      <c r="A512" s="137" t="s">
        <v>313</v>
      </c>
      <c r="B512" s="137" t="s">
        <v>649</v>
      </c>
      <c r="C512" s="137">
        <v>2011112</v>
      </c>
      <c r="D512" s="197">
        <v>40610</v>
      </c>
      <c r="E512" s="139" t="s">
        <v>651</v>
      </c>
      <c r="F512" s="138">
        <v>821.63</v>
      </c>
    </row>
    <row r="513" spans="1:6" ht="15" x14ac:dyDescent="0.25">
      <c r="A513" s="137" t="s">
        <v>313</v>
      </c>
      <c r="B513" s="137" t="s">
        <v>657</v>
      </c>
      <c r="C513" s="137">
        <v>2011113</v>
      </c>
      <c r="D513" s="197">
        <v>40611</v>
      </c>
      <c r="E513" s="139" t="s">
        <v>650</v>
      </c>
      <c r="F513" s="138">
        <v>777.57</v>
      </c>
    </row>
    <row r="514" spans="1:6" ht="15" x14ac:dyDescent="0.25">
      <c r="A514" s="137" t="s">
        <v>313</v>
      </c>
      <c r="B514" s="137" t="s">
        <v>654</v>
      </c>
      <c r="C514" s="137">
        <v>2011114</v>
      </c>
      <c r="D514" s="197">
        <v>40612</v>
      </c>
      <c r="E514" s="139" t="s">
        <v>651</v>
      </c>
      <c r="F514" s="138">
        <v>1022.83</v>
      </c>
    </row>
    <row r="515" spans="1:6" ht="15" x14ac:dyDescent="0.25">
      <c r="A515" s="137" t="s">
        <v>311</v>
      </c>
      <c r="B515" s="137" t="s">
        <v>659</v>
      </c>
      <c r="C515" s="137">
        <v>2011115</v>
      </c>
      <c r="D515" s="197">
        <v>40612</v>
      </c>
      <c r="E515" s="139" t="s">
        <v>650</v>
      </c>
      <c r="F515" s="138">
        <v>868.87</v>
      </c>
    </row>
    <row r="516" spans="1:6" ht="15" x14ac:dyDescent="0.25">
      <c r="A516" s="137" t="s">
        <v>311</v>
      </c>
      <c r="B516" s="137" t="s">
        <v>659</v>
      </c>
      <c r="C516" s="137">
        <v>2011116</v>
      </c>
      <c r="D516" s="197">
        <v>40612</v>
      </c>
      <c r="E516" s="139" t="s">
        <v>650</v>
      </c>
      <c r="F516" s="138">
        <v>442.41</v>
      </c>
    </row>
    <row r="517" spans="1:6" ht="15" x14ac:dyDescent="0.25">
      <c r="A517" s="137" t="s">
        <v>311</v>
      </c>
      <c r="B517" s="137" t="s">
        <v>653</v>
      </c>
      <c r="C517" s="137">
        <v>2011117</v>
      </c>
      <c r="D517" s="197">
        <v>40612</v>
      </c>
      <c r="E517" s="139" t="s">
        <v>651</v>
      </c>
      <c r="F517" s="138">
        <v>1152.51</v>
      </c>
    </row>
    <row r="518" spans="1:6" ht="15" x14ac:dyDescent="0.25">
      <c r="A518" s="137" t="s">
        <v>313</v>
      </c>
      <c r="B518" s="137" t="s">
        <v>657</v>
      </c>
      <c r="C518" s="137">
        <v>2011118</v>
      </c>
      <c r="D518" s="197">
        <v>40613</v>
      </c>
      <c r="E518" s="139" t="s">
        <v>650</v>
      </c>
      <c r="F518" s="138">
        <v>1217.9100000000001</v>
      </c>
    </row>
    <row r="519" spans="1:6" ht="15" x14ac:dyDescent="0.25">
      <c r="A519" s="137" t="s">
        <v>313</v>
      </c>
      <c r="B519" s="137" t="s">
        <v>656</v>
      </c>
      <c r="C519" s="137">
        <v>2011119</v>
      </c>
      <c r="D519" s="197">
        <v>40613</v>
      </c>
      <c r="E519" s="139" t="s">
        <v>650</v>
      </c>
      <c r="F519" s="138">
        <v>498.86</v>
      </c>
    </row>
    <row r="520" spans="1:6" ht="15" x14ac:dyDescent="0.25">
      <c r="A520" s="137" t="s">
        <v>311</v>
      </c>
      <c r="B520" s="137" t="s">
        <v>659</v>
      </c>
      <c r="C520" s="137">
        <v>2011120</v>
      </c>
      <c r="D520" s="197">
        <v>40613</v>
      </c>
      <c r="E520" s="139" t="s">
        <v>650</v>
      </c>
      <c r="F520" s="138">
        <v>415.3</v>
      </c>
    </row>
    <row r="521" spans="1:6" ht="15" x14ac:dyDescent="0.25">
      <c r="A521" s="137" t="s">
        <v>313</v>
      </c>
      <c r="B521" s="137" t="s">
        <v>656</v>
      </c>
      <c r="C521" s="137">
        <v>2011121</v>
      </c>
      <c r="D521" s="197">
        <v>40616</v>
      </c>
      <c r="E521" s="139" t="s">
        <v>650</v>
      </c>
      <c r="F521" s="138">
        <v>815.91</v>
      </c>
    </row>
    <row r="522" spans="1:6" ht="15" x14ac:dyDescent="0.25">
      <c r="A522" s="137" t="s">
        <v>311</v>
      </c>
      <c r="B522" s="137" t="s">
        <v>653</v>
      </c>
      <c r="C522" s="137">
        <v>2011122</v>
      </c>
      <c r="D522" s="197">
        <v>40616</v>
      </c>
      <c r="E522" s="139" t="s">
        <v>651</v>
      </c>
      <c r="F522" s="138">
        <v>773.55</v>
      </c>
    </row>
    <row r="523" spans="1:6" ht="15" x14ac:dyDescent="0.25">
      <c r="A523" s="137" t="s">
        <v>313</v>
      </c>
      <c r="B523" s="137" t="s">
        <v>652</v>
      </c>
      <c r="C523" s="137">
        <v>2011123</v>
      </c>
      <c r="D523" s="197">
        <v>40617</v>
      </c>
      <c r="E523" s="139" t="s">
        <v>651</v>
      </c>
      <c r="F523" s="138">
        <v>806.9</v>
      </c>
    </row>
    <row r="524" spans="1:6" ht="15" x14ac:dyDescent="0.25">
      <c r="A524" s="137" t="s">
        <v>313</v>
      </c>
      <c r="B524" s="137" t="s">
        <v>652</v>
      </c>
      <c r="C524" s="137">
        <v>2011124</v>
      </c>
      <c r="D524" s="197">
        <v>40618</v>
      </c>
      <c r="E524" s="139" t="s">
        <v>651</v>
      </c>
      <c r="F524" s="138">
        <v>420.78</v>
      </c>
    </row>
    <row r="525" spans="1:6" ht="15" x14ac:dyDescent="0.25">
      <c r="A525" s="137" t="s">
        <v>311</v>
      </c>
      <c r="B525" s="137" t="s">
        <v>653</v>
      </c>
      <c r="C525" s="137">
        <v>2011125</v>
      </c>
      <c r="D525" s="197">
        <v>40618</v>
      </c>
      <c r="E525" s="139" t="s">
        <v>651</v>
      </c>
      <c r="F525" s="138">
        <v>960.22</v>
      </c>
    </row>
    <row r="526" spans="1:6" ht="15" x14ac:dyDescent="0.25">
      <c r="A526" s="137" t="s">
        <v>313</v>
      </c>
      <c r="B526" s="137" t="s">
        <v>657</v>
      </c>
      <c r="C526" s="137">
        <v>2011126</v>
      </c>
      <c r="D526" s="197">
        <v>40619</v>
      </c>
      <c r="E526" s="139" t="s">
        <v>650</v>
      </c>
      <c r="F526" s="138">
        <v>1138.8399999999999</v>
      </c>
    </row>
    <row r="527" spans="1:6" ht="15" x14ac:dyDescent="0.25">
      <c r="A527" s="137" t="s">
        <v>313</v>
      </c>
      <c r="B527" s="137" t="s">
        <v>656</v>
      </c>
      <c r="C527" s="137">
        <v>2011127</v>
      </c>
      <c r="D527" s="197">
        <v>40619</v>
      </c>
      <c r="E527" s="139" t="s">
        <v>650</v>
      </c>
      <c r="F527" s="138">
        <v>381.78</v>
      </c>
    </row>
    <row r="528" spans="1:6" ht="15" x14ac:dyDescent="0.25">
      <c r="A528" s="137" t="s">
        <v>313</v>
      </c>
      <c r="B528" s="137" t="s">
        <v>656</v>
      </c>
      <c r="C528" s="137">
        <v>2011128</v>
      </c>
      <c r="D528" s="197">
        <v>40619</v>
      </c>
      <c r="E528" s="139" t="s">
        <v>651</v>
      </c>
      <c r="F528" s="138">
        <v>1143.46</v>
      </c>
    </row>
    <row r="529" spans="1:6" ht="15" x14ac:dyDescent="0.25">
      <c r="A529" s="137" t="s">
        <v>311</v>
      </c>
      <c r="B529" s="137" t="s">
        <v>655</v>
      </c>
      <c r="C529" s="137">
        <v>2011129</v>
      </c>
      <c r="D529" s="197">
        <v>40619</v>
      </c>
      <c r="E529" s="139" t="s">
        <v>651</v>
      </c>
      <c r="F529" s="138">
        <v>466.61</v>
      </c>
    </row>
    <row r="530" spans="1:6" ht="15" x14ac:dyDescent="0.25">
      <c r="A530" s="137" t="s">
        <v>313</v>
      </c>
      <c r="B530" s="137" t="s">
        <v>649</v>
      </c>
      <c r="C530" s="137">
        <v>2011130</v>
      </c>
      <c r="D530" s="197">
        <v>40620</v>
      </c>
      <c r="E530" s="139" t="s">
        <v>651</v>
      </c>
      <c r="F530" s="138">
        <v>630.87</v>
      </c>
    </row>
    <row r="531" spans="1:6" ht="15" x14ac:dyDescent="0.25">
      <c r="A531" s="137" t="s">
        <v>313</v>
      </c>
      <c r="B531" s="137" t="s">
        <v>649</v>
      </c>
      <c r="C531" s="137">
        <v>2011131</v>
      </c>
      <c r="D531" s="197">
        <v>40620</v>
      </c>
      <c r="E531" s="139" t="s">
        <v>650</v>
      </c>
      <c r="F531" s="138">
        <v>1197.1400000000001</v>
      </c>
    </row>
    <row r="532" spans="1:6" ht="15" x14ac:dyDescent="0.25">
      <c r="A532" s="137" t="s">
        <v>313</v>
      </c>
      <c r="B532" s="137" t="s">
        <v>656</v>
      </c>
      <c r="C532" s="137">
        <v>2011132</v>
      </c>
      <c r="D532" s="197">
        <v>40620</v>
      </c>
      <c r="E532" s="139" t="s">
        <v>650</v>
      </c>
      <c r="F532" s="138">
        <v>939.77</v>
      </c>
    </row>
    <row r="533" spans="1:6" ht="15" x14ac:dyDescent="0.25">
      <c r="A533" s="137" t="s">
        <v>311</v>
      </c>
      <c r="B533" s="137" t="s">
        <v>661</v>
      </c>
      <c r="C533" s="137">
        <v>2011133</v>
      </c>
      <c r="D533" s="197">
        <v>40620</v>
      </c>
      <c r="E533" s="139" t="s">
        <v>651</v>
      </c>
      <c r="F533" s="138">
        <v>221.63</v>
      </c>
    </row>
    <row r="534" spans="1:6" ht="15" x14ac:dyDescent="0.25">
      <c r="A534" s="137" t="s">
        <v>313</v>
      </c>
      <c r="B534" s="137" t="s">
        <v>657</v>
      </c>
      <c r="C534" s="137">
        <v>2011134</v>
      </c>
      <c r="D534" s="197">
        <v>40624</v>
      </c>
      <c r="E534" s="139" t="s">
        <v>650</v>
      </c>
      <c r="F534" s="138">
        <v>552.16</v>
      </c>
    </row>
    <row r="535" spans="1:6" ht="15" x14ac:dyDescent="0.25">
      <c r="A535" s="137" t="s">
        <v>313</v>
      </c>
      <c r="B535" s="137" t="s">
        <v>657</v>
      </c>
      <c r="C535" s="137">
        <v>2011135</v>
      </c>
      <c r="D535" s="197">
        <v>40624</v>
      </c>
      <c r="E535" s="139" t="s">
        <v>651</v>
      </c>
      <c r="F535" s="138">
        <v>797</v>
      </c>
    </row>
    <row r="536" spans="1:6" ht="15" x14ac:dyDescent="0.25">
      <c r="A536" s="137" t="s">
        <v>313</v>
      </c>
      <c r="B536" s="137" t="s">
        <v>649</v>
      </c>
      <c r="C536" s="137">
        <v>2011136</v>
      </c>
      <c r="D536" s="197">
        <v>40624</v>
      </c>
      <c r="E536" s="139" t="s">
        <v>650</v>
      </c>
      <c r="F536" s="138">
        <v>765.68</v>
      </c>
    </row>
    <row r="537" spans="1:6" ht="15" x14ac:dyDescent="0.25">
      <c r="A537" s="137" t="s">
        <v>313</v>
      </c>
      <c r="B537" s="137" t="s">
        <v>649</v>
      </c>
      <c r="C537" s="137">
        <v>2011137</v>
      </c>
      <c r="D537" s="197">
        <v>40624</v>
      </c>
      <c r="E537" s="139" t="s">
        <v>651</v>
      </c>
      <c r="F537" s="138">
        <v>1156.6500000000001</v>
      </c>
    </row>
    <row r="538" spans="1:6" ht="15" x14ac:dyDescent="0.25">
      <c r="A538" s="137" t="s">
        <v>313</v>
      </c>
      <c r="B538" s="137" t="s">
        <v>656</v>
      </c>
      <c r="C538" s="137">
        <v>2011138</v>
      </c>
      <c r="D538" s="197">
        <v>40624</v>
      </c>
      <c r="E538" s="139" t="s">
        <v>651</v>
      </c>
      <c r="F538" s="138">
        <v>746.56</v>
      </c>
    </row>
    <row r="539" spans="1:6" ht="15" x14ac:dyDescent="0.25">
      <c r="A539" s="137" t="s">
        <v>311</v>
      </c>
      <c r="B539" s="137" t="s">
        <v>660</v>
      </c>
      <c r="C539" s="137">
        <v>2011139</v>
      </c>
      <c r="D539" s="197">
        <v>40625</v>
      </c>
      <c r="E539" s="139" t="s">
        <v>651</v>
      </c>
      <c r="F539" s="138">
        <v>1113.5999999999999</v>
      </c>
    </row>
    <row r="540" spans="1:6" ht="15" x14ac:dyDescent="0.25">
      <c r="A540" s="137" t="s">
        <v>311</v>
      </c>
      <c r="B540" s="137" t="s">
        <v>658</v>
      </c>
      <c r="C540" s="137">
        <v>2011140</v>
      </c>
      <c r="D540" s="197">
        <v>40625</v>
      </c>
      <c r="E540" s="139" t="s">
        <v>651</v>
      </c>
      <c r="F540" s="138">
        <v>132.26</v>
      </c>
    </row>
    <row r="541" spans="1:6" ht="15" x14ac:dyDescent="0.25">
      <c r="A541" s="137" t="s">
        <v>311</v>
      </c>
      <c r="B541" s="137" t="s">
        <v>653</v>
      </c>
      <c r="C541" s="137">
        <v>2011141</v>
      </c>
      <c r="D541" s="197">
        <v>40626</v>
      </c>
      <c r="E541" s="139" t="s">
        <v>651</v>
      </c>
      <c r="F541" s="138">
        <v>1140.28</v>
      </c>
    </row>
    <row r="542" spans="1:6" ht="15" x14ac:dyDescent="0.25">
      <c r="A542" s="137" t="s">
        <v>311</v>
      </c>
      <c r="B542" s="137" t="s">
        <v>655</v>
      </c>
      <c r="C542" s="137">
        <v>2011142</v>
      </c>
      <c r="D542" s="197">
        <v>40626</v>
      </c>
      <c r="E542" s="139" t="s">
        <v>651</v>
      </c>
      <c r="F542" s="138">
        <v>832.88</v>
      </c>
    </row>
    <row r="543" spans="1:6" ht="15" x14ac:dyDescent="0.25">
      <c r="A543" s="137" t="s">
        <v>313</v>
      </c>
      <c r="B543" s="137" t="s">
        <v>652</v>
      </c>
      <c r="C543" s="137">
        <v>2011143</v>
      </c>
      <c r="D543" s="197">
        <v>40627</v>
      </c>
      <c r="E543" s="139" t="s">
        <v>650</v>
      </c>
      <c r="F543" s="138">
        <v>1173.82</v>
      </c>
    </row>
    <row r="544" spans="1:6" ht="15" x14ac:dyDescent="0.25">
      <c r="A544" s="137" t="s">
        <v>313</v>
      </c>
      <c r="B544" s="137" t="s">
        <v>657</v>
      </c>
      <c r="C544" s="137">
        <v>2011144</v>
      </c>
      <c r="D544" s="197">
        <v>40630</v>
      </c>
      <c r="E544" s="139" t="s">
        <v>650</v>
      </c>
      <c r="F544" s="138">
        <v>512.79</v>
      </c>
    </row>
    <row r="545" spans="1:6" ht="15" x14ac:dyDescent="0.25">
      <c r="A545" s="137" t="s">
        <v>313</v>
      </c>
      <c r="B545" s="137" t="s">
        <v>649</v>
      </c>
      <c r="C545" s="137">
        <v>2011145</v>
      </c>
      <c r="D545" s="197">
        <v>40630</v>
      </c>
      <c r="E545" s="139" t="s">
        <v>650</v>
      </c>
      <c r="F545" s="138">
        <v>796.4</v>
      </c>
    </row>
    <row r="546" spans="1:6" ht="15" x14ac:dyDescent="0.25">
      <c r="A546" s="137" t="s">
        <v>313</v>
      </c>
      <c r="B546" s="137" t="s">
        <v>656</v>
      </c>
      <c r="C546" s="137">
        <v>2011146</v>
      </c>
      <c r="D546" s="197">
        <v>40631</v>
      </c>
      <c r="E546" s="139" t="s">
        <v>651</v>
      </c>
      <c r="F546" s="138">
        <v>992.27</v>
      </c>
    </row>
    <row r="547" spans="1:6" ht="15" x14ac:dyDescent="0.25">
      <c r="A547" s="137" t="s">
        <v>313</v>
      </c>
      <c r="B547" s="137" t="s">
        <v>654</v>
      </c>
      <c r="C547" s="137">
        <v>2011147</v>
      </c>
      <c r="D547" s="197">
        <v>40631</v>
      </c>
      <c r="E547" s="139" t="s">
        <v>650</v>
      </c>
      <c r="F547" s="138">
        <v>204.83</v>
      </c>
    </row>
    <row r="548" spans="1:6" ht="15" x14ac:dyDescent="0.25">
      <c r="A548" s="137" t="s">
        <v>311</v>
      </c>
      <c r="B548" s="137" t="s">
        <v>661</v>
      </c>
      <c r="C548" s="137">
        <v>2011148</v>
      </c>
      <c r="D548" s="197">
        <v>40631</v>
      </c>
      <c r="E548" s="139" t="s">
        <v>650</v>
      </c>
      <c r="F548" s="138">
        <v>416.2</v>
      </c>
    </row>
    <row r="549" spans="1:6" ht="15" x14ac:dyDescent="0.25">
      <c r="A549" s="137" t="s">
        <v>313</v>
      </c>
      <c r="B549" s="137" t="s">
        <v>657</v>
      </c>
      <c r="C549" s="137">
        <v>2011149</v>
      </c>
      <c r="D549" s="197">
        <v>40632</v>
      </c>
      <c r="E549" s="139" t="s">
        <v>651</v>
      </c>
      <c r="F549" s="138">
        <v>943.31</v>
      </c>
    </row>
    <row r="550" spans="1:6" ht="15" x14ac:dyDescent="0.25">
      <c r="A550" s="137" t="s">
        <v>313</v>
      </c>
      <c r="B550" s="137" t="s">
        <v>657</v>
      </c>
      <c r="C550" s="137">
        <v>2011150</v>
      </c>
      <c r="D550" s="197">
        <v>40632</v>
      </c>
      <c r="E550" s="139" t="s">
        <v>650</v>
      </c>
      <c r="F550" s="138">
        <v>1126.25</v>
      </c>
    </row>
    <row r="551" spans="1:6" ht="15" x14ac:dyDescent="0.25">
      <c r="A551" s="137" t="s">
        <v>313</v>
      </c>
      <c r="B551" s="137" t="s">
        <v>652</v>
      </c>
      <c r="C551" s="137">
        <v>2011151</v>
      </c>
      <c r="D551" s="197">
        <v>40633</v>
      </c>
      <c r="E551" s="139" t="s">
        <v>651</v>
      </c>
      <c r="F551" s="138">
        <v>1070.93</v>
      </c>
    </row>
    <row r="552" spans="1:6" ht="15" x14ac:dyDescent="0.25">
      <c r="A552" s="137" t="s">
        <v>311</v>
      </c>
      <c r="B552" s="137" t="s">
        <v>659</v>
      </c>
      <c r="C552" s="137">
        <v>2011152</v>
      </c>
      <c r="D552" s="197">
        <v>40633</v>
      </c>
      <c r="E552" s="139" t="s">
        <v>651</v>
      </c>
      <c r="F552" s="138">
        <v>367.41</v>
      </c>
    </row>
    <row r="553" spans="1:6" ht="15" x14ac:dyDescent="0.25">
      <c r="A553" s="137" t="s">
        <v>311</v>
      </c>
      <c r="B553" s="137" t="s">
        <v>655</v>
      </c>
      <c r="C553" s="137">
        <v>2011153</v>
      </c>
      <c r="D553" s="197">
        <v>40633</v>
      </c>
      <c r="E553" s="139" t="s">
        <v>650</v>
      </c>
      <c r="F553" s="138">
        <v>315.04000000000002</v>
      </c>
    </row>
    <row r="554" spans="1:6" ht="15" x14ac:dyDescent="0.25">
      <c r="A554" s="137" t="s">
        <v>313</v>
      </c>
      <c r="B554" s="137" t="s">
        <v>652</v>
      </c>
      <c r="C554" s="137">
        <v>2011154</v>
      </c>
      <c r="D554" s="197">
        <v>40634</v>
      </c>
      <c r="E554" s="139" t="s">
        <v>651</v>
      </c>
      <c r="F554" s="138">
        <v>236.29</v>
      </c>
    </row>
    <row r="555" spans="1:6" ht="15" x14ac:dyDescent="0.25">
      <c r="A555" s="137" t="s">
        <v>313</v>
      </c>
      <c r="B555" s="137" t="s">
        <v>649</v>
      </c>
      <c r="C555" s="137">
        <v>2011155</v>
      </c>
      <c r="D555" s="197">
        <v>40637</v>
      </c>
      <c r="E555" s="139" t="s">
        <v>651</v>
      </c>
      <c r="F555" s="138">
        <v>212.1</v>
      </c>
    </row>
    <row r="556" spans="1:6" ht="15" x14ac:dyDescent="0.25">
      <c r="A556" s="137" t="s">
        <v>313</v>
      </c>
      <c r="B556" s="137" t="s">
        <v>654</v>
      </c>
      <c r="C556" s="137">
        <v>2011156</v>
      </c>
      <c r="D556" s="197">
        <v>40637</v>
      </c>
      <c r="E556" s="139" t="s">
        <v>650</v>
      </c>
      <c r="F556" s="138">
        <v>302.99</v>
      </c>
    </row>
    <row r="557" spans="1:6" ht="15" x14ac:dyDescent="0.25">
      <c r="A557" s="137" t="s">
        <v>313</v>
      </c>
      <c r="B557" s="137" t="s">
        <v>652</v>
      </c>
      <c r="C557" s="137">
        <v>2011157</v>
      </c>
      <c r="D557" s="197">
        <v>40638</v>
      </c>
      <c r="E557" s="139" t="s">
        <v>650</v>
      </c>
      <c r="F557" s="138">
        <v>1138.3599999999999</v>
      </c>
    </row>
    <row r="558" spans="1:6" ht="15" x14ac:dyDescent="0.25">
      <c r="A558" s="137" t="s">
        <v>311</v>
      </c>
      <c r="B558" s="137" t="s">
        <v>655</v>
      </c>
      <c r="C558" s="137">
        <v>2011158</v>
      </c>
      <c r="D558" s="197">
        <v>40638</v>
      </c>
      <c r="E558" s="139" t="s">
        <v>651</v>
      </c>
      <c r="F558" s="138">
        <v>1201.6199999999999</v>
      </c>
    </row>
    <row r="559" spans="1:6" ht="15" x14ac:dyDescent="0.25">
      <c r="A559" s="137" t="s">
        <v>311</v>
      </c>
      <c r="B559" s="137" t="s">
        <v>655</v>
      </c>
      <c r="C559" s="137">
        <v>2011159</v>
      </c>
      <c r="D559" s="197">
        <v>40639</v>
      </c>
      <c r="E559" s="139" t="s">
        <v>650</v>
      </c>
      <c r="F559" s="138">
        <v>360.8</v>
      </c>
    </row>
    <row r="560" spans="1:6" ht="15" x14ac:dyDescent="0.25">
      <c r="A560" s="137" t="s">
        <v>313</v>
      </c>
      <c r="B560" s="137" t="s">
        <v>654</v>
      </c>
      <c r="C560" s="137">
        <v>2011160</v>
      </c>
      <c r="D560" s="197">
        <v>40641</v>
      </c>
      <c r="E560" s="139" t="s">
        <v>650</v>
      </c>
      <c r="F560" s="138">
        <v>1127.05</v>
      </c>
    </row>
    <row r="561" spans="1:6" ht="15" x14ac:dyDescent="0.25">
      <c r="A561" s="137" t="s">
        <v>313</v>
      </c>
      <c r="B561" s="137" t="s">
        <v>656</v>
      </c>
      <c r="C561" s="137">
        <v>2011161</v>
      </c>
      <c r="D561" s="197">
        <v>40644</v>
      </c>
      <c r="E561" s="139" t="s">
        <v>651</v>
      </c>
      <c r="F561" s="138">
        <v>607.85</v>
      </c>
    </row>
    <row r="562" spans="1:6" ht="15" x14ac:dyDescent="0.25">
      <c r="A562" s="137" t="s">
        <v>311</v>
      </c>
      <c r="B562" s="137" t="s">
        <v>653</v>
      </c>
      <c r="C562" s="137">
        <v>2011162</v>
      </c>
      <c r="D562" s="197">
        <v>40644</v>
      </c>
      <c r="E562" s="139" t="s">
        <v>650</v>
      </c>
      <c r="F562" s="138">
        <v>233.83</v>
      </c>
    </row>
    <row r="563" spans="1:6" ht="15" x14ac:dyDescent="0.25">
      <c r="A563" s="137" t="s">
        <v>313</v>
      </c>
      <c r="B563" s="137" t="s">
        <v>656</v>
      </c>
      <c r="C563" s="137">
        <v>2011163</v>
      </c>
      <c r="D563" s="197">
        <v>40645</v>
      </c>
      <c r="E563" s="139" t="s">
        <v>650</v>
      </c>
      <c r="F563" s="138">
        <v>576.75</v>
      </c>
    </row>
    <row r="564" spans="1:6" ht="15" x14ac:dyDescent="0.25">
      <c r="A564" s="137" t="s">
        <v>311</v>
      </c>
      <c r="B564" s="137" t="s">
        <v>660</v>
      </c>
      <c r="C564" s="137">
        <v>2011164</v>
      </c>
      <c r="D564" s="197">
        <v>40645</v>
      </c>
      <c r="E564" s="139" t="s">
        <v>650</v>
      </c>
      <c r="F564" s="138">
        <v>389.64</v>
      </c>
    </row>
    <row r="565" spans="1:6" ht="15" x14ac:dyDescent="0.25">
      <c r="A565" s="137" t="s">
        <v>313</v>
      </c>
      <c r="B565" s="137" t="s">
        <v>652</v>
      </c>
      <c r="C565" s="137">
        <v>2011165</v>
      </c>
      <c r="D565" s="197">
        <v>40646</v>
      </c>
      <c r="E565" s="139" t="s">
        <v>650</v>
      </c>
      <c r="F565" s="138">
        <v>374.56</v>
      </c>
    </row>
    <row r="566" spans="1:6" ht="15" x14ac:dyDescent="0.25">
      <c r="A566" s="137" t="s">
        <v>313</v>
      </c>
      <c r="B566" s="137" t="s">
        <v>649</v>
      </c>
      <c r="C566" s="137">
        <v>2011166</v>
      </c>
      <c r="D566" s="197">
        <v>40646</v>
      </c>
      <c r="E566" s="139" t="s">
        <v>651</v>
      </c>
      <c r="F566" s="138">
        <v>1196.6099999999999</v>
      </c>
    </row>
    <row r="567" spans="1:6" ht="15" x14ac:dyDescent="0.25">
      <c r="A567" s="137" t="s">
        <v>311</v>
      </c>
      <c r="B567" s="137" t="s">
        <v>660</v>
      </c>
      <c r="C567" s="137">
        <v>2011167</v>
      </c>
      <c r="D567" s="197">
        <v>40647</v>
      </c>
      <c r="E567" s="139" t="s">
        <v>651</v>
      </c>
      <c r="F567" s="138">
        <v>946.06</v>
      </c>
    </row>
    <row r="568" spans="1:6" ht="15" x14ac:dyDescent="0.25">
      <c r="A568" s="137" t="s">
        <v>311</v>
      </c>
      <c r="B568" s="137" t="s">
        <v>658</v>
      </c>
      <c r="C568" s="137">
        <v>2011168</v>
      </c>
      <c r="D568" s="197">
        <v>40647</v>
      </c>
      <c r="E568" s="139" t="s">
        <v>651</v>
      </c>
      <c r="F568" s="138">
        <v>808.57</v>
      </c>
    </row>
    <row r="569" spans="1:6" ht="15" x14ac:dyDescent="0.25">
      <c r="A569" s="137" t="s">
        <v>311</v>
      </c>
      <c r="B569" s="137" t="s">
        <v>653</v>
      </c>
      <c r="C569" s="137">
        <v>2011169</v>
      </c>
      <c r="D569" s="197">
        <v>40648</v>
      </c>
      <c r="E569" s="139" t="s">
        <v>651</v>
      </c>
      <c r="F569" s="138">
        <v>490.04</v>
      </c>
    </row>
    <row r="570" spans="1:6" ht="15" x14ac:dyDescent="0.25">
      <c r="A570" s="137" t="s">
        <v>313</v>
      </c>
      <c r="B570" s="137" t="s">
        <v>656</v>
      </c>
      <c r="C570" s="137">
        <v>2011170</v>
      </c>
      <c r="D570" s="197">
        <v>40651</v>
      </c>
      <c r="E570" s="139" t="s">
        <v>650</v>
      </c>
      <c r="F570" s="138">
        <v>588.66</v>
      </c>
    </row>
    <row r="571" spans="1:6" ht="15" x14ac:dyDescent="0.25">
      <c r="A571" s="137" t="s">
        <v>311</v>
      </c>
      <c r="B571" s="137" t="s">
        <v>659</v>
      </c>
      <c r="C571" s="137">
        <v>2011171</v>
      </c>
      <c r="D571" s="197">
        <v>40652</v>
      </c>
      <c r="E571" s="139" t="s">
        <v>650</v>
      </c>
      <c r="F571" s="138">
        <v>709.64</v>
      </c>
    </row>
    <row r="572" spans="1:6" ht="15" x14ac:dyDescent="0.25">
      <c r="A572" s="137" t="s">
        <v>313</v>
      </c>
      <c r="B572" s="137" t="s">
        <v>656</v>
      </c>
      <c r="C572" s="137">
        <v>2011172</v>
      </c>
      <c r="D572" s="197">
        <v>40653</v>
      </c>
      <c r="E572" s="139" t="s">
        <v>651</v>
      </c>
      <c r="F572" s="138">
        <v>528.04</v>
      </c>
    </row>
    <row r="573" spans="1:6" ht="15" x14ac:dyDescent="0.25">
      <c r="A573" s="137" t="s">
        <v>313</v>
      </c>
      <c r="B573" s="137" t="s">
        <v>656</v>
      </c>
      <c r="C573" s="137">
        <v>2011173</v>
      </c>
      <c r="D573" s="197">
        <v>40653</v>
      </c>
      <c r="E573" s="139" t="s">
        <v>651</v>
      </c>
      <c r="F573" s="138">
        <v>782.48</v>
      </c>
    </row>
    <row r="574" spans="1:6" ht="15" x14ac:dyDescent="0.25">
      <c r="A574" s="137" t="s">
        <v>311</v>
      </c>
      <c r="B574" s="137" t="s">
        <v>658</v>
      </c>
      <c r="C574" s="137">
        <v>2011174</v>
      </c>
      <c r="D574" s="197">
        <v>40653</v>
      </c>
      <c r="E574" s="139" t="s">
        <v>650</v>
      </c>
      <c r="F574" s="138">
        <v>759.83</v>
      </c>
    </row>
    <row r="575" spans="1:6" ht="15" x14ac:dyDescent="0.25">
      <c r="A575" s="137" t="s">
        <v>313</v>
      </c>
      <c r="B575" s="137" t="s">
        <v>652</v>
      </c>
      <c r="C575" s="137">
        <v>2011175</v>
      </c>
      <c r="D575" s="197">
        <v>40654</v>
      </c>
      <c r="E575" s="139" t="s">
        <v>650</v>
      </c>
      <c r="F575" s="138">
        <v>475.93</v>
      </c>
    </row>
    <row r="576" spans="1:6" ht="15" x14ac:dyDescent="0.25">
      <c r="A576" s="137" t="s">
        <v>313</v>
      </c>
      <c r="B576" s="137" t="s">
        <v>652</v>
      </c>
      <c r="C576" s="137">
        <v>2011176</v>
      </c>
      <c r="D576" s="197">
        <v>40655</v>
      </c>
      <c r="E576" s="139" t="s">
        <v>651</v>
      </c>
      <c r="F576" s="138">
        <v>498.86</v>
      </c>
    </row>
    <row r="577" spans="1:6" ht="15" x14ac:dyDescent="0.25">
      <c r="A577" s="137" t="s">
        <v>311</v>
      </c>
      <c r="B577" s="137" t="s">
        <v>655</v>
      </c>
      <c r="C577" s="137">
        <v>2011177</v>
      </c>
      <c r="D577" s="197">
        <v>40655</v>
      </c>
      <c r="E577" s="139" t="s">
        <v>651</v>
      </c>
      <c r="F577" s="138">
        <v>730.61</v>
      </c>
    </row>
    <row r="578" spans="1:6" ht="15" x14ac:dyDescent="0.25">
      <c r="A578" s="137" t="s">
        <v>313</v>
      </c>
      <c r="B578" s="137" t="s">
        <v>652</v>
      </c>
      <c r="C578" s="137">
        <v>2011178</v>
      </c>
      <c r="D578" s="197">
        <v>40658</v>
      </c>
      <c r="E578" s="139" t="s">
        <v>651</v>
      </c>
      <c r="F578" s="138">
        <v>1190.53</v>
      </c>
    </row>
    <row r="579" spans="1:6" ht="15" x14ac:dyDescent="0.25">
      <c r="A579" s="137" t="s">
        <v>313</v>
      </c>
      <c r="B579" s="137" t="s">
        <v>654</v>
      </c>
      <c r="C579" s="137">
        <v>2011179</v>
      </c>
      <c r="D579" s="197">
        <v>40658</v>
      </c>
      <c r="E579" s="139" t="s">
        <v>650</v>
      </c>
      <c r="F579" s="138">
        <v>196.17</v>
      </c>
    </row>
    <row r="580" spans="1:6" ht="15" x14ac:dyDescent="0.25">
      <c r="A580" s="137" t="s">
        <v>313</v>
      </c>
      <c r="B580" s="137" t="s">
        <v>654</v>
      </c>
      <c r="C580" s="137">
        <v>2011180</v>
      </c>
      <c r="D580" s="197">
        <v>40658</v>
      </c>
      <c r="E580" s="139" t="s">
        <v>650</v>
      </c>
      <c r="F580" s="138">
        <v>1025.74</v>
      </c>
    </row>
    <row r="581" spans="1:6" ht="15" x14ac:dyDescent="0.25">
      <c r="A581" s="137" t="s">
        <v>311</v>
      </c>
      <c r="B581" s="137" t="s">
        <v>653</v>
      </c>
      <c r="C581" s="137">
        <v>2011181</v>
      </c>
      <c r="D581" s="197">
        <v>40658</v>
      </c>
      <c r="E581" s="139" t="s">
        <v>651</v>
      </c>
      <c r="F581" s="138">
        <v>324.79000000000002</v>
      </c>
    </row>
    <row r="582" spans="1:6" ht="15" x14ac:dyDescent="0.25">
      <c r="A582" s="137" t="s">
        <v>313</v>
      </c>
      <c r="B582" s="137" t="s">
        <v>657</v>
      </c>
      <c r="C582" s="137">
        <v>2011182</v>
      </c>
      <c r="D582" s="197">
        <v>40659</v>
      </c>
      <c r="E582" s="139" t="s">
        <v>651</v>
      </c>
      <c r="F582" s="138">
        <v>752.58</v>
      </c>
    </row>
    <row r="583" spans="1:6" ht="15" x14ac:dyDescent="0.25">
      <c r="A583" s="137" t="s">
        <v>313</v>
      </c>
      <c r="B583" s="137" t="s">
        <v>656</v>
      </c>
      <c r="C583" s="137">
        <v>2011183</v>
      </c>
      <c r="D583" s="197">
        <v>40659</v>
      </c>
      <c r="E583" s="139" t="s">
        <v>651</v>
      </c>
      <c r="F583" s="138">
        <v>370</v>
      </c>
    </row>
    <row r="584" spans="1:6" ht="15" x14ac:dyDescent="0.25">
      <c r="A584" s="137" t="s">
        <v>313</v>
      </c>
      <c r="B584" s="137" t="s">
        <v>654</v>
      </c>
      <c r="C584" s="137">
        <v>2011184</v>
      </c>
      <c r="D584" s="197">
        <v>40661</v>
      </c>
      <c r="E584" s="139" t="s">
        <v>650</v>
      </c>
      <c r="F584" s="138">
        <v>560.27</v>
      </c>
    </row>
    <row r="585" spans="1:6" ht="15" x14ac:dyDescent="0.25">
      <c r="A585" s="137" t="s">
        <v>311</v>
      </c>
      <c r="B585" s="137" t="s">
        <v>655</v>
      </c>
      <c r="C585" s="137">
        <v>2011185</v>
      </c>
      <c r="D585" s="197">
        <v>40661</v>
      </c>
      <c r="E585" s="139" t="s">
        <v>651</v>
      </c>
      <c r="F585" s="138">
        <v>914.06</v>
      </c>
    </row>
    <row r="586" spans="1:6" ht="15" x14ac:dyDescent="0.25">
      <c r="A586" s="137" t="s">
        <v>313</v>
      </c>
      <c r="B586" s="137" t="s">
        <v>654</v>
      </c>
      <c r="C586" s="137">
        <v>2011186</v>
      </c>
      <c r="D586" s="197">
        <v>40662</v>
      </c>
      <c r="E586" s="139" t="s">
        <v>651</v>
      </c>
      <c r="F586" s="138">
        <v>1259.6099999999999</v>
      </c>
    </row>
    <row r="587" spans="1:6" ht="15" x14ac:dyDescent="0.25">
      <c r="A587" s="137" t="s">
        <v>313</v>
      </c>
      <c r="B587" s="137" t="s">
        <v>652</v>
      </c>
      <c r="C587" s="137">
        <v>2011187</v>
      </c>
      <c r="D587" s="197">
        <v>40666</v>
      </c>
      <c r="E587" s="139" t="s">
        <v>650</v>
      </c>
      <c r="F587" s="138">
        <v>746.42</v>
      </c>
    </row>
    <row r="588" spans="1:6" ht="15" x14ac:dyDescent="0.25">
      <c r="A588" s="137" t="s">
        <v>313</v>
      </c>
      <c r="B588" s="137" t="s">
        <v>656</v>
      </c>
      <c r="C588" s="137">
        <v>2011188</v>
      </c>
      <c r="D588" s="197">
        <v>40666</v>
      </c>
      <c r="E588" s="139" t="s">
        <v>650</v>
      </c>
      <c r="F588" s="138">
        <v>947.61</v>
      </c>
    </row>
    <row r="589" spans="1:6" ht="15" x14ac:dyDescent="0.25">
      <c r="A589" s="137" t="s">
        <v>313</v>
      </c>
      <c r="B589" s="137" t="s">
        <v>652</v>
      </c>
      <c r="C589" s="137">
        <v>2011189</v>
      </c>
      <c r="D589" s="197">
        <v>40667</v>
      </c>
      <c r="E589" s="139" t="s">
        <v>651</v>
      </c>
      <c r="F589" s="138">
        <v>919.04</v>
      </c>
    </row>
    <row r="590" spans="1:6" ht="15" x14ac:dyDescent="0.25">
      <c r="A590" s="137" t="s">
        <v>313</v>
      </c>
      <c r="B590" s="137" t="s">
        <v>657</v>
      </c>
      <c r="C590" s="137">
        <v>2011190</v>
      </c>
      <c r="D590" s="197">
        <v>40667</v>
      </c>
      <c r="E590" s="139" t="s">
        <v>650</v>
      </c>
      <c r="F590" s="138">
        <v>689.34</v>
      </c>
    </row>
    <row r="591" spans="1:6" ht="15" x14ac:dyDescent="0.25">
      <c r="A591" s="137" t="s">
        <v>313</v>
      </c>
      <c r="B591" s="137" t="s">
        <v>656</v>
      </c>
      <c r="C591" s="137">
        <v>2011191</v>
      </c>
      <c r="D591" s="197">
        <v>40667</v>
      </c>
      <c r="E591" s="139" t="s">
        <v>651</v>
      </c>
      <c r="F591" s="138">
        <v>109.76</v>
      </c>
    </row>
    <row r="592" spans="1:6" ht="15" x14ac:dyDescent="0.25">
      <c r="A592" s="137" t="s">
        <v>311</v>
      </c>
      <c r="B592" s="137" t="s">
        <v>658</v>
      </c>
      <c r="C592" s="137">
        <v>2011192</v>
      </c>
      <c r="D592" s="197">
        <v>40667</v>
      </c>
      <c r="E592" s="139" t="s">
        <v>651</v>
      </c>
      <c r="F592" s="138">
        <v>299.33</v>
      </c>
    </row>
    <row r="593" spans="1:6" ht="15" x14ac:dyDescent="0.25">
      <c r="A593" s="137" t="s">
        <v>313</v>
      </c>
      <c r="B593" s="137" t="s">
        <v>652</v>
      </c>
      <c r="C593" s="137">
        <v>2011193</v>
      </c>
      <c r="D593" s="197">
        <v>40668</v>
      </c>
      <c r="E593" s="139" t="s">
        <v>651</v>
      </c>
      <c r="F593" s="138">
        <v>663.26</v>
      </c>
    </row>
    <row r="594" spans="1:6" ht="15" x14ac:dyDescent="0.25">
      <c r="A594" s="137" t="s">
        <v>313</v>
      </c>
      <c r="B594" s="137" t="s">
        <v>656</v>
      </c>
      <c r="C594" s="137">
        <v>2011194</v>
      </c>
      <c r="D594" s="197">
        <v>40668</v>
      </c>
      <c r="E594" s="139" t="s">
        <v>651</v>
      </c>
      <c r="F594" s="138">
        <v>1089.97</v>
      </c>
    </row>
    <row r="595" spans="1:6" ht="15" x14ac:dyDescent="0.25">
      <c r="A595" s="137" t="s">
        <v>313</v>
      </c>
      <c r="B595" s="137" t="s">
        <v>654</v>
      </c>
      <c r="C595" s="137">
        <v>2011195</v>
      </c>
      <c r="D595" s="197">
        <v>40668</v>
      </c>
      <c r="E595" s="139" t="s">
        <v>650</v>
      </c>
      <c r="F595" s="138">
        <v>1064.75</v>
      </c>
    </row>
    <row r="596" spans="1:6" ht="15" x14ac:dyDescent="0.25">
      <c r="A596" s="137" t="s">
        <v>313</v>
      </c>
      <c r="B596" s="137" t="s">
        <v>654</v>
      </c>
      <c r="C596" s="137">
        <v>2011196</v>
      </c>
      <c r="D596" s="197">
        <v>40668</v>
      </c>
      <c r="E596" s="139" t="s">
        <v>650</v>
      </c>
      <c r="F596" s="138">
        <v>441.45</v>
      </c>
    </row>
    <row r="597" spans="1:6" ht="15" x14ac:dyDescent="0.25">
      <c r="A597" s="137" t="s">
        <v>311</v>
      </c>
      <c r="B597" s="137" t="s">
        <v>653</v>
      </c>
      <c r="C597" s="137">
        <v>2011197</v>
      </c>
      <c r="D597" s="197">
        <v>40668</v>
      </c>
      <c r="E597" s="139" t="s">
        <v>651</v>
      </c>
      <c r="F597" s="138">
        <v>650.64</v>
      </c>
    </row>
    <row r="598" spans="1:6" ht="15" x14ac:dyDescent="0.25">
      <c r="A598" s="137" t="s">
        <v>313</v>
      </c>
      <c r="B598" s="137" t="s">
        <v>652</v>
      </c>
      <c r="C598" s="137">
        <v>2011198</v>
      </c>
      <c r="D598" s="197">
        <v>40669</v>
      </c>
      <c r="E598" s="139" t="s">
        <v>650</v>
      </c>
      <c r="F598" s="138">
        <v>1102.17</v>
      </c>
    </row>
    <row r="599" spans="1:6" ht="15" x14ac:dyDescent="0.25">
      <c r="A599" s="137" t="s">
        <v>313</v>
      </c>
      <c r="B599" s="137" t="s">
        <v>652</v>
      </c>
      <c r="C599" s="137">
        <v>2011199</v>
      </c>
      <c r="D599" s="197">
        <v>40669</v>
      </c>
      <c r="E599" s="139" t="s">
        <v>651</v>
      </c>
      <c r="F599" s="138">
        <v>230.22</v>
      </c>
    </row>
    <row r="600" spans="1:6" ht="15" x14ac:dyDescent="0.25">
      <c r="A600" s="137" t="s">
        <v>313</v>
      </c>
      <c r="B600" s="137" t="s">
        <v>652</v>
      </c>
      <c r="C600" s="137">
        <v>2011200</v>
      </c>
      <c r="D600" s="197">
        <v>40669</v>
      </c>
      <c r="E600" s="139" t="s">
        <v>651</v>
      </c>
      <c r="F600" s="138">
        <v>1012.75</v>
      </c>
    </row>
    <row r="601" spans="1:6" ht="15" x14ac:dyDescent="0.25">
      <c r="A601" s="137" t="s">
        <v>313</v>
      </c>
      <c r="B601" s="137" t="s">
        <v>649</v>
      </c>
      <c r="C601" s="137">
        <v>2011201</v>
      </c>
      <c r="D601" s="197">
        <v>40669</v>
      </c>
      <c r="E601" s="139" t="s">
        <v>651</v>
      </c>
      <c r="F601" s="138">
        <v>818.85</v>
      </c>
    </row>
    <row r="602" spans="1:6" ht="15" x14ac:dyDescent="0.25">
      <c r="A602" s="137" t="s">
        <v>311</v>
      </c>
      <c r="B602" s="137" t="s">
        <v>659</v>
      </c>
      <c r="C602" s="137">
        <v>2011202</v>
      </c>
      <c r="D602" s="197">
        <v>40669</v>
      </c>
      <c r="E602" s="139" t="s">
        <v>650</v>
      </c>
      <c r="F602" s="138">
        <v>1244.8800000000001</v>
      </c>
    </row>
    <row r="603" spans="1:6" ht="15" x14ac:dyDescent="0.25">
      <c r="A603" s="137" t="s">
        <v>313</v>
      </c>
      <c r="B603" s="137" t="s">
        <v>657</v>
      </c>
      <c r="C603" s="137">
        <v>2011203</v>
      </c>
      <c r="D603" s="197">
        <v>40672</v>
      </c>
      <c r="E603" s="139" t="s">
        <v>651</v>
      </c>
      <c r="F603" s="138">
        <v>1139.3399999999999</v>
      </c>
    </row>
    <row r="604" spans="1:6" ht="15" x14ac:dyDescent="0.25">
      <c r="A604" s="137" t="s">
        <v>311</v>
      </c>
      <c r="B604" s="137" t="s">
        <v>658</v>
      </c>
      <c r="C604" s="137">
        <v>2011204</v>
      </c>
      <c r="D604" s="197">
        <v>40672</v>
      </c>
      <c r="E604" s="139" t="s">
        <v>650</v>
      </c>
      <c r="F604" s="138">
        <v>956.9</v>
      </c>
    </row>
    <row r="605" spans="1:6" ht="15" x14ac:dyDescent="0.25">
      <c r="A605" s="137" t="s">
        <v>311</v>
      </c>
      <c r="B605" s="137" t="s">
        <v>660</v>
      </c>
      <c r="C605" s="137">
        <v>2011205</v>
      </c>
      <c r="D605" s="197">
        <v>40673</v>
      </c>
      <c r="E605" s="139" t="s">
        <v>651</v>
      </c>
      <c r="F605" s="138">
        <v>1186.46</v>
      </c>
    </row>
    <row r="606" spans="1:6" ht="15" x14ac:dyDescent="0.25">
      <c r="A606" s="137" t="s">
        <v>313</v>
      </c>
      <c r="B606" s="137" t="s">
        <v>652</v>
      </c>
      <c r="C606" s="137">
        <v>2011206</v>
      </c>
      <c r="D606" s="197">
        <v>40675</v>
      </c>
      <c r="E606" s="139" t="s">
        <v>651</v>
      </c>
      <c r="F606" s="138">
        <v>927.22</v>
      </c>
    </row>
    <row r="607" spans="1:6" ht="15" x14ac:dyDescent="0.25">
      <c r="A607" s="137" t="s">
        <v>313</v>
      </c>
      <c r="B607" s="137" t="s">
        <v>652</v>
      </c>
      <c r="C607" s="137">
        <v>2011207</v>
      </c>
      <c r="D607" s="197">
        <v>40675</v>
      </c>
      <c r="E607" s="139" t="s">
        <v>650</v>
      </c>
      <c r="F607" s="138">
        <v>543.41999999999996</v>
      </c>
    </row>
    <row r="608" spans="1:6" ht="15" x14ac:dyDescent="0.25">
      <c r="A608" s="137" t="s">
        <v>313</v>
      </c>
      <c r="B608" s="137" t="s">
        <v>652</v>
      </c>
      <c r="C608" s="137">
        <v>2011208</v>
      </c>
      <c r="D608" s="197">
        <v>40676</v>
      </c>
      <c r="E608" s="139" t="s">
        <v>651</v>
      </c>
      <c r="F608" s="138">
        <v>531.6</v>
      </c>
    </row>
    <row r="609" spans="1:6" ht="15" x14ac:dyDescent="0.25">
      <c r="A609" s="137" t="s">
        <v>313</v>
      </c>
      <c r="B609" s="137" t="s">
        <v>657</v>
      </c>
      <c r="C609" s="137">
        <v>2011209</v>
      </c>
      <c r="D609" s="197">
        <v>40676</v>
      </c>
      <c r="E609" s="139" t="s">
        <v>651</v>
      </c>
      <c r="F609" s="138">
        <v>1252.93</v>
      </c>
    </row>
    <row r="610" spans="1:6" ht="15" x14ac:dyDescent="0.25">
      <c r="A610" s="137" t="s">
        <v>313</v>
      </c>
      <c r="B610" s="137" t="s">
        <v>649</v>
      </c>
      <c r="C610" s="137">
        <v>2011210</v>
      </c>
      <c r="D610" s="197">
        <v>40676</v>
      </c>
      <c r="E610" s="139" t="s">
        <v>650</v>
      </c>
      <c r="F610" s="138">
        <v>194.64</v>
      </c>
    </row>
    <row r="611" spans="1:6" ht="15" x14ac:dyDescent="0.25">
      <c r="A611" s="137" t="s">
        <v>313</v>
      </c>
      <c r="B611" s="137" t="s">
        <v>654</v>
      </c>
      <c r="C611" s="137">
        <v>2011211</v>
      </c>
      <c r="D611" s="197">
        <v>40680</v>
      </c>
      <c r="E611" s="139" t="s">
        <v>651</v>
      </c>
      <c r="F611" s="138">
        <v>950.81</v>
      </c>
    </row>
    <row r="612" spans="1:6" ht="15" x14ac:dyDescent="0.25">
      <c r="A612" s="137" t="s">
        <v>311</v>
      </c>
      <c r="B612" s="137" t="s">
        <v>660</v>
      </c>
      <c r="C612" s="137">
        <v>2011212</v>
      </c>
      <c r="D612" s="197">
        <v>40681</v>
      </c>
      <c r="E612" s="139" t="s">
        <v>651</v>
      </c>
      <c r="F612" s="138">
        <v>786.13</v>
      </c>
    </row>
    <row r="613" spans="1:6" ht="15" x14ac:dyDescent="0.25">
      <c r="A613" s="137" t="s">
        <v>313</v>
      </c>
      <c r="B613" s="137" t="s">
        <v>649</v>
      </c>
      <c r="C613" s="137">
        <v>2011213</v>
      </c>
      <c r="D613" s="197">
        <v>40682</v>
      </c>
      <c r="E613" s="139" t="s">
        <v>651</v>
      </c>
      <c r="F613" s="138">
        <v>753.31</v>
      </c>
    </row>
    <row r="614" spans="1:6" ht="15" x14ac:dyDescent="0.25">
      <c r="A614" s="137" t="s">
        <v>311</v>
      </c>
      <c r="B614" s="137" t="s">
        <v>659</v>
      </c>
      <c r="C614" s="137">
        <v>2011214</v>
      </c>
      <c r="D614" s="197">
        <v>40683</v>
      </c>
      <c r="E614" s="139" t="s">
        <v>650</v>
      </c>
      <c r="F614" s="138">
        <v>920.08</v>
      </c>
    </row>
    <row r="615" spans="1:6" ht="15" x14ac:dyDescent="0.25">
      <c r="A615" s="137" t="s">
        <v>311</v>
      </c>
      <c r="B615" s="137" t="s">
        <v>653</v>
      </c>
      <c r="C615" s="137">
        <v>2011215</v>
      </c>
      <c r="D615" s="197">
        <v>40683</v>
      </c>
      <c r="E615" s="139" t="s">
        <v>650</v>
      </c>
      <c r="F615" s="138">
        <v>416.95</v>
      </c>
    </row>
    <row r="616" spans="1:6" ht="15" x14ac:dyDescent="0.25">
      <c r="A616" s="137" t="s">
        <v>313</v>
      </c>
      <c r="B616" s="137" t="s">
        <v>652</v>
      </c>
      <c r="C616" s="137">
        <v>2011216</v>
      </c>
      <c r="D616" s="197">
        <v>40688</v>
      </c>
      <c r="E616" s="139" t="s">
        <v>651</v>
      </c>
      <c r="F616" s="138">
        <v>293.95</v>
      </c>
    </row>
    <row r="617" spans="1:6" ht="15" x14ac:dyDescent="0.25">
      <c r="A617" s="137" t="s">
        <v>313</v>
      </c>
      <c r="B617" s="137" t="s">
        <v>656</v>
      </c>
      <c r="C617" s="137">
        <v>2011217</v>
      </c>
      <c r="D617" s="197">
        <v>40688</v>
      </c>
      <c r="E617" s="139" t="s">
        <v>651</v>
      </c>
      <c r="F617" s="138">
        <v>815.68</v>
      </c>
    </row>
    <row r="618" spans="1:6" ht="15" x14ac:dyDescent="0.25">
      <c r="A618" s="137" t="s">
        <v>311</v>
      </c>
      <c r="B618" s="137" t="s">
        <v>655</v>
      </c>
      <c r="C618" s="137">
        <v>2011218</v>
      </c>
      <c r="D618" s="197">
        <v>40688</v>
      </c>
      <c r="E618" s="139" t="s">
        <v>650</v>
      </c>
      <c r="F618" s="138">
        <v>1121.98</v>
      </c>
    </row>
    <row r="619" spans="1:6" ht="15" x14ac:dyDescent="0.25">
      <c r="A619" s="137" t="s">
        <v>313</v>
      </c>
      <c r="B619" s="137" t="s">
        <v>657</v>
      </c>
      <c r="C619" s="137">
        <v>2011219</v>
      </c>
      <c r="D619" s="197">
        <v>40690</v>
      </c>
      <c r="E619" s="139" t="s">
        <v>650</v>
      </c>
      <c r="F619" s="138">
        <v>617.62</v>
      </c>
    </row>
    <row r="620" spans="1:6" ht="15" x14ac:dyDescent="0.25">
      <c r="A620" s="137" t="s">
        <v>313</v>
      </c>
      <c r="B620" s="137" t="s">
        <v>652</v>
      </c>
      <c r="C620" s="137">
        <v>2011220</v>
      </c>
      <c r="D620" s="197">
        <v>40693</v>
      </c>
      <c r="E620" s="139" t="s">
        <v>650</v>
      </c>
      <c r="F620" s="138">
        <v>760.26</v>
      </c>
    </row>
    <row r="621" spans="1:6" ht="15" x14ac:dyDescent="0.25">
      <c r="A621" s="137" t="s">
        <v>313</v>
      </c>
      <c r="B621" s="137" t="s">
        <v>657</v>
      </c>
      <c r="C621" s="137">
        <v>2011221</v>
      </c>
      <c r="D621" s="197">
        <v>40693</v>
      </c>
      <c r="E621" s="139" t="s">
        <v>650</v>
      </c>
      <c r="F621" s="138">
        <v>990.88</v>
      </c>
    </row>
    <row r="622" spans="1:6" ht="15" x14ac:dyDescent="0.25">
      <c r="A622" s="137" t="s">
        <v>313</v>
      </c>
      <c r="B622" s="137" t="s">
        <v>649</v>
      </c>
      <c r="C622" s="137">
        <v>2011222</v>
      </c>
      <c r="D622" s="197">
        <v>40693</v>
      </c>
      <c r="E622" s="139" t="s">
        <v>651</v>
      </c>
      <c r="F622" s="138">
        <v>876.19</v>
      </c>
    </row>
    <row r="623" spans="1:6" ht="15" x14ac:dyDescent="0.25">
      <c r="A623" s="137" t="s">
        <v>313</v>
      </c>
      <c r="B623" s="137" t="s">
        <v>656</v>
      </c>
      <c r="C623" s="137">
        <v>2011223</v>
      </c>
      <c r="D623" s="197">
        <v>40693</v>
      </c>
      <c r="E623" s="139" t="s">
        <v>650</v>
      </c>
      <c r="F623" s="138">
        <v>99.17</v>
      </c>
    </row>
    <row r="624" spans="1:6" ht="15" x14ac:dyDescent="0.25">
      <c r="A624" s="137" t="s">
        <v>311</v>
      </c>
      <c r="B624" s="137" t="s">
        <v>653</v>
      </c>
      <c r="C624" s="137">
        <v>2011224</v>
      </c>
      <c r="D624" s="197">
        <v>40693</v>
      </c>
      <c r="E624" s="139" t="s">
        <v>650</v>
      </c>
      <c r="F624" s="138">
        <v>69.61</v>
      </c>
    </row>
    <row r="625" spans="1:6" ht="15" x14ac:dyDescent="0.25">
      <c r="A625" s="137" t="s">
        <v>311</v>
      </c>
      <c r="B625" s="137" t="s">
        <v>653</v>
      </c>
      <c r="C625" s="137">
        <v>2011225</v>
      </c>
      <c r="D625" s="197">
        <v>40693</v>
      </c>
      <c r="E625" s="139" t="s">
        <v>651</v>
      </c>
      <c r="F625" s="138">
        <v>119</v>
      </c>
    </row>
    <row r="626" spans="1:6" ht="15" x14ac:dyDescent="0.25">
      <c r="A626" s="137" t="s">
        <v>313</v>
      </c>
      <c r="B626" s="137" t="s">
        <v>657</v>
      </c>
      <c r="C626" s="137">
        <v>2011226</v>
      </c>
      <c r="D626" s="197">
        <v>40695</v>
      </c>
      <c r="E626" s="139" t="s">
        <v>651</v>
      </c>
      <c r="F626" s="138">
        <v>283.75</v>
      </c>
    </row>
    <row r="627" spans="1:6" ht="15" x14ac:dyDescent="0.25">
      <c r="A627" s="137" t="s">
        <v>313</v>
      </c>
      <c r="B627" s="137" t="s">
        <v>656</v>
      </c>
      <c r="C627" s="137">
        <v>2011227</v>
      </c>
      <c r="D627" s="197">
        <v>40695</v>
      </c>
      <c r="E627" s="139" t="s">
        <v>650</v>
      </c>
      <c r="F627" s="138">
        <v>557.29</v>
      </c>
    </row>
    <row r="628" spans="1:6" ht="15" x14ac:dyDescent="0.25">
      <c r="A628" s="137" t="s">
        <v>311</v>
      </c>
      <c r="B628" s="137" t="s">
        <v>661</v>
      </c>
      <c r="C628" s="137">
        <v>2011228</v>
      </c>
      <c r="D628" s="197">
        <v>40695</v>
      </c>
      <c r="E628" s="139" t="s">
        <v>650</v>
      </c>
      <c r="F628" s="138">
        <v>258.25</v>
      </c>
    </row>
    <row r="629" spans="1:6" ht="15" x14ac:dyDescent="0.25">
      <c r="A629" s="137" t="s">
        <v>313</v>
      </c>
      <c r="B629" s="137" t="s">
        <v>656</v>
      </c>
      <c r="C629" s="137">
        <v>2011229</v>
      </c>
      <c r="D629" s="197">
        <v>40697</v>
      </c>
      <c r="E629" s="139" t="s">
        <v>650</v>
      </c>
      <c r="F629" s="138">
        <v>451.36</v>
      </c>
    </row>
    <row r="630" spans="1:6" ht="15" x14ac:dyDescent="0.25">
      <c r="A630" s="137" t="s">
        <v>313</v>
      </c>
      <c r="B630" s="137" t="s">
        <v>656</v>
      </c>
      <c r="C630" s="137">
        <v>2011230</v>
      </c>
      <c r="D630" s="197">
        <v>40697</v>
      </c>
      <c r="E630" s="139" t="s">
        <v>651</v>
      </c>
      <c r="F630" s="138">
        <v>992.7</v>
      </c>
    </row>
    <row r="631" spans="1:6" ht="15" x14ac:dyDescent="0.25">
      <c r="A631" s="137" t="s">
        <v>313</v>
      </c>
      <c r="B631" s="137" t="s">
        <v>656</v>
      </c>
      <c r="C631" s="137">
        <v>2011231</v>
      </c>
      <c r="D631" s="197">
        <v>40700</v>
      </c>
      <c r="E631" s="139" t="s">
        <v>651</v>
      </c>
      <c r="F631" s="138">
        <v>430.31</v>
      </c>
    </row>
    <row r="632" spans="1:6" ht="15" x14ac:dyDescent="0.25">
      <c r="A632" s="137" t="s">
        <v>313</v>
      </c>
      <c r="B632" s="137" t="s">
        <v>654</v>
      </c>
      <c r="C632" s="137">
        <v>2011232</v>
      </c>
      <c r="D632" s="197">
        <v>40701</v>
      </c>
      <c r="E632" s="139" t="s">
        <v>650</v>
      </c>
      <c r="F632" s="138">
        <v>1184.96</v>
      </c>
    </row>
    <row r="633" spans="1:6" ht="15" x14ac:dyDescent="0.25">
      <c r="A633" s="137" t="s">
        <v>311</v>
      </c>
      <c r="B633" s="137" t="s">
        <v>660</v>
      </c>
      <c r="C633" s="137">
        <v>2011233</v>
      </c>
      <c r="D633" s="197">
        <v>40701</v>
      </c>
      <c r="E633" s="139" t="s">
        <v>650</v>
      </c>
      <c r="F633" s="138">
        <v>900.86</v>
      </c>
    </row>
    <row r="634" spans="1:6" ht="15" x14ac:dyDescent="0.25">
      <c r="A634" s="137" t="s">
        <v>311</v>
      </c>
      <c r="B634" s="137" t="s">
        <v>659</v>
      </c>
      <c r="C634" s="137">
        <v>2011234</v>
      </c>
      <c r="D634" s="197">
        <v>40701</v>
      </c>
      <c r="E634" s="139" t="s">
        <v>651</v>
      </c>
      <c r="F634" s="138">
        <v>1175.4000000000001</v>
      </c>
    </row>
    <row r="635" spans="1:6" ht="15" x14ac:dyDescent="0.25">
      <c r="A635" s="137" t="s">
        <v>313</v>
      </c>
      <c r="B635" s="137" t="s">
        <v>657</v>
      </c>
      <c r="C635" s="137">
        <v>2011235</v>
      </c>
      <c r="D635" s="197">
        <v>40702</v>
      </c>
      <c r="E635" s="139" t="s">
        <v>650</v>
      </c>
      <c r="F635" s="138">
        <v>141.41999999999999</v>
      </c>
    </row>
    <row r="636" spans="1:6" ht="15" x14ac:dyDescent="0.25">
      <c r="A636" s="137" t="s">
        <v>313</v>
      </c>
      <c r="B636" s="137" t="s">
        <v>649</v>
      </c>
      <c r="C636" s="137">
        <v>2011236</v>
      </c>
      <c r="D636" s="197">
        <v>40702</v>
      </c>
      <c r="E636" s="139" t="s">
        <v>650</v>
      </c>
      <c r="F636" s="138">
        <v>1229.43</v>
      </c>
    </row>
    <row r="637" spans="1:6" ht="15" x14ac:dyDescent="0.25">
      <c r="A637" s="137" t="s">
        <v>313</v>
      </c>
      <c r="B637" s="137" t="s">
        <v>657</v>
      </c>
      <c r="C637" s="137">
        <v>2011237</v>
      </c>
      <c r="D637" s="197">
        <v>40703</v>
      </c>
      <c r="E637" s="139" t="s">
        <v>650</v>
      </c>
      <c r="F637" s="138">
        <v>555.16</v>
      </c>
    </row>
    <row r="638" spans="1:6" ht="15" x14ac:dyDescent="0.25">
      <c r="A638" s="137" t="s">
        <v>313</v>
      </c>
      <c r="B638" s="137" t="s">
        <v>657</v>
      </c>
      <c r="C638" s="137">
        <v>2011238</v>
      </c>
      <c r="D638" s="197">
        <v>40707</v>
      </c>
      <c r="E638" s="139" t="s">
        <v>651</v>
      </c>
      <c r="F638" s="138">
        <v>476.36</v>
      </c>
    </row>
    <row r="639" spans="1:6" ht="15" x14ac:dyDescent="0.25">
      <c r="A639" s="137" t="s">
        <v>313</v>
      </c>
      <c r="B639" s="137" t="s">
        <v>656</v>
      </c>
      <c r="C639" s="137">
        <v>2011239</v>
      </c>
      <c r="D639" s="197">
        <v>40707</v>
      </c>
      <c r="E639" s="139" t="s">
        <v>651</v>
      </c>
      <c r="F639" s="138">
        <v>1128.57</v>
      </c>
    </row>
    <row r="640" spans="1:6" ht="15" x14ac:dyDescent="0.25">
      <c r="A640" s="137" t="s">
        <v>313</v>
      </c>
      <c r="B640" s="137" t="s">
        <v>656</v>
      </c>
      <c r="C640" s="137">
        <v>2011240</v>
      </c>
      <c r="D640" s="197">
        <v>40707</v>
      </c>
      <c r="E640" s="139" t="s">
        <v>651</v>
      </c>
      <c r="F640" s="138">
        <v>1058.8</v>
      </c>
    </row>
    <row r="641" spans="1:6" ht="15" x14ac:dyDescent="0.25">
      <c r="A641" s="137" t="s">
        <v>311</v>
      </c>
      <c r="B641" s="137" t="s">
        <v>659</v>
      </c>
      <c r="C641" s="137">
        <v>2011241</v>
      </c>
      <c r="D641" s="197">
        <v>40707</v>
      </c>
      <c r="E641" s="139" t="s">
        <v>650</v>
      </c>
      <c r="F641" s="138">
        <v>558.26</v>
      </c>
    </row>
    <row r="642" spans="1:6" ht="15" x14ac:dyDescent="0.25">
      <c r="A642" s="137" t="s">
        <v>311</v>
      </c>
      <c r="B642" s="137" t="s">
        <v>658</v>
      </c>
      <c r="C642" s="137">
        <v>2011242</v>
      </c>
      <c r="D642" s="197">
        <v>40709</v>
      </c>
      <c r="E642" s="139" t="s">
        <v>651</v>
      </c>
      <c r="F642" s="138">
        <v>680.47</v>
      </c>
    </row>
    <row r="643" spans="1:6" ht="15" x14ac:dyDescent="0.25">
      <c r="A643" s="137" t="s">
        <v>313</v>
      </c>
      <c r="B643" s="137" t="s">
        <v>652</v>
      </c>
      <c r="C643" s="137">
        <v>2011243</v>
      </c>
      <c r="D643" s="197">
        <v>40710</v>
      </c>
      <c r="E643" s="139" t="s">
        <v>650</v>
      </c>
      <c r="F643" s="138">
        <v>1137.3399999999999</v>
      </c>
    </row>
    <row r="644" spans="1:6" ht="15" x14ac:dyDescent="0.25">
      <c r="A644" s="137" t="s">
        <v>311</v>
      </c>
      <c r="B644" s="137" t="s">
        <v>661</v>
      </c>
      <c r="C644" s="137">
        <v>2011244</v>
      </c>
      <c r="D644" s="197">
        <v>40710</v>
      </c>
      <c r="E644" s="139" t="s">
        <v>651</v>
      </c>
      <c r="F644" s="138">
        <v>177.58</v>
      </c>
    </row>
    <row r="645" spans="1:6" ht="15" x14ac:dyDescent="0.25">
      <c r="A645" s="137" t="s">
        <v>311</v>
      </c>
      <c r="B645" s="137" t="s">
        <v>661</v>
      </c>
      <c r="C645" s="137">
        <v>2011245</v>
      </c>
      <c r="D645" s="197">
        <v>40710</v>
      </c>
      <c r="E645" s="139" t="s">
        <v>651</v>
      </c>
      <c r="F645" s="138">
        <v>143.5</v>
      </c>
    </row>
    <row r="646" spans="1:6" ht="15" x14ac:dyDescent="0.25">
      <c r="A646" s="137" t="s">
        <v>311</v>
      </c>
      <c r="B646" s="137" t="s">
        <v>655</v>
      </c>
      <c r="C646" s="137">
        <v>2011246</v>
      </c>
      <c r="D646" s="197">
        <v>40710</v>
      </c>
      <c r="E646" s="139" t="s">
        <v>650</v>
      </c>
      <c r="F646" s="138">
        <v>758.58</v>
      </c>
    </row>
    <row r="647" spans="1:6" ht="15" x14ac:dyDescent="0.25">
      <c r="A647" s="137" t="s">
        <v>313</v>
      </c>
      <c r="B647" s="137" t="s">
        <v>649</v>
      </c>
      <c r="C647" s="137">
        <v>2011247</v>
      </c>
      <c r="D647" s="197">
        <v>40714</v>
      </c>
      <c r="E647" s="139" t="s">
        <v>651</v>
      </c>
      <c r="F647" s="138">
        <v>592.14</v>
      </c>
    </row>
    <row r="648" spans="1:6" ht="15" x14ac:dyDescent="0.25">
      <c r="A648" s="137" t="s">
        <v>313</v>
      </c>
      <c r="B648" s="137" t="s">
        <v>657</v>
      </c>
      <c r="C648" s="137">
        <v>2011248</v>
      </c>
      <c r="D648" s="197">
        <v>40715</v>
      </c>
      <c r="E648" s="139" t="s">
        <v>650</v>
      </c>
      <c r="F648" s="138">
        <v>392.23</v>
      </c>
    </row>
    <row r="649" spans="1:6" ht="15" x14ac:dyDescent="0.25">
      <c r="A649" s="137" t="s">
        <v>311</v>
      </c>
      <c r="B649" s="137" t="s">
        <v>659</v>
      </c>
      <c r="C649" s="137">
        <v>2011249</v>
      </c>
      <c r="D649" s="197">
        <v>40715</v>
      </c>
      <c r="E649" s="139" t="s">
        <v>650</v>
      </c>
      <c r="F649" s="138">
        <v>983.12</v>
      </c>
    </row>
    <row r="650" spans="1:6" ht="15" x14ac:dyDescent="0.25">
      <c r="A650" s="137" t="s">
        <v>313</v>
      </c>
      <c r="B650" s="137" t="s">
        <v>657</v>
      </c>
      <c r="C650" s="137">
        <v>2011250</v>
      </c>
      <c r="D650" s="197">
        <v>40716</v>
      </c>
      <c r="E650" s="139" t="s">
        <v>651</v>
      </c>
      <c r="F650" s="138">
        <v>1008.06</v>
      </c>
    </row>
    <row r="651" spans="1:6" ht="15" x14ac:dyDescent="0.25">
      <c r="A651" s="137" t="s">
        <v>313</v>
      </c>
      <c r="B651" s="137" t="s">
        <v>649</v>
      </c>
      <c r="C651" s="137">
        <v>2011251</v>
      </c>
      <c r="D651" s="197">
        <v>40716</v>
      </c>
      <c r="E651" s="139" t="s">
        <v>650</v>
      </c>
      <c r="F651" s="138">
        <v>682.4</v>
      </c>
    </row>
    <row r="652" spans="1:6" ht="15" x14ac:dyDescent="0.25">
      <c r="A652" s="137" t="s">
        <v>311</v>
      </c>
      <c r="B652" s="137" t="s">
        <v>659</v>
      </c>
      <c r="C652" s="137">
        <v>2011252</v>
      </c>
      <c r="D652" s="197">
        <v>40716</v>
      </c>
      <c r="E652" s="139" t="s">
        <v>651</v>
      </c>
      <c r="F652" s="138">
        <v>525.99</v>
      </c>
    </row>
    <row r="653" spans="1:6" ht="15" x14ac:dyDescent="0.25">
      <c r="A653" s="137" t="s">
        <v>311</v>
      </c>
      <c r="B653" s="137" t="s">
        <v>653</v>
      </c>
      <c r="C653" s="137">
        <v>2011253</v>
      </c>
      <c r="D653" s="197">
        <v>40716</v>
      </c>
      <c r="E653" s="139" t="s">
        <v>651</v>
      </c>
      <c r="F653" s="138">
        <v>693.07</v>
      </c>
    </row>
    <row r="654" spans="1:6" ht="15" x14ac:dyDescent="0.25">
      <c r="A654" s="137" t="s">
        <v>313</v>
      </c>
      <c r="B654" s="137" t="s">
        <v>652</v>
      </c>
      <c r="C654" s="137">
        <v>2011254</v>
      </c>
      <c r="D654" s="197">
        <v>40717</v>
      </c>
      <c r="E654" s="139" t="s">
        <v>651</v>
      </c>
      <c r="F654" s="138">
        <v>279.02</v>
      </c>
    </row>
    <row r="655" spans="1:6" ht="15" x14ac:dyDescent="0.25">
      <c r="A655" s="137" t="s">
        <v>313</v>
      </c>
      <c r="B655" s="137" t="s">
        <v>652</v>
      </c>
      <c r="C655" s="137">
        <v>2011255</v>
      </c>
      <c r="D655" s="197">
        <v>40717</v>
      </c>
      <c r="E655" s="139" t="s">
        <v>650</v>
      </c>
      <c r="F655" s="138">
        <v>1126.79</v>
      </c>
    </row>
    <row r="656" spans="1:6" ht="15" x14ac:dyDescent="0.25">
      <c r="A656" s="137" t="s">
        <v>313</v>
      </c>
      <c r="B656" s="137" t="s">
        <v>657</v>
      </c>
      <c r="C656" s="137">
        <v>2011256</v>
      </c>
      <c r="D656" s="197">
        <v>40717</v>
      </c>
      <c r="E656" s="139" t="s">
        <v>650</v>
      </c>
      <c r="F656" s="138">
        <v>671.62</v>
      </c>
    </row>
    <row r="657" spans="1:6" ht="15" x14ac:dyDescent="0.25">
      <c r="A657" s="137" t="s">
        <v>313</v>
      </c>
      <c r="B657" s="137" t="s">
        <v>657</v>
      </c>
      <c r="C657" s="137">
        <v>2011257</v>
      </c>
      <c r="D657" s="197">
        <v>40717</v>
      </c>
      <c r="E657" s="139" t="s">
        <v>650</v>
      </c>
      <c r="F657" s="138">
        <v>442.65</v>
      </c>
    </row>
    <row r="658" spans="1:6" ht="15" x14ac:dyDescent="0.25">
      <c r="A658" s="137" t="s">
        <v>313</v>
      </c>
      <c r="B658" s="137" t="s">
        <v>652</v>
      </c>
      <c r="C658" s="137">
        <v>2011258</v>
      </c>
      <c r="D658" s="197">
        <v>40718</v>
      </c>
      <c r="E658" s="139" t="s">
        <v>650</v>
      </c>
      <c r="F658" s="138">
        <v>538.77</v>
      </c>
    </row>
    <row r="659" spans="1:6" ht="15" x14ac:dyDescent="0.25">
      <c r="A659" s="137" t="s">
        <v>313</v>
      </c>
      <c r="B659" s="137" t="s">
        <v>654</v>
      </c>
      <c r="C659" s="137">
        <v>2011259</v>
      </c>
      <c r="D659" s="197">
        <v>40718</v>
      </c>
      <c r="E659" s="139" t="s">
        <v>651</v>
      </c>
      <c r="F659" s="138">
        <v>570.41999999999996</v>
      </c>
    </row>
    <row r="660" spans="1:6" ht="15" x14ac:dyDescent="0.25">
      <c r="A660" s="137" t="s">
        <v>313</v>
      </c>
      <c r="B660" s="137" t="s">
        <v>654</v>
      </c>
      <c r="C660" s="137">
        <v>2011260</v>
      </c>
      <c r="D660" s="197">
        <v>40718</v>
      </c>
      <c r="E660" s="139" t="s">
        <v>651</v>
      </c>
      <c r="F660" s="138">
        <v>1193.3800000000001</v>
      </c>
    </row>
    <row r="661" spans="1:6" ht="15" x14ac:dyDescent="0.25">
      <c r="A661" s="137" t="s">
        <v>311</v>
      </c>
      <c r="B661" s="137" t="s">
        <v>658</v>
      </c>
      <c r="C661" s="137">
        <v>2011261</v>
      </c>
      <c r="D661" s="197">
        <v>40718</v>
      </c>
      <c r="E661" s="139" t="s">
        <v>650</v>
      </c>
      <c r="F661" s="138">
        <v>620.6</v>
      </c>
    </row>
    <row r="662" spans="1:6" ht="15" x14ac:dyDescent="0.25">
      <c r="A662" s="137" t="s">
        <v>313</v>
      </c>
      <c r="B662" s="137" t="s">
        <v>652</v>
      </c>
      <c r="C662" s="137">
        <v>2011262</v>
      </c>
      <c r="D662" s="197">
        <v>40721</v>
      </c>
      <c r="E662" s="139" t="s">
        <v>651</v>
      </c>
      <c r="F662" s="138">
        <v>318.95999999999998</v>
      </c>
    </row>
    <row r="663" spans="1:6" ht="15" x14ac:dyDescent="0.25">
      <c r="A663" s="137" t="s">
        <v>311</v>
      </c>
      <c r="B663" s="137" t="s">
        <v>658</v>
      </c>
      <c r="C663" s="137">
        <v>2011263</v>
      </c>
      <c r="D663" s="197">
        <v>40721</v>
      </c>
      <c r="E663" s="139" t="s">
        <v>651</v>
      </c>
      <c r="F663" s="138">
        <v>504.85</v>
      </c>
    </row>
    <row r="664" spans="1:6" ht="15" x14ac:dyDescent="0.25">
      <c r="A664" s="137" t="s">
        <v>311</v>
      </c>
      <c r="B664" s="137" t="s">
        <v>653</v>
      </c>
      <c r="C664" s="137">
        <v>2011264</v>
      </c>
      <c r="D664" s="197">
        <v>40721</v>
      </c>
      <c r="E664" s="139" t="s">
        <v>651</v>
      </c>
      <c r="F664" s="138">
        <v>767.48</v>
      </c>
    </row>
    <row r="665" spans="1:6" ht="15" x14ac:dyDescent="0.25">
      <c r="A665" s="137" t="s">
        <v>313</v>
      </c>
      <c r="B665" s="137" t="s">
        <v>656</v>
      </c>
      <c r="C665" s="137">
        <v>2011265</v>
      </c>
      <c r="D665" s="197">
        <v>40722</v>
      </c>
      <c r="E665" s="139" t="s">
        <v>650</v>
      </c>
      <c r="F665" s="138">
        <v>1126.6400000000001</v>
      </c>
    </row>
    <row r="666" spans="1:6" ht="15" x14ac:dyDescent="0.25">
      <c r="A666" s="137" t="s">
        <v>313</v>
      </c>
      <c r="B666" s="137" t="s">
        <v>654</v>
      </c>
      <c r="C666" s="137">
        <v>2011266</v>
      </c>
      <c r="D666" s="197">
        <v>40722</v>
      </c>
      <c r="E666" s="139" t="s">
        <v>651</v>
      </c>
      <c r="F666" s="138">
        <v>256.95999999999998</v>
      </c>
    </row>
    <row r="667" spans="1:6" ht="15" x14ac:dyDescent="0.25">
      <c r="A667" s="137" t="s">
        <v>313</v>
      </c>
      <c r="B667" s="137" t="s">
        <v>654</v>
      </c>
      <c r="C667" s="137">
        <v>2011267</v>
      </c>
      <c r="D667" s="197">
        <v>40723</v>
      </c>
      <c r="E667" s="139" t="s">
        <v>650</v>
      </c>
      <c r="F667" s="138">
        <v>269.08</v>
      </c>
    </row>
    <row r="668" spans="1:6" ht="15" x14ac:dyDescent="0.25">
      <c r="A668" s="137" t="s">
        <v>313</v>
      </c>
      <c r="B668" s="137" t="s">
        <v>654</v>
      </c>
      <c r="C668" s="137">
        <v>2011268</v>
      </c>
      <c r="D668" s="197">
        <v>40723</v>
      </c>
      <c r="E668" s="139" t="s">
        <v>651</v>
      </c>
      <c r="F668" s="138">
        <v>519.1</v>
      </c>
    </row>
    <row r="669" spans="1:6" ht="15" x14ac:dyDescent="0.25">
      <c r="A669" s="137" t="s">
        <v>313</v>
      </c>
      <c r="B669" s="137" t="s">
        <v>652</v>
      </c>
      <c r="C669" s="137">
        <v>2011269</v>
      </c>
      <c r="D669" s="197">
        <v>40724</v>
      </c>
      <c r="E669" s="139" t="s">
        <v>651</v>
      </c>
      <c r="F669" s="138">
        <v>1256.3399999999999</v>
      </c>
    </row>
    <row r="670" spans="1:6" ht="15" x14ac:dyDescent="0.25">
      <c r="A670" s="137" t="s">
        <v>313</v>
      </c>
      <c r="B670" s="137" t="s">
        <v>652</v>
      </c>
      <c r="C670" s="137">
        <v>2011270</v>
      </c>
      <c r="D670" s="197">
        <v>40724</v>
      </c>
      <c r="E670" s="139" t="s">
        <v>651</v>
      </c>
      <c r="F670" s="138">
        <v>674.36</v>
      </c>
    </row>
    <row r="671" spans="1:6" ht="15" x14ac:dyDescent="0.25">
      <c r="A671" s="137" t="s">
        <v>313</v>
      </c>
      <c r="B671" s="137" t="s">
        <v>652</v>
      </c>
      <c r="C671" s="137">
        <v>2011271</v>
      </c>
      <c r="D671" s="197">
        <v>40725</v>
      </c>
      <c r="E671" s="139" t="s">
        <v>650</v>
      </c>
      <c r="F671" s="138">
        <v>962.7</v>
      </c>
    </row>
    <row r="672" spans="1:6" ht="15" x14ac:dyDescent="0.25">
      <c r="A672" s="137" t="s">
        <v>313</v>
      </c>
      <c r="B672" s="137" t="s">
        <v>657</v>
      </c>
      <c r="C672" s="137">
        <v>2011272</v>
      </c>
      <c r="D672" s="197">
        <v>40725</v>
      </c>
      <c r="E672" s="139" t="s">
        <v>651</v>
      </c>
      <c r="F672" s="138">
        <v>899.62</v>
      </c>
    </row>
    <row r="673" spans="1:6" ht="15" x14ac:dyDescent="0.25">
      <c r="A673" s="137" t="s">
        <v>313</v>
      </c>
      <c r="B673" s="137" t="s">
        <v>654</v>
      </c>
      <c r="C673" s="137">
        <v>2011273</v>
      </c>
      <c r="D673" s="197">
        <v>40725</v>
      </c>
      <c r="E673" s="139" t="s">
        <v>650</v>
      </c>
      <c r="F673" s="138">
        <v>464.88</v>
      </c>
    </row>
    <row r="674" spans="1:6" ht="15" x14ac:dyDescent="0.25">
      <c r="A674" s="137" t="s">
        <v>313</v>
      </c>
      <c r="B674" s="137" t="s">
        <v>654</v>
      </c>
      <c r="C674" s="137">
        <v>2011274</v>
      </c>
      <c r="D674" s="197">
        <v>40725</v>
      </c>
      <c r="E674" s="139" t="s">
        <v>651</v>
      </c>
      <c r="F674" s="138">
        <v>1266</v>
      </c>
    </row>
    <row r="675" spans="1:6" ht="15" x14ac:dyDescent="0.25">
      <c r="A675" s="137" t="s">
        <v>311</v>
      </c>
      <c r="B675" s="137" t="s">
        <v>660</v>
      </c>
      <c r="C675" s="137">
        <v>2011275</v>
      </c>
      <c r="D675" s="197">
        <v>40725</v>
      </c>
      <c r="E675" s="139" t="s">
        <v>650</v>
      </c>
      <c r="F675" s="138">
        <v>644.79</v>
      </c>
    </row>
    <row r="676" spans="1:6" ht="15" x14ac:dyDescent="0.25">
      <c r="A676" s="137" t="s">
        <v>313</v>
      </c>
      <c r="B676" s="137" t="s">
        <v>656</v>
      </c>
      <c r="C676" s="137">
        <v>2011276</v>
      </c>
      <c r="D676" s="197">
        <v>40728</v>
      </c>
      <c r="E676" s="139" t="s">
        <v>650</v>
      </c>
      <c r="F676" s="138">
        <v>1069.53</v>
      </c>
    </row>
    <row r="677" spans="1:6" ht="15" x14ac:dyDescent="0.25">
      <c r="A677" s="137" t="s">
        <v>313</v>
      </c>
      <c r="B677" s="137" t="s">
        <v>649</v>
      </c>
      <c r="C677" s="137">
        <v>2011277</v>
      </c>
      <c r="D677" s="197">
        <v>40729</v>
      </c>
      <c r="E677" s="139" t="s">
        <v>651</v>
      </c>
      <c r="F677" s="138">
        <v>388</v>
      </c>
    </row>
    <row r="678" spans="1:6" ht="15" x14ac:dyDescent="0.25">
      <c r="A678" s="137" t="s">
        <v>311</v>
      </c>
      <c r="B678" s="137" t="s">
        <v>655</v>
      </c>
      <c r="C678" s="137">
        <v>2011278</v>
      </c>
      <c r="D678" s="197">
        <v>40730</v>
      </c>
      <c r="E678" s="139" t="s">
        <v>651</v>
      </c>
      <c r="F678" s="138">
        <v>1218.8599999999999</v>
      </c>
    </row>
    <row r="679" spans="1:6" ht="15" x14ac:dyDescent="0.25">
      <c r="A679" s="137" t="s">
        <v>311</v>
      </c>
      <c r="B679" s="137" t="s">
        <v>655</v>
      </c>
      <c r="C679" s="137">
        <v>2011279</v>
      </c>
      <c r="D679" s="197">
        <v>40730</v>
      </c>
      <c r="E679" s="139" t="s">
        <v>650</v>
      </c>
      <c r="F679" s="138">
        <v>971.9</v>
      </c>
    </row>
    <row r="680" spans="1:6" ht="15" x14ac:dyDescent="0.25">
      <c r="A680" s="137" t="s">
        <v>313</v>
      </c>
      <c r="B680" s="137" t="s">
        <v>652</v>
      </c>
      <c r="C680" s="137">
        <v>2011280</v>
      </c>
      <c r="D680" s="197">
        <v>40731</v>
      </c>
      <c r="E680" s="139" t="s">
        <v>650</v>
      </c>
      <c r="F680" s="138">
        <v>236.16</v>
      </c>
    </row>
    <row r="681" spans="1:6" ht="15" x14ac:dyDescent="0.25">
      <c r="A681" s="137" t="s">
        <v>313</v>
      </c>
      <c r="B681" s="137" t="s">
        <v>652</v>
      </c>
      <c r="C681" s="137">
        <v>2011281</v>
      </c>
      <c r="D681" s="197">
        <v>40731</v>
      </c>
      <c r="E681" s="139" t="s">
        <v>650</v>
      </c>
      <c r="F681" s="138">
        <v>294.76</v>
      </c>
    </row>
    <row r="682" spans="1:6" ht="15" x14ac:dyDescent="0.25">
      <c r="A682" s="137" t="s">
        <v>313</v>
      </c>
      <c r="B682" s="137" t="s">
        <v>657</v>
      </c>
      <c r="C682" s="137">
        <v>2011282</v>
      </c>
      <c r="D682" s="197">
        <v>40731</v>
      </c>
      <c r="E682" s="139" t="s">
        <v>650</v>
      </c>
      <c r="F682" s="138">
        <v>159.13</v>
      </c>
    </row>
    <row r="683" spans="1:6" ht="15" x14ac:dyDescent="0.25">
      <c r="A683" s="137" t="s">
        <v>311</v>
      </c>
      <c r="B683" s="137" t="s">
        <v>653</v>
      </c>
      <c r="C683" s="137">
        <v>2011283</v>
      </c>
      <c r="D683" s="197">
        <v>40731</v>
      </c>
      <c r="E683" s="139" t="s">
        <v>651</v>
      </c>
      <c r="F683" s="138">
        <v>957.75</v>
      </c>
    </row>
    <row r="684" spans="1:6" ht="15" x14ac:dyDescent="0.25">
      <c r="A684" s="137" t="s">
        <v>311</v>
      </c>
      <c r="B684" s="137" t="s">
        <v>660</v>
      </c>
      <c r="C684" s="137">
        <v>2011284</v>
      </c>
      <c r="D684" s="197">
        <v>40732</v>
      </c>
      <c r="E684" s="139" t="s">
        <v>651</v>
      </c>
      <c r="F684" s="138">
        <v>779.23</v>
      </c>
    </row>
    <row r="685" spans="1:6" ht="15" x14ac:dyDescent="0.25">
      <c r="A685" s="137" t="s">
        <v>311</v>
      </c>
      <c r="B685" s="137" t="s">
        <v>661</v>
      </c>
      <c r="C685" s="137">
        <v>2011285</v>
      </c>
      <c r="D685" s="197">
        <v>40735</v>
      </c>
      <c r="E685" s="139" t="s">
        <v>650</v>
      </c>
      <c r="F685" s="138">
        <v>653.04999999999995</v>
      </c>
    </row>
    <row r="686" spans="1:6" ht="15" x14ac:dyDescent="0.25">
      <c r="A686" s="137" t="s">
        <v>311</v>
      </c>
      <c r="B686" s="137" t="s">
        <v>653</v>
      </c>
      <c r="C686" s="137">
        <v>2011286</v>
      </c>
      <c r="D686" s="197">
        <v>40735</v>
      </c>
      <c r="E686" s="139" t="s">
        <v>650</v>
      </c>
      <c r="F686" s="138">
        <v>184.7</v>
      </c>
    </row>
    <row r="687" spans="1:6" ht="15" x14ac:dyDescent="0.25">
      <c r="A687" s="137" t="s">
        <v>311</v>
      </c>
      <c r="B687" s="137" t="s">
        <v>653</v>
      </c>
      <c r="C687" s="137">
        <v>2011287</v>
      </c>
      <c r="D687" s="197">
        <v>40735</v>
      </c>
      <c r="E687" s="139" t="s">
        <v>650</v>
      </c>
      <c r="F687" s="138">
        <v>592.9</v>
      </c>
    </row>
    <row r="688" spans="1:6" ht="15" x14ac:dyDescent="0.25">
      <c r="A688" s="137" t="s">
        <v>313</v>
      </c>
      <c r="B688" s="137" t="s">
        <v>649</v>
      </c>
      <c r="C688" s="137">
        <v>2011288</v>
      </c>
      <c r="D688" s="197">
        <v>40736</v>
      </c>
      <c r="E688" s="139" t="s">
        <v>650</v>
      </c>
      <c r="F688" s="138">
        <v>103.61</v>
      </c>
    </row>
    <row r="689" spans="1:6" ht="15" x14ac:dyDescent="0.25">
      <c r="A689" s="137" t="s">
        <v>313</v>
      </c>
      <c r="B689" s="137" t="s">
        <v>649</v>
      </c>
      <c r="C689" s="137">
        <v>2011289</v>
      </c>
      <c r="D689" s="197">
        <v>40736</v>
      </c>
      <c r="E689" s="139" t="s">
        <v>650</v>
      </c>
      <c r="F689" s="138">
        <v>577.91</v>
      </c>
    </row>
    <row r="690" spans="1:6" ht="15" x14ac:dyDescent="0.25">
      <c r="A690" s="137" t="s">
        <v>313</v>
      </c>
      <c r="B690" s="137" t="s">
        <v>656</v>
      </c>
      <c r="C690" s="137">
        <v>2011290</v>
      </c>
      <c r="D690" s="197">
        <v>40736</v>
      </c>
      <c r="E690" s="139" t="s">
        <v>650</v>
      </c>
      <c r="F690" s="138">
        <v>987.76</v>
      </c>
    </row>
    <row r="691" spans="1:6" ht="15" x14ac:dyDescent="0.25">
      <c r="A691" s="137" t="s">
        <v>311</v>
      </c>
      <c r="B691" s="137" t="s">
        <v>659</v>
      </c>
      <c r="C691" s="137">
        <v>2011291</v>
      </c>
      <c r="D691" s="197">
        <v>40736</v>
      </c>
      <c r="E691" s="139" t="s">
        <v>650</v>
      </c>
      <c r="F691" s="138">
        <v>957.91</v>
      </c>
    </row>
    <row r="692" spans="1:6" ht="15" x14ac:dyDescent="0.25">
      <c r="A692" s="137" t="s">
        <v>313</v>
      </c>
      <c r="B692" s="137" t="s">
        <v>649</v>
      </c>
      <c r="C692" s="137">
        <v>2011292</v>
      </c>
      <c r="D692" s="197">
        <v>40737</v>
      </c>
      <c r="E692" s="139" t="s">
        <v>650</v>
      </c>
      <c r="F692" s="138">
        <v>882.24</v>
      </c>
    </row>
    <row r="693" spans="1:6" ht="15" x14ac:dyDescent="0.25">
      <c r="A693" s="137" t="s">
        <v>313</v>
      </c>
      <c r="B693" s="137" t="s">
        <v>654</v>
      </c>
      <c r="C693" s="137">
        <v>2011293</v>
      </c>
      <c r="D693" s="197">
        <v>40737</v>
      </c>
      <c r="E693" s="139" t="s">
        <v>650</v>
      </c>
      <c r="F693" s="138">
        <v>801.07</v>
      </c>
    </row>
    <row r="694" spans="1:6" ht="15" x14ac:dyDescent="0.25">
      <c r="A694" s="137" t="s">
        <v>311</v>
      </c>
      <c r="B694" s="137" t="s">
        <v>661</v>
      </c>
      <c r="C694" s="137">
        <v>2011294</v>
      </c>
      <c r="D694" s="197">
        <v>40737</v>
      </c>
      <c r="E694" s="139" t="s">
        <v>650</v>
      </c>
      <c r="F694" s="138">
        <v>698.57</v>
      </c>
    </row>
    <row r="695" spans="1:6" ht="15" x14ac:dyDescent="0.25">
      <c r="A695" s="137" t="s">
        <v>313</v>
      </c>
      <c r="B695" s="137" t="s">
        <v>657</v>
      </c>
      <c r="C695" s="137">
        <v>2011295</v>
      </c>
      <c r="D695" s="197">
        <v>40738</v>
      </c>
      <c r="E695" s="139" t="s">
        <v>651</v>
      </c>
      <c r="F695" s="138">
        <v>1115.8699999999999</v>
      </c>
    </row>
    <row r="696" spans="1:6" ht="15" x14ac:dyDescent="0.25">
      <c r="A696" s="137" t="s">
        <v>313</v>
      </c>
      <c r="B696" s="137" t="s">
        <v>657</v>
      </c>
      <c r="C696" s="137">
        <v>2011296</v>
      </c>
      <c r="D696" s="197">
        <v>40739</v>
      </c>
      <c r="E696" s="139" t="s">
        <v>650</v>
      </c>
      <c r="F696" s="138">
        <v>632.48</v>
      </c>
    </row>
    <row r="697" spans="1:6" ht="15" x14ac:dyDescent="0.25">
      <c r="A697" s="137" t="s">
        <v>313</v>
      </c>
      <c r="B697" s="137" t="s">
        <v>652</v>
      </c>
      <c r="C697" s="137">
        <v>2011297</v>
      </c>
      <c r="D697" s="197">
        <v>40742</v>
      </c>
      <c r="E697" s="139" t="s">
        <v>650</v>
      </c>
      <c r="F697" s="138">
        <v>1211.6500000000001</v>
      </c>
    </row>
    <row r="698" spans="1:6" ht="15" x14ac:dyDescent="0.25">
      <c r="A698" s="137" t="s">
        <v>313</v>
      </c>
      <c r="B698" s="137" t="s">
        <v>649</v>
      </c>
      <c r="C698" s="137">
        <v>2011298</v>
      </c>
      <c r="D698" s="197">
        <v>40742</v>
      </c>
      <c r="E698" s="139" t="s">
        <v>650</v>
      </c>
      <c r="F698" s="138">
        <v>307.45</v>
      </c>
    </row>
    <row r="699" spans="1:6" ht="15" x14ac:dyDescent="0.25">
      <c r="A699" s="137" t="s">
        <v>313</v>
      </c>
      <c r="B699" s="137" t="s">
        <v>649</v>
      </c>
      <c r="C699" s="137">
        <v>2011299</v>
      </c>
      <c r="D699" s="197">
        <v>40742</v>
      </c>
      <c r="E699" s="139" t="s">
        <v>650</v>
      </c>
      <c r="F699" s="138">
        <v>893.88</v>
      </c>
    </row>
    <row r="700" spans="1:6" ht="15" x14ac:dyDescent="0.25">
      <c r="A700" s="137" t="s">
        <v>313</v>
      </c>
      <c r="B700" s="137" t="s">
        <v>656</v>
      </c>
      <c r="C700" s="137">
        <v>2011300</v>
      </c>
      <c r="D700" s="197">
        <v>40742</v>
      </c>
      <c r="E700" s="139" t="s">
        <v>650</v>
      </c>
      <c r="F700" s="138">
        <v>1155.6300000000001</v>
      </c>
    </row>
    <row r="701" spans="1:6" ht="15" x14ac:dyDescent="0.25">
      <c r="A701" s="137" t="s">
        <v>313</v>
      </c>
      <c r="B701" s="137" t="s">
        <v>656</v>
      </c>
      <c r="C701" s="137">
        <v>2011301</v>
      </c>
      <c r="D701" s="197">
        <v>40744</v>
      </c>
      <c r="E701" s="139" t="s">
        <v>650</v>
      </c>
      <c r="F701" s="138">
        <v>1131.92</v>
      </c>
    </row>
    <row r="702" spans="1:6" ht="15" x14ac:dyDescent="0.25">
      <c r="A702" s="137" t="s">
        <v>313</v>
      </c>
      <c r="B702" s="137" t="s">
        <v>656</v>
      </c>
      <c r="C702" s="137">
        <v>2011302</v>
      </c>
      <c r="D702" s="197">
        <v>40744</v>
      </c>
      <c r="E702" s="139" t="s">
        <v>651</v>
      </c>
      <c r="F702" s="138">
        <v>432.47</v>
      </c>
    </row>
    <row r="703" spans="1:6" ht="15" x14ac:dyDescent="0.25">
      <c r="A703" s="137" t="s">
        <v>311</v>
      </c>
      <c r="B703" s="137" t="s">
        <v>660</v>
      </c>
      <c r="C703" s="137">
        <v>2011303</v>
      </c>
      <c r="D703" s="197">
        <v>40744</v>
      </c>
      <c r="E703" s="139" t="s">
        <v>651</v>
      </c>
      <c r="F703" s="138">
        <v>845.32</v>
      </c>
    </row>
    <row r="704" spans="1:6" ht="15" x14ac:dyDescent="0.25">
      <c r="A704" s="137" t="s">
        <v>311</v>
      </c>
      <c r="B704" s="137" t="s">
        <v>659</v>
      </c>
      <c r="C704" s="137">
        <v>2011304</v>
      </c>
      <c r="D704" s="197">
        <v>40744</v>
      </c>
      <c r="E704" s="139" t="s">
        <v>650</v>
      </c>
      <c r="F704" s="138">
        <v>632.66</v>
      </c>
    </row>
    <row r="705" spans="1:6" ht="15" x14ac:dyDescent="0.25">
      <c r="A705" s="137" t="s">
        <v>311</v>
      </c>
      <c r="B705" s="137" t="s">
        <v>653</v>
      </c>
      <c r="C705" s="137">
        <v>2011305</v>
      </c>
      <c r="D705" s="197">
        <v>40745</v>
      </c>
      <c r="E705" s="139" t="s">
        <v>650</v>
      </c>
      <c r="F705" s="138">
        <v>335.47</v>
      </c>
    </row>
    <row r="706" spans="1:6" ht="15" x14ac:dyDescent="0.25">
      <c r="A706" s="137" t="s">
        <v>313</v>
      </c>
      <c r="B706" s="137" t="s">
        <v>649</v>
      </c>
      <c r="C706" s="137">
        <v>2011306</v>
      </c>
      <c r="D706" s="197">
        <v>40746</v>
      </c>
      <c r="E706" s="139" t="s">
        <v>651</v>
      </c>
      <c r="F706" s="138">
        <v>245.13</v>
      </c>
    </row>
    <row r="707" spans="1:6" ht="15" x14ac:dyDescent="0.25">
      <c r="A707" s="137" t="s">
        <v>313</v>
      </c>
      <c r="B707" s="137" t="s">
        <v>656</v>
      </c>
      <c r="C707" s="137">
        <v>2011307</v>
      </c>
      <c r="D707" s="197">
        <v>40746</v>
      </c>
      <c r="E707" s="139" t="s">
        <v>650</v>
      </c>
      <c r="F707" s="138">
        <v>423.25</v>
      </c>
    </row>
    <row r="708" spans="1:6" ht="15" x14ac:dyDescent="0.25">
      <c r="A708" s="137" t="s">
        <v>313</v>
      </c>
      <c r="B708" s="137" t="s">
        <v>656</v>
      </c>
      <c r="C708" s="137">
        <v>2011308</v>
      </c>
      <c r="D708" s="197">
        <v>40749</v>
      </c>
      <c r="E708" s="139" t="s">
        <v>651</v>
      </c>
      <c r="F708" s="138">
        <v>591.11</v>
      </c>
    </row>
    <row r="709" spans="1:6" ht="15" x14ac:dyDescent="0.25">
      <c r="A709" s="137" t="s">
        <v>311</v>
      </c>
      <c r="B709" s="137" t="s">
        <v>660</v>
      </c>
      <c r="C709" s="137">
        <v>2011309</v>
      </c>
      <c r="D709" s="197">
        <v>40750</v>
      </c>
      <c r="E709" s="139" t="s">
        <v>650</v>
      </c>
      <c r="F709" s="138">
        <v>459.98</v>
      </c>
    </row>
    <row r="710" spans="1:6" ht="15" x14ac:dyDescent="0.25">
      <c r="A710" s="137" t="s">
        <v>313</v>
      </c>
      <c r="B710" s="137" t="s">
        <v>649</v>
      </c>
      <c r="C710" s="137">
        <v>2011310</v>
      </c>
      <c r="D710" s="197">
        <v>40751</v>
      </c>
      <c r="E710" s="139" t="s">
        <v>651</v>
      </c>
      <c r="F710" s="138">
        <v>182.49</v>
      </c>
    </row>
    <row r="711" spans="1:6" ht="15" x14ac:dyDescent="0.25">
      <c r="A711" s="137" t="s">
        <v>313</v>
      </c>
      <c r="B711" s="137" t="s">
        <v>657</v>
      </c>
      <c r="C711" s="137">
        <v>2011311</v>
      </c>
      <c r="D711" s="197">
        <v>40752</v>
      </c>
      <c r="E711" s="139" t="s">
        <v>650</v>
      </c>
      <c r="F711" s="138">
        <v>226.2</v>
      </c>
    </row>
    <row r="712" spans="1:6" ht="15" x14ac:dyDescent="0.25">
      <c r="A712" s="137" t="s">
        <v>313</v>
      </c>
      <c r="B712" s="137" t="s">
        <v>649</v>
      </c>
      <c r="C712" s="137">
        <v>2011312</v>
      </c>
      <c r="D712" s="197">
        <v>40752</v>
      </c>
      <c r="E712" s="139" t="s">
        <v>651</v>
      </c>
      <c r="F712" s="138">
        <v>37.64</v>
      </c>
    </row>
    <row r="713" spans="1:6" ht="15" x14ac:dyDescent="0.25">
      <c r="A713" s="137" t="s">
        <v>311</v>
      </c>
      <c r="B713" s="137" t="s">
        <v>655</v>
      </c>
      <c r="C713" s="137">
        <v>2011313</v>
      </c>
      <c r="D713" s="197">
        <v>40752</v>
      </c>
      <c r="E713" s="139" t="s">
        <v>650</v>
      </c>
      <c r="F713" s="138">
        <v>928.21</v>
      </c>
    </row>
    <row r="714" spans="1:6" ht="15" x14ac:dyDescent="0.25">
      <c r="A714" s="137" t="s">
        <v>311</v>
      </c>
      <c r="B714" s="137" t="s">
        <v>653</v>
      </c>
      <c r="C714" s="137">
        <v>2011314</v>
      </c>
      <c r="D714" s="197">
        <v>40753</v>
      </c>
      <c r="E714" s="139" t="s">
        <v>650</v>
      </c>
      <c r="F714" s="138">
        <v>670.64</v>
      </c>
    </row>
    <row r="715" spans="1:6" ht="15" x14ac:dyDescent="0.25">
      <c r="A715" s="137" t="s">
        <v>313</v>
      </c>
      <c r="B715" s="137" t="s">
        <v>657</v>
      </c>
      <c r="C715" s="137">
        <v>2011315</v>
      </c>
      <c r="D715" s="197">
        <v>40756</v>
      </c>
      <c r="E715" s="139" t="s">
        <v>651</v>
      </c>
      <c r="F715" s="138">
        <v>1273.67</v>
      </c>
    </row>
    <row r="716" spans="1:6" ht="15" x14ac:dyDescent="0.25">
      <c r="A716" s="137" t="s">
        <v>313</v>
      </c>
      <c r="B716" s="137" t="s">
        <v>649</v>
      </c>
      <c r="C716" s="137">
        <v>2011316</v>
      </c>
      <c r="D716" s="197">
        <v>40756</v>
      </c>
      <c r="E716" s="139" t="s">
        <v>650</v>
      </c>
      <c r="F716" s="138">
        <v>169.64</v>
      </c>
    </row>
    <row r="717" spans="1:6" ht="15" x14ac:dyDescent="0.25">
      <c r="A717" s="137" t="s">
        <v>313</v>
      </c>
      <c r="B717" s="137" t="s">
        <v>656</v>
      </c>
      <c r="C717" s="137">
        <v>2011317</v>
      </c>
      <c r="D717" s="197">
        <v>40756</v>
      </c>
      <c r="E717" s="139" t="s">
        <v>651</v>
      </c>
      <c r="F717" s="138">
        <v>91.39</v>
      </c>
    </row>
    <row r="718" spans="1:6" ht="15" x14ac:dyDescent="0.25">
      <c r="A718" s="137" t="s">
        <v>311</v>
      </c>
      <c r="B718" s="137" t="s">
        <v>655</v>
      </c>
      <c r="C718" s="137">
        <v>2011318</v>
      </c>
      <c r="D718" s="197">
        <v>40756</v>
      </c>
      <c r="E718" s="139" t="s">
        <v>651</v>
      </c>
      <c r="F718" s="138">
        <v>451.71</v>
      </c>
    </row>
    <row r="719" spans="1:6" ht="15" x14ac:dyDescent="0.25">
      <c r="A719" s="137" t="s">
        <v>311</v>
      </c>
      <c r="B719" s="137" t="s">
        <v>655</v>
      </c>
      <c r="C719" s="137">
        <v>2011319</v>
      </c>
      <c r="D719" s="197">
        <v>40756</v>
      </c>
      <c r="E719" s="139" t="s">
        <v>650</v>
      </c>
      <c r="F719" s="138">
        <v>474.56</v>
      </c>
    </row>
    <row r="720" spans="1:6" ht="15" x14ac:dyDescent="0.25">
      <c r="A720" s="137" t="s">
        <v>313</v>
      </c>
      <c r="B720" s="137" t="s">
        <v>654</v>
      </c>
      <c r="C720" s="137">
        <v>2011320</v>
      </c>
      <c r="D720" s="197">
        <v>40757</v>
      </c>
      <c r="E720" s="139" t="s">
        <v>650</v>
      </c>
      <c r="F720" s="138">
        <v>834.48</v>
      </c>
    </row>
    <row r="721" spans="1:6" ht="15" x14ac:dyDescent="0.25">
      <c r="A721" s="137" t="s">
        <v>313</v>
      </c>
      <c r="B721" s="137" t="s">
        <v>656</v>
      </c>
      <c r="C721" s="137">
        <v>2011321</v>
      </c>
      <c r="D721" s="197">
        <v>40759</v>
      </c>
      <c r="E721" s="139" t="s">
        <v>651</v>
      </c>
      <c r="F721" s="138">
        <v>1065.49</v>
      </c>
    </row>
    <row r="722" spans="1:6" ht="15" x14ac:dyDescent="0.25">
      <c r="A722" s="137" t="s">
        <v>313</v>
      </c>
      <c r="B722" s="137" t="s">
        <v>654</v>
      </c>
      <c r="C722" s="137">
        <v>2011322</v>
      </c>
      <c r="D722" s="197">
        <v>40759</v>
      </c>
      <c r="E722" s="139" t="s">
        <v>651</v>
      </c>
      <c r="F722" s="138">
        <v>1280.26</v>
      </c>
    </row>
    <row r="723" spans="1:6" ht="15" x14ac:dyDescent="0.25">
      <c r="A723" s="137" t="s">
        <v>311</v>
      </c>
      <c r="B723" s="137" t="s">
        <v>661</v>
      </c>
      <c r="C723" s="137">
        <v>2011323</v>
      </c>
      <c r="D723" s="197">
        <v>40759</v>
      </c>
      <c r="E723" s="139" t="s">
        <v>651</v>
      </c>
      <c r="F723" s="138">
        <v>390.13</v>
      </c>
    </row>
    <row r="724" spans="1:6" ht="15" x14ac:dyDescent="0.25">
      <c r="A724" s="137" t="s">
        <v>311</v>
      </c>
      <c r="B724" s="137" t="s">
        <v>659</v>
      </c>
      <c r="C724" s="137">
        <v>2011324</v>
      </c>
      <c r="D724" s="197">
        <v>40760</v>
      </c>
      <c r="E724" s="139" t="s">
        <v>651</v>
      </c>
      <c r="F724" s="138">
        <v>1282.46</v>
      </c>
    </row>
    <row r="725" spans="1:6" ht="15" x14ac:dyDescent="0.25">
      <c r="A725" s="137" t="s">
        <v>313</v>
      </c>
      <c r="B725" s="137" t="s">
        <v>652</v>
      </c>
      <c r="C725" s="137">
        <v>2011325</v>
      </c>
      <c r="D725" s="197">
        <v>40763</v>
      </c>
      <c r="E725" s="139" t="s">
        <v>651</v>
      </c>
      <c r="F725" s="138">
        <v>1232.07</v>
      </c>
    </row>
    <row r="726" spans="1:6" ht="15" x14ac:dyDescent="0.25">
      <c r="A726" s="137" t="s">
        <v>311</v>
      </c>
      <c r="B726" s="137" t="s">
        <v>658</v>
      </c>
      <c r="C726" s="137">
        <v>2011326</v>
      </c>
      <c r="D726" s="197">
        <v>40763</v>
      </c>
      <c r="E726" s="139" t="s">
        <v>650</v>
      </c>
      <c r="F726" s="138">
        <v>791.85</v>
      </c>
    </row>
    <row r="727" spans="1:6" ht="15" x14ac:dyDescent="0.25">
      <c r="A727" s="137" t="s">
        <v>311</v>
      </c>
      <c r="B727" s="137" t="s">
        <v>658</v>
      </c>
      <c r="C727" s="137">
        <v>2011327</v>
      </c>
      <c r="D727" s="197">
        <v>40763</v>
      </c>
      <c r="E727" s="139" t="s">
        <v>650</v>
      </c>
      <c r="F727" s="138">
        <v>214.27</v>
      </c>
    </row>
    <row r="728" spans="1:6" ht="15" x14ac:dyDescent="0.25">
      <c r="A728" s="137" t="s">
        <v>311</v>
      </c>
      <c r="B728" s="137" t="s">
        <v>655</v>
      </c>
      <c r="C728" s="137">
        <v>2011328</v>
      </c>
      <c r="D728" s="197">
        <v>40763</v>
      </c>
      <c r="E728" s="139" t="s">
        <v>650</v>
      </c>
      <c r="F728" s="138">
        <v>1176.77</v>
      </c>
    </row>
    <row r="729" spans="1:6" ht="15" x14ac:dyDescent="0.25">
      <c r="A729" s="137" t="s">
        <v>313</v>
      </c>
      <c r="B729" s="137" t="s">
        <v>652</v>
      </c>
      <c r="C729" s="137">
        <v>2011329</v>
      </c>
      <c r="D729" s="197">
        <v>40764</v>
      </c>
      <c r="E729" s="139" t="s">
        <v>650</v>
      </c>
      <c r="F729" s="138">
        <v>380.66</v>
      </c>
    </row>
    <row r="730" spans="1:6" ht="15" x14ac:dyDescent="0.25">
      <c r="A730" s="137" t="s">
        <v>313</v>
      </c>
      <c r="B730" s="137" t="s">
        <v>657</v>
      </c>
      <c r="C730" s="137">
        <v>2011330</v>
      </c>
      <c r="D730" s="197">
        <v>40764</v>
      </c>
      <c r="E730" s="139" t="s">
        <v>650</v>
      </c>
      <c r="F730" s="138">
        <v>669.56</v>
      </c>
    </row>
    <row r="731" spans="1:6" ht="15" x14ac:dyDescent="0.25">
      <c r="A731" s="137" t="s">
        <v>313</v>
      </c>
      <c r="B731" s="137" t="s">
        <v>657</v>
      </c>
      <c r="C731" s="137">
        <v>2011331</v>
      </c>
      <c r="D731" s="197">
        <v>40765</v>
      </c>
      <c r="E731" s="139" t="s">
        <v>651</v>
      </c>
      <c r="F731" s="138">
        <v>334.04</v>
      </c>
    </row>
    <row r="732" spans="1:6" ht="15" x14ac:dyDescent="0.25">
      <c r="A732" s="137" t="s">
        <v>313</v>
      </c>
      <c r="B732" s="137" t="s">
        <v>654</v>
      </c>
      <c r="C732" s="137">
        <v>2011332</v>
      </c>
      <c r="D732" s="197">
        <v>40765</v>
      </c>
      <c r="E732" s="139" t="s">
        <v>650</v>
      </c>
      <c r="F732" s="138">
        <v>373.28</v>
      </c>
    </row>
    <row r="733" spans="1:6" ht="15" x14ac:dyDescent="0.25">
      <c r="A733" s="137" t="s">
        <v>311</v>
      </c>
      <c r="B733" s="137" t="s">
        <v>661</v>
      </c>
      <c r="C733" s="137">
        <v>2011333</v>
      </c>
      <c r="D733" s="197">
        <v>40765</v>
      </c>
      <c r="E733" s="139" t="s">
        <v>651</v>
      </c>
      <c r="F733" s="138">
        <v>695.76</v>
      </c>
    </row>
    <row r="734" spans="1:6" ht="15" x14ac:dyDescent="0.25">
      <c r="A734" s="137" t="s">
        <v>311</v>
      </c>
      <c r="B734" s="137" t="s">
        <v>661</v>
      </c>
      <c r="C734" s="137">
        <v>2011334</v>
      </c>
      <c r="D734" s="197">
        <v>40765</v>
      </c>
      <c r="E734" s="139" t="s">
        <v>651</v>
      </c>
      <c r="F734" s="138">
        <v>1105.68</v>
      </c>
    </row>
    <row r="735" spans="1:6" ht="15" x14ac:dyDescent="0.25">
      <c r="A735" s="137" t="s">
        <v>311</v>
      </c>
      <c r="B735" s="137" t="s">
        <v>655</v>
      </c>
      <c r="C735" s="137">
        <v>2011335</v>
      </c>
      <c r="D735" s="197">
        <v>40765</v>
      </c>
      <c r="E735" s="139" t="s">
        <v>650</v>
      </c>
      <c r="F735" s="138">
        <v>618.19000000000005</v>
      </c>
    </row>
    <row r="736" spans="1:6" ht="15" x14ac:dyDescent="0.25">
      <c r="A736" s="137" t="s">
        <v>311</v>
      </c>
      <c r="B736" s="137" t="s">
        <v>655</v>
      </c>
      <c r="C736" s="137">
        <v>2011336</v>
      </c>
      <c r="D736" s="197">
        <v>40765</v>
      </c>
      <c r="E736" s="139" t="s">
        <v>650</v>
      </c>
      <c r="F736" s="138">
        <v>604.67999999999995</v>
      </c>
    </row>
    <row r="737" spans="1:6" ht="15" x14ac:dyDescent="0.25">
      <c r="A737" s="137" t="s">
        <v>313</v>
      </c>
      <c r="B737" s="137" t="s">
        <v>656</v>
      </c>
      <c r="C737" s="137">
        <v>2011337</v>
      </c>
      <c r="D737" s="197">
        <v>40766</v>
      </c>
      <c r="E737" s="139" t="s">
        <v>651</v>
      </c>
      <c r="F737" s="138">
        <v>1033.03</v>
      </c>
    </row>
    <row r="738" spans="1:6" ht="15" x14ac:dyDescent="0.25">
      <c r="A738" s="137" t="s">
        <v>313</v>
      </c>
      <c r="B738" s="137" t="s">
        <v>654</v>
      </c>
      <c r="C738" s="137">
        <v>2011338</v>
      </c>
      <c r="D738" s="197">
        <v>40767</v>
      </c>
      <c r="E738" s="139" t="s">
        <v>651</v>
      </c>
      <c r="F738" s="138">
        <v>1167.3699999999999</v>
      </c>
    </row>
    <row r="739" spans="1:6" ht="15" x14ac:dyDescent="0.25">
      <c r="A739" s="137" t="s">
        <v>313</v>
      </c>
      <c r="B739" s="137" t="s">
        <v>649</v>
      </c>
      <c r="C739" s="137">
        <v>2011339</v>
      </c>
      <c r="D739" s="197">
        <v>40770</v>
      </c>
      <c r="E739" s="139" t="s">
        <v>651</v>
      </c>
      <c r="F739" s="138">
        <v>688.98</v>
      </c>
    </row>
    <row r="740" spans="1:6" ht="15" x14ac:dyDescent="0.25">
      <c r="A740" s="137" t="s">
        <v>311</v>
      </c>
      <c r="B740" s="137" t="s">
        <v>661</v>
      </c>
      <c r="C740" s="137">
        <v>2011340</v>
      </c>
      <c r="D740" s="197">
        <v>40770</v>
      </c>
      <c r="E740" s="139" t="s">
        <v>651</v>
      </c>
      <c r="F740" s="138">
        <v>845.73</v>
      </c>
    </row>
    <row r="741" spans="1:6" ht="15" x14ac:dyDescent="0.25">
      <c r="A741" s="137" t="s">
        <v>313</v>
      </c>
      <c r="B741" s="137" t="s">
        <v>657</v>
      </c>
      <c r="C741" s="137">
        <v>2011341</v>
      </c>
      <c r="D741" s="197">
        <v>40771</v>
      </c>
      <c r="E741" s="139" t="s">
        <v>651</v>
      </c>
      <c r="F741" s="138">
        <v>1011.01</v>
      </c>
    </row>
    <row r="742" spans="1:6" ht="15" x14ac:dyDescent="0.25">
      <c r="A742" s="137" t="s">
        <v>313</v>
      </c>
      <c r="B742" s="137" t="s">
        <v>649</v>
      </c>
      <c r="C742" s="137">
        <v>2011342</v>
      </c>
      <c r="D742" s="197">
        <v>40771</v>
      </c>
      <c r="E742" s="139" t="s">
        <v>650</v>
      </c>
      <c r="F742" s="138">
        <v>119.85</v>
      </c>
    </row>
    <row r="743" spans="1:6" ht="15" x14ac:dyDescent="0.25">
      <c r="A743" s="137" t="s">
        <v>313</v>
      </c>
      <c r="B743" s="137" t="s">
        <v>656</v>
      </c>
      <c r="C743" s="137">
        <v>2011343</v>
      </c>
      <c r="D743" s="197">
        <v>40772</v>
      </c>
      <c r="E743" s="139" t="s">
        <v>651</v>
      </c>
      <c r="F743" s="138">
        <v>606.36</v>
      </c>
    </row>
    <row r="744" spans="1:6" ht="15" x14ac:dyDescent="0.25">
      <c r="A744" s="137" t="s">
        <v>311</v>
      </c>
      <c r="B744" s="137" t="s">
        <v>660</v>
      </c>
      <c r="C744" s="137">
        <v>2011344</v>
      </c>
      <c r="D744" s="197">
        <v>40772</v>
      </c>
      <c r="E744" s="139" t="s">
        <v>650</v>
      </c>
      <c r="F744" s="138">
        <v>608.88</v>
      </c>
    </row>
    <row r="745" spans="1:6" ht="15" x14ac:dyDescent="0.25">
      <c r="A745" s="137" t="s">
        <v>311</v>
      </c>
      <c r="B745" s="137" t="s">
        <v>660</v>
      </c>
      <c r="C745" s="137">
        <v>2011345</v>
      </c>
      <c r="D745" s="197">
        <v>40773</v>
      </c>
      <c r="E745" s="139" t="s">
        <v>651</v>
      </c>
      <c r="F745" s="138">
        <v>1047.7</v>
      </c>
    </row>
    <row r="746" spans="1:6" ht="15" x14ac:dyDescent="0.25">
      <c r="A746" s="137" t="s">
        <v>311</v>
      </c>
      <c r="B746" s="137" t="s">
        <v>653</v>
      </c>
      <c r="C746" s="137">
        <v>2011346</v>
      </c>
      <c r="D746" s="197">
        <v>40773</v>
      </c>
      <c r="E746" s="139" t="s">
        <v>651</v>
      </c>
      <c r="F746" s="138">
        <v>767.22</v>
      </c>
    </row>
    <row r="747" spans="1:6" ht="15" x14ac:dyDescent="0.25">
      <c r="A747" s="137" t="s">
        <v>313</v>
      </c>
      <c r="B747" s="137" t="s">
        <v>649</v>
      </c>
      <c r="C747" s="137">
        <v>2011347</v>
      </c>
      <c r="D747" s="197">
        <v>40774</v>
      </c>
      <c r="E747" s="139" t="s">
        <v>651</v>
      </c>
      <c r="F747" s="138">
        <v>1103.26</v>
      </c>
    </row>
    <row r="748" spans="1:6" ht="15" x14ac:dyDescent="0.25">
      <c r="A748" s="137" t="s">
        <v>311</v>
      </c>
      <c r="B748" s="137" t="s">
        <v>660</v>
      </c>
      <c r="C748" s="137">
        <v>2011348</v>
      </c>
      <c r="D748" s="197">
        <v>40774</v>
      </c>
      <c r="E748" s="139" t="s">
        <v>650</v>
      </c>
      <c r="F748" s="138">
        <v>1158.23</v>
      </c>
    </row>
    <row r="749" spans="1:6" ht="15" x14ac:dyDescent="0.25">
      <c r="A749" s="137" t="s">
        <v>313</v>
      </c>
      <c r="B749" s="137" t="s">
        <v>652</v>
      </c>
      <c r="C749" s="137">
        <v>2011349</v>
      </c>
      <c r="D749" s="197">
        <v>40777</v>
      </c>
      <c r="E749" s="139" t="s">
        <v>651</v>
      </c>
      <c r="F749" s="138">
        <v>672</v>
      </c>
    </row>
    <row r="750" spans="1:6" ht="15" x14ac:dyDescent="0.25">
      <c r="A750" s="137" t="s">
        <v>313</v>
      </c>
      <c r="B750" s="137" t="s">
        <v>656</v>
      </c>
      <c r="C750" s="137">
        <v>2011350</v>
      </c>
      <c r="D750" s="197">
        <v>40777</v>
      </c>
      <c r="E750" s="139" t="s">
        <v>650</v>
      </c>
      <c r="F750" s="138">
        <v>127.61</v>
      </c>
    </row>
    <row r="751" spans="1:6" ht="15" x14ac:dyDescent="0.25">
      <c r="A751" s="137" t="s">
        <v>313</v>
      </c>
      <c r="B751" s="137" t="s">
        <v>656</v>
      </c>
      <c r="C751" s="137">
        <v>2011351</v>
      </c>
      <c r="D751" s="197">
        <v>40778</v>
      </c>
      <c r="E751" s="139" t="s">
        <v>651</v>
      </c>
      <c r="F751" s="138">
        <v>330.35</v>
      </c>
    </row>
    <row r="752" spans="1:6" ht="15" x14ac:dyDescent="0.25">
      <c r="A752" s="137" t="s">
        <v>313</v>
      </c>
      <c r="B752" s="137" t="s">
        <v>656</v>
      </c>
      <c r="C752" s="137">
        <v>2011352</v>
      </c>
      <c r="D752" s="197">
        <v>40778</v>
      </c>
      <c r="E752" s="139" t="s">
        <v>651</v>
      </c>
      <c r="F752" s="138">
        <v>328.87</v>
      </c>
    </row>
    <row r="753" spans="1:6" ht="15" x14ac:dyDescent="0.25">
      <c r="A753" s="137" t="s">
        <v>313</v>
      </c>
      <c r="B753" s="137" t="s">
        <v>657</v>
      </c>
      <c r="C753" s="137">
        <v>2011353</v>
      </c>
      <c r="D753" s="197">
        <v>40779</v>
      </c>
      <c r="E753" s="139" t="s">
        <v>651</v>
      </c>
      <c r="F753" s="138">
        <v>43.42</v>
      </c>
    </row>
    <row r="754" spans="1:6" ht="15" x14ac:dyDescent="0.25">
      <c r="A754" s="137" t="s">
        <v>313</v>
      </c>
      <c r="B754" s="137" t="s">
        <v>649</v>
      </c>
      <c r="C754" s="137">
        <v>2011354</v>
      </c>
      <c r="D754" s="197">
        <v>40779</v>
      </c>
      <c r="E754" s="139" t="s">
        <v>650</v>
      </c>
      <c r="F754" s="138">
        <v>504.4</v>
      </c>
    </row>
    <row r="755" spans="1:6" ht="15" x14ac:dyDescent="0.25">
      <c r="A755" s="137" t="s">
        <v>313</v>
      </c>
      <c r="B755" s="137" t="s">
        <v>654</v>
      </c>
      <c r="C755" s="137">
        <v>2011355</v>
      </c>
      <c r="D755" s="197">
        <v>40779</v>
      </c>
      <c r="E755" s="139" t="s">
        <v>651</v>
      </c>
      <c r="F755" s="138">
        <v>953.56</v>
      </c>
    </row>
    <row r="756" spans="1:6" ht="15" x14ac:dyDescent="0.25">
      <c r="A756" s="137" t="s">
        <v>313</v>
      </c>
      <c r="B756" s="137" t="s">
        <v>652</v>
      </c>
      <c r="C756" s="137">
        <v>2011356</v>
      </c>
      <c r="D756" s="197">
        <v>40780</v>
      </c>
      <c r="E756" s="139" t="s">
        <v>650</v>
      </c>
      <c r="F756" s="138">
        <v>154.04</v>
      </c>
    </row>
    <row r="757" spans="1:6" ht="15" x14ac:dyDescent="0.25">
      <c r="A757" s="137" t="s">
        <v>313</v>
      </c>
      <c r="B757" s="137" t="s">
        <v>657</v>
      </c>
      <c r="C757" s="137">
        <v>2011357</v>
      </c>
      <c r="D757" s="197">
        <v>40781</v>
      </c>
      <c r="E757" s="139" t="s">
        <v>651</v>
      </c>
      <c r="F757" s="138">
        <v>453.71</v>
      </c>
    </row>
    <row r="758" spans="1:6" ht="15" x14ac:dyDescent="0.25">
      <c r="A758" s="137" t="s">
        <v>313</v>
      </c>
      <c r="B758" s="137" t="s">
        <v>657</v>
      </c>
      <c r="C758" s="137">
        <v>2011358</v>
      </c>
      <c r="D758" s="197">
        <v>40785</v>
      </c>
      <c r="E758" s="139" t="s">
        <v>650</v>
      </c>
      <c r="F758" s="138">
        <v>467.04</v>
      </c>
    </row>
    <row r="759" spans="1:6" ht="15" x14ac:dyDescent="0.25">
      <c r="A759" s="137" t="s">
        <v>311</v>
      </c>
      <c r="B759" s="137" t="s">
        <v>658</v>
      </c>
      <c r="C759" s="137">
        <v>2011359</v>
      </c>
      <c r="D759" s="197">
        <v>40785</v>
      </c>
      <c r="E759" s="139" t="s">
        <v>651</v>
      </c>
      <c r="F759" s="138">
        <v>553.04999999999995</v>
      </c>
    </row>
    <row r="760" spans="1:6" ht="15" x14ac:dyDescent="0.25">
      <c r="A760" s="137" t="s">
        <v>313</v>
      </c>
      <c r="B760" s="137" t="s">
        <v>649</v>
      </c>
      <c r="C760" s="137">
        <v>2011360</v>
      </c>
      <c r="D760" s="197">
        <v>40786</v>
      </c>
      <c r="E760" s="139" t="s">
        <v>651</v>
      </c>
      <c r="F760" s="138">
        <v>947.29</v>
      </c>
    </row>
    <row r="761" spans="1:6" ht="15" x14ac:dyDescent="0.25">
      <c r="A761" s="137" t="s">
        <v>313</v>
      </c>
      <c r="B761" s="137" t="s">
        <v>657</v>
      </c>
      <c r="C761" s="137">
        <v>2011361</v>
      </c>
      <c r="D761" s="197">
        <v>40787</v>
      </c>
      <c r="E761" s="139" t="s">
        <v>650</v>
      </c>
      <c r="F761" s="138">
        <v>635.67999999999995</v>
      </c>
    </row>
    <row r="762" spans="1:6" ht="15" x14ac:dyDescent="0.25">
      <c r="A762" s="137" t="s">
        <v>311</v>
      </c>
      <c r="B762" s="137" t="s">
        <v>655</v>
      </c>
      <c r="C762" s="137">
        <v>2011362</v>
      </c>
      <c r="D762" s="197">
        <v>40787</v>
      </c>
      <c r="E762" s="139" t="s">
        <v>651</v>
      </c>
      <c r="F762" s="138">
        <v>691.54</v>
      </c>
    </row>
    <row r="763" spans="1:6" ht="15" x14ac:dyDescent="0.25">
      <c r="A763" s="137" t="s">
        <v>313</v>
      </c>
      <c r="B763" s="137" t="s">
        <v>657</v>
      </c>
      <c r="C763" s="137">
        <v>2011363</v>
      </c>
      <c r="D763" s="197">
        <v>40788</v>
      </c>
      <c r="E763" s="139" t="s">
        <v>651</v>
      </c>
      <c r="F763" s="138">
        <v>454.46</v>
      </c>
    </row>
    <row r="764" spans="1:6" ht="15" x14ac:dyDescent="0.25">
      <c r="A764" s="137" t="s">
        <v>311</v>
      </c>
      <c r="B764" s="137" t="s">
        <v>658</v>
      </c>
      <c r="C764" s="137">
        <v>2011364</v>
      </c>
      <c r="D764" s="197">
        <v>40788</v>
      </c>
      <c r="E764" s="139" t="s">
        <v>650</v>
      </c>
      <c r="F764" s="138">
        <v>25.71</v>
      </c>
    </row>
    <row r="765" spans="1:6" ht="15" x14ac:dyDescent="0.25">
      <c r="A765" s="137" t="s">
        <v>313</v>
      </c>
      <c r="B765" s="137" t="s">
        <v>649</v>
      </c>
      <c r="C765" s="137">
        <v>2011365</v>
      </c>
      <c r="D765" s="197">
        <v>40791</v>
      </c>
      <c r="E765" s="139" t="s">
        <v>650</v>
      </c>
      <c r="F765" s="138">
        <v>363.86</v>
      </c>
    </row>
    <row r="766" spans="1:6" ht="15" x14ac:dyDescent="0.25">
      <c r="A766" s="137" t="s">
        <v>311</v>
      </c>
      <c r="B766" s="137" t="s">
        <v>659</v>
      </c>
      <c r="C766" s="137">
        <v>2011366</v>
      </c>
      <c r="D766" s="197">
        <v>40791</v>
      </c>
      <c r="E766" s="139" t="s">
        <v>650</v>
      </c>
      <c r="F766" s="138">
        <v>178.05</v>
      </c>
    </row>
    <row r="767" spans="1:6" ht="15" x14ac:dyDescent="0.25">
      <c r="A767" s="137" t="s">
        <v>311</v>
      </c>
      <c r="B767" s="137" t="s">
        <v>659</v>
      </c>
      <c r="C767" s="137">
        <v>2011367</v>
      </c>
      <c r="D767" s="197">
        <v>40791</v>
      </c>
      <c r="E767" s="139" t="s">
        <v>650</v>
      </c>
      <c r="F767" s="138">
        <v>1012.12</v>
      </c>
    </row>
    <row r="768" spans="1:6" ht="15" x14ac:dyDescent="0.25">
      <c r="A768" s="137" t="s">
        <v>313</v>
      </c>
      <c r="B768" s="137" t="s">
        <v>652</v>
      </c>
      <c r="C768" s="137">
        <v>2011368</v>
      </c>
      <c r="D768" s="197">
        <v>40792</v>
      </c>
      <c r="E768" s="139" t="s">
        <v>651</v>
      </c>
      <c r="F768" s="138">
        <v>24.56</v>
      </c>
    </row>
    <row r="769" spans="1:6" ht="15" x14ac:dyDescent="0.25">
      <c r="A769" s="137" t="s">
        <v>313</v>
      </c>
      <c r="B769" s="137" t="s">
        <v>654</v>
      </c>
      <c r="C769" s="137">
        <v>2011369</v>
      </c>
      <c r="D769" s="197">
        <v>40792</v>
      </c>
      <c r="E769" s="139" t="s">
        <v>651</v>
      </c>
      <c r="F769" s="138">
        <v>1205.32</v>
      </c>
    </row>
    <row r="770" spans="1:6" ht="15" x14ac:dyDescent="0.25">
      <c r="A770" s="137" t="s">
        <v>313</v>
      </c>
      <c r="B770" s="137" t="s">
        <v>654</v>
      </c>
      <c r="C770" s="137">
        <v>2011370</v>
      </c>
      <c r="D770" s="197">
        <v>40793</v>
      </c>
      <c r="E770" s="139" t="s">
        <v>650</v>
      </c>
      <c r="F770" s="138">
        <v>576.61</v>
      </c>
    </row>
    <row r="771" spans="1:6" ht="15" x14ac:dyDescent="0.25">
      <c r="A771" s="137" t="s">
        <v>313</v>
      </c>
      <c r="B771" s="137" t="s">
        <v>654</v>
      </c>
      <c r="C771" s="137">
        <v>2011371</v>
      </c>
      <c r="D771" s="197">
        <v>40793</v>
      </c>
      <c r="E771" s="139" t="s">
        <v>650</v>
      </c>
      <c r="F771" s="138">
        <v>1020.32</v>
      </c>
    </row>
    <row r="772" spans="1:6" ht="15" x14ac:dyDescent="0.25">
      <c r="A772" s="137" t="s">
        <v>311</v>
      </c>
      <c r="B772" s="137" t="s">
        <v>660</v>
      </c>
      <c r="C772" s="137">
        <v>2011372</v>
      </c>
      <c r="D772" s="197">
        <v>40793</v>
      </c>
      <c r="E772" s="139" t="s">
        <v>650</v>
      </c>
      <c r="F772" s="138">
        <v>331.95</v>
      </c>
    </row>
    <row r="773" spans="1:6" ht="15" x14ac:dyDescent="0.25">
      <c r="A773" s="137" t="s">
        <v>313</v>
      </c>
      <c r="B773" s="137" t="s">
        <v>654</v>
      </c>
      <c r="C773" s="137">
        <v>2011373</v>
      </c>
      <c r="D773" s="197">
        <v>40794</v>
      </c>
      <c r="E773" s="139" t="s">
        <v>650</v>
      </c>
      <c r="F773" s="138">
        <v>209.62</v>
      </c>
    </row>
    <row r="774" spans="1:6" ht="15" x14ac:dyDescent="0.25">
      <c r="A774" s="137" t="s">
        <v>313</v>
      </c>
      <c r="B774" s="137" t="s">
        <v>654</v>
      </c>
      <c r="C774" s="137">
        <v>2011374</v>
      </c>
      <c r="D774" s="197">
        <v>40794</v>
      </c>
      <c r="E774" s="139" t="s">
        <v>651</v>
      </c>
      <c r="F774" s="138">
        <v>392.43</v>
      </c>
    </row>
    <row r="775" spans="1:6" ht="15" x14ac:dyDescent="0.25">
      <c r="A775" s="137" t="s">
        <v>313</v>
      </c>
      <c r="B775" s="137" t="s">
        <v>657</v>
      </c>
      <c r="C775" s="137">
        <v>2011375</v>
      </c>
      <c r="D775" s="197">
        <v>40798</v>
      </c>
      <c r="E775" s="139" t="s">
        <v>650</v>
      </c>
      <c r="F775" s="138">
        <v>1148.97</v>
      </c>
    </row>
    <row r="776" spans="1:6" ht="15" x14ac:dyDescent="0.25">
      <c r="A776" s="137" t="s">
        <v>313</v>
      </c>
      <c r="B776" s="137" t="s">
        <v>657</v>
      </c>
      <c r="C776" s="137">
        <v>2011376</v>
      </c>
      <c r="D776" s="197">
        <v>40798</v>
      </c>
      <c r="E776" s="139" t="s">
        <v>651</v>
      </c>
      <c r="F776" s="138">
        <v>1221.55</v>
      </c>
    </row>
    <row r="777" spans="1:6" ht="15" x14ac:dyDescent="0.25">
      <c r="A777" s="137" t="s">
        <v>313</v>
      </c>
      <c r="B777" s="137" t="s">
        <v>649</v>
      </c>
      <c r="C777" s="137">
        <v>2011377</v>
      </c>
      <c r="D777" s="197">
        <v>40798</v>
      </c>
      <c r="E777" s="139" t="s">
        <v>650</v>
      </c>
      <c r="F777" s="138">
        <v>518.96</v>
      </c>
    </row>
    <row r="778" spans="1:6" ht="15" x14ac:dyDescent="0.25">
      <c r="A778" s="137" t="s">
        <v>313</v>
      </c>
      <c r="B778" s="137" t="s">
        <v>652</v>
      </c>
      <c r="C778" s="137">
        <v>2011378</v>
      </c>
      <c r="D778" s="197">
        <v>40799</v>
      </c>
      <c r="E778" s="139" t="s">
        <v>651</v>
      </c>
      <c r="F778" s="138">
        <v>842.95</v>
      </c>
    </row>
    <row r="779" spans="1:6" ht="15" x14ac:dyDescent="0.25">
      <c r="A779" s="137" t="s">
        <v>313</v>
      </c>
      <c r="B779" s="137" t="s">
        <v>654</v>
      </c>
      <c r="C779" s="137">
        <v>2011379</v>
      </c>
      <c r="D779" s="197">
        <v>40799</v>
      </c>
      <c r="E779" s="139" t="s">
        <v>650</v>
      </c>
      <c r="F779" s="138">
        <v>619.38</v>
      </c>
    </row>
    <row r="780" spans="1:6" ht="15" x14ac:dyDescent="0.25">
      <c r="A780" s="137" t="s">
        <v>311</v>
      </c>
      <c r="B780" s="137" t="s">
        <v>661</v>
      </c>
      <c r="C780" s="137">
        <v>2011380</v>
      </c>
      <c r="D780" s="197">
        <v>40799</v>
      </c>
      <c r="E780" s="139" t="s">
        <v>651</v>
      </c>
      <c r="F780" s="138">
        <v>184.42</v>
      </c>
    </row>
    <row r="781" spans="1:6" ht="15" x14ac:dyDescent="0.25">
      <c r="A781" s="137" t="s">
        <v>311</v>
      </c>
      <c r="B781" s="137" t="s">
        <v>660</v>
      </c>
      <c r="C781" s="137">
        <v>2011381</v>
      </c>
      <c r="D781" s="197">
        <v>40799</v>
      </c>
      <c r="E781" s="139" t="s">
        <v>651</v>
      </c>
      <c r="F781" s="138">
        <v>394.09</v>
      </c>
    </row>
    <row r="782" spans="1:6" ht="15" x14ac:dyDescent="0.25">
      <c r="A782" s="137" t="s">
        <v>313</v>
      </c>
      <c r="B782" s="137" t="s">
        <v>656</v>
      </c>
      <c r="C782" s="137">
        <v>2011382</v>
      </c>
      <c r="D782" s="197">
        <v>40800</v>
      </c>
      <c r="E782" s="139" t="s">
        <v>650</v>
      </c>
      <c r="F782" s="138">
        <v>957.42</v>
      </c>
    </row>
    <row r="783" spans="1:6" ht="15" x14ac:dyDescent="0.25">
      <c r="A783" s="137" t="s">
        <v>313</v>
      </c>
      <c r="B783" s="137" t="s">
        <v>656</v>
      </c>
      <c r="C783" s="137">
        <v>2011383</v>
      </c>
      <c r="D783" s="197">
        <v>40800</v>
      </c>
      <c r="E783" s="139" t="s">
        <v>651</v>
      </c>
      <c r="F783" s="138">
        <v>778.1</v>
      </c>
    </row>
    <row r="784" spans="1:6" ht="15" x14ac:dyDescent="0.25">
      <c r="A784" s="137" t="s">
        <v>313</v>
      </c>
      <c r="B784" s="137" t="s">
        <v>654</v>
      </c>
      <c r="C784" s="137">
        <v>2011384</v>
      </c>
      <c r="D784" s="197">
        <v>40800</v>
      </c>
      <c r="E784" s="139" t="s">
        <v>650</v>
      </c>
      <c r="F784" s="138">
        <v>345.72</v>
      </c>
    </row>
    <row r="785" spans="1:6" ht="15" x14ac:dyDescent="0.25">
      <c r="A785" s="137" t="s">
        <v>311</v>
      </c>
      <c r="B785" s="137" t="s">
        <v>659</v>
      </c>
      <c r="C785" s="137">
        <v>2011385</v>
      </c>
      <c r="D785" s="197">
        <v>40800</v>
      </c>
      <c r="E785" s="139" t="s">
        <v>650</v>
      </c>
      <c r="F785" s="138">
        <v>1178.3900000000001</v>
      </c>
    </row>
    <row r="786" spans="1:6" ht="15" x14ac:dyDescent="0.25">
      <c r="A786" s="137" t="s">
        <v>313</v>
      </c>
      <c r="B786" s="137" t="s">
        <v>656</v>
      </c>
      <c r="C786" s="137">
        <v>2011386</v>
      </c>
      <c r="D786" s="197">
        <v>40806</v>
      </c>
      <c r="E786" s="139" t="s">
        <v>651</v>
      </c>
      <c r="F786" s="138">
        <v>985.35</v>
      </c>
    </row>
    <row r="787" spans="1:6" ht="15" x14ac:dyDescent="0.25">
      <c r="A787" s="137" t="s">
        <v>313</v>
      </c>
      <c r="B787" s="137" t="s">
        <v>654</v>
      </c>
      <c r="C787" s="137">
        <v>2011387</v>
      </c>
      <c r="D787" s="197">
        <v>40807</v>
      </c>
      <c r="E787" s="139" t="s">
        <v>651</v>
      </c>
      <c r="F787" s="138">
        <v>675.29</v>
      </c>
    </row>
    <row r="788" spans="1:6" ht="15" x14ac:dyDescent="0.25">
      <c r="A788" s="137" t="s">
        <v>313</v>
      </c>
      <c r="B788" s="137" t="s">
        <v>649</v>
      </c>
      <c r="C788" s="137">
        <v>2011388</v>
      </c>
      <c r="D788" s="197">
        <v>40808</v>
      </c>
      <c r="E788" s="139" t="s">
        <v>651</v>
      </c>
      <c r="F788" s="138">
        <v>757.74</v>
      </c>
    </row>
    <row r="789" spans="1:6" ht="15" x14ac:dyDescent="0.25">
      <c r="A789" s="137" t="s">
        <v>311</v>
      </c>
      <c r="B789" s="137" t="s">
        <v>653</v>
      </c>
      <c r="C789" s="137">
        <v>2011389</v>
      </c>
      <c r="D789" s="197">
        <v>40809</v>
      </c>
      <c r="E789" s="139" t="s">
        <v>650</v>
      </c>
      <c r="F789" s="138">
        <v>674.51</v>
      </c>
    </row>
    <row r="790" spans="1:6" ht="15" x14ac:dyDescent="0.25">
      <c r="A790" s="137" t="s">
        <v>313</v>
      </c>
      <c r="B790" s="137" t="s">
        <v>654</v>
      </c>
      <c r="C790" s="137">
        <v>2011390</v>
      </c>
      <c r="D790" s="197">
        <v>40812</v>
      </c>
      <c r="E790" s="139" t="s">
        <v>650</v>
      </c>
      <c r="F790" s="138">
        <v>395</v>
      </c>
    </row>
    <row r="791" spans="1:6" ht="15" x14ac:dyDescent="0.25">
      <c r="A791" s="137" t="s">
        <v>313</v>
      </c>
      <c r="B791" s="137" t="s">
        <v>652</v>
      </c>
      <c r="C791" s="137">
        <v>2011391</v>
      </c>
      <c r="D791" s="197">
        <v>40813</v>
      </c>
      <c r="E791" s="139" t="s">
        <v>651</v>
      </c>
      <c r="F791" s="138">
        <v>40.67</v>
      </c>
    </row>
    <row r="792" spans="1:6" ht="15" x14ac:dyDescent="0.25">
      <c r="A792" s="137" t="s">
        <v>311</v>
      </c>
      <c r="B792" s="137" t="s">
        <v>659</v>
      </c>
      <c r="C792" s="137">
        <v>2011392</v>
      </c>
      <c r="D792" s="197">
        <v>40813</v>
      </c>
      <c r="E792" s="139" t="s">
        <v>651</v>
      </c>
      <c r="F792" s="138">
        <v>476.27</v>
      </c>
    </row>
    <row r="793" spans="1:6" ht="15" x14ac:dyDescent="0.25">
      <c r="A793" s="137" t="s">
        <v>313</v>
      </c>
      <c r="B793" s="137" t="s">
        <v>649</v>
      </c>
      <c r="C793" s="137">
        <v>2011393</v>
      </c>
      <c r="D793" s="197">
        <v>40814</v>
      </c>
      <c r="E793" s="139" t="s">
        <v>650</v>
      </c>
      <c r="F793" s="138">
        <v>481.17</v>
      </c>
    </row>
    <row r="794" spans="1:6" ht="15" x14ac:dyDescent="0.25">
      <c r="A794" s="137" t="s">
        <v>313</v>
      </c>
      <c r="B794" s="137" t="s">
        <v>656</v>
      </c>
      <c r="C794" s="137">
        <v>2011394</v>
      </c>
      <c r="D794" s="197">
        <v>40815</v>
      </c>
      <c r="E794" s="139" t="s">
        <v>650</v>
      </c>
      <c r="F794" s="138">
        <v>526.57000000000005</v>
      </c>
    </row>
    <row r="795" spans="1:6" ht="15" x14ac:dyDescent="0.25">
      <c r="A795" s="137" t="s">
        <v>313</v>
      </c>
      <c r="B795" s="137" t="s">
        <v>654</v>
      </c>
      <c r="C795" s="137">
        <v>2011395</v>
      </c>
      <c r="D795" s="197">
        <v>40815</v>
      </c>
      <c r="E795" s="139" t="s">
        <v>650</v>
      </c>
      <c r="F795" s="138">
        <v>1124.55</v>
      </c>
    </row>
    <row r="796" spans="1:6" ht="15" x14ac:dyDescent="0.25">
      <c r="A796" s="137" t="s">
        <v>311</v>
      </c>
      <c r="B796" s="137" t="s">
        <v>660</v>
      </c>
      <c r="C796" s="137">
        <v>2011396</v>
      </c>
      <c r="D796" s="197">
        <v>40815</v>
      </c>
      <c r="E796" s="139" t="s">
        <v>650</v>
      </c>
      <c r="F796" s="138">
        <v>1090.49</v>
      </c>
    </row>
    <row r="797" spans="1:6" ht="15" x14ac:dyDescent="0.25">
      <c r="A797" s="137" t="s">
        <v>313</v>
      </c>
      <c r="B797" s="137" t="s">
        <v>652</v>
      </c>
      <c r="C797" s="137">
        <v>2011397</v>
      </c>
      <c r="D797" s="197">
        <v>40816</v>
      </c>
      <c r="E797" s="139" t="s">
        <v>651</v>
      </c>
      <c r="F797" s="138">
        <v>666.99</v>
      </c>
    </row>
    <row r="798" spans="1:6" ht="15" x14ac:dyDescent="0.25">
      <c r="A798" s="137" t="s">
        <v>311</v>
      </c>
      <c r="B798" s="137" t="s">
        <v>660</v>
      </c>
      <c r="C798" s="137">
        <v>2011398</v>
      </c>
      <c r="D798" s="197">
        <v>40816</v>
      </c>
      <c r="E798" s="139" t="s">
        <v>651</v>
      </c>
      <c r="F798" s="138">
        <v>576.65</v>
      </c>
    </row>
    <row r="799" spans="1:6" ht="15" x14ac:dyDescent="0.25">
      <c r="A799" s="137" t="s">
        <v>313</v>
      </c>
      <c r="B799" s="137" t="s">
        <v>652</v>
      </c>
      <c r="C799" s="137">
        <v>2011399</v>
      </c>
      <c r="D799" s="197">
        <v>40819</v>
      </c>
      <c r="E799" s="139" t="s">
        <v>651</v>
      </c>
      <c r="F799" s="138">
        <v>958.25</v>
      </c>
    </row>
    <row r="800" spans="1:6" ht="15" x14ac:dyDescent="0.25">
      <c r="A800" s="137" t="s">
        <v>313</v>
      </c>
      <c r="B800" s="137" t="s">
        <v>657</v>
      </c>
      <c r="C800" s="137">
        <v>2011400</v>
      </c>
      <c r="D800" s="197">
        <v>40819</v>
      </c>
      <c r="E800" s="139" t="s">
        <v>650</v>
      </c>
      <c r="F800" s="138">
        <v>634.24</v>
      </c>
    </row>
    <row r="801" spans="1:6" ht="15" x14ac:dyDescent="0.25">
      <c r="A801" s="137" t="s">
        <v>311</v>
      </c>
      <c r="B801" s="137" t="s">
        <v>653</v>
      </c>
      <c r="C801" s="137">
        <v>2011401</v>
      </c>
      <c r="D801" s="197">
        <v>40819</v>
      </c>
      <c r="E801" s="139" t="s">
        <v>651</v>
      </c>
      <c r="F801" s="138">
        <v>797.08</v>
      </c>
    </row>
    <row r="802" spans="1:6" ht="15" x14ac:dyDescent="0.25">
      <c r="A802" s="137" t="s">
        <v>313</v>
      </c>
      <c r="B802" s="137" t="s">
        <v>656</v>
      </c>
      <c r="C802" s="137">
        <v>2011402</v>
      </c>
      <c r="D802" s="197">
        <v>40820</v>
      </c>
      <c r="E802" s="139" t="s">
        <v>651</v>
      </c>
      <c r="F802" s="138">
        <v>749.31</v>
      </c>
    </row>
    <row r="803" spans="1:6" ht="15" x14ac:dyDescent="0.25">
      <c r="A803" s="137" t="s">
        <v>313</v>
      </c>
      <c r="B803" s="137" t="s">
        <v>657</v>
      </c>
      <c r="C803" s="137">
        <v>2011403</v>
      </c>
      <c r="D803" s="197">
        <v>40821</v>
      </c>
      <c r="E803" s="139" t="s">
        <v>651</v>
      </c>
      <c r="F803" s="138">
        <v>795.12</v>
      </c>
    </row>
    <row r="804" spans="1:6" ht="15" x14ac:dyDescent="0.25">
      <c r="A804" s="137" t="s">
        <v>311</v>
      </c>
      <c r="B804" s="137" t="s">
        <v>658</v>
      </c>
      <c r="C804" s="137">
        <v>2011404</v>
      </c>
      <c r="D804" s="197">
        <v>40821</v>
      </c>
      <c r="E804" s="139" t="s">
        <v>651</v>
      </c>
      <c r="F804" s="138">
        <v>157.71</v>
      </c>
    </row>
    <row r="805" spans="1:6" ht="15" x14ac:dyDescent="0.25">
      <c r="A805" s="137" t="s">
        <v>313</v>
      </c>
      <c r="B805" s="137" t="s">
        <v>652</v>
      </c>
      <c r="C805" s="137">
        <v>2011405</v>
      </c>
      <c r="D805" s="197">
        <v>40822</v>
      </c>
      <c r="E805" s="139" t="s">
        <v>650</v>
      </c>
      <c r="F805" s="138">
        <v>131.52000000000001</v>
      </c>
    </row>
    <row r="806" spans="1:6" ht="15" x14ac:dyDescent="0.25">
      <c r="A806" s="137" t="s">
        <v>313</v>
      </c>
      <c r="B806" s="137" t="s">
        <v>652</v>
      </c>
      <c r="C806" s="137">
        <v>2011406</v>
      </c>
      <c r="D806" s="197">
        <v>40823</v>
      </c>
      <c r="E806" s="139" t="s">
        <v>651</v>
      </c>
      <c r="F806" s="138">
        <v>885.06</v>
      </c>
    </row>
    <row r="807" spans="1:6" ht="15" x14ac:dyDescent="0.25">
      <c r="A807" s="137" t="s">
        <v>313</v>
      </c>
      <c r="B807" s="137" t="s">
        <v>649</v>
      </c>
      <c r="C807" s="137">
        <v>2011407</v>
      </c>
      <c r="D807" s="197">
        <v>40823</v>
      </c>
      <c r="E807" s="139" t="s">
        <v>651</v>
      </c>
      <c r="F807" s="138">
        <v>1014.61</v>
      </c>
    </row>
    <row r="808" spans="1:6" ht="15" x14ac:dyDescent="0.25">
      <c r="A808" s="137" t="s">
        <v>313</v>
      </c>
      <c r="B808" s="137" t="s">
        <v>656</v>
      </c>
      <c r="C808" s="137">
        <v>2011408</v>
      </c>
      <c r="D808" s="197">
        <v>40823</v>
      </c>
      <c r="E808" s="139" t="s">
        <v>651</v>
      </c>
      <c r="F808" s="138">
        <v>406.29</v>
      </c>
    </row>
    <row r="809" spans="1:6" ht="15" x14ac:dyDescent="0.25">
      <c r="A809" s="137" t="s">
        <v>313</v>
      </c>
      <c r="B809" s="137" t="s">
        <v>652</v>
      </c>
      <c r="C809" s="137">
        <v>2011409</v>
      </c>
      <c r="D809" s="197">
        <v>40826</v>
      </c>
      <c r="E809" s="139" t="s">
        <v>650</v>
      </c>
      <c r="F809" s="138">
        <v>331.43</v>
      </c>
    </row>
    <row r="810" spans="1:6" ht="15" x14ac:dyDescent="0.25">
      <c r="A810" s="137" t="s">
        <v>311</v>
      </c>
      <c r="B810" s="137" t="s">
        <v>655</v>
      </c>
      <c r="C810" s="137">
        <v>2011410</v>
      </c>
      <c r="D810" s="197">
        <v>40826</v>
      </c>
      <c r="E810" s="139" t="s">
        <v>651</v>
      </c>
      <c r="F810" s="138">
        <v>613.85</v>
      </c>
    </row>
    <row r="811" spans="1:6" ht="15" x14ac:dyDescent="0.25">
      <c r="A811" s="137" t="s">
        <v>311</v>
      </c>
      <c r="B811" s="137" t="s">
        <v>655</v>
      </c>
      <c r="C811" s="137">
        <v>2011411</v>
      </c>
      <c r="D811" s="197">
        <v>40826</v>
      </c>
      <c r="E811" s="139" t="s">
        <v>650</v>
      </c>
      <c r="F811" s="138">
        <v>571.1</v>
      </c>
    </row>
    <row r="812" spans="1:6" ht="15" x14ac:dyDescent="0.25">
      <c r="A812" s="137" t="s">
        <v>313</v>
      </c>
      <c r="B812" s="137" t="s">
        <v>657</v>
      </c>
      <c r="C812" s="137">
        <v>2011412</v>
      </c>
      <c r="D812" s="197">
        <v>40827</v>
      </c>
      <c r="E812" s="139" t="s">
        <v>651</v>
      </c>
      <c r="F812" s="138">
        <v>279.10000000000002</v>
      </c>
    </row>
    <row r="813" spans="1:6" ht="15" x14ac:dyDescent="0.25">
      <c r="A813" s="137" t="s">
        <v>313</v>
      </c>
      <c r="B813" s="137" t="s">
        <v>652</v>
      </c>
      <c r="C813" s="137">
        <v>2011413</v>
      </c>
      <c r="D813" s="197">
        <v>40829</v>
      </c>
      <c r="E813" s="139" t="s">
        <v>651</v>
      </c>
      <c r="F813" s="138">
        <v>588.72</v>
      </c>
    </row>
    <row r="814" spans="1:6" ht="15" x14ac:dyDescent="0.25">
      <c r="A814" s="137" t="s">
        <v>313</v>
      </c>
      <c r="B814" s="137" t="s">
        <v>652</v>
      </c>
      <c r="C814" s="137">
        <v>2011414</v>
      </c>
      <c r="D814" s="197">
        <v>40829</v>
      </c>
      <c r="E814" s="139" t="s">
        <v>650</v>
      </c>
      <c r="F814" s="138">
        <v>350.17</v>
      </c>
    </row>
    <row r="815" spans="1:6" ht="15" x14ac:dyDescent="0.25">
      <c r="A815" s="137" t="s">
        <v>313</v>
      </c>
      <c r="B815" s="137" t="s">
        <v>652</v>
      </c>
      <c r="C815" s="137">
        <v>2011415</v>
      </c>
      <c r="D815" s="197">
        <v>40833</v>
      </c>
      <c r="E815" s="139" t="s">
        <v>651</v>
      </c>
      <c r="F815" s="138">
        <v>1161.5999999999999</v>
      </c>
    </row>
    <row r="816" spans="1:6" ht="15" x14ac:dyDescent="0.25">
      <c r="A816" s="137" t="s">
        <v>313</v>
      </c>
      <c r="B816" s="137" t="s">
        <v>654</v>
      </c>
      <c r="C816" s="137">
        <v>2011416</v>
      </c>
      <c r="D816" s="197">
        <v>40833</v>
      </c>
      <c r="E816" s="139" t="s">
        <v>650</v>
      </c>
      <c r="F816" s="138">
        <v>1018.16</v>
      </c>
    </row>
    <row r="817" spans="1:6" ht="15" x14ac:dyDescent="0.25">
      <c r="A817" s="137" t="s">
        <v>313</v>
      </c>
      <c r="B817" s="137" t="s">
        <v>654</v>
      </c>
      <c r="C817" s="137">
        <v>2011417</v>
      </c>
      <c r="D817" s="197">
        <v>40833</v>
      </c>
      <c r="E817" s="139" t="s">
        <v>651</v>
      </c>
      <c r="F817" s="138">
        <v>869.96</v>
      </c>
    </row>
    <row r="818" spans="1:6" ht="15" x14ac:dyDescent="0.25">
      <c r="A818" s="137" t="s">
        <v>313</v>
      </c>
      <c r="B818" s="137" t="s">
        <v>649</v>
      </c>
      <c r="C818" s="137">
        <v>2011418</v>
      </c>
      <c r="D818" s="197">
        <v>40834</v>
      </c>
      <c r="E818" s="139" t="s">
        <v>651</v>
      </c>
      <c r="F818" s="138">
        <v>1003.24</v>
      </c>
    </row>
    <row r="819" spans="1:6" ht="15" x14ac:dyDescent="0.25">
      <c r="A819" s="137" t="s">
        <v>313</v>
      </c>
      <c r="B819" s="137" t="s">
        <v>656</v>
      </c>
      <c r="C819" s="137">
        <v>2011419</v>
      </c>
      <c r="D819" s="197">
        <v>40835</v>
      </c>
      <c r="E819" s="139" t="s">
        <v>650</v>
      </c>
      <c r="F819" s="138">
        <v>607.63</v>
      </c>
    </row>
    <row r="820" spans="1:6" ht="15" x14ac:dyDescent="0.25">
      <c r="A820" s="137" t="s">
        <v>311</v>
      </c>
      <c r="B820" s="137" t="s">
        <v>655</v>
      </c>
      <c r="C820" s="137">
        <v>2011420</v>
      </c>
      <c r="D820" s="197">
        <v>40835</v>
      </c>
      <c r="E820" s="139" t="s">
        <v>650</v>
      </c>
      <c r="F820" s="138">
        <v>855.91</v>
      </c>
    </row>
    <row r="821" spans="1:6" ht="15" x14ac:dyDescent="0.25">
      <c r="A821" s="137" t="s">
        <v>313</v>
      </c>
      <c r="B821" s="137" t="s">
        <v>649</v>
      </c>
      <c r="C821" s="137">
        <v>2011421</v>
      </c>
      <c r="D821" s="197">
        <v>40837</v>
      </c>
      <c r="E821" s="139" t="s">
        <v>651</v>
      </c>
      <c r="F821" s="138">
        <v>640.59</v>
      </c>
    </row>
    <row r="822" spans="1:6" ht="15" x14ac:dyDescent="0.25">
      <c r="A822" s="137" t="s">
        <v>311</v>
      </c>
      <c r="B822" s="137" t="s">
        <v>661</v>
      </c>
      <c r="C822" s="137">
        <v>2011422</v>
      </c>
      <c r="D822" s="197">
        <v>40837</v>
      </c>
      <c r="E822" s="139" t="s">
        <v>650</v>
      </c>
      <c r="F822" s="138">
        <v>146.25</v>
      </c>
    </row>
    <row r="823" spans="1:6" ht="15" x14ac:dyDescent="0.25">
      <c r="A823" s="137" t="s">
        <v>311</v>
      </c>
      <c r="B823" s="137" t="s">
        <v>653</v>
      </c>
      <c r="C823" s="137">
        <v>2011423</v>
      </c>
      <c r="D823" s="197">
        <v>40837</v>
      </c>
      <c r="E823" s="139" t="s">
        <v>650</v>
      </c>
      <c r="F823" s="138">
        <v>146.47</v>
      </c>
    </row>
    <row r="824" spans="1:6" ht="15" x14ac:dyDescent="0.25">
      <c r="A824" s="137" t="s">
        <v>313</v>
      </c>
      <c r="B824" s="137" t="s">
        <v>652</v>
      </c>
      <c r="C824" s="137">
        <v>2011424</v>
      </c>
      <c r="D824" s="197">
        <v>40840</v>
      </c>
      <c r="E824" s="139" t="s">
        <v>651</v>
      </c>
      <c r="F824" s="138">
        <v>135.52000000000001</v>
      </c>
    </row>
    <row r="825" spans="1:6" ht="15" x14ac:dyDescent="0.25">
      <c r="A825" s="137" t="s">
        <v>313</v>
      </c>
      <c r="B825" s="137" t="s">
        <v>652</v>
      </c>
      <c r="C825" s="137">
        <v>2011425</v>
      </c>
      <c r="D825" s="197">
        <v>40840</v>
      </c>
      <c r="E825" s="139" t="s">
        <v>650</v>
      </c>
      <c r="F825" s="138">
        <v>86.06</v>
      </c>
    </row>
    <row r="826" spans="1:6" ht="15" x14ac:dyDescent="0.25">
      <c r="A826" s="137" t="s">
        <v>313</v>
      </c>
      <c r="B826" s="137" t="s">
        <v>656</v>
      </c>
      <c r="C826" s="137">
        <v>2011426</v>
      </c>
      <c r="D826" s="197">
        <v>40840</v>
      </c>
      <c r="E826" s="139" t="s">
        <v>651</v>
      </c>
      <c r="F826" s="138">
        <v>623.29</v>
      </c>
    </row>
    <row r="827" spans="1:6" ht="15" x14ac:dyDescent="0.25">
      <c r="A827" s="137" t="s">
        <v>311</v>
      </c>
      <c r="B827" s="137" t="s">
        <v>660</v>
      </c>
      <c r="C827" s="137">
        <v>2011427</v>
      </c>
      <c r="D827" s="197">
        <v>40840</v>
      </c>
      <c r="E827" s="139" t="s">
        <v>650</v>
      </c>
      <c r="F827" s="138">
        <v>169.92</v>
      </c>
    </row>
    <row r="828" spans="1:6" ht="15" x14ac:dyDescent="0.25">
      <c r="A828" s="137" t="s">
        <v>311</v>
      </c>
      <c r="B828" s="137" t="s">
        <v>659</v>
      </c>
      <c r="C828" s="137">
        <v>2011428</v>
      </c>
      <c r="D828" s="197">
        <v>40840</v>
      </c>
      <c r="E828" s="139" t="s">
        <v>650</v>
      </c>
      <c r="F828" s="138">
        <v>1232.51</v>
      </c>
    </row>
    <row r="829" spans="1:6" ht="15" x14ac:dyDescent="0.25">
      <c r="A829" s="137" t="s">
        <v>313</v>
      </c>
      <c r="B829" s="137" t="s">
        <v>652</v>
      </c>
      <c r="C829" s="137">
        <v>2011429</v>
      </c>
      <c r="D829" s="197">
        <v>40841</v>
      </c>
      <c r="E829" s="139" t="s">
        <v>651</v>
      </c>
      <c r="F829" s="138">
        <v>1110.19</v>
      </c>
    </row>
    <row r="830" spans="1:6" ht="15" x14ac:dyDescent="0.25">
      <c r="A830" s="137" t="s">
        <v>311</v>
      </c>
      <c r="B830" s="137" t="s">
        <v>661</v>
      </c>
      <c r="C830" s="137">
        <v>2011430</v>
      </c>
      <c r="D830" s="197">
        <v>40841</v>
      </c>
      <c r="E830" s="139" t="s">
        <v>651</v>
      </c>
      <c r="F830" s="138">
        <v>277.19</v>
      </c>
    </row>
    <row r="831" spans="1:6" ht="15" x14ac:dyDescent="0.25">
      <c r="A831" s="137" t="s">
        <v>311</v>
      </c>
      <c r="B831" s="137" t="s">
        <v>659</v>
      </c>
      <c r="C831" s="137">
        <v>2011431</v>
      </c>
      <c r="D831" s="197">
        <v>40841</v>
      </c>
      <c r="E831" s="139" t="s">
        <v>651</v>
      </c>
      <c r="F831" s="138">
        <v>545.26</v>
      </c>
    </row>
    <row r="832" spans="1:6" ht="15" x14ac:dyDescent="0.25">
      <c r="A832" s="137" t="s">
        <v>313</v>
      </c>
      <c r="B832" s="137" t="s">
        <v>652</v>
      </c>
      <c r="C832" s="137">
        <v>2011432</v>
      </c>
      <c r="D832" s="197">
        <v>40842</v>
      </c>
      <c r="E832" s="139" t="s">
        <v>651</v>
      </c>
      <c r="F832" s="138">
        <v>556.45000000000005</v>
      </c>
    </row>
    <row r="833" spans="1:6" ht="15" x14ac:dyDescent="0.25">
      <c r="A833" s="137" t="s">
        <v>313</v>
      </c>
      <c r="B833" s="137" t="s">
        <v>652</v>
      </c>
      <c r="C833" s="137">
        <v>2011433</v>
      </c>
      <c r="D833" s="197">
        <v>40842</v>
      </c>
      <c r="E833" s="139" t="s">
        <v>651</v>
      </c>
      <c r="F833" s="138">
        <v>241.04</v>
      </c>
    </row>
    <row r="834" spans="1:6" ht="15" x14ac:dyDescent="0.25">
      <c r="A834" s="137" t="s">
        <v>311</v>
      </c>
      <c r="B834" s="137" t="s">
        <v>660</v>
      </c>
      <c r="C834" s="137">
        <v>2011434</v>
      </c>
      <c r="D834" s="197">
        <v>40843</v>
      </c>
      <c r="E834" s="139" t="s">
        <v>651</v>
      </c>
      <c r="F834" s="138">
        <v>339.52</v>
      </c>
    </row>
    <row r="835" spans="1:6" ht="15" x14ac:dyDescent="0.25">
      <c r="A835" s="137" t="s">
        <v>313</v>
      </c>
      <c r="B835" s="137" t="s">
        <v>654</v>
      </c>
      <c r="C835" s="137">
        <v>2011435</v>
      </c>
      <c r="D835" s="197">
        <v>40844</v>
      </c>
      <c r="E835" s="139" t="s">
        <v>651</v>
      </c>
      <c r="F835" s="138">
        <v>1247.23</v>
      </c>
    </row>
    <row r="836" spans="1:6" ht="15" x14ac:dyDescent="0.25">
      <c r="A836" s="137" t="s">
        <v>313</v>
      </c>
      <c r="B836" s="137" t="s">
        <v>657</v>
      </c>
      <c r="C836" s="137">
        <v>2011436</v>
      </c>
      <c r="D836" s="197">
        <v>40849</v>
      </c>
      <c r="E836" s="139" t="s">
        <v>650</v>
      </c>
      <c r="F836" s="138">
        <v>217.97</v>
      </c>
    </row>
    <row r="837" spans="1:6" ht="15" x14ac:dyDescent="0.25">
      <c r="A837" s="137" t="s">
        <v>311</v>
      </c>
      <c r="B837" s="137" t="s">
        <v>661</v>
      </c>
      <c r="C837" s="137">
        <v>2011437</v>
      </c>
      <c r="D837" s="197">
        <v>40849</v>
      </c>
      <c r="E837" s="139" t="s">
        <v>651</v>
      </c>
      <c r="F837" s="138">
        <v>721.08</v>
      </c>
    </row>
    <row r="838" spans="1:6" ht="15" x14ac:dyDescent="0.25">
      <c r="A838" s="137" t="s">
        <v>311</v>
      </c>
      <c r="B838" s="137" t="s">
        <v>660</v>
      </c>
      <c r="C838" s="137">
        <v>2011438</v>
      </c>
      <c r="D838" s="197">
        <v>40849</v>
      </c>
      <c r="E838" s="139" t="s">
        <v>650</v>
      </c>
      <c r="F838" s="138">
        <v>715.88</v>
      </c>
    </row>
    <row r="839" spans="1:6" ht="15" x14ac:dyDescent="0.25">
      <c r="A839" s="137" t="s">
        <v>311</v>
      </c>
      <c r="B839" s="137" t="s">
        <v>653</v>
      </c>
      <c r="C839" s="137">
        <v>2011439</v>
      </c>
      <c r="D839" s="197">
        <v>40849</v>
      </c>
      <c r="E839" s="139" t="s">
        <v>651</v>
      </c>
      <c r="F839" s="138">
        <v>84.48</v>
      </c>
    </row>
    <row r="840" spans="1:6" ht="15" x14ac:dyDescent="0.25">
      <c r="A840" s="137" t="s">
        <v>313</v>
      </c>
      <c r="B840" s="137" t="s">
        <v>652</v>
      </c>
      <c r="C840" s="137">
        <v>2011440</v>
      </c>
      <c r="D840" s="197">
        <v>40851</v>
      </c>
      <c r="E840" s="139" t="s">
        <v>650</v>
      </c>
      <c r="F840" s="138">
        <v>489.02</v>
      </c>
    </row>
    <row r="841" spans="1:6" ht="15" x14ac:dyDescent="0.25">
      <c r="A841" s="137" t="s">
        <v>313</v>
      </c>
      <c r="B841" s="137" t="s">
        <v>649</v>
      </c>
      <c r="C841" s="137">
        <v>2011441</v>
      </c>
      <c r="D841" s="197">
        <v>40851</v>
      </c>
      <c r="E841" s="139" t="s">
        <v>651</v>
      </c>
      <c r="F841" s="138">
        <v>824.39</v>
      </c>
    </row>
    <row r="842" spans="1:6" ht="15" x14ac:dyDescent="0.25">
      <c r="A842" s="137" t="s">
        <v>313</v>
      </c>
      <c r="B842" s="137" t="s">
        <v>656</v>
      </c>
      <c r="C842" s="137">
        <v>2011442</v>
      </c>
      <c r="D842" s="197">
        <v>40854</v>
      </c>
      <c r="E842" s="139" t="s">
        <v>650</v>
      </c>
      <c r="F842" s="138">
        <v>1235.6400000000001</v>
      </c>
    </row>
    <row r="843" spans="1:6" ht="15" x14ac:dyDescent="0.25">
      <c r="A843" s="137" t="s">
        <v>311</v>
      </c>
      <c r="B843" s="137" t="s">
        <v>653</v>
      </c>
      <c r="C843" s="137">
        <v>2011443</v>
      </c>
      <c r="D843" s="197">
        <v>40854</v>
      </c>
      <c r="E843" s="139" t="s">
        <v>651</v>
      </c>
      <c r="F843" s="138">
        <v>1064.17</v>
      </c>
    </row>
    <row r="844" spans="1:6" ht="15" x14ac:dyDescent="0.25">
      <c r="A844" s="137" t="s">
        <v>313</v>
      </c>
      <c r="B844" s="137" t="s">
        <v>649</v>
      </c>
      <c r="C844" s="137">
        <v>2011444</v>
      </c>
      <c r="D844" s="197">
        <v>40855</v>
      </c>
      <c r="E844" s="139" t="s">
        <v>651</v>
      </c>
      <c r="F844" s="138">
        <v>134.94999999999999</v>
      </c>
    </row>
    <row r="845" spans="1:6" ht="15" x14ac:dyDescent="0.25">
      <c r="A845" s="137" t="s">
        <v>311</v>
      </c>
      <c r="B845" s="137" t="s">
        <v>660</v>
      </c>
      <c r="C845" s="137">
        <v>2011445</v>
      </c>
      <c r="D845" s="197">
        <v>40857</v>
      </c>
      <c r="E845" s="139" t="s">
        <v>651</v>
      </c>
      <c r="F845" s="138">
        <v>710.88</v>
      </c>
    </row>
    <row r="846" spans="1:6" ht="15" x14ac:dyDescent="0.25">
      <c r="A846" s="137" t="s">
        <v>313</v>
      </c>
      <c r="B846" s="137" t="s">
        <v>649</v>
      </c>
      <c r="C846" s="137">
        <v>2011446</v>
      </c>
      <c r="D846" s="197">
        <v>40858</v>
      </c>
      <c r="E846" s="139" t="s">
        <v>651</v>
      </c>
      <c r="F846" s="138">
        <v>1134.3</v>
      </c>
    </row>
    <row r="847" spans="1:6" ht="15" x14ac:dyDescent="0.25">
      <c r="A847" s="137" t="s">
        <v>311</v>
      </c>
      <c r="B847" s="137" t="s">
        <v>661</v>
      </c>
      <c r="C847" s="137">
        <v>2011447</v>
      </c>
      <c r="D847" s="197">
        <v>40858</v>
      </c>
      <c r="E847" s="139" t="s">
        <v>650</v>
      </c>
      <c r="F847" s="138">
        <v>159.06</v>
      </c>
    </row>
    <row r="848" spans="1:6" ht="15" x14ac:dyDescent="0.25">
      <c r="A848" s="137" t="s">
        <v>311</v>
      </c>
      <c r="B848" s="137" t="s">
        <v>655</v>
      </c>
      <c r="C848" s="137">
        <v>2011448</v>
      </c>
      <c r="D848" s="197">
        <v>40858</v>
      </c>
      <c r="E848" s="139" t="s">
        <v>651</v>
      </c>
      <c r="F848" s="138">
        <v>1040.3399999999999</v>
      </c>
    </row>
    <row r="849" spans="1:6" ht="15" x14ac:dyDescent="0.25">
      <c r="A849" s="137" t="s">
        <v>313</v>
      </c>
      <c r="B849" s="137" t="s">
        <v>654</v>
      </c>
      <c r="C849" s="137">
        <v>2011449</v>
      </c>
      <c r="D849" s="197">
        <v>40861</v>
      </c>
      <c r="E849" s="139" t="s">
        <v>650</v>
      </c>
      <c r="F849" s="138">
        <v>1160.1600000000001</v>
      </c>
    </row>
    <row r="850" spans="1:6" ht="15" x14ac:dyDescent="0.25">
      <c r="A850" s="137" t="s">
        <v>311</v>
      </c>
      <c r="B850" s="137" t="s">
        <v>658</v>
      </c>
      <c r="C850" s="137">
        <v>2011450</v>
      </c>
      <c r="D850" s="197">
        <v>40861</v>
      </c>
      <c r="E850" s="139" t="s">
        <v>651</v>
      </c>
      <c r="F850" s="138">
        <v>339.4</v>
      </c>
    </row>
    <row r="851" spans="1:6" ht="15" x14ac:dyDescent="0.25">
      <c r="A851" s="137" t="s">
        <v>313</v>
      </c>
      <c r="B851" s="137" t="s">
        <v>652</v>
      </c>
      <c r="C851" s="137">
        <v>2011451</v>
      </c>
      <c r="D851" s="197">
        <v>40863</v>
      </c>
      <c r="E851" s="139" t="s">
        <v>650</v>
      </c>
      <c r="F851" s="138">
        <v>847.72</v>
      </c>
    </row>
    <row r="852" spans="1:6" ht="15" x14ac:dyDescent="0.25">
      <c r="A852" s="137" t="s">
        <v>313</v>
      </c>
      <c r="B852" s="137" t="s">
        <v>652</v>
      </c>
      <c r="C852" s="137">
        <v>2011452</v>
      </c>
      <c r="D852" s="197">
        <v>40864</v>
      </c>
      <c r="E852" s="139" t="s">
        <v>651</v>
      </c>
      <c r="F852" s="138">
        <v>95.8</v>
      </c>
    </row>
    <row r="853" spans="1:6" ht="15" x14ac:dyDescent="0.25">
      <c r="A853" s="137" t="s">
        <v>313</v>
      </c>
      <c r="B853" s="137" t="s">
        <v>652</v>
      </c>
      <c r="C853" s="137">
        <v>2011453</v>
      </c>
      <c r="D853" s="197">
        <v>40864</v>
      </c>
      <c r="E853" s="139" t="s">
        <v>651</v>
      </c>
      <c r="F853" s="138">
        <v>815.39</v>
      </c>
    </row>
    <row r="854" spans="1:6" ht="15" x14ac:dyDescent="0.25">
      <c r="A854" s="137" t="s">
        <v>313</v>
      </c>
      <c r="B854" s="137" t="s">
        <v>652</v>
      </c>
      <c r="C854" s="137">
        <v>2011454</v>
      </c>
      <c r="D854" s="197">
        <v>40864</v>
      </c>
      <c r="E854" s="139" t="s">
        <v>650</v>
      </c>
      <c r="F854" s="138">
        <v>198.28</v>
      </c>
    </row>
    <row r="855" spans="1:6" ht="15" x14ac:dyDescent="0.25">
      <c r="A855" s="137" t="s">
        <v>313</v>
      </c>
      <c r="B855" s="137" t="s">
        <v>654</v>
      </c>
      <c r="C855" s="137">
        <v>2011455</v>
      </c>
      <c r="D855" s="197">
        <v>40864</v>
      </c>
      <c r="E855" s="139" t="s">
        <v>651</v>
      </c>
      <c r="F855" s="138">
        <v>1148.1600000000001</v>
      </c>
    </row>
    <row r="856" spans="1:6" ht="15" x14ac:dyDescent="0.25">
      <c r="A856" s="137" t="s">
        <v>311</v>
      </c>
      <c r="B856" s="137" t="s">
        <v>655</v>
      </c>
      <c r="C856" s="137">
        <v>2011456</v>
      </c>
      <c r="D856" s="197">
        <v>40864</v>
      </c>
      <c r="E856" s="139" t="s">
        <v>651</v>
      </c>
      <c r="F856" s="138">
        <v>871.21</v>
      </c>
    </row>
    <row r="857" spans="1:6" ht="15" x14ac:dyDescent="0.25">
      <c r="A857" s="137" t="s">
        <v>313</v>
      </c>
      <c r="B857" s="137" t="s">
        <v>652</v>
      </c>
      <c r="C857" s="137">
        <v>2011457</v>
      </c>
      <c r="D857" s="197">
        <v>40865</v>
      </c>
      <c r="E857" s="139" t="s">
        <v>650</v>
      </c>
      <c r="F857" s="138">
        <v>457.39</v>
      </c>
    </row>
    <row r="858" spans="1:6" ht="15" x14ac:dyDescent="0.25">
      <c r="A858" s="137" t="s">
        <v>313</v>
      </c>
      <c r="B858" s="137" t="s">
        <v>657</v>
      </c>
      <c r="C858" s="137">
        <v>2011458</v>
      </c>
      <c r="D858" s="197">
        <v>40865</v>
      </c>
      <c r="E858" s="139" t="s">
        <v>650</v>
      </c>
      <c r="F858" s="138">
        <v>846.67</v>
      </c>
    </row>
    <row r="859" spans="1:6" ht="15" x14ac:dyDescent="0.25">
      <c r="A859" s="137" t="s">
        <v>311</v>
      </c>
      <c r="B859" s="137" t="s">
        <v>658</v>
      </c>
      <c r="C859" s="137">
        <v>2011459</v>
      </c>
      <c r="D859" s="197">
        <v>40865</v>
      </c>
      <c r="E859" s="139" t="s">
        <v>650</v>
      </c>
      <c r="F859" s="138">
        <v>210.2</v>
      </c>
    </row>
    <row r="860" spans="1:6" ht="15" x14ac:dyDescent="0.25">
      <c r="A860" s="137" t="s">
        <v>313</v>
      </c>
      <c r="B860" s="137" t="s">
        <v>656</v>
      </c>
      <c r="C860" s="137">
        <v>2011460</v>
      </c>
      <c r="D860" s="197">
        <v>40868</v>
      </c>
      <c r="E860" s="139" t="s">
        <v>651</v>
      </c>
      <c r="F860" s="138">
        <v>1193.57</v>
      </c>
    </row>
    <row r="861" spans="1:6" ht="15" x14ac:dyDescent="0.25">
      <c r="A861" s="137" t="s">
        <v>311</v>
      </c>
      <c r="B861" s="137" t="s">
        <v>655</v>
      </c>
      <c r="C861" s="137">
        <v>2011461</v>
      </c>
      <c r="D861" s="197">
        <v>40868</v>
      </c>
      <c r="E861" s="139" t="s">
        <v>651</v>
      </c>
      <c r="F861" s="138">
        <v>622.67999999999995</v>
      </c>
    </row>
    <row r="862" spans="1:6" ht="15" x14ac:dyDescent="0.25">
      <c r="A862" s="137" t="s">
        <v>311</v>
      </c>
      <c r="B862" s="137" t="s">
        <v>660</v>
      </c>
      <c r="C862" s="137">
        <v>2011462</v>
      </c>
      <c r="D862" s="197">
        <v>40869</v>
      </c>
      <c r="E862" s="139" t="s">
        <v>650</v>
      </c>
      <c r="F862" s="138">
        <v>1123.9100000000001</v>
      </c>
    </row>
    <row r="863" spans="1:6" ht="15" x14ac:dyDescent="0.25">
      <c r="A863" s="137" t="s">
        <v>311</v>
      </c>
      <c r="B863" s="137" t="s">
        <v>660</v>
      </c>
      <c r="C863" s="137">
        <v>2011463</v>
      </c>
      <c r="D863" s="197">
        <v>40869</v>
      </c>
      <c r="E863" s="139" t="s">
        <v>651</v>
      </c>
      <c r="F863" s="138">
        <v>635.28</v>
      </c>
    </row>
    <row r="864" spans="1:6" ht="15" x14ac:dyDescent="0.25">
      <c r="A864" s="137" t="s">
        <v>313</v>
      </c>
      <c r="B864" s="137" t="s">
        <v>657</v>
      </c>
      <c r="C864" s="137">
        <v>2011464</v>
      </c>
      <c r="D864" s="197">
        <v>40870</v>
      </c>
      <c r="E864" s="139" t="s">
        <v>651</v>
      </c>
      <c r="F864" s="138">
        <v>664.55</v>
      </c>
    </row>
    <row r="865" spans="1:6" ht="15" x14ac:dyDescent="0.25">
      <c r="A865" s="137" t="s">
        <v>311</v>
      </c>
      <c r="B865" s="137" t="s">
        <v>661</v>
      </c>
      <c r="C865" s="137">
        <v>2011465</v>
      </c>
      <c r="D865" s="197">
        <v>40870</v>
      </c>
      <c r="E865" s="139" t="s">
        <v>650</v>
      </c>
      <c r="F865" s="138">
        <v>388.96</v>
      </c>
    </row>
    <row r="866" spans="1:6" ht="15" x14ac:dyDescent="0.25">
      <c r="A866" s="137" t="s">
        <v>311</v>
      </c>
      <c r="B866" s="137" t="s">
        <v>660</v>
      </c>
      <c r="C866" s="137">
        <v>2011466</v>
      </c>
      <c r="D866" s="197">
        <v>40870</v>
      </c>
      <c r="E866" s="139" t="s">
        <v>650</v>
      </c>
      <c r="F866" s="138">
        <v>659.73</v>
      </c>
    </row>
    <row r="867" spans="1:6" ht="15" x14ac:dyDescent="0.25">
      <c r="A867" s="137" t="s">
        <v>313</v>
      </c>
      <c r="B867" s="137" t="s">
        <v>657</v>
      </c>
      <c r="C867" s="137">
        <v>2011467</v>
      </c>
      <c r="D867" s="197">
        <v>40871</v>
      </c>
      <c r="E867" s="139" t="s">
        <v>650</v>
      </c>
      <c r="F867" s="138">
        <v>1066.58</v>
      </c>
    </row>
    <row r="868" spans="1:6" ht="15" x14ac:dyDescent="0.25">
      <c r="A868" s="137" t="s">
        <v>313</v>
      </c>
      <c r="B868" s="137" t="s">
        <v>657</v>
      </c>
      <c r="C868" s="137">
        <v>2011468</v>
      </c>
      <c r="D868" s="197">
        <v>40871</v>
      </c>
      <c r="E868" s="139" t="s">
        <v>651</v>
      </c>
      <c r="F868" s="138">
        <v>392.38</v>
      </c>
    </row>
    <row r="869" spans="1:6" ht="15" x14ac:dyDescent="0.25">
      <c r="A869" s="137" t="s">
        <v>313</v>
      </c>
      <c r="B869" s="137" t="s">
        <v>649</v>
      </c>
      <c r="C869" s="137">
        <v>2011469</v>
      </c>
      <c r="D869" s="197">
        <v>40871</v>
      </c>
      <c r="E869" s="139" t="s">
        <v>651</v>
      </c>
      <c r="F869" s="138">
        <v>1044.1199999999999</v>
      </c>
    </row>
    <row r="870" spans="1:6" ht="15" x14ac:dyDescent="0.25">
      <c r="A870" s="137" t="s">
        <v>313</v>
      </c>
      <c r="B870" s="137" t="s">
        <v>652</v>
      </c>
      <c r="C870" s="137">
        <v>2011470</v>
      </c>
      <c r="D870" s="197">
        <v>40872</v>
      </c>
      <c r="E870" s="139" t="s">
        <v>650</v>
      </c>
      <c r="F870" s="138">
        <v>670.6</v>
      </c>
    </row>
    <row r="871" spans="1:6" ht="15" x14ac:dyDescent="0.25">
      <c r="A871" s="137" t="s">
        <v>313</v>
      </c>
      <c r="B871" s="137" t="s">
        <v>649</v>
      </c>
      <c r="C871" s="137">
        <v>2011471</v>
      </c>
      <c r="D871" s="197">
        <v>40872</v>
      </c>
      <c r="E871" s="139" t="s">
        <v>651</v>
      </c>
      <c r="F871" s="138">
        <v>1078.25</v>
      </c>
    </row>
    <row r="872" spans="1:6" ht="15" x14ac:dyDescent="0.25">
      <c r="A872" s="137" t="s">
        <v>313</v>
      </c>
      <c r="B872" s="137" t="s">
        <v>656</v>
      </c>
      <c r="C872" s="137">
        <v>2011472</v>
      </c>
      <c r="D872" s="197">
        <v>40872</v>
      </c>
      <c r="E872" s="139" t="s">
        <v>651</v>
      </c>
      <c r="F872" s="138">
        <v>145.99</v>
      </c>
    </row>
    <row r="873" spans="1:6" ht="15" x14ac:dyDescent="0.25">
      <c r="A873" s="137" t="s">
        <v>313</v>
      </c>
      <c r="B873" s="137" t="s">
        <v>652</v>
      </c>
      <c r="C873" s="137">
        <v>2011473</v>
      </c>
      <c r="D873" s="197">
        <v>40875</v>
      </c>
      <c r="E873" s="139" t="s">
        <v>650</v>
      </c>
      <c r="F873" s="138">
        <v>476.95</v>
      </c>
    </row>
    <row r="874" spans="1:6" ht="15" x14ac:dyDescent="0.25">
      <c r="A874" s="137" t="s">
        <v>313</v>
      </c>
      <c r="B874" s="137" t="s">
        <v>652</v>
      </c>
      <c r="C874" s="137">
        <v>2011474</v>
      </c>
      <c r="D874" s="197">
        <v>40875</v>
      </c>
      <c r="E874" s="139" t="s">
        <v>650</v>
      </c>
      <c r="F874" s="138">
        <v>174.42</v>
      </c>
    </row>
    <row r="875" spans="1:6" ht="15" x14ac:dyDescent="0.25">
      <c r="A875" s="137" t="s">
        <v>313</v>
      </c>
      <c r="B875" s="137" t="s">
        <v>657</v>
      </c>
      <c r="C875" s="137">
        <v>2011475</v>
      </c>
      <c r="D875" s="197">
        <v>40875</v>
      </c>
      <c r="E875" s="139" t="s">
        <v>651</v>
      </c>
      <c r="F875" s="138">
        <v>350.67</v>
      </c>
    </row>
    <row r="876" spans="1:6" ht="15" x14ac:dyDescent="0.25">
      <c r="A876" s="137" t="s">
        <v>313</v>
      </c>
      <c r="B876" s="137" t="s">
        <v>656</v>
      </c>
      <c r="C876" s="137">
        <v>2011476</v>
      </c>
      <c r="D876" s="197">
        <v>40875</v>
      </c>
      <c r="E876" s="139" t="s">
        <v>650</v>
      </c>
      <c r="F876" s="138">
        <v>748.35</v>
      </c>
    </row>
    <row r="877" spans="1:6" ht="15" x14ac:dyDescent="0.25">
      <c r="A877" s="137" t="s">
        <v>313</v>
      </c>
      <c r="B877" s="137" t="s">
        <v>656</v>
      </c>
      <c r="C877" s="137">
        <v>2011477</v>
      </c>
      <c r="D877" s="197">
        <v>40876</v>
      </c>
      <c r="E877" s="139" t="s">
        <v>650</v>
      </c>
      <c r="F877" s="138">
        <v>756.39</v>
      </c>
    </row>
    <row r="878" spans="1:6" ht="15" x14ac:dyDescent="0.25">
      <c r="A878" s="137" t="s">
        <v>313</v>
      </c>
      <c r="B878" s="137" t="s">
        <v>654</v>
      </c>
      <c r="C878" s="137">
        <v>2011478</v>
      </c>
      <c r="D878" s="197">
        <v>40876</v>
      </c>
      <c r="E878" s="139" t="s">
        <v>651</v>
      </c>
      <c r="F878" s="138">
        <v>394.65</v>
      </c>
    </row>
    <row r="879" spans="1:6" ht="15" x14ac:dyDescent="0.25">
      <c r="A879" s="137" t="s">
        <v>313</v>
      </c>
      <c r="B879" s="137" t="s">
        <v>652</v>
      </c>
      <c r="C879" s="137">
        <v>2011479</v>
      </c>
      <c r="D879" s="197">
        <v>40877</v>
      </c>
      <c r="E879" s="139" t="s">
        <v>651</v>
      </c>
      <c r="F879" s="138">
        <v>605.99</v>
      </c>
    </row>
    <row r="880" spans="1:6" ht="15" x14ac:dyDescent="0.25">
      <c r="A880" s="137" t="s">
        <v>313</v>
      </c>
      <c r="B880" s="137" t="s">
        <v>657</v>
      </c>
      <c r="C880" s="137">
        <v>2011480</v>
      </c>
      <c r="D880" s="197">
        <v>40877</v>
      </c>
      <c r="E880" s="139" t="s">
        <v>650</v>
      </c>
      <c r="F880" s="138">
        <v>809.66</v>
      </c>
    </row>
    <row r="881" spans="1:6" ht="15" x14ac:dyDescent="0.25">
      <c r="A881" s="137" t="s">
        <v>311</v>
      </c>
      <c r="B881" s="137" t="s">
        <v>658</v>
      </c>
      <c r="C881" s="137">
        <v>2011481</v>
      </c>
      <c r="D881" s="197">
        <v>40877</v>
      </c>
      <c r="E881" s="139" t="s">
        <v>651</v>
      </c>
      <c r="F881" s="138">
        <v>284.02</v>
      </c>
    </row>
    <row r="882" spans="1:6" ht="15" x14ac:dyDescent="0.25">
      <c r="A882" s="137" t="s">
        <v>313</v>
      </c>
      <c r="B882" s="137" t="s">
        <v>654</v>
      </c>
      <c r="C882" s="137">
        <v>2011482</v>
      </c>
      <c r="D882" s="197">
        <v>40879</v>
      </c>
      <c r="E882" s="139" t="s">
        <v>651</v>
      </c>
      <c r="F882" s="138">
        <v>747.38</v>
      </c>
    </row>
    <row r="883" spans="1:6" ht="15" x14ac:dyDescent="0.25">
      <c r="A883" s="137" t="s">
        <v>311</v>
      </c>
      <c r="B883" s="137" t="s">
        <v>660</v>
      </c>
      <c r="C883" s="137">
        <v>2011483</v>
      </c>
      <c r="D883" s="197">
        <v>40882</v>
      </c>
      <c r="E883" s="139" t="s">
        <v>651</v>
      </c>
      <c r="F883" s="138">
        <v>1024.8599999999999</v>
      </c>
    </row>
    <row r="884" spans="1:6" ht="15" x14ac:dyDescent="0.25">
      <c r="A884" s="137" t="s">
        <v>311</v>
      </c>
      <c r="B884" s="137" t="s">
        <v>653</v>
      </c>
      <c r="C884" s="137">
        <v>2011484</v>
      </c>
      <c r="D884" s="197">
        <v>40882</v>
      </c>
      <c r="E884" s="139" t="s">
        <v>650</v>
      </c>
      <c r="F884" s="138">
        <v>1092.7</v>
      </c>
    </row>
    <row r="885" spans="1:6" ht="15" x14ac:dyDescent="0.25">
      <c r="A885" s="137" t="s">
        <v>311</v>
      </c>
      <c r="B885" s="137" t="s">
        <v>661</v>
      </c>
      <c r="C885" s="137">
        <v>2011485</v>
      </c>
      <c r="D885" s="197">
        <v>40883</v>
      </c>
      <c r="E885" s="139" t="s">
        <v>651</v>
      </c>
      <c r="F885" s="138">
        <v>645.70000000000005</v>
      </c>
    </row>
    <row r="886" spans="1:6" ht="15" x14ac:dyDescent="0.25">
      <c r="A886" s="137" t="s">
        <v>313</v>
      </c>
      <c r="B886" s="137" t="s">
        <v>649</v>
      </c>
      <c r="C886" s="137">
        <v>2011486</v>
      </c>
      <c r="D886" s="197">
        <v>40884</v>
      </c>
      <c r="E886" s="139" t="s">
        <v>651</v>
      </c>
      <c r="F886" s="138">
        <v>386.27</v>
      </c>
    </row>
    <row r="887" spans="1:6" ht="15" x14ac:dyDescent="0.25">
      <c r="A887" s="137" t="s">
        <v>313</v>
      </c>
      <c r="B887" s="137" t="s">
        <v>657</v>
      </c>
      <c r="C887" s="137">
        <v>2011487</v>
      </c>
      <c r="D887" s="197">
        <v>40885</v>
      </c>
      <c r="E887" s="139" t="s">
        <v>651</v>
      </c>
      <c r="F887" s="138">
        <v>297.41000000000003</v>
      </c>
    </row>
    <row r="888" spans="1:6" ht="15" x14ac:dyDescent="0.25">
      <c r="A888" s="137" t="s">
        <v>313</v>
      </c>
      <c r="B888" s="137" t="s">
        <v>649</v>
      </c>
      <c r="C888" s="137">
        <v>2011488</v>
      </c>
      <c r="D888" s="197">
        <v>40885</v>
      </c>
      <c r="E888" s="139" t="s">
        <v>651</v>
      </c>
      <c r="F888" s="138">
        <v>638.62</v>
      </c>
    </row>
    <row r="889" spans="1:6" ht="15" x14ac:dyDescent="0.25">
      <c r="A889" s="137" t="s">
        <v>311</v>
      </c>
      <c r="B889" s="137" t="s">
        <v>658</v>
      </c>
      <c r="C889" s="137">
        <v>2011489</v>
      </c>
      <c r="D889" s="197">
        <v>40885</v>
      </c>
      <c r="E889" s="139" t="s">
        <v>650</v>
      </c>
      <c r="F889" s="138">
        <v>804.38</v>
      </c>
    </row>
    <row r="890" spans="1:6" ht="15" x14ac:dyDescent="0.25">
      <c r="A890" s="137" t="s">
        <v>313</v>
      </c>
      <c r="B890" s="137" t="s">
        <v>656</v>
      </c>
      <c r="C890" s="137">
        <v>2011490</v>
      </c>
      <c r="D890" s="197">
        <v>40886</v>
      </c>
      <c r="E890" s="139" t="s">
        <v>651</v>
      </c>
      <c r="F890" s="138">
        <v>907.84</v>
      </c>
    </row>
    <row r="891" spans="1:6" ht="15" x14ac:dyDescent="0.25">
      <c r="A891" s="137" t="s">
        <v>313</v>
      </c>
      <c r="B891" s="137" t="s">
        <v>656</v>
      </c>
      <c r="C891" s="137">
        <v>2011491</v>
      </c>
      <c r="D891" s="197">
        <v>40886</v>
      </c>
      <c r="E891" s="139" t="s">
        <v>650</v>
      </c>
      <c r="F891" s="138">
        <v>141.08000000000001</v>
      </c>
    </row>
    <row r="892" spans="1:6" ht="15" x14ac:dyDescent="0.25">
      <c r="A892" s="137" t="s">
        <v>313</v>
      </c>
      <c r="B892" s="137" t="s">
        <v>654</v>
      </c>
      <c r="C892" s="137">
        <v>2011492</v>
      </c>
      <c r="D892" s="197">
        <v>40886</v>
      </c>
      <c r="E892" s="139" t="s">
        <v>650</v>
      </c>
      <c r="F892" s="138">
        <v>571.86</v>
      </c>
    </row>
    <row r="893" spans="1:6" ht="15" x14ac:dyDescent="0.25">
      <c r="A893" s="137" t="s">
        <v>313</v>
      </c>
      <c r="B893" s="137" t="s">
        <v>652</v>
      </c>
      <c r="C893" s="137">
        <v>2011493</v>
      </c>
      <c r="D893" s="197">
        <v>40890</v>
      </c>
      <c r="E893" s="139" t="s">
        <v>651</v>
      </c>
      <c r="F893" s="138">
        <v>33.81</v>
      </c>
    </row>
    <row r="894" spans="1:6" ht="15" x14ac:dyDescent="0.25">
      <c r="A894" s="137" t="s">
        <v>313</v>
      </c>
      <c r="B894" s="137" t="s">
        <v>656</v>
      </c>
      <c r="C894" s="137">
        <v>2011494</v>
      </c>
      <c r="D894" s="197">
        <v>40890</v>
      </c>
      <c r="E894" s="139" t="s">
        <v>651</v>
      </c>
      <c r="F894" s="138">
        <v>764.25</v>
      </c>
    </row>
    <row r="895" spans="1:6" ht="15" x14ac:dyDescent="0.25">
      <c r="A895" s="137" t="s">
        <v>311</v>
      </c>
      <c r="B895" s="137" t="s">
        <v>653</v>
      </c>
      <c r="C895" s="137">
        <v>2011495</v>
      </c>
      <c r="D895" s="197">
        <v>40890</v>
      </c>
      <c r="E895" s="139" t="s">
        <v>650</v>
      </c>
      <c r="F895" s="138">
        <v>278.67</v>
      </c>
    </row>
    <row r="896" spans="1:6" ht="15" x14ac:dyDescent="0.25">
      <c r="A896" s="137" t="s">
        <v>311</v>
      </c>
      <c r="B896" s="137" t="s">
        <v>655</v>
      </c>
      <c r="C896" s="137">
        <v>2011496</v>
      </c>
      <c r="D896" s="197">
        <v>40890</v>
      </c>
      <c r="E896" s="139" t="s">
        <v>651</v>
      </c>
      <c r="F896" s="138">
        <v>1085.06</v>
      </c>
    </row>
    <row r="897" spans="1:6" ht="15" x14ac:dyDescent="0.25">
      <c r="A897" s="137" t="s">
        <v>313</v>
      </c>
      <c r="B897" s="137" t="s">
        <v>649</v>
      </c>
      <c r="C897" s="137">
        <v>2011497</v>
      </c>
      <c r="D897" s="197">
        <v>40891</v>
      </c>
      <c r="E897" s="139" t="s">
        <v>651</v>
      </c>
      <c r="F897" s="138">
        <v>38.76</v>
      </c>
    </row>
    <row r="898" spans="1:6" ht="15" x14ac:dyDescent="0.25">
      <c r="A898" s="137" t="s">
        <v>313</v>
      </c>
      <c r="B898" s="137" t="s">
        <v>652</v>
      </c>
      <c r="C898" s="137">
        <v>2011498</v>
      </c>
      <c r="D898" s="197">
        <v>40892</v>
      </c>
      <c r="E898" s="139" t="s">
        <v>651</v>
      </c>
      <c r="F898" s="138">
        <v>865.88</v>
      </c>
    </row>
    <row r="899" spans="1:6" ht="15" x14ac:dyDescent="0.25">
      <c r="A899" s="137" t="s">
        <v>313</v>
      </c>
      <c r="B899" s="137" t="s">
        <v>652</v>
      </c>
      <c r="C899" s="137">
        <v>2011499</v>
      </c>
      <c r="D899" s="197">
        <v>40892</v>
      </c>
      <c r="E899" s="139" t="s">
        <v>651</v>
      </c>
      <c r="F899" s="138">
        <v>1091.99</v>
      </c>
    </row>
    <row r="900" spans="1:6" ht="15" x14ac:dyDescent="0.25">
      <c r="A900" s="137" t="s">
        <v>311</v>
      </c>
      <c r="B900" s="137" t="s">
        <v>658</v>
      </c>
      <c r="C900" s="137">
        <v>2011500</v>
      </c>
      <c r="D900" s="197">
        <v>40892</v>
      </c>
      <c r="E900" s="139" t="s">
        <v>651</v>
      </c>
      <c r="F900" s="138">
        <v>1006.44</v>
      </c>
    </row>
    <row r="901" spans="1:6" ht="15" x14ac:dyDescent="0.25">
      <c r="A901" s="137" t="s">
        <v>311</v>
      </c>
      <c r="B901" s="137" t="s">
        <v>655</v>
      </c>
      <c r="C901" s="137">
        <v>2011501</v>
      </c>
      <c r="D901" s="197">
        <v>40892</v>
      </c>
      <c r="E901" s="139" t="s">
        <v>650</v>
      </c>
      <c r="F901" s="138">
        <v>1160.73</v>
      </c>
    </row>
    <row r="902" spans="1:6" ht="15" x14ac:dyDescent="0.25">
      <c r="A902" s="137" t="s">
        <v>313</v>
      </c>
      <c r="B902" s="137" t="s">
        <v>652</v>
      </c>
      <c r="C902" s="137">
        <v>2011502</v>
      </c>
      <c r="D902" s="197">
        <v>40893</v>
      </c>
      <c r="E902" s="139" t="s">
        <v>650</v>
      </c>
      <c r="F902" s="138">
        <v>32.25</v>
      </c>
    </row>
    <row r="903" spans="1:6" ht="15" x14ac:dyDescent="0.25">
      <c r="A903" s="137" t="s">
        <v>311</v>
      </c>
      <c r="B903" s="137" t="s">
        <v>655</v>
      </c>
      <c r="C903" s="137">
        <v>2011503</v>
      </c>
      <c r="D903" s="197">
        <v>40893</v>
      </c>
      <c r="E903" s="139" t="s">
        <v>651</v>
      </c>
      <c r="F903" s="138">
        <v>1253.43</v>
      </c>
    </row>
    <row r="904" spans="1:6" ht="15" x14ac:dyDescent="0.25">
      <c r="A904" s="137" t="s">
        <v>313</v>
      </c>
      <c r="B904" s="137" t="s">
        <v>652</v>
      </c>
      <c r="C904" s="137">
        <v>2011504</v>
      </c>
      <c r="D904" s="197">
        <v>40896</v>
      </c>
      <c r="E904" s="139" t="s">
        <v>651</v>
      </c>
      <c r="F904" s="138">
        <v>1057.7</v>
      </c>
    </row>
    <row r="905" spans="1:6" ht="15" x14ac:dyDescent="0.25">
      <c r="A905" s="137" t="s">
        <v>313</v>
      </c>
      <c r="B905" s="137" t="s">
        <v>656</v>
      </c>
      <c r="C905" s="137">
        <v>2011505</v>
      </c>
      <c r="D905" s="197">
        <v>40896</v>
      </c>
      <c r="E905" s="139" t="s">
        <v>650</v>
      </c>
      <c r="F905" s="138">
        <v>1175.8499999999999</v>
      </c>
    </row>
    <row r="906" spans="1:6" ht="15" x14ac:dyDescent="0.25">
      <c r="A906" s="137" t="s">
        <v>313</v>
      </c>
      <c r="B906" s="137" t="s">
        <v>654</v>
      </c>
      <c r="C906" s="137">
        <v>2011506</v>
      </c>
      <c r="D906" s="197">
        <v>40897</v>
      </c>
      <c r="E906" s="139" t="s">
        <v>650</v>
      </c>
      <c r="F906" s="138">
        <v>1118.6199999999999</v>
      </c>
    </row>
    <row r="907" spans="1:6" ht="15" x14ac:dyDescent="0.25">
      <c r="A907" s="137" t="s">
        <v>313</v>
      </c>
      <c r="B907" s="137" t="s">
        <v>649</v>
      </c>
      <c r="C907" s="137">
        <v>2011507</v>
      </c>
      <c r="D907" s="197">
        <v>40898</v>
      </c>
      <c r="E907" s="139" t="s">
        <v>650</v>
      </c>
      <c r="F907" s="138">
        <v>906.45</v>
      </c>
    </row>
    <row r="908" spans="1:6" ht="15" x14ac:dyDescent="0.25">
      <c r="A908" s="137" t="s">
        <v>313</v>
      </c>
      <c r="B908" s="137" t="s">
        <v>656</v>
      </c>
      <c r="C908" s="137">
        <v>2011508</v>
      </c>
      <c r="D908" s="197">
        <v>40899</v>
      </c>
      <c r="E908" s="139" t="s">
        <v>651</v>
      </c>
      <c r="F908" s="138">
        <v>205.77</v>
      </c>
    </row>
    <row r="909" spans="1:6" ht="15" x14ac:dyDescent="0.25">
      <c r="A909" s="137" t="s">
        <v>313</v>
      </c>
      <c r="B909" s="137" t="s">
        <v>656</v>
      </c>
      <c r="C909" s="137">
        <v>2011509</v>
      </c>
      <c r="D909" s="197">
        <v>40899</v>
      </c>
      <c r="E909" s="139" t="s">
        <v>650</v>
      </c>
      <c r="F909" s="138">
        <v>342.93</v>
      </c>
    </row>
    <row r="910" spans="1:6" ht="15" x14ac:dyDescent="0.25">
      <c r="A910" s="137" t="s">
        <v>311</v>
      </c>
      <c r="B910" s="137" t="s">
        <v>658</v>
      </c>
      <c r="C910" s="137">
        <v>2011510</v>
      </c>
      <c r="D910" s="197">
        <v>40900</v>
      </c>
      <c r="E910" s="139" t="s">
        <v>650</v>
      </c>
      <c r="F910" s="138">
        <v>448.69</v>
      </c>
    </row>
    <row r="911" spans="1:6" ht="15" x14ac:dyDescent="0.25">
      <c r="A911" s="137" t="s">
        <v>311</v>
      </c>
      <c r="B911" s="137" t="s">
        <v>655</v>
      </c>
      <c r="C911" s="137">
        <v>2011511</v>
      </c>
      <c r="D911" s="197">
        <v>40900</v>
      </c>
      <c r="E911" s="139" t="s">
        <v>651</v>
      </c>
      <c r="F911" s="138">
        <v>119.6</v>
      </c>
    </row>
    <row r="912" spans="1:6" ht="15" x14ac:dyDescent="0.25">
      <c r="A912" s="137" t="s">
        <v>313</v>
      </c>
      <c r="B912" s="137" t="s">
        <v>649</v>
      </c>
      <c r="C912" s="137">
        <v>2011512</v>
      </c>
      <c r="D912" s="197">
        <v>40903</v>
      </c>
      <c r="E912" s="139" t="s">
        <v>651</v>
      </c>
      <c r="F912" s="138">
        <v>110.59</v>
      </c>
    </row>
    <row r="913" spans="1:6" ht="15" x14ac:dyDescent="0.25">
      <c r="A913" s="137" t="s">
        <v>311</v>
      </c>
      <c r="B913" s="137" t="s">
        <v>661</v>
      </c>
      <c r="C913" s="137">
        <v>2011513</v>
      </c>
      <c r="D913" s="197">
        <v>40903</v>
      </c>
      <c r="E913" s="139" t="s">
        <v>651</v>
      </c>
      <c r="F913" s="138">
        <v>1205.02</v>
      </c>
    </row>
    <row r="914" spans="1:6" ht="15" x14ac:dyDescent="0.25">
      <c r="A914" s="137" t="s">
        <v>311</v>
      </c>
      <c r="B914" s="137" t="s">
        <v>658</v>
      </c>
      <c r="C914" s="137">
        <v>2011514</v>
      </c>
      <c r="D914" s="197">
        <v>40903</v>
      </c>
      <c r="E914" s="139" t="s">
        <v>650</v>
      </c>
      <c r="F914" s="138">
        <v>468.11</v>
      </c>
    </row>
    <row r="915" spans="1:6" ht="15" x14ac:dyDescent="0.25">
      <c r="A915" s="137" t="s">
        <v>311</v>
      </c>
      <c r="B915" s="137" t="s">
        <v>658</v>
      </c>
      <c r="C915" s="137">
        <v>2011515</v>
      </c>
      <c r="D915" s="197">
        <v>40903</v>
      </c>
      <c r="E915" s="139" t="s">
        <v>651</v>
      </c>
      <c r="F915" s="138">
        <v>541.37</v>
      </c>
    </row>
    <row r="916" spans="1:6" ht="15" x14ac:dyDescent="0.25">
      <c r="A916" s="137" t="s">
        <v>313</v>
      </c>
      <c r="B916" s="137" t="s">
        <v>657</v>
      </c>
      <c r="C916" s="137">
        <v>2011516</v>
      </c>
      <c r="D916" s="197">
        <v>40904</v>
      </c>
      <c r="E916" s="139" t="s">
        <v>651</v>
      </c>
      <c r="F916" s="138">
        <v>900</v>
      </c>
    </row>
    <row r="917" spans="1:6" ht="15" x14ac:dyDescent="0.25">
      <c r="A917" s="137" t="s">
        <v>313</v>
      </c>
      <c r="B917" s="137" t="s">
        <v>656</v>
      </c>
      <c r="C917" s="137">
        <v>2011517</v>
      </c>
      <c r="D917" s="197">
        <v>40906</v>
      </c>
      <c r="E917" s="139" t="s">
        <v>651</v>
      </c>
      <c r="F917" s="138">
        <v>329.38</v>
      </c>
    </row>
    <row r="918" spans="1:6" ht="15" x14ac:dyDescent="0.25">
      <c r="A918" s="137" t="s">
        <v>311</v>
      </c>
      <c r="B918" s="137" t="s">
        <v>659</v>
      </c>
      <c r="C918" s="137">
        <v>2011518</v>
      </c>
      <c r="D918" s="197">
        <v>40906</v>
      </c>
      <c r="E918" s="139" t="s">
        <v>651</v>
      </c>
      <c r="F918" s="138">
        <v>612.55999999999995</v>
      </c>
    </row>
    <row r="919" spans="1:6" ht="15" x14ac:dyDescent="0.25">
      <c r="A919" s="137" t="s">
        <v>313</v>
      </c>
      <c r="B919" s="137" t="s">
        <v>652</v>
      </c>
      <c r="C919" s="137">
        <v>2011519</v>
      </c>
      <c r="D919" s="197">
        <v>40907</v>
      </c>
      <c r="E919" s="139" t="s">
        <v>651</v>
      </c>
      <c r="F919" s="138">
        <v>620.66</v>
      </c>
    </row>
    <row r="920" spans="1:6" ht="15" x14ac:dyDescent="0.25">
      <c r="A920" s="137" t="s">
        <v>313</v>
      </c>
      <c r="B920" s="137" t="s">
        <v>657</v>
      </c>
      <c r="C920" s="137">
        <v>2011520</v>
      </c>
      <c r="D920" s="197">
        <v>40907</v>
      </c>
      <c r="E920" s="139" t="s">
        <v>651</v>
      </c>
      <c r="F920" s="138">
        <v>213.33</v>
      </c>
    </row>
    <row r="921" spans="1:6" ht="15" x14ac:dyDescent="0.25">
      <c r="A921" s="137" t="s">
        <v>313</v>
      </c>
      <c r="B921" s="137" t="s">
        <v>656</v>
      </c>
      <c r="C921" s="137">
        <v>2011521</v>
      </c>
      <c r="D921" s="197">
        <v>40907</v>
      </c>
      <c r="E921" s="139" t="s">
        <v>650</v>
      </c>
      <c r="F921" s="138">
        <v>874.89</v>
      </c>
    </row>
    <row r="922" spans="1:6" ht="15" x14ac:dyDescent="0.25">
      <c r="A922" s="137" t="s">
        <v>311</v>
      </c>
      <c r="B922" s="137" t="s">
        <v>660</v>
      </c>
      <c r="C922" s="137">
        <v>2011522</v>
      </c>
      <c r="D922" s="197">
        <v>40907</v>
      </c>
      <c r="E922" s="139" t="s">
        <v>651</v>
      </c>
      <c r="F922" s="138">
        <v>104.76</v>
      </c>
    </row>
    <row r="923" spans="1:6" ht="15" x14ac:dyDescent="0.25">
      <c r="A923" s="137" t="s">
        <v>311</v>
      </c>
      <c r="B923" s="137" t="s">
        <v>658</v>
      </c>
      <c r="C923" s="137">
        <v>2011523</v>
      </c>
      <c r="D923" s="197">
        <v>40907</v>
      </c>
      <c r="E923" s="139" t="s">
        <v>651</v>
      </c>
      <c r="F923" s="138">
        <v>1023.52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09EF-6E25-4E71-8865-4B891623A6DB}">
  <dimension ref="A1:A79"/>
  <sheetViews>
    <sheetView topLeftCell="A25" workbookViewId="0">
      <selection activeCell="A53" sqref="A53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442</v>
      </c>
    </row>
    <row r="2" spans="1:1" x14ac:dyDescent="0.25">
      <c r="A2" s="169" t="s">
        <v>508</v>
      </c>
    </row>
    <row r="3" spans="1:1" x14ac:dyDescent="0.25">
      <c r="A3" s="169" t="s">
        <v>509</v>
      </c>
    </row>
    <row r="4" spans="1:1" x14ac:dyDescent="0.25">
      <c r="A4" s="169" t="s">
        <v>510</v>
      </c>
    </row>
    <row r="5" spans="1:1" x14ac:dyDescent="0.25">
      <c r="A5" s="169" t="s">
        <v>511</v>
      </c>
    </row>
    <row r="6" spans="1:1" x14ac:dyDescent="0.25">
      <c r="A6" s="169" t="s">
        <v>512</v>
      </c>
    </row>
    <row r="7" spans="1:1" x14ac:dyDescent="0.25">
      <c r="A7" s="169" t="s">
        <v>513</v>
      </c>
    </row>
    <row r="8" spans="1:1" x14ac:dyDescent="0.25">
      <c r="A8" s="169" t="s">
        <v>514</v>
      </c>
    </row>
    <row r="9" spans="1:1" x14ac:dyDescent="0.25">
      <c r="A9" s="169" t="s">
        <v>515</v>
      </c>
    </row>
    <row r="10" spans="1:1" x14ac:dyDescent="0.25">
      <c r="A10" s="169" t="s">
        <v>516</v>
      </c>
    </row>
    <row r="11" spans="1:1" x14ac:dyDescent="0.25">
      <c r="A11" s="169" t="s">
        <v>517</v>
      </c>
    </row>
    <row r="12" spans="1:1" x14ac:dyDescent="0.25">
      <c r="A12" s="169" t="s">
        <v>518</v>
      </c>
    </row>
    <row r="13" spans="1:1" x14ac:dyDescent="0.25">
      <c r="A13" s="169" t="s">
        <v>523</v>
      </c>
    </row>
    <row r="14" spans="1:1" x14ac:dyDescent="0.25">
      <c r="A14" s="169" t="s">
        <v>524</v>
      </c>
    </row>
    <row r="15" spans="1:1" x14ac:dyDescent="0.25">
      <c r="A15" s="169" t="s">
        <v>525</v>
      </c>
    </row>
    <row r="16" spans="1:1" x14ac:dyDescent="0.25">
      <c r="A16" s="169" t="s">
        <v>526</v>
      </c>
    </row>
    <row r="17" spans="1:1" x14ac:dyDescent="0.25">
      <c r="A17" s="169" t="s">
        <v>519</v>
      </c>
    </row>
    <row r="18" spans="1:1" x14ac:dyDescent="0.25">
      <c r="A18" s="169" t="s">
        <v>631</v>
      </c>
    </row>
    <row r="19" spans="1:1" x14ac:dyDescent="0.25">
      <c r="A19" s="169" t="s">
        <v>632</v>
      </c>
    </row>
    <row r="20" spans="1:1" x14ac:dyDescent="0.25">
      <c r="A20" s="169" t="s">
        <v>443</v>
      </c>
    </row>
    <row r="21" spans="1:1" x14ac:dyDescent="0.25">
      <c r="A21" s="169" t="s">
        <v>444</v>
      </c>
    </row>
    <row r="22" spans="1:1" x14ac:dyDescent="0.25">
      <c r="A22" s="169" t="s">
        <v>445</v>
      </c>
    </row>
    <row r="23" spans="1:1" x14ac:dyDescent="0.25">
      <c r="A23" s="169" t="s">
        <v>446</v>
      </c>
    </row>
    <row r="24" spans="1:1" x14ac:dyDescent="0.25">
      <c r="A24" s="169" t="s">
        <v>447</v>
      </c>
    </row>
    <row r="25" spans="1:1" x14ac:dyDescent="0.25">
      <c r="A25" s="169" t="s">
        <v>520</v>
      </c>
    </row>
    <row r="26" spans="1:1" x14ac:dyDescent="0.25">
      <c r="A26" s="169" t="s">
        <v>448</v>
      </c>
    </row>
    <row r="27" spans="1:1" x14ac:dyDescent="0.25">
      <c r="A27" s="169" t="s">
        <v>449</v>
      </c>
    </row>
    <row r="28" spans="1:1" x14ac:dyDescent="0.25">
      <c r="A28" s="169" t="s">
        <v>450</v>
      </c>
    </row>
    <row r="29" spans="1:1" x14ac:dyDescent="0.25">
      <c r="A29" s="169" t="s">
        <v>451</v>
      </c>
    </row>
    <row r="30" spans="1:1" x14ac:dyDescent="0.25">
      <c r="A30" s="169" t="s">
        <v>452</v>
      </c>
    </row>
    <row r="31" spans="1:1" x14ac:dyDescent="0.25">
      <c r="A31" s="169" t="s">
        <v>645</v>
      </c>
    </row>
    <row r="32" spans="1:1" x14ac:dyDescent="0.25">
      <c r="A32" s="169" t="s">
        <v>646</v>
      </c>
    </row>
    <row r="33" spans="1:1" x14ac:dyDescent="0.25">
      <c r="A33" s="169" t="s">
        <v>640</v>
      </c>
    </row>
    <row r="34" spans="1:1" x14ac:dyDescent="0.25">
      <c r="A34" s="169" t="s">
        <v>453</v>
      </c>
    </row>
    <row r="35" spans="1:1" x14ac:dyDescent="0.25">
      <c r="A35" s="169" t="s">
        <v>454</v>
      </c>
    </row>
    <row r="36" spans="1:1" x14ac:dyDescent="0.25">
      <c r="A36" s="169" t="s">
        <v>455</v>
      </c>
    </row>
    <row r="37" spans="1:1" x14ac:dyDescent="0.25">
      <c r="A37" s="169" t="s">
        <v>456</v>
      </c>
    </row>
    <row r="38" spans="1:1" x14ac:dyDescent="0.25">
      <c r="A38" s="169" t="s">
        <v>457</v>
      </c>
    </row>
    <row r="39" spans="1:1" x14ac:dyDescent="0.25">
      <c r="A39" s="169" t="s">
        <v>458</v>
      </c>
    </row>
    <row r="40" spans="1:1" x14ac:dyDescent="0.25">
      <c r="A40" s="169" t="s">
        <v>459</v>
      </c>
    </row>
    <row r="41" spans="1:1" x14ac:dyDescent="0.25">
      <c r="A41" s="169" t="s">
        <v>460</v>
      </c>
    </row>
    <row r="42" spans="1:1" x14ac:dyDescent="0.25">
      <c r="A42" s="169" t="s">
        <v>521</v>
      </c>
    </row>
    <row r="43" spans="1:1" x14ac:dyDescent="0.25">
      <c r="A43" s="169" t="s">
        <v>522</v>
      </c>
    </row>
    <row r="44" spans="1:1" x14ac:dyDescent="0.25">
      <c r="A44" s="169" t="s">
        <v>461</v>
      </c>
    </row>
    <row r="45" spans="1:1" x14ac:dyDescent="0.25">
      <c r="A45" s="169" t="s">
        <v>462</v>
      </c>
    </row>
    <row r="46" spans="1:1" x14ac:dyDescent="0.25">
      <c r="A46" s="169" t="s">
        <v>463</v>
      </c>
    </row>
    <row r="47" spans="1:1" x14ac:dyDescent="0.25">
      <c r="A47" s="169" t="s">
        <v>464</v>
      </c>
    </row>
    <row r="48" spans="1:1" x14ac:dyDescent="0.25">
      <c r="A48" s="169" t="s">
        <v>465</v>
      </c>
    </row>
    <row r="49" spans="1:1" x14ac:dyDescent="0.25">
      <c r="A49" s="169" t="s">
        <v>466</v>
      </c>
    </row>
    <row r="50" spans="1:1" x14ac:dyDescent="0.25">
      <c r="A50" s="169" t="s">
        <v>467</v>
      </c>
    </row>
    <row r="51" spans="1:1" x14ac:dyDescent="0.25">
      <c r="A51" s="169" t="s">
        <v>468</v>
      </c>
    </row>
    <row r="52" spans="1:1" x14ac:dyDescent="0.25">
      <c r="A52" s="169" t="s">
        <v>469</v>
      </c>
    </row>
    <row r="53" spans="1:1" x14ac:dyDescent="0.25">
      <c r="A53" s="169" t="s">
        <v>470</v>
      </c>
    </row>
    <row r="54" spans="1:1" x14ac:dyDescent="0.25">
      <c r="A54" s="169" t="s">
        <v>471</v>
      </c>
    </row>
    <row r="55" spans="1:1" x14ac:dyDescent="0.25">
      <c r="A55" s="169" t="s">
        <v>472</v>
      </c>
    </row>
    <row r="56" spans="1:1" x14ac:dyDescent="0.25">
      <c r="A56" s="169" t="s">
        <v>473</v>
      </c>
    </row>
    <row r="57" spans="1:1" x14ac:dyDescent="0.25">
      <c r="A57" s="169" t="s">
        <v>474</v>
      </c>
    </row>
    <row r="58" spans="1:1" x14ac:dyDescent="0.25">
      <c r="A58" s="169" t="s">
        <v>475</v>
      </c>
    </row>
    <row r="59" spans="1:1" x14ac:dyDescent="0.25">
      <c r="A59" s="169" t="s">
        <v>476</v>
      </c>
    </row>
    <row r="60" spans="1:1" x14ac:dyDescent="0.25">
      <c r="A60" s="169" t="s">
        <v>477</v>
      </c>
    </row>
    <row r="61" spans="1:1" x14ac:dyDescent="0.25">
      <c r="A61" s="169" t="s">
        <v>478</v>
      </c>
    </row>
    <row r="62" spans="1:1" x14ac:dyDescent="0.25">
      <c r="A62" s="169" t="s">
        <v>479</v>
      </c>
    </row>
    <row r="63" spans="1:1" x14ac:dyDescent="0.25">
      <c r="A63" s="169" t="s">
        <v>480</v>
      </c>
    </row>
    <row r="64" spans="1:1" x14ac:dyDescent="0.25">
      <c r="A64" s="169" t="s">
        <v>481</v>
      </c>
    </row>
    <row r="65" spans="1:1" x14ac:dyDescent="0.25">
      <c r="A65" s="169" t="s">
        <v>482</v>
      </c>
    </row>
    <row r="66" spans="1:1" x14ac:dyDescent="0.25">
      <c r="A66" s="169" t="s">
        <v>483</v>
      </c>
    </row>
    <row r="67" spans="1:1" x14ac:dyDescent="0.25">
      <c r="A67" s="169" t="s">
        <v>484</v>
      </c>
    </row>
    <row r="68" spans="1:1" x14ac:dyDescent="0.25">
      <c r="A68" s="169" t="s">
        <v>485</v>
      </c>
    </row>
    <row r="69" spans="1:1" x14ac:dyDescent="0.25">
      <c r="A69" s="169" t="s">
        <v>486</v>
      </c>
    </row>
    <row r="70" spans="1:1" x14ac:dyDescent="0.25">
      <c r="A70" s="169" t="s">
        <v>487</v>
      </c>
    </row>
    <row r="71" spans="1:1" x14ac:dyDescent="0.25">
      <c r="A71" s="169" t="s">
        <v>488</v>
      </c>
    </row>
    <row r="72" spans="1:1" x14ac:dyDescent="0.25">
      <c r="A72" s="169" t="s">
        <v>489</v>
      </c>
    </row>
    <row r="73" spans="1:1" x14ac:dyDescent="0.25">
      <c r="A73" s="169" t="s">
        <v>490</v>
      </c>
    </row>
    <row r="74" spans="1:1" x14ac:dyDescent="0.25">
      <c r="A74" s="169" t="s">
        <v>491</v>
      </c>
    </row>
    <row r="75" spans="1:1" x14ac:dyDescent="0.25">
      <c r="A75" s="169" t="s">
        <v>492</v>
      </c>
    </row>
    <row r="76" spans="1:1" x14ac:dyDescent="0.25">
      <c r="A76" s="169" t="s">
        <v>493</v>
      </c>
    </row>
    <row r="77" spans="1:1" x14ac:dyDescent="0.25">
      <c r="A77" s="169" t="s">
        <v>494</v>
      </c>
    </row>
    <row r="78" spans="1:1" x14ac:dyDescent="0.25">
      <c r="A78" s="169" t="s">
        <v>56</v>
      </c>
    </row>
    <row r="79" spans="1:1" x14ac:dyDescent="0.25">
      <c r="A79" s="169" t="s">
        <v>495</v>
      </c>
    </row>
  </sheetData>
  <hyperlinks>
    <hyperlink ref="A2" location="'array-01'!A1" display="array-01" xr:uid="{29F693AC-BB22-419D-96E5-352A0DE7CE6E}"/>
    <hyperlink ref="A3" location="'array-04'!A1" display="array-04" xr:uid="{614343FF-AC09-467A-BBE6-9FF3C6427046}"/>
    <hyperlink ref="A4" location="'array-05'!A1" display="array-05" xr:uid="{3B1A2213-27F6-4470-94CC-08497BAA4C8E}"/>
    <hyperlink ref="A5" location="'array-06'!A1" display="array-06" xr:uid="{9AE967BC-BE1C-4A21-942A-91B94272446D}"/>
    <hyperlink ref="A6" location="'array-07'!A1" display="array-07" xr:uid="{79D62CA0-D576-45F7-8543-BF7E3583FC9D}"/>
    <hyperlink ref="A7" location="'array-08'!A1" display="array-08" xr:uid="{21DF8F95-A90C-4EDF-940D-C7B7B7F9BDFC}"/>
    <hyperlink ref="A8" location="'array-09'!A1" display="array-09" xr:uid="{7D7990ED-9D4C-43B4-B0D9-ABDEAAD6C9C8}"/>
    <hyperlink ref="A9" location="'array-dyn'!A1" display="array-dyn" xr:uid="{50EB2DE4-65CD-455F-A614-FD76554C6D64}"/>
    <hyperlink ref="A10" location="'array-dyn-filter'!A1" display="array-dyn-filter" xr:uid="{CD49C8F4-CADB-4B2A-9944-399C96F00F09}"/>
    <hyperlink ref="A11" location="'array-dyn-sequence'!A1" display="array-dyn-sequence" xr:uid="{21F0C6E1-0B00-4C33-BAFD-5D27444D6727}"/>
    <hyperlink ref="A12" location="'array-dyn-sort'!A1" display="array-dyn-sort" xr:uid="{ACCEF39E-4808-4C3D-94BE-1DF1627317B6}"/>
    <hyperlink ref="A13" location="'array-dyn-sortby1'!A1" display="array-dyn-sortby1" xr:uid="{C68C4D45-8EF6-4141-822B-6E913499F8FB}"/>
    <hyperlink ref="A14" location="'array-dyn-sortby2'!A1" display="array-dyn-sortby2" xr:uid="{75AE79FF-0AEA-4CD5-977E-A9A256FD541B}"/>
    <hyperlink ref="A15" location="'array-dyn-unique'!A1" display="array-dyn-unique" xr:uid="{F77032B2-BBAF-417C-B694-2AC46F0656A8}"/>
    <hyperlink ref="A16" location="'array-examples'!A1" display="array-examples" xr:uid="{3DDBDCE7-A1DD-415B-81FA-0DDE9835F9E7}"/>
    <hyperlink ref="A17" location="'array-frequency'!A1" display="array-frequency" xr:uid="{5ADF9E17-A7DE-497D-B266-1F6320F33727}"/>
    <hyperlink ref="A18" location="'array-xlookup-2way'!A1" display="array-xlookup-2way" xr:uid="{04E5BD58-F498-44F0-A934-1B9703F6AD8C}"/>
    <hyperlink ref="A19" location="'array-xlookup-multiplevalues'!A1" display="array-xlookup-multiplevalues" xr:uid="{C171073D-AA18-4AEE-A573-1C98E83A7035}"/>
    <hyperlink ref="A20" location="'ausbeer-1'!A1" display="ausbeer-1" xr:uid="{1BA796AE-AC61-499E-82FF-791E3C242115}"/>
    <hyperlink ref="A21" location="'ausbeer-2'!A1" display="ausbeer-2" xr:uid="{6EBAD8E2-53B6-482C-8814-21059389AD52}"/>
    <hyperlink ref="A22" location="'ausbeer-3'!A1" display="ausbeer-3" xr:uid="{B34D906D-A604-4A3A-884A-866D82C981F4}"/>
    <hyperlink ref="A23" location="'ausbeer56-73'!A1" display="ausbeer56-73" xr:uid="{16E3E2D0-C2D5-4575-9EB6-5CCD5BC3D00F}"/>
    <hyperlink ref="A24" location="'banket'!A1" display="banket" xr:uid="{726C50A1-138F-410F-8F52-28AD3FF939FD}"/>
    <hyperlink ref="A25" location="'Benelux'!A1" display="Benelux" xr:uid="{4776B048-95A2-4B2C-8A69-DAD8551D9459}"/>
    <hyperlink ref="A26" location="'Benelux-2'!A1" display="Benelux-2" xr:uid="{470C3C6D-0B9B-4338-948A-AB4B116D586C}"/>
    <hyperlink ref="A27" location="'calc-01'!A1" display="calc-01" xr:uid="{B22E6330-E720-471D-9A40-A354BEC4EE6F}"/>
    <hyperlink ref="A28" location="'calc-02'!A1" display="calc-02" xr:uid="{66165665-85B3-4A64-A402-6D86DF94CF59}"/>
    <hyperlink ref="A29" location="'calc-coffee'!A1" display="calc-coffee" xr:uid="{79C3CC8C-44DA-48DC-874E-1BD2C5833BA8}"/>
    <hyperlink ref="A30" location="'calc-nper'!A1" display="calc-nper" xr:uid="{89B46559-12E3-40D1-9803-7D480D31099E}"/>
    <hyperlink ref="A31" location="'charttype-line'!A1" display="charttype-line" xr:uid="{5612CC33-78F2-415C-B0E3-3EF4990DD8DF}"/>
    <hyperlink ref="A32" location="'charttype-line-scatter'!A1" display="charttype-line-scatter" xr:uid="{92550E14-201D-4A3A-B29E-C16CDC5F369F}"/>
    <hyperlink ref="A33" location="'charttype-pareto'!A1" display="charttype-pareto" xr:uid="{733DF178-DD15-4144-9E20-B6C8ACAC15E4}"/>
    <hyperlink ref="A34" location="'Components'!A1" display="Components" xr:uid="{213349EC-88F6-4F4F-B7B8-1615EDA3B6BD}"/>
    <hyperlink ref="A35" location="'data'!A1" display="data" xr:uid="{3C30471F-F1E6-4CFD-A242-A5AAEDC5DCE5}"/>
    <hyperlink ref="A36" location="'datatable1a'!A1" display="datatable1a" xr:uid="{56BD9FBD-894F-40B1-9EA4-10A4BB1DA68D}"/>
    <hyperlink ref="A37" location="'datatable1b'!A1" display="datatable1b" xr:uid="{20C17029-E19E-482D-9B16-3ED0047B2F73}"/>
    <hyperlink ref="A38" location="'datatable2a'!A1" display="datatable2a" xr:uid="{40429B66-FCDF-4106-A5E6-E37D71A22251}"/>
    <hyperlink ref="A39" location="'datatable2b'!A1" display="datatable2b" xr:uid="{387D3B56-4D1F-43A5-81D3-90489646E2E4}"/>
    <hyperlink ref="A40" location="'datatablelayout'!A1" display="datatablelayout" xr:uid="{C6223590-53CF-4BB0-8273-C9AAC57832B9}"/>
    <hyperlink ref="A41" location="'Doelzoeken'!A1" display="Doelzoeken" xr:uid="{0F0281D5-6334-4170-B39E-5C7D93CC9139}"/>
    <hyperlink ref="A42" location="'example-annuity'!A1" display="example-annuity" xr:uid="{173A57DD-E328-4473-A87E-FF7DEDA1DE9E}"/>
    <hyperlink ref="A43" location="'example-rounding'!A1" display="example-rounding" xr:uid="{245E630A-2DCF-4FD7-BBA4-775A26E522DF}"/>
    <hyperlink ref="A44" location="'fcast'!A1" display="fcast" xr:uid="{0175DADD-26F8-42C7-8BD0-033ED18B5536}"/>
    <hyperlink ref="A45" location="'Func-datum'!A1" display="Func-datum" xr:uid="{7105FC92-E033-432F-A936-B7588250A91C}"/>
    <hyperlink ref="A46" location="'Func-logisch'!A1" display="Func-logisch" xr:uid="{22BE5CAF-58E0-4FB3-BB5B-811F21B70AD2}"/>
    <hyperlink ref="A47" location="'Func-nesting'!A1" display="Func-nesting" xr:uid="{66037C68-C7CB-4B53-87F7-0CF945D57319}"/>
    <hyperlink ref="A48" location="'Func-statistisch'!A1" display="Func-statistisch" xr:uid="{359EEBD6-C29A-4040-9D5D-5B11DC3EDC0F}"/>
    <hyperlink ref="A49" location="'Func-tekst'!A1" display="Func-tekst" xr:uid="{4FD41CD1-FC9C-40AE-A22A-86BEF8298DCB}"/>
    <hyperlink ref="A50" location="'Func-wiskunde'!A1" display="Func-wiskunde" xr:uid="{258E92E9-CF74-4AC8-B0F4-B6E7C5449685}"/>
    <hyperlink ref="A51" location="'getalopmaak'!A1" display="getalopmaak" xr:uid="{204480A1-3266-4BAE-964B-3A5DA5429322}"/>
    <hyperlink ref="A52" location="'HorizZoeken'!A1" display="HorizZoeken" xr:uid="{A88430B7-F2DB-4386-8306-3778FFC455EE}"/>
    <hyperlink ref="A53" location="'invoices'!A1" display="invoices" xr:uid="{39387779-5B77-4EFE-9D7E-45E619AC9ECB}"/>
    <hyperlink ref="A54" location="'koersen'!A1" display="koersen" xr:uid="{108D01D9-BA5D-43AB-B537-C2A6157E027E}"/>
    <hyperlink ref="A55" location="'list-purchases'!A1" display="list-purchases" xr:uid="{ABE0B9E6-BA3E-42BD-BBBD-D6F8DED909C8}"/>
    <hyperlink ref="A56" location="'meetresultaten'!A1" display="meetresultaten" xr:uid="{877709D1-E2FA-49CD-BD09-D937F4C588ED}"/>
    <hyperlink ref="A57" location="'pivot'!A1" display="pivot" xr:uid="{7973F897-D9D3-4BD8-B005-A628F29D8CB3}"/>
    <hyperlink ref="A58" location="'pivot-example'!A1" display="pivot-example" xr:uid="{E6A50214-9662-4780-B9B5-DED9FBC8B8DD}"/>
    <hyperlink ref="A59" location="'premietabel'!A1" display="premietabel" xr:uid="{724BCE08-37AB-4437-8438-A01E5FCBC7D8}"/>
    <hyperlink ref="A60" location="'prijstabel'!A1" display="prijstabel" xr:uid="{2D5AC9CA-16EE-438D-9061-543AD39F7485}"/>
    <hyperlink ref="A61" location="'RSE'!A1" display="RSE" xr:uid="{F8E3368E-9C23-45BE-80E2-B04FEB8A4A36}"/>
    <hyperlink ref="A62" location="'scen'!A1" display="scen" xr:uid="{00795D38-35D1-447E-B964-9CFFD0B8F199}"/>
    <hyperlink ref="A63" location="'scen rprt'!A1" display="scen rprt" xr:uid="{9B5EDB3D-0D69-4731-B6BA-F5B1BA66B8A0}"/>
    <hyperlink ref="A64" location="'scores1'!A1" display="scores1" xr:uid="{3B049572-CAAF-45FB-96E2-A9BB82ECBC55}"/>
    <hyperlink ref="A65" location="'solv009'!A1" display="solv009" xr:uid="{E95631FA-DE93-429A-8500-9A9CC79C066C}"/>
    <hyperlink ref="A66" location="'supermarkt'!A1" display="supermarkt" xr:uid="{0B04FECB-13E8-4852-9FDE-D0A34C1DEAF3}"/>
    <hyperlink ref="A67" location="'termijnen'!A1" display="termijnen" xr:uid="{7D5B927A-F495-45D3-8BB7-771A2DCBF7D0}"/>
    <hyperlink ref="A68" location="'Trendline-Exponential'!A1" display="Trendline-Exponential" xr:uid="{8B08E3F6-F4AD-442E-9351-D9E0334D6147}"/>
    <hyperlink ref="A69" location="'Trendline-Lineair'!A1" display="Trendline-Lineair" xr:uid="{B4DB4430-E9DF-4A0F-B38E-707E68BE13AE}"/>
    <hyperlink ref="A70" location="'Trendline-Logarithmic'!A1" display="Trendline-Logarithmic" xr:uid="{E74D9C58-2B72-4CA4-BB22-D9EAF659A405}"/>
    <hyperlink ref="A71" location="'Trendline-MA'!A1" display="Trendline-MA" xr:uid="{D3CEB1DA-D0E7-41F6-B288-D022DD8DD09B}"/>
    <hyperlink ref="A72" location="'Trendline-Polynomial'!A1" display="Trendline-Polynomial" xr:uid="{578D72F1-99B6-4AAA-935B-5426310DD4CA}"/>
    <hyperlink ref="A73" location="'Trendline-Power'!A1" display="Trendline-Power" xr:uid="{C54D4535-E739-4273-8F98-3FDEDF349394}"/>
    <hyperlink ref="A74" location="'uitlijning'!A1" display="uitlijning" xr:uid="{27037D2D-2B26-4B77-85A9-D3D694648398}"/>
    <hyperlink ref="A75" location="'verkopen_kw1'!A1" display="verkopen_kw1" xr:uid="{0AF527EC-364B-4BD0-A01E-03118086DBB0}"/>
    <hyperlink ref="A76" location="'vlak'!A1" display="vlak" xr:uid="{0FA0C05D-33C6-4813-BC0F-4027D0D2DEBB}"/>
    <hyperlink ref="A77" location="'WaarOnwaar'!A1" display="WaarOnwaar" xr:uid="{745FBFC1-F61D-4B23-A2E9-9116E500E5DB}"/>
    <hyperlink ref="A78" location="'WeatherLeather'!A1" display="WeatherLeather" xr:uid="{CC26846D-BAE9-436E-A375-2F8EDE251867}"/>
    <hyperlink ref="A79" location="'zoekver'!A1" display="zoekver" xr:uid="{3F1E26D1-1A9D-4177-A9D1-079153ED3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/>
  </sheetViews>
  <sheetFormatPr defaultRowHeight="15" x14ac:dyDescent="0.25"/>
  <cols>
    <col min="1" max="2" width="9.42578125" bestFit="1" customWidth="1"/>
    <col min="3" max="3" width="4.140625" customWidth="1"/>
    <col min="4" max="4" width="6.7109375" customWidth="1"/>
    <col min="5" max="5" width="7.85546875" bestFit="1" customWidth="1"/>
  </cols>
  <sheetData>
    <row r="1" spans="1:5" x14ac:dyDescent="0.25">
      <c r="A1" s="19" t="s">
        <v>294</v>
      </c>
      <c r="B1" s="19" t="s">
        <v>295</v>
      </c>
      <c r="C1" s="19"/>
      <c r="D1" s="19" t="s">
        <v>296</v>
      </c>
      <c r="E1" s="19" t="s">
        <v>297</v>
      </c>
    </row>
    <row r="2" spans="1:5" x14ac:dyDescent="0.25">
      <c r="A2" s="19">
        <v>5</v>
      </c>
      <c r="B2" s="19">
        <v>7</v>
      </c>
      <c r="C2" s="19"/>
      <c r="D2" s="19" cm="1">
        <f t="array" ref="D2:D4">A2:A4+B2:B4</f>
        <v>12</v>
      </c>
      <c r="E2" s="19" cm="1">
        <f t="array" ref="E2:E4">A2:A4*B2:B4</f>
        <v>35</v>
      </c>
    </row>
    <row r="3" spans="1:5" x14ac:dyDescent="0.25">
      <c r="A3" s="19">
        <v>8</v>
      </c>
      <c r="B3" s="19">
        <v>6</v>
      </c>
      <c r="C3" s="19"/>
      <c r="D3" s="19">
        <v>14</v>
      </c>
      <c r="E3" s="19">
        <v>48</v>
      </c>
    </row>
    <row r="4" spans="1:5" x14ac:dyDescent="0.25">
      <c r="A4" s="19">
        <v>9</v>
      </c>
      <c r="B4" s="19">
        <v>2</v>
      </c>
      <c r="C4" s="19"/>
      <c r="D4" s="19">
        <v>11</v>
      </c>
      <c r="E4" s="1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customWidth="1"/>
    <col min="4" max="4" width="3.28515625" customWidth="1"/>
    <col min="5" max="5" width="5" customWidth="1"/>
    <col min="6" max="6" width="3.28515625" customWidth="1"/>
    <col min="7" max="9" width="5" customWidth="1"/>
  </cols>
  <sheetData>
    <row r="1" spans="1:9" x14ac:dyDescent="0.25">
      <c r="A1" s="19">
        <v>1</v>
      </c>
      <c r="B1" s="19">
        <v>2</v>
      </c>
      <c r="C1" s="19">
        <v>3</v>
      </c>
      <c r="D1" s="19" t="s">
        <v>34</v>
      </c>
      <c r="E1" s="19">
        <v>4</v>
      </c>
      <c r="F1" s="91" t="s">
        <v>200</v>
      </c>
      <c r="G1" s="19" cm="1">
        <f t="array" ref="G1:I1">A1:C1*E1</f>
        <v>4</v>
      </c>
      <c r="H1" s="19">
        <v>8</v>
      </c>
      <c r="I1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customWidth="1"/>
    <col min="4" max="4" width="3.28515625" customWidth="1"/>
    <col min="5" max="5" width="5" customWidth="1"/>
    <col min="6" max="6" width="3.28515625" customWidth="1"/>
    <col min="7" max="9" width="5" customWidth="1"/>
  </cols>
  <sheetData>
    <row r="1" spans="1:9" x14ac:dyDescent="0.25">
      <c r="A1">
        <v>1</v>
      </c>
      <c r="B1">
        <v>5</v>
      </c>
      <c r="C1">
        <v>9</v>
      </c>
      <c r="D1" s="19" t="s">
        <v>34</v>
      </c>
      <c r="E1">
        <v>10</v>
      </c>
      <c r="F1" s="91" t="s">
        <v>200</v>
      </c>
      <c r="G1" cm="1">
        <f t="array" ref="G1:I4">A1:C4*E1:E4</f>
        <v>10</v>
      </c>
      <c r="H1">
        <v>50</v>
      </c>
      <c r="I1">
        <v>90</v>
      </c>
    </row>
    <row r="2" spans="1:9" x14ac:dyDescent="0.25">
      <c r="A2">
        <v>2</v>
      </c>
      <c r="B2">
        <v>6</v>
      </c>
      <c r="C2">
        <v>10</v>
      </c>
      <c r="D2" s="19" t="s">
        <v>34</v>
      </c>
      <c r="E2">
        <v>20</v>
      </c>
      <c r="F2" s="91" t="s">
        <v>200</v>
      </c>
      <c r="G2">
        <v>40</v>
      </c>
      <c r="H2">
        <v>120</v>
      </c>
      <c r="I2">
        <v>200</v>
      </c>
    </row>
    <row r="3" spans="1:9" x14ac:dyDescent="0.25">
      <c r="A3">
        <v>3</v>
      </c>
      <c r="B3">
        <v>7</v>
      </c>
      <c r="C3">
        <v>11</v>
      </c>
      <c r="D3" s="19" t="s">
        <v>34</v>
      </c>
      <c r="E3">
        <v>30</v>
      </c>
      <c r="F3" s="91" t="s">
        <v>200</v>
      </c>
      <c r="G3">
        <v>90</v>
      </c>
      <c r="H3">
        <v>210</v>
      </c>
      <c r="I3">
        <v>330</v>
      </c>
    </row>
    <row r="4" spans="1:9" x14ac:dyDescent="0.25">
      <c r="A4">
        <v>4</v>
      </c>
      <c r="B4">
        <v>8</v>
      </c>
      <c r="C4">
        <v>12</v>
      </c>
      <c r="D4" s="19" t="s">
        <v>34</v>
      </c>
      <c r="E4">
        <v>40</v>
      </c>
      <c r="F4" s="91" t="s">
        <v>200</v>
      </c>
      <c r="G4">
        <v>160</v>
      </c>
      <c r="H4">
        <v>320</v>
      </c>
      <c r="I4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7.5703125" customWidth="1"/>
    <col min="3" max="4" width="11.85546875" customWidth="1"/>
  </cols>
  <sheetData>
    <row r="1" spans="1:4" x14ac:dyDescent="0.25">
      <c r="A1" s="79" t="s">
        <v>215</v>
      </c>
      <c r="B1" s="81" t="s">
        <v>216</v>
      </c>
      <c r="C1" s="81" t="s">
        <v>217</v>
      </c>
      <c r="D1" s="81" t="s">
        <v>218</v>
      </c>
    </row>
    <row r="2" spans="1:4" x14ac:dyDescent="0.25">
      <c r="A2" t="s">
        <v>201</v>
      </c>
      <c r="B2">
        <v>1200</v>
      </c>
      <c r="C2" s="117">
        <v>5.12</v>
      </c>
      <c r="D2" s="117">
        <v>5.07</v>
      </c>
    </row>
    <row r="3" spans="1:4" x14ac:dyDescent="0.25">
      <c r="A3" t="s">
        <v>202</v>
      </c>
      <c r="B3">
        <v>120</v>
      </c>
      <c r="C3" s="117">
        <v>42.51</v>
      </c>
      <c r="D3" s="117">
        <v>41.95</v>
      </c>
    </row>
    <row r="4" spans="1:4" x14ac:dyDescent="0.25">
      <c r="A4" t="s">
        <v>129</v>
      </c>
      <c r="B4">
        <v>300</v>
      </c>
      <c r="C4" s="117">
        <v>22.35</v>
      </c>
      <c r="D4" s="117">
        <v>22.13</v>
      </c>
    </row>
    <row r="5" spans="1:4" x14ac:dyDescent="0.25">
      <c r="A5" t="s">
        <v>203</v>
      </c>
      <c r="B5">
        <v>450</v>
      </c>
      <c r="C5" s="117">
        <v>24.85</v>
      </c>
      <c r="D5" s="117">
        <v>24.6</v>
      </c>
    </row>
    <row r="6" spans="1:4" x14ac:dyDescent="0.25">
      <c r="A6" s="79" t="s">
        <v>219</v>
      </c>
      <c r="C6" s="118">
        <f t="array" ref="C6">SUM($B$2:$B$5*C2:C5)</f>
        <v>29132.7</v>
      </c>
      <c r="D6" s="118">
        <f t="array" ref="D6">SUM($B$2:$B$5*D2:D5)</f>
        <v>28827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6" width="7.7109375" customWidth="1"/>
  </cols>
  <sheetData>
    <row r="1" spans="1:6" x14ac:dyDescent="0.25">
      <c r="A1" t="s">
        <v>220</v>
      </c>
      <c r="B1" s="19">
        <v>2</v>
      </c>
      <c r="C1" s="19">
        <v>2</v>
      </c>
      <c r="D1" s="19">
        <v>3</v>
      </c>
      <c r="E1" s="19">
        <v>2</v>
      </c>
      <c r="F1" s="19"/>
    </row>
    <row r="2" spans="1:6" x14ac:dyDescent="0.25">
      <c r="B2" s="92" t="s">
        <v>221</v>
      </c>
      <c r="C2" s="92" t="s">
        <v>222</v>
      </c>
      <c r="D2" s="92" t="s">
        <v>223</v>
      </c>
      <c r="E2" s="92" t="s">
        <v>224</v>
      </c>
      <c r="F2" s="92" t="s">
        <v>178</v>
      </c>
    </row>
    <row r="3" spans="1:6" x14ac:dyDescent="0.25">
      <c r="A3" t="s">
        <v>204</v>
      </c>
      <c r="B3" s="19">
        <v>6</v>
      </c>
      <c r="C3" s="19">
        <v>7</v>
      </c>
      <c r="D3" s="19">
        <v>5</v>
      </c>
      <c r="E3" s="19">
        <v>4</v>
      </c>
      <c r="F3" s="21" cm="1">
        <f t="array" ref="F3">SUM(B3:E3*$B$1:$E$1)/SUM($B$1:$E$1)</f>
        <v>5.4444444444444446</v>
      </c>
    </row>
    <row r="4" spans="1:6" x14ac:dyDescent="0.25">
      <c r="A4" t="s">
        <v>205</v>
      </c>
      <c r="B4" s="19">
        <v>7</v>
      </c>
      <c r="C4" s="19">
        <v>5</v>
      </c>
      <c r="D4" s="19">
        <v>6</v>
      </c>
      <c r="E4" s="19">
        <v>6</v>
      </c>
      <c r="F4" s="21" cm="1">
        <f t="array" ref="F4">SUM(B4:E4*$B$1:$E$1)/SUM($B$1:$E$1)</f>
        <v>6</v>
      </c>
    </row>
    <row r="5" spans="1:6" x14ac:dyDescent="0.25">
      <c r="A5" t="s">
        <v>126</v>
      </c>
      <c r="B5" s="19">
        <v>8</v>
      </c>
      <c r="C5" s="19">
        <v>8</v>
      </c>
      <c r="D5" s="19">
        <v>6</v>
      </c>
      <c r="E5" s="19">
        <v>7</v>
      </c>
      <c r="F5" s="21" cm="1">
        <f t="array" ref="F5">SUM(B5:E5*$B$1:$E$1)/SUM($B$1:$E$1)</f>
        <v>7.1111111111111107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customWidth="1"/>
    <col min="2" max="2" width="8.42578125" customWidth="1"/>
    <col min="3" max="3" width="6.7109375" customWidth="1"/>
  </cols>
  <sheetData>
    <row r="1" spans="1:3" x14ac:dyDescent="0.25">
      <c r="B1" s="92" t="s">
        <v>298</v>
      </c>
      <c r="C1" s="92" t="s">
        <v>198</v>
      </c>
    </row>
    <row r="2" spans="1:3" x14ac:dyDescent="0.25">
      <c r="A2" t="s">
        <v>206</v>
      </c>
      <c r="B2" s="19" t="s">
        <v>225</v>
      </c>
      <c r="C2" s="19">
        <v>164</v>
      </c>
    </row>
    <row r="3" spans="1:3" x14ac:dyDescent="0.25">
      <c r="A3" t="s">
        <v>207</v>
      </c>
      <c r="B3" s="19" t="s">
        <v>208</v>
      </c>
      <c r="C3" s="19">
        <v>186</v>
      </c>
    </row>
    <row r="4" spans="1:3" x14ac:dyDescent="0.25">
      <c r="A4" t="s">
        <v>209</v>
      </c>
      <c r="B4" s="19" t="s">
        <v>225</v>
      </c>
      <c r="C4" s="19">
        <v>169</v>
      </c>
    </row>
    <row r="5" spans="1:3" x14ac:dyDescent="0.25">
      <c r="A5" t="s">
        <v>210</v>
      </c>
      <c r="B5" s="19" t="s">
        <v>225</v>
      </c>
      <c r="C5" s="19">
        <v>178</v>
      </c>
    </row>
    <row r="6" spans="1:3" x14ac:dyDescent="0.25">
      <c r="A6" t="s">
        <v>211</v>
      </c>
      <c r="B6" s="19" t="s">
        <v>208</v>
      </c>
      <c r="C6" s="19">
        <v>180</v>
      </c>
    </row>
    <row r="7" spans="1:3" x14ac:dyDescent="0.25">
      <c r="A7" t="s">
        <v>212</v>
      </c>
      <c r="B7" s="19" t="s">
        <v>225</v>
      </c>
      <c r="C7" s="19">
        <v>170</v>
      </c>
    </row>
    <row r="8" spans="1:3" x14ac:dyDescent="0.25">
      <c r="A8" t="s">
        <v>213</v>
      </c>
      <c r="B8" s="19" t="s">
        <v>208</v>
      </c>
      <c r="C8" s="19">
        <v>178</v>
      </c>
    </row>
    <row r="9" spans="1:3" x14ac:dyDescent="0.25">
      <c r="A9" t="s">
        <v>214</v>
      </c>
      <c r="B9" s="19" t="s">
        <v>225</v>
      </c>
      <c r="C9" s="19">
        <v>161</v>
      </c>
    </row>
    <row r="11" spans="1:3" x14ac:dyDescent="0.25">
      <c r="A11" t="s">
        <v>178</v>
      </c>
      <c r="B11" s="19" t="s">
        <v>208</v>
      </c>
      <c r="C11" s="21">
        <f t="array" ref="C11">AVERAGE(IF(B2:B9="m",C2:C9))</f>
        <v>181.33333333333334</v>
      </c>
    </row>
    <row r="12" spans="1:3" x14ac:dyDescent="0.25">
      <c r="A12" t="s">
        <v>178</v>
      </c>
      <c r="B12" s="19" t="s">
        <v>225</v>
      </c>
      <c r="C12" s="21">
        <f t="array" ref="C12">AVERAGE(IF(B2:B9="f",C2:C9))</f>
        <v>168.4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workbookViewId="0">
      <selection activeCell="J6" sqref="J6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7" x14ac:dyDescent="0.25">
      <c r="A1" t="s">
        <v>430</v>
      </c>
      <c r="B1" t="str" cm="1">
        <f t="array" ref="B1:B5">_xlfn.UNIQUE(A1:A10)</f>
        <v>Apple</v>
      </c>
    </row>
    <row r="2" spans="1:7" x14ac:dyDescent="0.25">
      <c r="A2" t="s">
        <v>431</v>
      </c>
      <c r="B2" t="str">
        <v>Grape</v>
      </c>
    </row>
    <row r="3" spans="1:7" x14ac:dyDescent="0.25">
      <c r="A3" t="s">
        <v>430</v>
      </c>
      <c r="B3" t="str">
        <v>Banana</v>
      </c>
    </row>
    <row r="4" spans="1:7" x14ac:dyDescent="0.25">
      <c r="A4" t="s">
        <v>432</v>
      </c>
      <c r="B4" t="str">
        <v>Lemon</v>
      </c>
    </row>
    <row r="5" spans="1:7" x14ac:dyDescent="0.25">
      <c r="A5" t="s">
        <v>433</v>
      </c>
      <c r="B5" t="str">
        <v>Pear</v>
      </c>
    </row>
    <row r="6" spans="1:7" x14ac:dyDescent="0.25">
      <c r="A6" t="s">
        <v>431</v>
      </c>
    </row>
    <row r="7" spans="1:7" x14ac:dyDescent="0.25">
      <c r="A7" t="s">
        <v>433</v>
      </c>
    </row>
    <row r="8" spans="1:7" x14ac:dyDescent="0.25">
      <c r="A8" t="s">
        <v>434</v>
      </c>
    </row>
    <row r="9" spans="1:7" x14ac:dyDescent="0.25">
      <c r="A9" t="s">
        <v>430</v>
      </c>
    </row>
    <row r="10" spans="1:7" x14ac:dyDescent="0.25">
      <c r="A10" t="s">
        <v>432</v>
      </c>
    </row>
    <row r="12" spans="1:7" x14ac:dyDescent="0.25">
      <c r="D12" cm="1">
        <f t="array" aca="1" ref="D12:G14" ca="1">_xlfn.RANDARRAY(3,4,10,50,TRUE)</f>
        <v>19</v>
      </c>
      <c r="E12">
        <f ca="1"/>
        <v>35</v>
      </c>
      <c r="F12">
        <f ca="1"/>
        <v>25</v>
      </c>
      <c r="G12">
        <f ca="1"/>
        <v>28</v>
      </c>
    </row>
    <row r="13" spans="1:7" x14ac:dyDescent="0.25">
      <c r="D13">
        <f ca="1"/>
        <v>15</v>
      </c>
      <c r="E13">
        <f ca="1"/>
        <v>42</v>
      </c>
      <c r="F13">
        <f ca="1"/>
        <v>21</v>
      </c>
      <c r="G13">
        <f ca="1"/>
        <v>45</v>
      </c>
    </row>
    <row r="14" spans="1:7" x14ac:dyDescent="0.25">
      <c r="D14">
        <f ca="1"/>
        <v>14</v>
      </c>
      <c r="E14">
        <f ca="1"/>
        <v>23</v>
      </c>
      <c r="F14">
        <f ca="1"/>
        <v>41</v>
      </c>
      <c r="G14">
        <f ca="1"/>
        <v>42</v>
      </c>
    </row>
    <row r="17" spans="1:21" x14ac:dyDescent="0.25">
      <c r="D17" cm="1">
        <f t="array" ref="D17:F20">_xlfn.SEQUENCE(4,3,5,10)</f>
        <v>5</v>
      </c>
      <c r="E17">
        <v>15</v>
      </c>
      <c r="F17">
        <v>25</v>
      </c>
    </row>
    <row r="18" spans="1:21" x14ac:dyDescent="0.25">
      <c r="D18">
        <v>35</v>
      </c>
      <c r="E18">
        <v>45</v>
      </c>
      <c r="F18">
        <v>55</v>
      </c>
    </row>
    <row r="19" spans="1:21" x14ac:dyDescent="0.25">
      <c r="D19">
        <v>65</v>
      </c>
      <c r="E19">
        <v>75</v>
      </c>
      <c r="F19">
        <v>85</v>
      </c>
    </row>
    <row r="20" spans="1:21" x14ac:dyDescent="0.25">
      <c r="D20">
        <v>95</v>
      </c>
      <c r="E20">
        <v>105</v>
      </c>
      <c r="F20">
        <v>115</v>
      </c>
    </row>
    <row r="31" spans="1:21" x14ac:dyDescent="0.25">
      <c r="A31" s="1" t="s">
        <v>429</v>
      </c>
      <c r="B31" s="1" t="s">
        <v>298</v>
      </c>
      <c r="C31" s="1" t="s">
        <v>198</v>
      </c>
    </row>
    <row r="32" spans="1:21" x14ac:dyDescent="0.25">
      <c r="A32" t="s">
        <v>412</v>
      </c>
      <c r="B32" t="s">
        <v>225</v>
      </c>
      <c r="C32">
        <v>163</v>
      </c>
      <c r="E32" t="str" cm="1">
        <f t="array" ref="E32:G41">_xlfn.SORTBY(A32:C41,B32:B41,1,C32:C41,-1)</f>
        <v>Vicky</v>
      </c>
      <c r="F32" t="str">
        <v>f</v>
      </c>
      <c r="G32">
        <v>181</v>
      </c>
      <c r="L32" t="str" cm="1">
        <f t="array" ref="L32:L41">_xlfn.SORTBY(A32:A41,C32:C41)</f>
        <v>An</v>
      </c>
      <c r="N32" t="str" cm="1">
        <f t="array" ref="N32:P41">_xlfn._xlws.SORT(A32:C41,3)</f>
        <v>An</v>
      </c>
      <c r="O32" t="str">
        <v>f</v>
      </c>
      <c r="P32">
        <v>163</v>
      </c>
      <c r="S32" t="str" cm="1">
        <f t="array" ref="S32:U35">_xlfn._xlws.FILTER(A32:C41,B32:B41="f","None")</f>
        <v>An</v>
      </c>
      <c r="T32" t="str">
        <v>f</v>
      </c>
      <c r="U32">
        <v>163</v>
      </c>
    </row>
    <row r="33" spans="1:21" x14ac:dyDescent="0.25">
      <c r="A33" t="s">
        <v>413</v>
      </c>
      <c r="B33" t="s">
        <v>225</v>
      </c>
      <c r="C33">
        <v>164</v>
      </c>
      <c r="E33" t="str">
        <v>Mari</v>
      </c>
      <c r="F33" t="str">
        <v>f</v>
      </c>
      <c r="G33">
        <v>167</v>
      </c>
      <c r="L33" t="str">
        <v>Trudy</v>
      </c>
      <c r="N33" t="str">
        <v>Trudy</v>
      </c>
      <c r="O33" t="str">
        <v>f</v>
      </c>
      <c r="P33">
        <v>164</v>
      </c>
      <c r="S33" t="str">
        <v>Trudy</v>
      </c>
      <c r="T33" t="str">
        <v>f</v>
      </c>
      <c r="U33">
        <v>164</v>
      </c>
    </row>
    <row r="34" spans="1:21" x14ac:dyDescent="0.25">
      <c r="A34" t="s">
        <v>414</v>
      </c>
      <c r="B34" t="s">
        <v>208</v>
      </c>
      <c r="C34">
        <v>185</v>
      </c>
      <c r="E34" t="str">
        <v>Trudy</v>
      </c>
      <c r="F34" t="str">
        <v>f</v>
      </c>
      <c r="G34">
        <v>164</v>
      </c>
      <c r="L34" t="str">
        <v>Mari</v>
      </c>
      <c r="N34" t="str">
        <v>Mari</v>
      </c>
      <c r="O34" t="str">
        <v>f</v>
      </c>
      <c r="P34">
        <v>167</v>
      </c>
      <c r="S34" t="str">
        <v>Vicky</v>
      </c>
      <c r="T34" t="str">
        <v>f</v>
      </c>
      <c r="U34">
        <v>181</v>
      </c>
    </row>
    <row r="35" spans="1:21" x14ac:dyDescent="0.25">
      <c r="A35" t="s">
        <v>415</v>
      </c>
      <c r="B35" t="s">
        <v>225</v>
      </c>
      <c r="C35">
        <v>181</v>
      </c>
      <c r="E35" t="str">
        <v>An</v>
      </c>
      <c r="F35" t="str">
        <v>f</v>
      </c>
      <c r="G35">
        <v>163</v>
      </c>
      <c r="L35" t="str">
        <v>Peter</v>
      </c>
      <c r="N35" t="str">
        <v>Peter</v>
      </c>
      <c r="O35" t="str">
        <v>m</v>
      </c>
      <c r="P35">
        <v>172</v>
      </c>
      <c r="S35" t="str">
        <v>Mari</v>
      </c>
      <c r="T35" t="str">
        <v>f</v>
      </c>
      <c r="U35">
        <v>167</v>
      </c>
    </row>
    <row r="36" spans="1:21" x14ac:dyDescent="0.25">
      <c r="A36" t="s">
        <v>416</v>
      </c>
      <c r="B36" t="s">
        <v>208</v>
      </c>
      <c r="C36">
        <v>178</v>
      </c>
      <c r="E36" t="str">
        <v>Stan</v>
      </c>
      <c r="F36" t="str">
        <v>m</v>
      </c>
      <c r="G36">
        <v>186</v>
      </c>
      <c r="L36" t="str">
        <v>Roger</v>
      </c>
      <c r="N36" t="str">
        <v>Roger</v>
      </c>
      <c r="O36" t="str">
        <v>m</v>
      </c>
      <c r="P36">
        <v>178</v>
      </c>
    </row>
    <row r="37" spans="1:21" x14ac:dyDescent="0.25">
      <c r="A37" t="s">
        <v>417</v>
      </c>
      <c r="B37" t="s">
        <v>208</v>
      </c>
      <c r="C37">
        <v>186</v>
      </c>
      <c r="E37" t="str">
        <v>Otto</v>
      </c>
      <c r="F37" t="str">
        <v>m</v>
      </c>
      <c r="G37">
        <v>185</v>
      </c>
      <c r="L37" t="str">
        <v>Chris</v>
      </c>
      <c r="N37" t="str">
        <v>Chris</v>
      </c>
      <c r="O37" t="str">
        <v>m</v>
      </c>
      <c r="P37">
        <v>178</v>
      </c>
    </row>
    <row r="38" spans="1:21" x14ac:dyDescent="0.25">
      <c r="A38" t="s">
        <v>418</v>
      </c>
      <c r="B38" t="s">
        <v>208</v>
      </c>
      <c r="C38">
        <v>178</v>
      </c>
      <c r="E38" t="str">
        <v>Ivo</v>
      </c>
      <c r="F38" t="str">
        <v>m</v>
      </c>
      <c r="G38">
        <v>181</v>
      </c>
      <c r="L38" t="str">
        <v>Vicky</v>
      </c>
      <c r="N38" t="str">
        <v>Vicky</v>
      </c>
      <c r="O38" t="str">
        <v>f</v>
      </c>
      <c r="P38">
        <v>181</v>
      </c>
    </row>
    <row r="39" spans="1:21" x14ac:dyDescent="0.25">
      <c r="A39" t="s">
        <v>419</v>
      </c>
      <c r="B39" t="s">
        <v>208</v>
      </c>
      <c r="C39">
        <v>181</v>
      </c>
      <c r="E39" t="str">
        <v>Roger</v>
      </c>
      <c r="F39" t="str">
        <v>m</v>
      </c>
      <c r="G39">
        <v>178</v>
      </c>
      <c r="L39" t="str">
        <v>Ivo</v>
      </c>
      <c r="N39" t="str">
        <v>Ivo</v>
      </c>
      <c r="O39" t="str">
        <v>m</v>
      </c>
      <c r="P39">
        <v>181</v>
      </c>
    </row>
    <row r="40" spans="1:21" x14ac:dyDescent="0.25">
      <c r="A40" t="s">
        <v>420</v>
      </c>
      <c r="B40" t="s">
        <v>225</v>
      </c>
      <c r="C40">
        <v>167</v>
      </c>
      <c r="E40" t="str">
        <v>Chris</v>
      </c>
      <c r="F40" t="str">
        <v>m</v>
      </c>
      <c r="G40">
        <v>178</v>
      </c>
      <c r="L40" t="str">
        <v>Otto</v>
      </c>
      <c r="N40" t="str">
        <v>Otto</v>
      </c>
      <c r="O40" t="str">
        <v>m</v>
      </c>
      <c r="P40">
        <v>185</v>
      </c>
    </row>
    <row r="41" spans="1:21" x14ac:dyDescent="0.25">
      <c r="A41" t="s">
        <v>421</v>
      </c>
      <c r="B41" t="s">
        <v>208</v>
      </c>
      <c r="C41">
        <v>172</v>
      </c>
      <c r="E41" t="str">
        <v>Peter</v>
      </c>
      <c r="F41" t="str">
        <v>m</v>
      </c>
      <c r="G41">
        <v>172</v>
      </c>
      <c r="L41" t="str">
        <v>Stan</v>
      </c>
      <c r="N41" t="str">
        <v>Stan</v>
      </c>
      <c r="O41" t="str">
        <v>m</v>
      </c>
      <c r="P41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166"/>
  </cols>
  <sheetData>
    <row r="1" spans="1:3" x14ac:dyDescent="0.25">
      <c r="A1" s="166" cm="1">
        <f t="array" ref="A1:C3">_xlfn.MUNIT(3)</f>
        <v>1</v>
      </c>
      <c r="B1" s="166">
        <v>0</v>
      </c>
      <c r="C1" s="166">
        <v>0</v>
      </c>
    </row>
    <row r="2" spans="1:3" x14ac:dyDescent="0.25">
      <c r="A2" s="166">
        <v>0</v>
      </c>
      <c r="B2" s="166">
        <v>1</v>
      </c>
      <c r="C2" s="166">
        <v>0</v>
      </c>
    </row>
    <row r="3" spans="1:3" x14ac:dyDescent="0.25">
      <c r="A3" s="166">
        <v>0</v>
      </c>
      <c r="B3" s="166">
        <v>0</v>
      </c>
      <c r="C3" s="1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AE9-2823-444A-8638-AE589F710AD3}">
  <dimension ref="A1:K11"/>
  <sheetViews>
    <sheetView workbookViewId="0">
      <selection activeCell="E2" sqref="E2"/>
    </sheetView>
  </sheetViews>
  <sheetFormatPr defaultRowHeight="15" x14ac:dyDescent="0.25"/>
  <sheetData>
    <row r="1" spans="1:11" x14ac:dyDescent="0.25">
      <c r="A1" s="1" t="s">
        <v>429</v>
      </c>
      <c r="B1" s="1" t="s">
        <v>298</v>
      </c>
      <c r="C1" s="1" t="s">
        <v>198</v>
      </c>
    </row>
    <row r="2" spans="1:11" x14ac:dyDescent="0.25">
      <c r="A2" t="s">
        <v>412</v>
      </c>
      <c r="B2" t="s">
        <v>225</v>
      </c>
      <c r="C2">
        <v>163</v>
      </c>
      <c r="E2" t="str" cm="1">
        <f t="array" ref="E2:G5">_xlfn._xlws.FILTER(A2:C11,B2:B11="f","None")</f>
        <v>An</v>
      </c>
      <c r="F2" t="str">
        <v>f</v>
      </c>
      <c r="G2">
        <v>163</v>
      </c>
      <c r="I2" t="str" cm="1">
        <f t="array" ref="I2:K4">_xlfn._xlws.FILTER(A2:C11,(B2:B11="f")*(C2:C11&lt;170),"None")</f>
        <v>An</v>
      </c>
      <c r="J2" t="str">
        <v>f</v>
      </c>
      <c r="K2">
        <v>163</v>
      </c>
    </row>
    <row r="3" spans="1:11" x14ac:dyDescent="0.25">
      <c r="A3" t="s">
        <v>413</v>
      </c>
      <c r="B3" t="s">
        <v>225</v>
      </c>
      <c r="C3">
        <v>164</v>
      </c>
      <c r="E3" t="str">
        <v>Trudy</v>
      </c>
      <c r="F3" t="str">
        <v>f</v>
      </c>
      <c r="G3">
        <v>164</v>
      </c>
      <c r="I3" t="str">
        <v>Trudy</v>
      </c>
      <c r="J3" t="str">
        <v>f</v>
      </c>
      <c r="K3">
        <v>164</v>
      </c>
    </row>
    <row r="4" spans="1:11" x14ac:dyDescent="0.25">
      <c r="A4" t="s">
        <v>414</v>
      </c>
      <c r="B4" t="s">
        <v>208</v>
      </c>
      <c r="C4">
        <v>185</v>
      </c>
      <c r="E4" t="str">
        <v>Vicky</v>
      </c>
      <c r="F4" t="str">
        <v>f</v>
      </c>
      <c r="G4">
        <v>181</v>
      </c>
      <c r="I4" t="str">
        <v>Mari</v>
      </c>
      <c r="J4" t="str">
        <v>f</v>
      </c>
      <c r="K4">
        <v>167</v>
      </c>
    </row>
    <row r="5" spans="1:11" x14ac:dyDescent="0.25">
      <c r="A5" t="s">
        <v>415</v>
      </c>
      <c r="B5" t="s">
        <v>225</v>
      </c>
      <c r="C5">
        <v>181</v>
      </c>
      <c r="E5" t="str">
        <v>Mari</v>
      </c>
      <c r="F5" t="str">
        <v>f</v>
      </c>
      <c r="G5">
        <v>167</v>
      </c>
    </row>
    <row r="6" spans="1:11" x14ac:dyDescent="0.25">
      <c r="A6" t="s">
        <v>416</v>
      </c>
      <c r="B6" t="s">
        <v>208</v>
      </c>
      <c r="C6">
        <v>178</v>
      </c>
    </row>
    <row r="7" spans="1:11" x14ac:dyDescent="0.25">
      <c r="A7" t="s">
        <v>417</v>
      </c>
      <c r="B7" t="s">
        <v>208</v>
      </c>
      <c r="C7">
        <v>186</v>
      </c>
    </row>
    <row r="8" spans="1:11" x14ac:dyDescent="0.25">
      <c r="A8" t="s">
        <v>418</v>
      </c>
      <c r="B8" t="s">
        <v>208</v>
      </c>
      <c r="C8">
        <v>178</v>
      </c>
    </row>
    <row r="9" spans="1:11" x14ac:dyDescent="0.25">
      <c r="A9" t="s">
        <v>419</v>
      </c>
      <c r="B9" t="s">
        <v>208</v>
      </c>
      <c r="C9">
        <v>181</v>
      </c>
    </row>
    <row r="10" spans="1:11" x14ac:dyDescent="0.25">
      <c r="A10" t="s">
        <v>420</v>
      </c>
      <c r="B10" t="s">
        <v>225</v>
      </c>
      <c r="C10">
        <v>167</v>
      </c>
    </row>
    <row r="11" spans="1:11" x14ac:dyDescent="0.25">
      <c r="A11" t="s">
        <v>421</v>
      </c>
      <c r="B11" t="s">
        <v>208</v>
      </c>
      <c r="C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6B35-58B3-4723-8187-A0C2448CF7BB}">
  <dimension ref="B2:D5"/>
  <sheetViews>
    <sheetView workbookViewId="0">
      <selection activeCell="A27" sqref="A27"/>
    </sheetView>
  </sheetViews>
  <sheetFormatPr defaultRowHeight="15" x14ac:dyDescent="0.25"/>
  <cols>
    <col min="1" max="1" width="6.85546875" customWidth="1"/>
    <col min="3" max="3" width="6.85546875" customWidth="1"/>
    <col min="4" max="5" width="6.7109375" customWidth="1"/>
  </cols>
  <sheetData>
    <row r="2" spans="2:4" x14ac:dyDescent="0.25">
      <c r="B2" cm="1">
        <f t="array" ref="B2:D5">_xlfn.SEQUENCE(4,3,5,10)</f>
        <v>5</v>
      </c>
      <c r="C2">
        <v>15</v>
      </c>
      <c r="D2">
        <v>25</v>
      </c>
    </row>
    <row r="3" spans="2:4" x14ac:dyDescent="0.25">
      <c r="B3">
        <v>35</v>
      </c>
      <c r="C3">
        <v>45</v>
      </c>
      <c r="D3">
        <v>55</v>
      </c>
    </row>
    <row r="4" spans="2:4" x14ac:dyDescent="0.25">
      <c r="B4">
        <v>65</v>
      </c>
      <c r="C4">
        <v>75</v>
      </c>
      <c r="D4">
        <v>85</v>
      </c>
    </row>
    <row r="5" spans="2:4" x14ac:dyDescent="0.25">
      <c r="B5">
        <v>95</v>
      </c>
      <c r="C5">
        <v>105</v>
      </c>
      <c r="D5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360C-B8A3-47C8-BD5D-C90439571F25}">
  <dimension ref="A1:G11"/>
  <sheetViews>
    <sheetView workbookViewId="0">
      <selection activeCell="E2" sqref="E2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</cols>
  <sheetData>
    <row r="1" spans="1:7" x14ac:dyDescent="0.25">
      <c r="A1" s="1" t="s">
        <v>429</v>
      </c>
      <c r="B1" s="1" t="s">
        <v>298</v>
      </c>
      <c r="C1" s="1" t="s">
        <v>198</v>
      </c>
    </row>
    <row r="2" spans="1:7" x14ac:dyDescent="0.25">
      <c r="A2" t="s">
        <v>412</v>
      </c>
      <c r="B2" t="s">
        <v>225</v>
      </c>
      <c r="C2">
        <v>163</v>
      </c>
      <c r="E2" t="str" cm="1">
        <f t="array" ref="E2:G11">_xlfn._xlws.SORT(A2:C11,3)</f>
        <v>An</v>
      </c>
      <c r="F2" t="str">
        <v>f</v>
      </c>
      <c r="G2">
        <v>163</v>
      </c>
    </row>
    <row r="3" spans="1:7" x14ac:dyDescent="0.25">
      <c r="A3" t="s">
        <v>413</v>
      </c>
      <c r="B3" t="s">
        <v>225</v>
      </c>
      <c r="C3">
        <v>164</v>
      </c>
      <c r="E3" t="str">
        <v>Trudy</v>
      </c>
      <c r="F3" t="str">
        <v>f</v>
      </c>
      <c r="G3">
        <v>164</v>
      </c>
    </row>
    <row r="4" spans="1:7" x14ac:dyDescent="0.25">
      <c r="A4" t="s">
        <v>414</v>
      </c>
      <c r="B4" t="s">
        <v>208</v>
      </c>
      <c r="C4">
        <v>185</v>
      </c>
      <c r="E4" t="str">
        <v>Mari</v>
      </c>
      <c r="F4" t="str">
        <v>f</v>
      </c>
      <c r="G4">
        <v>167</v>
      </c>
    </row>
    <row r="5" spans="1:7" x14ac:dyDescent="0.25">
      <c r="A5" t="s">
        <v>415</v>
      </c>
      <c r="B5" t="s">
        <v>225</v>
      </c>
      <c r="C5">
        <v>181</v>
      </c>
      <c r="E5" t="str">
        <v>Peter</v>
      </c>
      <c r="F5" t="str">
        <v>m</v>
      </c>
      <c r="G5">
        <v>172</v>
      </c>
    </row>
    <row r="6" spans="1:7" x14ac:dyDescent="0.25">
      <c r="A6" t="s">
        <v>416</v>
      </c>
      <c r="B6" t="s">
        <v>208</v>
      </c>
      <c r="C6">
        <v>178</v>
      </c>
      <c r="E6" t="str">
        <v>Roger</v>
      </c>
      <c r="F6" t="str">
        <v>m</v>
      </c>
      <c r="G6">
        <v>178</v>
      </c>
    </row>
    <row r="7" spans="1:7" x14ac:dyDescent="0.25">
      <c r="A7" t="s">
        <v>417</v>
      </c>
      <c r="B7" t="s">
        <v>208</v>
      </c>
      <c r="C7">
        <v>186</v>
      </c>
      <c r="E7" t="str">
        <v>Chris</v>
      </c>
      <c r="F7" t="str">
        <v>m</v>
      </c>
      <c r="G7">
        <v>178</v>
      </c>
    </row>
    <row r="8" spans="1:7" x14ac:dyDescent="0.25">
      <c r="A8" t="s">
        <v>418</v>
      </c>
      <c r="B8" t="s">
        <v>208</v>
      </c>
      <c r="C8">
        <v>178</v>
      </c>
      <c r="E8" t="str">
        <v>Vicky</v>
      </c>
      <c r="F8" t="str">
        <v>f</v>
      </c>
      <c r="G8">
        <v>181</v>
      </c>
    </row>
    <row r="9" spans="1:7" x14ac:dyDescent="0.25">
      <c r="A9" t="s">
        <v>419</v>
      </c>
      <c r="B9" t="s">
        <v>208</v>
      </c>
      <c r="C9">
        <v>181</v>
      </c>
      <c r="E9" t="str">
        <v>Ivo</v>
      </c>
      <c r="F9" t="str">
        <v>m</v>
      </c>
      <c r="G9">
        <v>181</v>
      </c>
    </row>
    <row r="10" spans="1:7" x14ac:dyDescent="0.25">
      <c r="A10" t="s">
        <v>420</v>
      </c>
      <c r="B10" t="s">
        <v>225</v>
      </c>
      <c r="C10">
        <v>167</v>
      </c>
      <c r="E10" t="str">
        <v>Otto</v>
      </c>
      <c r="F10" t="str">
        <v>m</v>
      </c>
      <c r="G10">
        <v>185</v>
      </c>
    </row>
    <row r="11" spans="1:7" x14ac:dyDescent="0.25">
      <c r="A11" t="s">
        <v>421</v>
      </c>
      <c r="B11" t="s">
        <v>208</v>
      </c>
      <c r="C11">
        <v>172</v>
      </c>
      <c r="E11" t="str">
        <v>Stan</v>
      </c>
      <c r="F11" t="str">
        <v>m</v>
      </c>
      <c r="G11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6CBF-B15A-4BCB-A143-5B484733DBB8}">
  <dimension ref="A1:E11"/>
  <sheetViews>
    <sheetView workbookViewId="0">
      <selection activeCell="E2" sqref="E2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</cols>
  <sheetData>
    <row r="1" spans="1:5" x14ac:dyDescent="0.25">
      <c r="A1" s="1" t="s">
        <v>429</v>
      </c>
      <c r="B1" s="1" t="s">
        <v>298</v>
      </c>
      <c r="C1" s="1" t="s">
        <v>198</v>
      </c>
    </row>
    <row r="2" spans="1:5" x14ac:dyDescent="0.25">
      <c r="A2" t="s">
        <v>412</v>
      </c>
      <c r="B2" t="s">
        <v>225</v>
      </c>
      <c r="C2">
        <v>163</v>
      </c>
      <c r="E2" t="str" cm="1">
        <f t="array" ref="E2:E11">_xlfn.SORTBY(A2:A11,C2:C11)</f>
        <v>An</v>
      </c>
    </row>
    <row r="3" spans="1:5" x14ac:dyDescent="0.25">
      <c r="A3" t="s">
        <v>413</v>
      </c>
      <c r="B3" t="s">
        <v>225</v>
      </c>
      <c r="C3">
        <v>164</v>
      </c>
      <c r="E3" t="str">
        <v>Trudy</v>
      </c>
    </row>
    <row r="4" spans="1:5" x14ac:dyDescent="0.25">
      <c r="A4" t="s">
        <v>414</v>
      </c>
      <c r="B4" t="s">
        <v>208</v>
      </c>
      <c r="C4">
        <v>185</v>
      </c>
      <c r="E4" t="str">
        <v>Mari</v>
      </c>
    </row>
    <row r="5" spans="1:5" x14ac:dyDescent="0.25">
      <c r="A5" t="s">
        <v>415</v>
      </c>
      <c r="B5" t="s">
        <v>225</v>
      </c>
      <c r="C5">
        <v>181</v>
      </c>
      <c r="E5" t="str">
        <v>Peter</v>
      </c>
    </row>
    <row r="6" spans="1:5" x14ac:dyDescent="0.25">
      <c r="A6" t="s">
        <v>416</v>
      </c>
      <c r="B6" t="s">
        <v>208</v>
      </c>
      <c r="C6">
        <v>178</v>
      </c>
      <c r="E6" t="str">
        <v>Roger</v>
      </c>
    </row>
    <row r="7" spans="1:5" x14ac:dyDescent="0.25">
      <c r="A7" t="s">
        <v>417</v>
      </c>
      <c r="B7" t="s">
        <v>208</v>
      </c>
      <c r="C7">
        <v>186</v>
      </c>
      <c r="E7" t="str">
        <v>Chris</v>
      </c>
    </row>
    <row r="8" spans="1:5" x14ac:dyDescent="0.25">
      <c r="A8" t="s">
        <v>418</v>
      </c>
      <c r="B8" t="s">
        <v>208</v>
      </c>
      <c r="C8">
        <v>178</v>
      </c>
      <c r="E8" t="str">
        <v>Vicky</v>
      </c>
    </row>
    <row r="9" spans="1:5" x14ac:dyDescent="0.25">
      <c r="A9" t="s">
        <v>419</v>
      </c>
      <c r="B9" t="s">
        <v>208</v>
      </c>
      <c r="C9">
        <v>181</v>
      </c>
      <c r="E9" t="str">
        <v>Ivo</v>
      </c>
    </row>
    <row r="10" spans="1:5" x14ac:dyDescent="0.25">
      <c r="A10" t="s">
        <v>420</v>
      </c>
      <c r="B10" t="s">
        <v>225</v>
      </c>
      <c r="C10">
        <v>167</v>
      </c>
      <c r="E10" t="str">
        <v>Otto</v>
      </c>
    </row>
    <row r="11" spans="1:5" x14ac:dyDescent="0.25">
      <c r="A11" t="s">
        <v>421</v>
      </c>
      <c r="B11" t="s">
        <v>208</v>
      </c>
      <c r="C11">
        <v>172</v>
      </c>
      <c r="E11" t="str">
        <v>Stan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59CB-CA98-40CC-9BF5-763AB64CA60A}">
  <dimension ref="A1:G11"/>
  <sheetViews>
    <sheetView workbookViewId="0">
      <selection activeCell="N13" sqref="N13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7" x14ac:dyDescent="0.25">
      <c r="A1" s="1" t="s">
        <v>429</v>
      </c>
      <c r="B1" s="1" t="s">
        <v>298</v>
      </c>
      <c r="C1" s="1" t="s">
        <v>198</v>
      </c>
    </row>
    <row r="2" spans="1:7" x14ac:dyDescent="0.25">
      <c r="A2" t="s">
        <v>412</v>
      </c>
      <c r="B2" t="s">
        <v>225</v>
      </c>
      <c r="C2">
        <v>163</v>
      </c>
      <c r="E2" t="str" cm="1">
        <f t="array" ref="E2:G11">_xlfn.SORTBY(A2:C11,B2:B11,1,C2:C11,-1)</f>
        <v>Vicky</v>
      </c>
      <c r="F2" t="str">
        <v>f</v>
      </c>
      <c r="G2">
        <v>181</v>
      </c>
    </row>
    <row r="3" spans="1:7" x14ac:dyDescent="0.25">
      <c r="A3" t="s">
        <v>413</v>
      </c>
      <c r="B3" t="s">
        <v>225</v>
      </c>
      <c r="C3">
        <v>164</v>
      </c>
      <c r="E3" t="str">
        <v>Mari</v>
      </c>
      <c r="F3" t="str">
        <v>f</v>
      </c>
      <c r="G3">
        <v>167</v>
      </c>
    </row>
    <row r="4" spans="1:7" x14ac:dyDescent="0.25">
      <c r="A4" t="s">
        <v>414</v>
      </c>
      <c r="B4" t="s">
        <v>208</v>
      </c>
      <c r="C4">
        <v>185</v>
      </c>
      <c r="E4" t="str">
        <v>Trudy</v>
      </c>
      <c r="F4" t="str">
        <v>f</v>
      </c>
      <c r="G4">
        <v>164</v>
      </c>
    </row>
    <row r="5" spans="1:7" x14ac:dyDescent="0.25">
      <c r="A5" t="s">
        <v>415</v>
      </c>
      <c r="B5" t="s">
        <v>225</v>
      </c>
      <c r="C5">
        <v>181</v>
      </c>
      <c r="E5" t="str">
        <v>An</v>
      </c>
      <c r="F5" t="str">
        <v>f</v>
      </c>
      <c r="G5">
        <v>163</v>
      </c>
    </row>
    <row r="6" spans="1:7" x14ac:dyDescent="0.25">
      <c r="A6" t="s">
        <v>416</v>
      </c>
      <c r="B6" t="s">
        <v>208</v>
      </c>
      <c r="C6">
        <v>178</v>
      </c>
      <c r="E6" t="str">
        <v>Stan</v>
      </c>
      <c r="F6" t="str">
        <v>m</v>
      </c>
      <c r="G6">
        <v>186</v>
      </c>
    </row>
    <row r="7" spans="1:7" x14ac:dyDescent="0.25">
      <c r="A7" t="s">
        <v>417</v>
      </c>
      <c r="B7" t="s">
        <v>208</v>
      </c>
      <c r="C7">
        <v>186</v>
      </c>
      <c r="E7" t="str">
        <v>Otto</v>
      </c>
      <c r="F7" t="str">
        <v>m</v>
      </c>
      <c r="G7">
        <v>185</v>
      </c>
    </row>
    <row r="8" spans="1:7" x14ac:dyDescent="0.25">
      <c r="A8" t="s">
        <v>418</v>
      </c>
      <c r="B8" t="s">
        <v>208</v>
      </c>
      <c r="C8">
        <v>178</v>
      </c>
      <c r="E8" t="str">
        <v>Ivo</v>
      </c>
      <c r="F8" t="str">
        <v>m</v>
      </c>
      <c r="G8">
        <v>181</v>
      </c>
    </row>
    <row r="9" spans="1:7" x14ac:dyDescent="0.25">
      <c r="A9" t="s">
        <v>419</v>
      </c>
      <c r="B9" t="s">
        <v>208</v>
      </c>
      <c r="C9">
        <v>181</v>
      </c>
      <c r="E9" t="str">
        <v>Roger</v>
      </c>
      <c r="F9" t="str">
        <v>m</v>
      </c>
      <c r="G9">
        <v>178</v>
      </c>
    </row>
    <row r="10" spans="1:7" x14ac:dyDescent="0.25">
      <c r="A10" t="s">
        <v>420</v>
      </c>
      <c r="B10" t="s">
        <v>225</v>
      </c>
      <c r="C10">
        <v>167</v>
      </c>
      <c r="E10" t="str">
        <v>Chris</v>
      </c>
      <c r="F10" t="str">
        <v>m</v>
      </c>
      <c r="G10">
        <v>178</v>
      </c>
    </row>
    <row r="11" spans="1:7" x14ac:dyDescent="0.25">
      <c r="A11" t="s">
        <v>421</v>
      </c>
      <c r="B11" t="s">
        <v>208</v>
      </c>
      <c r="C11">
        <v>172</v>
      </c>
      <c r="E11" t="str">
        <v>Peter</v>
      </c>
      <c r="F11" t="str">
        <v>m</v>
      </c>
      <c r="G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8246-DABA-42A7-8F14-FC73EAECFD4C}">
  <dimension ref="A1:B10"/>
  <sheetViews>
    <sheetView workbookViewId="0">
      <selection activeCell="F25" sqref="F25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2" x14ac:dyDescent="0.25">
      <c r="A1" t="s">
        <v>430</v>
      </c>
      <c r="B1" t="str" cm="1">
        <f t="array" ref="B1:B5">_xlfn.UNIQUE(A1:A10)</f>
        <v>Apple</v>
      </c>
    </row>
    <row r="2" spans="1:2" x14ac:dyDescent="0.25">
      <c r="A2" t="s">
        <v>431</v>
      </c>
      <c r="B2" t="str">
        <v>Grape</v>
      </c>
    </row>
    <row r="3" spans="1:2" x14ac:dyDescent="0.25">
      <c r="A3" t="s">
        <v>430</v>
      </c>
      <c r="B3" t="str">
        <v>Banana</v>
      </c>
    </row>
    <row r="4" spans="1:2" x14ac:dyDescent="0.25">
      <c r="A4" t="s">
        <v>432</v>
      </c>
      <c r="B4" t="str">
        <v>Lemon</v>
      </c>
    </row>
    <row r="5" spans="1:2" x14ac:dyDescent="0.25">
      <c r="A5" t="s">
        <v>433</v>
      </c>
      <c r="B5" t="str">
        <v>Pear</v>
      </c>
    </row>
    <row r="6" spans="1:2" x14ac:dyDescent="0.25">
      <c r="A6" t="s">
        <v>431</v>
      </c>
    </row>
    <row r="7" spans="1:2" x14ac:dyDescent="0.25">
      <c r="A7" t="s">
        <v>433</v>
      </c>
    </row>
    <row r="8" spans="1:2" x14ac:dyDescent="0.25">
      <c r="A8" t="s">
        <v>434</v>
      </c>
    </row>
    <row r="9" spans="1:2" x14ac:dyDescent="0.25">
      <c r="A9" t="s">
        <v>430</v>
      </c>
    </row>
    <row r="10" spans="1:2" x14ac:dyDescent="0.25">
      <c r="A10" t="s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83B-DF39-4966-A899-41FEEB282F0F}">
  <dimension ref="B1:AD4"/>
  <sheetViews>
    <sheetView showGridLines="0" workbookViewId="0">
      <selection activeCell="B2" sqref="B2"/>
    </sheetView>
  </sheetViews>
  <sheetFormatPr defaultRowHeight="15" x14ac:dyDescent="0.25"/>
  <cols>
    <col min="1" max="31" width="4.7109375" customWidth="1"/>
  </cols>
  <sheetData>
    <row r="1" spans="2:30" ht="15.75" thickBot="1" x14ac:dyDescent="0.3"/>
    <row r="2" spans="2:30" ht="15.75" thickBot="1" x14ac:dyDescent="0.3">
      <c r="B2" s="172" cm="1">
        <f t="array" ref="B2:F2">{1,2,3,4,5}</f>
        <v>1</v>
      </c>
      <c r="C2" s="172">
        <v>2</v>
      </c>
      <c r="D2" s="172">
        <v>3</v>
      </c>
      <c r="E2" s="172">
        <v>4</v>
      </c>
      <c r="F2" s="172">
        <v>5</v>
      </c>
      <c r="H2" s="172" cm="1">
        <f t="array" ref="H2:H4">{1;3;6}</f>
        <v>1</v>
      </c>
      <c r="J2" s="172" cm="1">
        <f t="array" ref="J2:N4">{1,2,3,4,5;3,5,7,9,11;6,9,12,15,18}</f>
        <v>1</v>
      </c>
      <c r="K2" s="172">
        <v>2</v>
      </c>
      <c r="L2" s="172">
        <v>3</v>
      </c>
      <c r="M2" s="172">
        <v>4</v>
      </c>
      <c r="N2" s="172">
        <v>5</v>
      </c>
      <c r="R2" s="173" cm="1">
        <f t="array" ref="R2:V2">{1,2,3,4,5}</f>
        <v>1</v>
      </c>
      <c r="S2" s="174">
        <v>2</v>
      </c>
      <c r="T2" s="174">
        <v>3</v>
      </c>
      <c r="U2" s="174">
        <v>4</v>
      </c>
      <c r="V2" s="175">
        <v>5</v>
      </c>
      <c r="X2" s="176" cm="1">
        <f t="array" ref="X2:X4">{1;3;6}</f>
        <v>1</v>
      </c>
      <c r="Z2" s="179" cm="1">
        <f t="array" ref="Z2:AD4">{1,2,3,4,5;3,5,7,9,11;6,9,12,15,18}</f>
        <v>1</v>
      </c>
      <c r="AA2" s="180">
        <v>2</v>
      </c>
      <c r="AB2" s="180">
        <v>3</v>
      </c>
      <c r="AC2" s="180">
        <v>4</v>
      </c>
      <c r="AD2" s="181">
        <v>5</v>
      </c>
    </row>
    <row r="3" spans="2:30" x14ac:dyDescent="0.25">
      <c r="H3" s="172">
        <v>3</v>
      </c>
      <c r="J3" s="172">
        <v>3</v>
      </c>
      <c r="K3" s="172">
        <v>5</v>
      </c>
      <c r="L3" s="172">
        <v>7</v>
      </c>
      <c r="M3" s="172">
        <v>9</v>
      </c>
      <c r="N3" s="172">
        <v>11</v>
      </c>
      <c r="X3" s="177">
        <v>3</v>
      </c>
      <c r="Z3" s="182">
        <v>3</v>
      </c>
      <c r="AA3" s="172">
        <v>5</v>
      </c>
      <c r="AB3" s="172">
        <v>7</v>
      </c>
      <c r="AC3" s="172">
        <v>9</v>
      </c>
      <c r="AD3" s="183">
        <v>11</v>
      </c>
    </row>
    <row r="4" spans="2:30" ht="15.75" thickBot="1" x14ac:dyDescent="0.3">
      <c r="H4" s="172">
        <v>6</v>
      </c>
      <c r="J4" s="172">
        <v>6</v>
      </c>
      <c r="K4" s="172">
        <v>9</v>
      </c>
      <c r="L4" s="172">
        <v>12</v>
      </c>
      <c r="M4" s="172">
        <v>15</v>
      </c>
      <c r="N4" s="172">
        <v>18</v>
      </c>
      <c r="X4" s="178">
        <v>6</v>
      </c>
      <c r="Z4" s="184">
        <v>6</v>
      </c>
      <c r="AA4" s="185">
        <v>9</v>
      </c>
      <c r="AB4" s="185">
        <v>12</v>
      </c>
      <c r="AC4" s="185">
        <v>15</v>
      </c>
      <c r="AD4" s="186">
        <v>18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workbookViewId="0">
      <selection activeCell="P29" sqref="P29"/>
    </sheetView>
  </sheetViews>
  <sheetFormatPr defaultRowHeight="15" x14ac:dyDescent="0.25"/>
  <cols>
    <col min="1" max="1" width="5.7109375" style="166" bestFit="1" customWidth="1"/>
    <col min="2" max="2" width="7.85546875" style="166" bestFit="1" customWidth="1"/>
    <col min="3" max="3" width="10.5703125" style="166" bestFit="1" customWidth="1"/>
    <col min="4" max="4" width="2.7109375" style="166" customWidth="1"/>
    <col min="5" max="5" width="28.28515625" style="166" bestFit="1" customWidth="1"/>
    <col min="6" max="16384" width="9.140625" style="166"/>
  </cols>
  <sheetData>
    <row r="1" spans="1:5" x14ac:dyDescent="0.25">
      <c r="A1" s="166" t="s">
        <v>411</v>
      </c>
      <c r="B1" s="166" t="s">
        <v>422</v>
      </c>
      <c r="C1" s="166" t="s">
        <v>423</v>
      </c>
    </row>
    <row r="2" spans="1:5" x14ac:dyDescent="0.25">
      <c r="A2" s="166">
        <v>83</v>
      </c>
      <c r="B2" s="166">
        <v>70</v>
      </c>
      <c r="C2" s="166" cm="1">
        <f t="array" ref="C2:C6">FREQUENCY(A2:A11,B2:B5)</f>
        <v>4</v>
      </c>
      <c r="E2" s="167" t="s">
        <v>424</v>
      </c>
    </row>
    <row r="3" spans="1:5" x14ac:dyDescent="0.25">
      <c r="A3" s="166">
        <v>71</v>
      </c>
      <c r="B3" s="166">
        <v>80</v>
      </c>
      <c r="C3" s="166">
        <v>3</v>
      </c>
      <c r="E3" s="167" t="s">
        <v>425</v>
      </c>
    </row>
    <row r="4" spans="1:5" x14ac:dyDescent="0.25">
      <c r="A4" s="166">
        <v>80</v>
      </c>
      <c r="B4" s="166">
        <v>90</v>
      </c>
      <c r="C4" s="166">
        <v>2</v>
      </c>
      <c r="E4" s="167" t="s">
        <v>426</v>
      </c>
    </row>
    <row r="5" spans="1:5" x14ac:dyDescent="0.25">
      <c r="A5" s="166">
        <v>61</v>
      </c>
      <c r="B5" s="166">
        <v>100</v>
      </c>
      <c r="C5" s="166">
        <v>1</v>
      </c>
      <c r="E5" s="167" t="s">
        <v>427</v>
      </c>
    </row>
    <row r="6" spans="1:5" x14ac:dyDescent="0.25">
      <c r="A6" s="166">
        <v>72</v>
      </c>
      <c r="C6" s="166">
        <v>0</v>
      </c>
      <c r="E6" s="167" t="s">
        <v>428</v>
      </c>
    </row>
    <row r="7" spans="1:5" x14ac:dyDescent="0.25">
      <c r="A7" s="166">
        <v>64</v>
      </c>
    </row>
    <row r="8" spans="1:5" x14ac:dyDescent="0.25">
      <c r="A8" s="166">
        <v>61</v>
      </c>
    </row>
    <row r="9" spans="1:5" x14ac:dyDescent="0.25">
      <c r="A9" s="166">
        <v>91</v>
      </c>
    </row>
    <row r="10" spans="1:5" x14ac:dyDescent="0.25">
      <c r="A10" s="166">
        <v>89</v>
      </c>
    </row>
    <row r="11" spans="1:5" x14ac:dyDescent="0.25">
      <c r="A11" s="166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3E2-7449-4A04-9898-FAD3EBAF9B2A}">
  <dimension ref="A1:G10"/>
  <sheetViews>
    <sheetView workbookViewId="0">
      <selection activeCell="H25" sqref="H25"/>
    </sheetView>
  </sheetViews>
  <sheetFormatPr defaultRowHeight="15" x14ac:dyDescent="0.25"/>
  <cols>
    <col min="1" max="1" width="19.85546875" bestFit="1" customWidth="1"/>
    <col min="2" max="4" width="7.7109375" customWidth="1"/>
    <col min="7" max="7" width="11.140625" bestFit="1" customWidth="1"/>
  </cols>
  <sheetData>
    <row r="1" spans="1:7" x14ac:dyDescent="0.25">
      <c r="A1" t="s">
        <v>6</v>
      </c>
      <c r="B1" s="19" t="s">
        <v>617</v>
      </c>
      <c r="C1" s="19" t="s">
        <v>618</v>
      </c>
      <c r="D1" s="19" t="s">
        <v>619</v>
      </c>
      <c r="F1" t="s">
        <v>6</v>
      </c>
      <c r="G1" s="19" t="s">
        <v>621</v>
      </c>
    </row>
    <row r="2" spans="1:7" x14ac:dyDescent="0.25">
      <c r="A2" t="s">
        <v>620</v>
      </c>
      <c r="B2" s="171">
        <v>3.15</v>
      </c>
      <c r="C2" s="171">
        <v>3.65</v>
      </c>
      <c r="D2" s="171">
        <v>4.1500000000000004</v>
      </c>
      <c r="F2" t="s">
        <v>629</v>
      </c>
      <c r="G2" t="s">
        <v>618</v>
      </c>
    </row>
    <row r="3" spans="1:7" x14ac:dyDescent="0.25">
      <c r="A3" t="s">
        <v>621</v>
      </c>
      <c r="B3" s="171">
        <v>3.15</v>
      </c>
      <c r="C3" s="171">
        <v>3.65</v>
      </c>
      <c r="D3" s="171">
        <v>4.1500000000000004</v>
      </c>
      <c r="F3" t="s">
        <v>155</v>
      </c>
      <c r="G3" cm="1">
        <f t="array" ref="G3">_xlfn.XLOOKUP(G2,B1:D1,_xlfn.XLOOKUP(G1,A2:A10,B2:D10))</f>
        <v>3.65</v>
      </c>
    </row>
    <row r="4" spans="1:7" x14ac:dyDescent="0.25">
      <c r="A4" t="s">
        <v>622</v>
      </c>
      <c r="B4" s="171">
        <v>2.0499999999999998</v>
      </c>
      <c r="C4" s="171">
        <v>2.5499999999999998</v>
      </c>
      <c r="D4" s="171"/>
    </row>
    <row r="5" spans="1:7" x14ac:dyDescent="0.25">
      <c r="A5" t="s">
        <v>623</v>
      </c>
      <c r="B5" s="171">
        <v>4.05</v>
      </c>
      <c r="C5" s="171">
        <v>4.55</v>
      </c>
      <c r="D5" s="171">
        <v>5.05</v>
      </c>
    </row>
    <row r="6" spans="1:7" x14ac:dyDescent="0.25">
      <c r="A6" t="s">
        <v>624</v>
      </c>
      <c r="B6" s="171">
        <v>4.05</v>
      </c>
      <c r="C6" s="171">
        <v>4.55</v>
      </c>
      <c r="D6" s="171">
        <v>5.05</v>
      </c>
    </row>
    <row r="7" spans="1:7" x14ac:dyDescent="0.25">
      <c r="A7" t="s">
        <v>625</v>
      </c>
      <c r="B7" s="171">
        <v>4.05</v>
      </c>
      <c r="C7" s="171">
        <v>4.55</v>
      </c>
      <c r="D7" s="171">
        <v>5.05</v>
      </c>
    </row>
    <row r="8" spans="1:7" x14ac:dyDescent="0.25">
      <c r="A8" t="s">
        <v>626</v>
      </c>
      <c r="B8" s="171">
        <v>3.65</v>
      </c>
      <c r="C8" s="171">
        <v>4.1500000000000004</v>
      </c>
      <c r="D8" s="171">
        <v>4.6500000000000004</v>
      </c>
    </row>
    <row r="9" spans="1:7" x14ac:dyDescent="0.25">
      <c r="A9" t="s">
        <v>627</v>
      </c>
      <c r="B9" s="171">
        <v>2.5499999999999998</v>
      </c>
      <c r="C9" s="171">
        <v>3.05</v>
      </c>
      <c r="D9" s="171">
        <v>3.55</v>
      </c>
    </row>
    <row r="10" spans="1:7" x14ac:dyDescent="0.25">
      <c r="A10" t="s">
        <v>628</v>
      </c>
      <c r="B10" s="171">
        <v>2.25</v>
      </c>
      <c r="C10" s="171">
        <v>2.75</v>
      </c>
      <c r="D10" s="171">
        <v>3.05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F80A-82FB-440A-A224-658BB028131D}">
  <dimension ref="A1:K87"/>
  <sheetViews>
    <sheetView workbookViewId="0">
      <selection activeCell="X4" sqref="X4"/>
    </sheetView>
  </sheetViews>
  <sheetFormatPr defaultRowHeight="15" x14ac:dyDescent="0.25"/>
  <cols>
    <col min="1" max="1" width="16.140625" customWidth="1"/>
    <col min="2" max="2" width="7.5703125" bestFit="1" customWidth="1"/>
    <col min="3" max="3" width="8.28515625" bestFit="1" customWidth="1"/>
    <col min="4" max="4" width="9.42578125" bestFit="1" customWidth="1"/>
    <col min="5" max="5" width="7.7109375" bestFit="1" customWidth="1"/>
    <col min="6" max="6" width="4.7109375" customWidth="1"/>
    <col min="7" max="7" width="12" bestFit="1" customWidth="1"/>
    <col min="8" max="11" width="7.28515625" customWidth="1"/>
  </cols>
  <sheetData>
    <row r="1" spans="1:11" x14ac:dyDescent="0.25">
      <c r="A1" t="s">
        <v>527</v>
      </c>
      <c r="B1" t="s">
        <v>528</v>
      </c>
      <c r="C1" t="s">
        <v>529</v>
      </c>
      <c r="D1" t="s">
        <v>530</v>
      </c>
      <c r="E1" t="s">
        <v>630</v>
      </c>
      <c r="G1" t="s">
        <v>527</v>
      </c>
      <c r="H1" t="s">
        <v>528</v>
      </c>
      <c r="I1" t="s">
        <v>529</v>
      </c>
      <c r="J1" t="s">
        <v>530</v>
      </c>
      <c r="K1" t="s">
        <v>630</v>
      </c>
    </row>
    <row r="2" spans="1:11" x14ac:dyDescent="0.25">
      <c r="A2" t="s">
        <v>531</v>
      </c>
      <c r="B2">
        <v>46</v>
      </c>
      <c r="C2">
        <v>37</v>
      </c>
      <c r="D2">
        <v>38</v>
      </c>
      <c r="E2">
        <f>SUM(Medals[[#This Row],[Gold]:[Bronze]])</f>
        <v>121</v>
      </c>
      <c r="G2" t="s">
        <v>541</v>
      </c>
      <c r="H2" cm="1">
        <f t="array" ref="H2:K2">_xlfn.XLOOKUP(G2,Medals[Country],Medals[Gold]:Medals[Total])</f>
        <v>8</v>
      </c>
      <c r="I2">
        <v>7</v>
      </c>
      <c r="J2">
        <v>4</v>
      </c>
      <c r="K2">
        <v>19</v>
      </c>
    </row>
    <row r="3" spans="1:11" x14ac:dyDescent="0.25">
      <c r="A3" t="s">
        <v>532</v>
      </c>
      <c r="B3">
        <v>27</v>
      </c>
      <c r="C3">
        <v>23</v>
      </c>
      <c r="D3">
        <v>17</v>
      </c>
      <c r="E3">
        <f>SUM(Medals[[#This Row],[Gold]:[Bronze]])</f>
        <v>67</v>
      </c>
    </row>
    <row r="4" spans="1:11" x14ac:dyDescent="0.25">
      <c r="A4" t="s">
        <v>533</v>
      </c>
      <c r="B4">
        <v>26</v>
      </c>
      <c r="C4">
        <v>18</v>
      </c>
      <c r="D4">
        <v>26</v>
      </c>
      <c r="E4">
        <f>SUM(Medals[[#This Row],[Gold]:[Bronze]])</f>
        <v>70</v>
      </c>
    </row>
    <row r="5" spans="1:11" x14ac:dyDescent="0.25">
      <c r="A5" t="s">
        <v>534</v>
      </c>
      <c r="B5">
        <v>19</v>
      </c>
      <c r="C5">
        <v>17</v>
      </c>
      <c r="D5">
        <v>20</v>
      </c>
      <c r="E5">
        <f>SUM(Medals[[#This Row],[Gold]:[Bronze]])</f>
        <v>56</v>
      </c>
    </row>
    <row r="6" spans="1:11" x14ac:dyDescent="0.25">
      <c r="A6" t="s">
        <v>535</v>
      </c>
      <c r="B6">
        <v>17</v>
      </c>
      <c r="C6">
        <v>10</v>
      </c>
      <c r="D6">
        <v>15</v>
      </c>
      <c r="E6">
        <f>SUM(Medals[[#This Row],[Gold]:[Bronze]])</f>
        <v>42</v>
      </c>
    </row>
    <row r="7" spans="1:11" x14ac:dyDescent="0.25">
      <c r="A7" t="s">
        <v>536</v>
      </c>
      <c r="B7">
        <v>12</v>
      </c>
      <c r="C7">
        <v>8</v>
      </c>
      <c r="D7">
        <v>21</v>
      </c>
      <c r="E7">
        <f>SUM(Medals[[#This Row],[Gold]:[Bronze]])</f>
        <v>41</v>
      </c>
    </row>
    <row r="8" spans="1:11" x14ac:dyDescent="0.25">
      <c r="A8" t="s">
        <v>537</v>
      </c>
      <c r="B8">
        <v>10</v>
      </c>
      <c r="C8">
        <v>18</v>
      </c>
      <c r="D8">
        <v>14</v>
      </c>
      <c r="E8">
        <f>SUM(Medals[[#This Row],[Gold]:[Bronze]])</f>
        <v>42</v>
      </c>
    </row>
    <row r="9" spans="1:11" x14ac:dyDescent="0.25">
      <c r="A9" t="s">
        <v>538</v>
      </c>
      <c r="B9">
        <v>9</v>
      </c>
      <c r="C9">
        <v>3</v>
      </c>
      <c r="D9">
        <v>9</v>
      </c>
      <c r="E9">
        <f>SUM(Medals[[#This Row],[Gold]:[Bronze]])</f>
        <v>21</v>
      </c>
    </row>
    <row r="10" spans="1:11" x14ac:dyDescent="0.25">
      <c r="A10" t="s">
        <v>539</v>
      </c>
      <c r="B10">
        <v>8</v>
      </c>
      <c r="C10">
        <v>12</v>
      </c>
      <c r="D10">
        <v>8</v>
      </c>
      <c r="E10">
        <f>SUM(Medals[[#This Row],[Gold]:[Bronze]])</f>
        <v>28</v>
      </c>
    </row>
    <row r="11" spans="1:11" x14ac:dyDescent="0.25">
      <c r="A11" t="s">
        <v>540</v>
      </c>
      <c r="B11">
        <v>8</v>
      </c>
      <c r="C11">
        <v>11</v>
      </c>
      <c r="D11">
        <v>10</v>
      </c>
      <c r="E11">
        <f>SUM(Medals[[#This Row],[Gold]:[Bronze]])</f>
        <v>29</v>
      </c>
    </row>
    <row r="12" spans="1:11" x14ac:dyDescent="0.25">
      <c r="A12" t="s">
        <v>541</v>
      </c>
      <c r="B12">
        <v>8</v>
      </c>
      <c r="C12">
        <v>7</v>
      </c>
      <c r="D12">
        <v>4</v>
      </c>
      <c r="E12">
        <f>SUM(Medals[[#This Row],[Gold]:[Bronze]])</f>
        <v>19</v>
      </c>
    </row>
    <row r="13" spans="1:11" x14ac:dyDescent="0.25">
      <c r="A13" t="s">
        <v>542</v>
      </c>
      <c r="B13">
        <v>8</v>
      </c>
      <c r="C13">
        <v>3</v>
      </c>
      <c r="D13">
        <v>4</v>
      </c>
      <c r="E13">
        <f>SUM(Medals[[#This Row],[Gold]:[Bronze]])</f>
        <v>15</v>
      </c>
    </row>
    <row r="14" spans="1:11" x14ac:dyDescent="0.25">
      <c r="A14" t="s">
        <v>543</v>
      </c>
      <c r="B14">
        <v>7</v>
      </c>
      <c r="C14">
        <v>6</v>
      </c>
      <c r="D14">
        <v>6</v>
      </c>
      <c r="E14">
        <f>SUM(Medals[[#This Row],[Gold]:[Bronze]])</f>
        <v>19</v>
      </c>
    </row>
    <row r="15" spans="1:11" x14ac:dyDescent="0.25">
      <c r="A15" t="s">
        <v>544</v>
      </c>
      <c r="B15">
        <v>7</v>
      </c>
      <c r="C15">
        <v>4</v>
      </c>
      <c r="D15">
        <v>6</v>
      </c>
      <c r="E15">
        <f>SUM(Medals[[#This Row],[Gold]:[Bronze]])</f>
        <v>17</v>
      </c>
    </row>
    <row r="16" spans="1:11" x14ac:dyDescent="0.25">
      <c r="A16" t="s">
        <v>545</v>
      </c>
      <c r="B16">
        <v>6</v>
      </c>
      <c r="C16">
        <v>6</v>
      </c>
      <c r="D16">
        <v>1</v>
      </c>
      <c r="E16">
        <f>SUM(Medals[[#This Row],[Gold]:[Bronze]])</f>
        <v>13</v>
      </c>
    </row>
    <row r="17" spans="1:5" x14ac:dyDescent="0.25">
      <c r="A17" t="s">
        <v>546</v>
      </c>
      <c r="B17">
        <v>6</v>
      </c>
      <c r="C17">
        <v>3</v>
      </c>
      <c r="D17">
        <v>2</v>
      </c>
      <c r="E17">
        <f>SUM(Medals[[#This Row],[Gold]:[Bronze]])</f>
        <v>11</v>
      </c>
    </row>
    <row r="18" spans="1:5" x14ac:dyDescent="0.25">
      <c r="A18" t="s">
        <v>547</v>
      </c>
      <c r="B18">
        <v>5</v>
      </c>
      <c r="C18">
        <v>3</v>
      </c>
      <c r="D18">
        <v>2</v>
      </c>
      <c r="E18">
        <f>SUM(Medals[[#This Row],[Gold]:[Bronze]])</f>
        <v>10</v>
      </c>
    </row>
    <row r="19" spans="1:5" x14ac:dyDescent="0.25">
      <c r="A19" t="s">
        <v>548</v>
      </c>
      <c r="B19">
        <v>5</v>
      </c>
      <c r="C19">
        <v>2</v>
      </c>
      <c r="D19">
        <v>4</v>
      </c>
      <c r="E19">
        <f>SUM(Medals[[#This Row],[Gold]:[Bronze]])</f>
        <v>11</v>
      </c>
    </row>
    <row r="20" spans="1:5" x14ac:dyDescent="0.25">
      <c r="A20" t="s">
        <v>549</v>
      </c>
      <c r="B20">
        <v>4</v>
      </c>
      <c r="C20">
        <v>9</v>
      </c>
      <c r="D20">
        <v>5</v>
      </c>
      <c r="E20">
        <f>SUM(Medals[[#This Row],[Gold]:[Bronze]])</f>
        <v>18</v>
      </c>
    </row>
    <row r="21" spans="1:5" x14ac:dyDescent="0.25">
      <c r="A21" t="s">
        <v>550</v>
      </c>
      <c r="B21">
        <v>4</v>
      </c>
      <c r="C21">
        <v>3</v>
      </c>
      <c r="D21">
        <v>15</v>
      </c>
      <c r="E21">
        <f>SUM(Medals[[#This Row],[Gold]:[Bronze]])</f>
        <v>22</v>
      </c>
    </row>
    <row r="22" spans="1:5" x14ac:dyDescent="0.25">
      <c r="A22" t="s">
        <v>551</v>
      </c>
      <c r="B22">
        <v>4</v>
      </c>
      <c r="C22">
        <v>2</v>
      </c>
      <c r="D22">
        <v>7</v>
      </c>
      <c r="E22">
        <f>SUM(Medals[[#This Row],[Gold]:[Bronze]])</f>
        <v>13</v>
      </c>
    </row>
    <row r="23" spans="1:5" x14ac:dyDescent="0.25">
      <c r="A23" t="s">
        <v>552</v>
      </c>
      <c r="B23">
        <v>3</v>
      </c>
      <c r="C23">
        <v>5</v>
      </c>
      <c r="D23">
        <v>10</v>
      </c>
      <c r="E23">
        <f>SUM(Medals[[#This Row],[Gold]:[Bronze]])</f>
        <v>18</v>
      </c>
    </row>
    <row r="24" spans="1:5" x14ac:dyDescent="0.25">
      <c r="A24" t="s">
        <v>553</v>
      </c>
      <c r="B24">
        <v>3</v>
      </c>
      <c r="C24">
        <v>2</v>
      </c>
      <c r="D24">
        <v>3</v>
      </c>
      <c r="E24">
        <f>SUM(Medals[[#This Row],[Gold]:[Bronze]])</f>
        <v>8</v>
      </c>
    </row>
    <row r="25" spans="1:5" x14ac:dyDescent="0.25">
      <c r="A25" t="s">
        <v>554</v>
      </c>
      <c r="B25">
        <v>3</v>
      </c>
      <c r="C25">
        <v>2</v>
      </c>
      <c r="D25">
        <v>2</v>
      </c>
      <c r="E25">
        <f>SUM(Medals[[#This Row],[Gold]:[Bronze]])</f>
        <v>7</v>
      </c>
    </row>
    <row r="26" spans="1:5" x14ac:dyDescent="0.25">
      <c r="A26" t="s">
        <v>555</v>
      </c>
      <c r="B26">
        <v>3</v>
      </c>
      <c r="C26">
        <v>1</v>
      </c>
      <c r="D26">
        <v>4</v>
      </c>
      <c r="E26">
        <f>SUM(Medals[[#This Row],[Gold]:[Bronze]])</f>
        <v>8</v>
      </c>
    </row>
    <row r="27" spans="1:5" x14ac:dyDescent="0.25">
      <c r="A27" t="s">
        <v>556</v>
      </c>
      <c r="B27">
        <v>3</v>
      </c>
      <c r="C27">
        <v>1</v>
      </c>
      <c r="D27">
        <v>2</v>
      </c>
      <c r="E27">
        <f>SUM(Medals[[#This Row],[Gold]:[Bronze]])</f>
        <v>6</v>
      </c>
    </row>
    <row r="28" spans="1:5" x14ac:dyDescent="0.25">
      <c r="A28" t="s">
        <v>557</v>
      </c>
      <c r="B28">
        <v>3</v>
      </c>
      <c r="C28">
        <v>1</v>
      </c>
      <c r="D28">
        <v>0</v>
      </c>
      <c r="E28">
        <f>SUM(Medals[[#This Row],[Gold]:[Bronze]])</f>
        <v>4</v>
      </c>
    </row>
    <row r="29" spans="1:5" x14ac:dyDescent="0.25">
      <c r="A29" t="s">
        <v>558</v>
      </c>
      <c r="B29">
        <v>2</v>
      </c>
      <c r="C29">
        <v>6</v>
      </c>
      <c r="D29">
        <v>7</v>
      </c>
      <c r="E29">
        <f>SUM(Medals[[#This Row],[Gold]:[Bronze]])</f>
        <v>15</v>
      </c>
    </row>
    <row r="30" spans="1:5" x14ac:dyDescent="0.25">
      <c r="A30" t="s">
        <v>559</v>
      </c>
      <c r="B30">
        <v>2</v>
      </c>
      <c r="C30">
        <v>6</v>
      </c>
      <c r="D30">
        <v>3</v>
      </c>
      <c r="E30">
        <f>SUM(Medals[[#This Row],[Gold]:[Bronze]])</f>
        <v>11</v>
      </c>
    </row>
    <row r="31" spans="1:5" x14ac:dyDescent="0.25">
      <c r="A31" t="s">
        <v>560</v>
      </c>
      <c r="B31">
        <v>2</v>
      </c>
      <c r="C31">
        <v>6</v>
      </c>
      <c r="D31">
        <v>2</v>
      </c>
      <c r="E31">
        <f>SUM(Medals[[#This Row],[Gold]:[Bronze]])</f>
        <v>10</v>
      </c>
    </row>
    <row r="32" spans="1:5" x14ac:dyDescent="0.25">
      <c r="A32" t="s">
        <v>561</v>
      </c>
      <c r="B32">
        <v>2</v>
      </c>
      <c r="C32">
        <v>5</v>
      </c>
      <c r="D32">
        <v>4</v>
      </c>
      <c r="E32">
        <f>SUM(Medals[[#This Row],[Gold]:[Bronze]])</f>
        <v>11</v>
      </c>
    </row>
    <row r="33" spans="1:5" x14ac:dyDescent="0.25">
      <c r="A33" t="s">
        <v>562</v>
      </c>
      <c r="B33">
        <v>2</v>
      </c>
      <c r="C33">
        <v>4</v>
      </c>
      <c r="D33">
        <v>2</v>
      </c>
      <c r="E33">
        <f>SUM(Medals[[#This Row],[Gold]:[Bronze]])</f>
        <v>8</v>
      </c>
    </row>
    <row r="34" spans="1:5" x14ac:dyDescent="0.25">
      <c r="A34" t="s">
        <v>563</v>
      </c>
      <c r="B34">
        <v>2</v>
      </c>
      <c r="C34">
        <v>3</v>
      </c>
      <c r="D34">
        <v>6</v>
      </c>
      <c r="E34">
        <f>SUM(Medals[[#This Row],[Gold]:[Bronze]])</f>
        <v>11</v>
      </c>
    </row>
    <row r="35" spans="1:5" x14ac:dyDescent="0.25">
      <c r="A35" t="s">
        <v>564</v>
      </c>
      <c r="B35">
        <v>2</v>
      </c>
      <c r="C35">
        <v>3</v>
      </c>
      <c r="D35">
        <v>2</v>
      </c>
      <c r="E35">
        <f>SUM(Medals[[#This Row],[Gold]:[Bronze]])</f>
        <v>7</v>
      </c>
    </row>
    <row r="36" spans="1:5" x14ac:dyDescent="0.25">
      <c r="A36" t="s">
        <v>565</v>
      </c>
      <c r="B36">
        <v>2</v>
      </c>
      <c r="C36">
        <v>2</v>
      </c>
      <c r="D36">
        <v>2</v>
      </c>
      <c r="E36">
        <f>SUM(Medals[[#This Row],[Gold]:[Bronze]])</f>
        <v>6</v>
      </c>
    </row>
    <row r="37" spans="1:5" x14ac:dyDescent="0.25">
      <c r="A37" t="s">
        <v>566</v>
      </c>
      <c r="B37">
        <v>2</v>
      </c>
      <c r="C37">
        <v>2</v>
      </c>
      <c r="D37">
        <v>2</v>
      </c>
      <c r="E37">
        <f>SUM(Medals[[#This Row],[Gold]:[Bronze]])</f>
        <v>6</v>
      </c>
    </row>
    <row r="38" spans="1:5" x14ac:dyDescent="0.25">
      <c r="A38" t="s">
        <v>567</v>
      </c>
      <c r="B38">
        <v>2</v>
      </c>
      <c r="C38">
        <v>2</v>
      </c>
      <c r="D38">
        <v>0</v>
      </c>
      <c r="E38">
        <f>SUM(Medals[[#This Row],[Gold]:[Bronze]])</f>
        <v>4</v>
      </c>
    </row>
    <row r="39" spans="1:5" x14ac:dyDescent="0.25">
      <c r="A39" t="s">
        <v>568</v>
      </c>
      <c r="B39">
        <v>2</v>
      </c>
      <c r="C39">
        <v>1</v>
      </c>
      <c r="D39">
        <v>4</v>
      </c>
      <c r="E39">
        <f>SUM(Medals[[#This Row],[Gold]:[Bronze]])</f>
        <v>7</v>
      </c>
    </row>
    <row r="40" spans="1:5" x14ac:dyDescent="0.25">
      <c r="A40" t="s">
        <v>569</v>
      </c>
      <c r="B40">
        <v>1</v>
      </c>
      <c r="C40">
        <v>7</v>
      </c>
      <c r="D40">
        <v>10</v>
      </c>
      <c r="E40">
        <f>SUM(Medals[[#This Row],[Gold]:[Bronze]])</f>
        <v>18</v>
      </c>
    </row>
    <row r="41" spans="1:5" x14ac:dyDescent="0.25">
      <c r="A41" t="s">
        <v>570</v>
      </c>
      <c r="B41">
        <v>1</v>
      </c>
      <c r="C41">
        <v>4</v>
      </c>
      <c r="D41">
        <v>4</v>
      </c>
      <c r="E41">
        <f>SUM(Medals[[#This Row],[Gold]:[Bronze]])</f>
        <v>9</v>
      </c>
    </row>
    <row r="42" spans="1:5" x14ac:dyDescent="0.25">
      <c r="A42" t="s">
        <v>571</v>
      </c>
      <c r="B42">
        <v>1</v>
      </c>
      <c r="C42">
        <v>3</v>
      </c>
      <c r="D42">
        <v>4</v>
      </c>
      <c r="E42">
        <f>SUM(Medals[[#This Row],[Gold]:[Bronze]])</f>
        <v>8</v>
      </c>
    </row>
    <row r="43" spans="1:5" x14ac:dyDescent="0.25">
      <c r="A43" t="s">
        <v>572</v>
      </c>
      <c r="B43">
        <v>1</v>
      </c>
      <c r="C43">
        <v>3</v>
      </c>
      <c r="D43">
        <v>0</v>
      </c>
      <c r="E43">
        <f>SUM(Medals[[#This Row],[Gold]:[Bronze]])</f>
        <v>4</v>
      </c>
    </row>
    <row r="44" spans="1:5" x14ac:dyDescent="0.25">
      <c r="A44" t="s">
        <v>573</v>
      </c>
      <c r="B44">
        <v>1</v>
      </c>
      <c r="C44">
        <v>2</v>
      </c>
      <c r="D44">
        <v>7</v>
      </c>
      <c r="E44">
        <f>SUM(Medals[[#This Row],[Gold]:[Bronze]])</f>
        <v>10</v>
      </c>
    </row>
    <row r="45" spans="1:5" x14ac:dyDescent="0.25">
      <c r="A45" t="s">
        <v>574</v>
      </c>
      <c r="B45">
        <v>1</v>
      </c>
      <c r="C45">
        <v>2</v>
      </c>
      <c r="D45">
        <v>5</v>
      </c>
      <c r="E45">
        <f>SUM(Medals[[#This Row],[Gold]:[Bronze]])</f>
        <v>8</v>
      </c>
    </row>
    <row r="46" spans="1:5" x14ac:dyDescent="0.25">
      <c r="A46" t="s">
        <v>575</v>
      </c>
      <c r="B46">
        <v>1</v>
      </c>
      <c r="C46">
        <v>2</v>
      </c>
      <c r="D46">
        <v>1</v>
      </c>
      <c r="E46">
        <f>SUM(Medals[[#This Row],[Gold]:[Bronze]])</f>
        <v>4</v>
      </c>
    </row>
    <row r="47" spans="1:5" x14ac:dyDescent="0.25">
      <c r="A47" t="s">
        <v>576</v>
      </c>
      <c r="B47">
        <v>1</v>
      </c>
      <c r="C47">
        <v>2</v>
      </c>
      <c r="D47">
        <v>0</v>
      </c>
      <c r="E47">
        <f>SUM(Medals[[#This Row],[Gold]:[Bronze]])</f>
        <v>3</v>
      </c>
    </row>
    <row r="48" spans="1:5" x14ac:dyDescent="0.25">
      <c r="A48" t="s">
        <v>577</v>
      </c>
      <c r="B48">
        <v>1</v>
      </c>
      <c r="C48">
        <v>1</v>
      </c>
      <c r="D48">
        <v>2</v>
      </c>
      <c r="E48">
        <f>SUM(Medals[[#This Row],[Gold]:[Bronze]])</f>
        <v>4</v>
      </c>
    </row>
    <row r="49" spans="1:5" x14ac:dyDescent="0.25">
      <c r="A49" t="s">
        <v>578</v>
      </c>
      <c r="B49">
        <v>1</v>
      </c>
      <c r="C49">
        <v>1</v>
      </c>
      <c r="D49">
        <v>0</v>
      </c>
      <c r="E49">
        <f>SUM(Medals[[#This Row],[Gold]:[Bronze]])</f>
        <v>2</v>
      </c>
    </row>
    <row r="50" spans="1:5" x14ac:dyDescent="0.25">
      <c r="A50" t="s">
        <v>579</v>
      </c>
      <c r="B50">
        <v>1</v>
      </c>
      <c r="C50">
        <v>1</v>
      </c>
      <c r="D50">
        <v>0</v>
      </c>
      <c r="E50">
        <f>SUM(Medals[[#This Row],[Gold]:[Bronze]])</f>
        <v>2</v>
      </c>
    </row>
    <row r="51" spans="1:5" x14ac:dyDescent="0.25">
      <c r="A51" t="s">
        <v>580</v>
      </c>
      <c r="B51">
        <v>1</v>
      </c>
      <c r="C51">
        <v>0</v>
      </c>
      <c r="D51">
        <v>2</v>
      </c>
      <c r="E51">
        <f>SUM(Medals[[#This Row],[Gold]:[Bronze]])</f>
        <v>3</v>
      </c>
    </row>
    <row r="52" spans="1:5" x14ac:dyDescent="0.25">
      <c r="A52" t="s">
        <v>581</v>
      </c>
      <c r="B52">
        <v>1</v>
      </c>
      <c r="C52">
        <v>0</v>
      </c>
      <c r="D52">
        <v>1</v>
      </c>
      <c r="E52">
        <f>SUM(Medals[[#This Row],[Gold]:[Bronze]])</f>
        <v>2</v>
      </c>
    </row>
    <row r="53" spans="1:5" x14ac:dyDescent="0.25">
      <c r="A53" t="s">
        <v>582</v>
      </c>
      <c r="B53">
        <v>1</v>
      </c>
      <c r="C53">
        <v>0</v>
      </c>
      <c r="D53">
        <v>1</v>
      </c>
      <c r="E53">
        <f>SUM(Medals[[#This Row],[Gold]:[Bronze]])</f>
        <v>2</v>
      </c>
    </row>
    <row r="54" spans="1:5" x14ac:dyDescent="0.25">
      <c r="A54" t="s">
        <v>583</v>
      </c>
      <c r="B54">
        <v>1</v>
      </c>
      <c r="C54">
        <v>0</v>
      </c>
      <c r="D54">
        <v>1</v>
      </c>
      <c r="E54">
        <f>SUM(Medals[[#This Row],[Gold]:[Bronze]])</f>
        <v>2</v>
      </c>
    </row>
    <row r="55" spans="1:5" x14ac:dyDescent="0.25">
      <c r="A55" t="s">
        <v>584</v>
      </c>
      <c r="B55">
        <v>1</v>
      </c>
      <c r="C55">
        <v>0</v>
      </c>
      <c r="D55">
        <v>0</v>
      </c>
      <c r="E55">
        <f>SUM(Medals[[#This Row],[Gold]:[Bronze]])</f>
        <v>1</v>
      </c>
    </row>
    <row r="56" spans="1:5" x14ac:dyDescent="0.25">
      <c r="A56" t="s">
        <v>585</v>
      </c>
      <c r="B56">
        <v>1</v>
      </c>
      <c r="C56">
        <v>0</v>
      </c>
      <c r="D56">
        <v>0</v>
      </c>
      <c r="E56">
        <f>SUM(Medals[[#This Row],[Gold]:[Bronze]])</f>
        <v>1</v>
      </c>
    </row>
    <row r="57" spans="1:5" x14ac:dyDescent="0.25">
      <c r="A57" t="s">
        <v>586</v>
      </c>
      <c r="B57">
        <v>1</v>
      </c>
      <c r="C57">
        <v>0</v>
      </c>
      <c r="D57">
        <v>0</v>
      </c>
      <c r="E57">
        <f>SUM(Medals[[#This Row],[Gold]:[Bronze]])</f>
        <v>1</v>
      </c>
    </row>
    <row r="58" spans="1:5" x14ac:dyDescent="0.25">
      <c r="A58" t="s">
        <v>587</v>
      </c>
      <c r="B58">
        <v>1</v>
      </c>
      <c r="C58">
        <v>0</v>
      </c>
      <c r="D58">
        <v>0</v>
      </c>
      <c r="E58">
        <f>SUM(Medals[[#This Row],[Gold]:[Bronze]])</f>
        <v>1</v>
      </c>
    </row>
    <row r="59" spans="1:5" x14ac:dyDescent="0.25">
      <c r="A59" t="s">
        <v>588</v>
      </c>
      <c r="B59">
        <v>1</v>
      </c>
      <c r="C59">
        <v>0</v>
      </c>
      <c r="D59">
        <v>0</v>
      </c>
      <c r="E59">
        <f>SUM(Medals[[#This Row],[Gold]:[Bronze]])</f>
        <v>1</v>
      </c>
    </row>
    <row r="60" spans="1:5" x14ac:dyDescent="0.25">
      <c r="A60" t="s">
        <v>589</v>
      </c>
      <c r="B60">
        <v>1</v>
      </c>
      <c r="C60">
        <v>0</v>
      </c>
      <c r="D60">
        <v>0</v>
      </c>
      <c r="E60">
        <f>SUM(Medals[[#This Row],[Gold]:[Bronze]])</f>
        <v>1</v>
      </c>
    </row>
    <row r="61" spans="1:5" x14ac:dyDescent="0.25">
      <c r="A61" t="s">
        <v>590</v>
      </c>
      <c r="B61">
        <v>0</v>
      </c>
      <c r="C61">
        <v>4</v>
      </c>
      <c r="D61">
        <v>1</v>
      </c>
      <c r="E61">
        <f>SUM(Medals[[#This Row],[Gold]:[Bronze]])</f>
        <v>5</v>
      </c>
    </row>
    <row r="62" spans="1:5" x14ac:dyDescent="0.25">
      <c r="A62" t="s">
        <v>591</v>
      </c>
      <c r="B62">
        <v>0</v>
      </c>
      <c r="C62">
        <v>3</v>
      </c>
      <c r="D62">
        <v>2</v>
      </c>
      <c r="E62">
        <f>SUM(Medals[[#This Row],[Gold]:[Bronze]])</f>
        <v>5</v>
      </c>
    </row>
    <row r="63" spans="1:5" x14ac:dyDescent="0.25">
      <c r="A63" t="s">
        <v>592</v>
      </c>
      <c r="B63">
        <v>0</v>
      </c>
      <c r="C63">
        <v>2</v>
      </c>
      <c r="D63">
        <v>1</v>
      </c>
      <c r="E63">
        <f>SUM(Medals[[#This Row],[Gold]:[Bronze]])</f>
        <v>3</v>
      </c>
    </row>
    <row r="64" spans="1:5" x14ac:dyDescent="0.25">
      <c r="A64" t="s">
        <v>593</v>
      </c>
      <c r="B64">
        <v>0</v>
      </c>
      <c r="C64">
        <v>2</v>
      </c>
      <c r="D64">
        <v>0</v>
      </c>
      <c r="E64">
        <f>SUM(Medals[[#This Row],[Gold]:[Bronze]])</f>
        <v>2</v>
      </c>
    </row>
    <row r="65" spans="1:5" x14ac:dyDescent="0.25">
      <c r="A65" t="s">
        <v>594</v>
      </c>
      <c r="B65">
        <v>0</v>
      </c>
      <c r="C65">
        <v>2</v>
      </c>
      <c r="D65">
        <v>0</v>
      </c>
      <c r="E65">
        <f>SUM(Medals[[#This Row],[Gold]:[Bronze]])</f>
        <v>2</v>
      </c>
    </row>
    <row r="66" spans="1:5" x14ac:dyDescent="0.25">
      <c r="A66" t="s">
        <v>595</v>
      </c>
      <c r="B66">
        <v>0</v>
      </c>
      <c r="C66">
        <v>1</v>
      </c>
      <c r="D66">
        <v>3</v>
      </c>
      <c r="E66">
        <f>SUM(Medals[[#This Row],[Gold]:[Bronze]])</f>
        <v>4</v>
      </c>
    </row>
    <row r="67" spans="1:5" x14ac:dyDescent="0.25">
      <c r="A67" t="s">
        <v>596</v>
      </c>
      <c r="B67">
        <v>0</v>
      </c>
      <c r="C67">
        <v>1</v>
      </c>
      <c r="D67">
        <v>2</v>
      </c>
      <c r="E67">
        <f>SUM(Medals[[#This Row],[Gold]:[Bronze]])</f>
        <v>3</v>
      </c>
    </row>
    <row r="68" spans="1:5" x14ac:dyDescent="0.25">
      <c r="A68" t="s">
        <v>597</v>
      </c>
      <c r="B68">
        <v>0</v>
      </c>
      <c r="C68">
        <v>1</v>
      </c>
      <c r="D68">
        <v>1</v>
      </c>
      <c r="E68">
        <f>SUM(Medals[[#This Row],[Gold]:[Bronze]])</f>
        <v>2</v>
      </c>
    </row>
    <row r="69" spans="1:5" x14ac:dyDescent="0.25">
      <c r="A69" t="s">
        <v>598</v>
      </c>
      <c r="B69">
        <v>0</v>
      </c>
      <c r="C69">
        <v>1</v>
      </c>
      <c r="D69">
        <v>1</v>
      </c>
      <c r="E69">
        <f>SUM(Medals[[#This Row],[Gold]:[Bronze]])</f>
        <v>2</v>
      </c>
    </row>
    <row r="70" spans="1:5" x14ac:dyDescent="0.25">
      <c r="A70" t="s">
        <v>599</v>
      </c>
      <c r="B70">
        <v>0</v>
      </c>
      <c r="C70">
        <v>1</v>
      </c>
      <c r="D70">
        <v>0</v>
      </c>
      <c r="E70">
        <f>SUM(Medals[[#This Row],[Gold]:[Bronze]])</f>
        <v>1</v>
      </c>
    </row>
    <row r="71" spans="1:5" x14ac:dyDescent="0.25">
      <c r="A71" t="s">
        <v>600</v>
      </c>
      <c r="B71">
        <v>0</v>
      </c>
      <c r="C71">
        <v>1</v>
      </c>
      <c r="D71">
        <v>0</v>
      </c>
      <c r="E71">
        <f>SUM(Medals[[#This Row],[Gold]:[Bronze]])</f>
        <v>1</v>
      </c>
    </row>
    <row r="72" spans="1:5" x14ac:dyDescent="0.25">
      <c r="A72" t="s">
        <v>601</v>
      </c>
      <c r="B72">
        <v>0</v>
      </c>
      <c r="C72">
        <v>1</v>
      </c>
      <c r="D72">
        <v>0</v>
      </c>
      <c r="E72">
        <f>SUM(Medals[[#This Row],[Gold]:[Bronze]])</f>
        <v>1</v>
      </c>
    </row>
    <row r="73" spans="1:5" x14ac:dyDescent="0.25">
      <c r="A73" t="s">
        <v>602</v>
      </c>
      <c r="B73">
        <v>0</v>
      </c>
      <c r="C73">
        <v>1</v>
      </c>
      <c r="D73">
        <v>0</v>
      </c>
      <c r="E73">
        <f>SUM(Medals[[#This Row],[Gold]:[Bronze]])</f>
        <v>1</v>
      </c>
    </row>
    <row r="74" spans="1:5" x14ac:dyDescent="0.25">
      <c r="A74" t="s">
        <v>603</v>
      </c>
      <c r="B74">
        <v>0</v>
      </c>
      <c r="C74">
        <v>1</v>
      </c>
      <c r="D74">
        <v>0</v>
      </c>
      <c r="E74">
        <f>SUM(Medals[[#This Row],[Gold]:[Bronze]])</f>
        <v>1</v>
      </c>
    </row>
    <row r="75" spans="1:5" x14ac:dyDescent="0.25">
      <c r="A75" t="s">
        <v>604</v>
      </c>
      <c r="B75">
        <v>0</v>
      </c>
      <c r="C75">
        <v>0</v>
      </c>
      <c r="D75">
        <v>4</v>
      </c>
      <c r="E75">
        <f>SUM(Medals[[#This Row],[Gold]:[Bronze]])</f>
        <v>4</v>
      </c>
    </row>
    <row r="76" spans="1:5" x14ac:dyDescent="0.25">
      <c r="A76" t="s">
        <v>605</v>
      </c>
      <c r="B76">
        <v>0</v>
      </c>
      <c r="C76">
        <v>0</v>
      </c>
      <c r="D76">
        <v>3</v>
      </c>
      <c r="E76">
        <f>SUM(Medals[[#This Row],[Gold]:[Bronze]])</f>
        <v>3</v>
      </c>
    </row>
    <row r="77" spans="1:5" x14ac:dyDescent="0.25">
      <c r="A77" t="s">
        <v>606</v>
      </c>
      <c r="B77">
        <v>0</v>
      </c>
      <c r="C77">
        <v>0</v>
      </c>
      <c r="D77">
        <v>3</v>
      </c>
      <c r="E77">
        <f>SUM(Medals[[#This Row],[Gold]:[Bronze]])</f>
        <v>3</v>
      </c>
    </row>
    <row r="78" spans="1:5" x14ac:dyDescent="0.25">
      <c r="A78" t="s">
        <v>607</v>
      </c>
      <c r="B78">
        <v>0</v>
      </c>
      <c r="C78">
        <v>0</v>
      </c>
      <c r="D78">
        <v>2</v>
      </c>
      <c r="E78">
        <f>SUM(Medals[[#This Row],[Gold]:[Bronze]])</f>
        <v>2</v>
      </c>
    </row>
    <row r="79" spans="1:5" x14ac:dyDescent="0.25">
      <c r="A79" t="s">
        <v>608</v>
      </c>
      <c r="B79">
        <v>0</v>
      </c>
      <c r="C79">
        <v>0</v>
      </c>
      <c r="D79">
        <v>1</v>
      </c>
      <c r="E79">
        <f>SUM(Medals[[#This Row],[Gold]:[Bronze]])</f>
        <v>1</v>
      </c>
    </row>
    <row r="80" spans="1:5" x14ac:dyDescent="0.25">
      <c r="A80" t="s">
        <v>609</v>
      </c>
      <c r="B80">
        <v>0</v>
      </c>
      <c r="C80">
        <v>0</v>
      </c>
      <c r="D80">
        <v>1</v>
      </c>
      <c r="E80">
        <f>SUM(Medals[[#This Row],[Gold]:[Bronze]])</f>
        <v>1</v>
      </c>
    </row>
    <row r="81" spans="1:5" x14ac:dyDescent="0.25">
      <c r="A81" t="s">
        <v>610</v>
      </c>
      <c r="B81">
        <v>0</v>
      </c>
      <c r="C81">
        <v>0</v>
      </c>
      <c r="D81">
        <v>1</v>
      </c>
      <c r="E81">
        <f>SUM(Medals[[#This Row],[Gold]:[Bronze]])</f>
        <v>1</v>
      </c>
    </row>
    <row r="82" spans="1:5" x14ac:dyDescent="0.25">
      <c r="A82" t="s">
        <v>611</v>
      </c>
      <c r="B82">
        <v>0</v>
      </c>
      <c r="C82">
        <v>0</v>
      </c>
      <c r="D82">
        <v>1</v>
      </c>
      <c r="E82">
        <f>SUM(Medals[[#This Row],[Gold]:[Bronze]])</f>
        <v>1</v>
      </c>
    </row>
    <row r="83" spans="1:5" x14ac:dyDescent="0.25">
      <c r="A83" t="s">
        <v>612</v>
      </c>
      <c r="B83">
        <v>0</v>
      </c>
      <c r="C83">
        <v>0</v>
      </c>
      <c r="D83">
        <v>1</v>
      </c>
      <c r="E83">
        <f>SUM(Medals[[#This Row],[Gold]:[Bronze]])</f>
        <v>1</v>
      </c>
    </row>
    <row r="84" spans="1:5" x14ac:dyDescent="0.25">
      <c r="A84" t="s">
        <v>613</v>
      </c>
      <c r="B84">
        <v>0</v>
      </c>
      <c r="C84">
        <v>0</v>
      </c>
      <c r="D84">
        <v>1</v>
      </c>
      <c r="E84">
        <f>SUM(Medals[[#This Row],[Gold]:[Bronze]])</f>
        <v>1</v>
      </c>
    </row>
    <row r="85" spans="1:5" x14ac:dyDescent="0.25">
      <c r="A85" t="s">
        <v>614</v>
      </c>
      <c r="B85">
        <v>0</v>
      </c>
      <c r="C85">
        <v>0</v>
      </c>
      <c r="D85">
        <v>1</v>
      </c>
      <c r="E85">
        <f>SUM(Medals[[#This Row],[Gold]:[Bronze]])</f>
        <v>1</v>
      </c>
    </row>
    <row r="86" spans="1:5" x14ac:dyDescent="0.25">
      <c r="A86" t="s">
        <v>615</v>
      </c>
      <c r="B86">
        <v>0</v>
      </c>
      <c r="C86">
        <v>0</v>
      </c>
      <c r="D86">
        <v>1</v>
      </c>
      <c r="E86">
        <f>SUM(Medals[[#This Row],[Gold]:[Bronze]])</f>
        <v>1</v>
      </c>
    </row>
    <row r="87" spans="1:5" x14ac:dyDescent="0.25">
      <c r="A87" t="s">
        <v>616</v>
      </c>
      <c r="B87">
        <v>0</v>
      </c>
      <c r="C87">
        <v>0</v>
      </c>
      <c r="D87">
        <v>1</v>
      </c>
      <c r="E87">
        <f>SUM(Medals[[#This Row],[Gold]:[Bronze]])</f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topLeftCell="A13"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329</v>
      </c>
      <c r="B1" t="s">
        <v>408</v>
      </c>
    </row>
    <row r="2" spans="1:2" x14ac:dyDescent="0.25">
      <c r="A2" s="2" t="s">
        <v>390</v>
      </c>
      <c r="B2">
        <v>1032</v>
      </c>
    </row>
    <row r="3" spans="1:2" x14ac:dyDescent="0.25">
      <c r="A3" s="165" t="s">
        <v>332</v>
      </c>
      <c r="B3">
        <v>284</v>
      </c>
    </row>
    <row r="4" spans="1:2" x14ac:dyDescent="0.25">
      <c r="A4" s="165" t="s">
        <v>333</v>
      </c>
      <c r="B4">
        <v>213</v>
      </c>
    </row>
    <row r="5" spans="1:2" x14ac:dyDescent="0.25">
      <c r="A5" s="165" t="s">
        <v>334</v>
      </c>
      <c r="B5">
        <v>227</v>
      </c>
    </row>
    <row r="6" spans="1:2" x14ac:dyDescent="0.25">
      <c r="A6" s="165" t="s">
        <v>335</v>
      </c>
      <c r="B6">
        <v>308</v>
      </c>
    </row>
    <row r="7" spans="1:2" x14ac:dyDescent="0.25">
      <c r="A7" s="2" t="s">
        <v>391</v>
      </c>
      <c r="B7">
        <v>1046</v>
      </c>
    </row>
    <row r="8" spans="1:2" x14ac:dyDescent="0.25">
      <c r="A8" s="165" t="s">
        <v>332</v>
      </c>
      <c r="B8">
        <v>262</v>
      </c>
    </row>
    <row r="9" spans="1:2" x14ac:dyDescent="0.25">
      <c r="A9" s="165" t="s">
        <v>333</v>
      </c>
      <c r="B9">
        <v>228</v>
      </c>
    </row>
    <row r="10" spans="1:2" x14ac:dyDescent="0.25">
      <c r="A10" s="165" t="s">
        <v>334</v>
      </c>
      <c r="B10">
        <v>236</v>
      </c>
    </row>
    <row r="11" spans="1:2" x14ac:dyDescent="0.25">
      <c r="A11" s="165" t="s">
        <v>335</v>
      </c>
      <c r="B11">
        <v>320</v>
      </c>
    </row>
    <row r="12" spans="1:2" x14ac:dyDescent="0.25">
      <c r="A12" s="2" t="s">
        <v>392</v>
      </c>
      <c r="B12">
        <v>1055</v>
      </c>
    </row>
    <row r="13" spans="1:2" x14ac:dyDescent="0.25">
      <c r="A13" s="165" t="s">
        <v>332</v>
      </c>
      <c r="B13">
        <v>272</v>
      </c>
    </row>
    <row r="14" spans="1:2" x14ac:dyDescent="0.25">
      <c r="A14" s="165" t="s">
        <v>333</v>
      </c>
      <c r="B14">
        <v>233</v>
      </c>
    </row>
    <row r="15" spans="1:2" x14ac:dyDescent="0.25">
      <c r="A15" s="165" t="s">
        <v>334</v>
      </c>
      <c r="B15">
        <v>237</v>
      </c>
    </row>
    <row r="16" spans="1:2" x14ac:dyDescent="0.25">
      <c r="A16" s="165" t="s">
        <v>335</v>
      </c>
      <c r="B16">
        <v>313</v>
      </c>
    </row>
    <row r="17" spans="1:2" x14ac:dyDescent="0.25">
      <c r="A17" s="2" t="s">
        <v>393</v>
      </c>
      <c r="B17">
        <v>1052</v>
      </c>
    </row>
    <row r="18" spans="1:2" x14ac:dyDescent="0.25">
      <c r="A18" s="165" t="s">
        <v>332</v>
      </c>
      <c r="B18">
        <v>261</v>
      </c>
    </row>
    <row r="19" spans="1:2" x14ac:dyDescent="0.25">
      <c r="A19" s="165" t="s">
        <v>333</v>
      </c>
      <c r="B19">
        <v>227</v>
      </c>
    </row>
    <row r="20" spans="1:2" x14ac:dyDescent="0.25">
      <c r="A20" s="165" t="s">
        <v>334</v>
      </c>
      <c r="B20">
        <v>250</v>
      </c>
    </row>
    <row r="21" spans="1:2" x14ac:dyDescent="0.25">
      <c r="A21" s="165" t="s">
        <v>335</v>
      </c>
      <c r="B21">
        <v>314</v>
      </c>
    </row>
    <row r="22" spans="1:2" x14ac:dyDescent="0.25">
      <c r="A22" s="2" t="s">
        <v>394</v>
      </c>
      <c r="B22">
        <v>1084</v>
      </c>
    </row>
    <row r="23" spans="1:2" x14ac:dyDescent="0.25">
      <c r="A23" s="165" t="s">
        <v>332</v>
      </c>
      <c r="B23">
        <v>286</v>
      </c>
    </row>
    <row r="24" spans="1:2" x14ac:dyDescent="0.25">
      <c r="A24" s="165" t="s">
        <v>333</v>
      </c>
      <c r="B24">
        <v>227</v>
      </c>
    </row>
    <row r="25" spans="1:2" x14ac:dyDescent="0.25">
      <c r="A25" s="165" t="s">
        <v>334</v>
      </c>
      <c r="B25">
        <v>260</v>
      </c>
    </row>
    <row r="26" spans="1:2" x14ac:dyDescent="0.25">
      <c r="A26" s="165" t="s">
        <v>335</v>
      </c>
      <c r="B26">
        <v>311</v>
      </c>
    </row>
    <row r="27" spans="1:2" x14ac:dyDescent="0.25">
      <c r="A27" s="2" t="s">
        <v>395</v>
      </c>
      <c r="B27">
        <v>1124</v>
      </c>
    </row>
    <row r="28" spans="1:2" x14ac:dyDescent="0.25">
      <c r="A28" s="165" t="s">
        <v>332</v>
      </c>
      <c r="B28">
        <v>295</v>
      </c>
    </row>
    <row r="29" spans="1:2" x14ac:dyDescent="0.25">
      <c r="A29" s="165" t="s">
        <v>333</v>
      </c>
      <c r="B29">
        <v>233</v>
      </c>
    </row>
    <row r="30" spans="1:2" x14ac:dyDescent="0.25">
      <c r="A30" s="165" t="s">
        <v>334</v>
      </c>
      <c r="B30">
        <v>257</v>
      </c>
    </row>
    <row r="31" spans="1:2" x14ac:dyDescent="0.25">
      <c r="A31" s="165" t="s">
        <v>335</v>
      </c>
      <c r="B31">
        <v>339</v>
      </c>
    </row>
    <row r="32" spans="1:2" x14ac:dyDescent="0.25">
      <c r="A32" s="2" t="s">
        <v>396</v>
      </c>
      <c r="B32">
        <v>1145</v>
      </c>
    </row>
    <row r="33" spans="1:2" x14ac:dyDescent="0.25">
      <c r="A33" s="165" t="s">
        <v>332</v>
      </c>
      <c r="B33">
        <v>279</v>
      </c>
    </row>
    <row r="34" spans="1:2" x14ac:dyDescent="0.25">
      <c r="A34" s="165" t="s">
        <v>333</v>
      </c>
      <c r="B34">
        <v>250</v>
      </c>
    </row>
    <row r="35" spans="1:2" x14ac:dyDescent="0.25">
      <c r="A35" s="165" t="s">
        <v>334</v>
      </c>
      <c r="B35">
        <v>270</v>
      </c>
    </row>
    <row r="36" spans="1:2" x14ac:dyDescent="0.25">
      <c r="A36" s="165" t="s">
        <v>335</v>
      </c>
      <c r="B36">
        <v>346</v>
      </c>
    </row>
    <row r="37" spans="1:2" x14ac:dyDescent="0.25">
      <c r="A37" s="2" t="s">
        <v>397</v>
      </c>
      <c r="B37">
        <v>1190</v>
      </c>
    </row>
    <row r="38" spans="1:2" x14ac:dyDescent="0.25">
      <c r="A38" s="165" t="s">
        <v>332</v>
      </c>
      <c r="B38">
        <v>294</v>
      </c>
    </row>
    <row r="39" spans="1:2" x14ac:dyDescent="0.25">
      <c r="A39" s="165" t="s">
        <v>333</v>
      </c>
      <c r="B39">
        <v>255</v>
      </c>
    </row>
    <row r="40" spans="1:2" x14ac:dyDescent="0.25">
      <c r="A40" s="165" t="s">
        <v>334</v>
      </c>
      <c r="B40">
        <v>278</v>
      </c>
    </row>
    <row r="41" spans="1:2" x14ac:dyDescent="0.25">
      <c r="A41" s="165" t="s">
        <v>335</v>
      </c>
      <c r="B41">
        <v>363</v>
      </c>
    </row>
    <row r="42" spans="1:2" x14ac:dyDescent="0.25">
      <c r="A42" s="2" t="s">
        <v>398</v>
      </c>
      <c r="B42">
        <v>1256</v>
      </c>
    </row>
    <row r="43" spans="1:2" x14ac:dyDescent="0.25">
      <c r="A43" s="165" t="s">
        <v>332</v>
      </c>
      <c r="B43">
        <v>313</v>
      </c>
    </row>
    <row r="44" spans="1:2" x14ac:dyDescent="0.25">
      <c r="A44" s="165" t="s">
        <v>333</v>
      </c>
      <c r="B44">
        <v>273</v>
      </c>
    </row>
    <row r="45" spans="1:2" x14ac:dyDescent="0.25">
      <c r="A45" s="165" t="s">
        <v>334</v>
      </c>
      <c r="B45">
        <v>300</v>
      </c>
    </row>
    <row r="46" spans="1:2" x14ac:dyDescent="0.25">
      <c r="A46" s="165" t="s">
        <v>335</v>
      </c>
      <c r="B46">
        <v>370</v>
      </c>
    </row>
    <row r="47" spans="1:2" x14ac:dyDescent="0.25">
      <c r="A47" s="2" t="s">
        <v>399</v>
      </c>
      <c r="B47">
        <v>1311</v>
      </c>
    </row>
    <row r="48" spans="1:2" x14ac:dyDescent="0.25">
      <c r="A48" s="165" t="s">
        <v>332</v>
      </c>
      <c r="B48">
        <v>331</v>
      </c>
    </row>
    <row r="49" spans="1:2" x14ac:dyDescent="0.25">
      <c r="A49" s="165" t="s">
        <v>333</v>
      </c>
      <c r="B49">
        <v>288</v>
      </c>
    </row>
    <row r="50" spans="1:2" x14ac:dyDescent="0.25">
      <c r="A50" s="165" t="s">
        <v>334</v>
      </c>
      <c r="B50">
        <v>306</v>
      </c>
    </row>
    <row r="51" spans="1:2" x14ac:dyDescent="0.25">
      <c r="A51" s="165" t="s">
        <v>335</v>
      </c>
      <c r="B51">
        <v>386</v>
      </c>
    </row>
    <row r="52" spans="1:2" x14ac:dyDescent="0.25">
      <c r="A52" s="2" t="s">
        <v>400</v>
      </c>
      <c r="B52">
        <v>1333</v>
      </c>
    </row>
    <row r="53" spans="1:2" x14ac:dyDescent="0.25">
      <c r="A53" s="165" t="s">
        <v>332</v>
      </c>
      <c r="B53">
        <v>335</v>
      </c>
    </row>
    <row r="54" spans="1:2" x14ac:dyDescent="0.25">
      <c r="A54" s="165" t="s">
        <v>333</v>
      </c>
      <c r="B54">
        <v>288</v>
      </c>
    </row>
    <row r="55" spans="1:2" x14ac:dyDescent="0.25">
      <c r="A55" s="165" t="s">
        <v>334</v>
      </c>
      <c r="B55">
        <v>308</v>
      </c>
    </row>
    <row r="56" spans="1:2" x14ac:dyDescent="0.25">
      <c r="A56" s="165" t="s">
        <v>335</v>
      </c>
      <c r="B56">
        <v>402</v>
      </c>
    </row>
    <row r="57" spans="1:2" x14ac:dyDescent="0.25">
      <c r="A57" s="2" t="s">
        <v>401</v>
      </c>
      <c r="B57">
        <v>1399</v>
      </c>
    </row>
    <row r="58" spans="1:2" x14ac:dyDescent="0.25">
      <c r="A58" s="165" t="s">
        <v>332</v>
      </c>
      <c r="B58">
        <v>353</v>
      </c>
    </row>
    <row r="59" spans="1:2" x14ac:dyDescent="0.25">
      <c r="A59" s="165" t="s">
        <v>333</v>
      </c>
      <c r="B59">
        <v>316</v>
      </c>
    </row>
    <row r="60" spans="1:2" x14ac:dyDescent="0.25">
      <c r="A60" s="165" t="s">
        <v>334</v>
      </c>
      <c r="B60">
        <v>325</v>
      </c>
    </row>
    <row r="61" spans="1:2" x14ac:dyDescent="0.25">
      <c r="A61" s="165" t="s">
        <v>335</v>
      </c>
      <c r="B61">
        <v>405</v>
      </c>
    </row>
    <row r="62" spans="1:2" x14ac:dyDescent="0.25">
      <c r="A62" s="2" t="s">
        <v>402</v>
      </c>
      <c r="B62">
        <v>1481</v>
      </c>
    </row>
    <row r="63" spans="1:2" x14ac:dyDescent="0.25">
      <c r="A63" s="165" t="s">
        <v>332</v>
      </c>
      <c r="B63">
        <v>393</v>
      </c>
    </row>
    <row r="64" spans="1:2" x14ac:dyDescent="0.25">
      <c r="A64" s="165" t="s">
        <v>333</v>
      </c>
      <c r="B64">
        <v>319</v>
      </c>
    </row>
    <row r="65" spans="1:2" x14ac:dyDescent="0.25">
      <c r="A65" s="165" t="s">
        <v>334</v>
      </c>
      <c r="B65">
        <v>327</v>
      </c>
    </row>
    <row r="66" spans="1:2" x14ac:dyDescent="0.25">
      <c r="A66" s="165" t="s">
        <v>335</v>
      </c>
      <c r="B66">
        <v>442</v>
      </c>
    </row>
    <row r="67" spans="1:2" x14ac:dyDescent="0.25">
      <c r="A67" s="2" t="s">
        <v>403</v>
      </c>
      <c r="B67">
        <v>1522</v>
      </c>
    </row>
    <row r="68" spans="1:2" x14ac:dyDescent="0.25">
      <c r="A68" s="165" t="s">
        <v>332</v>
      </c>
      <c r="B68">
        <v>383</v>
      </c>
    </row>
    <row r="69" spans="1:2" x14ac:dyDescent="0.25">
      <c r="A69" s="165" t="s">
        <v>333</v>
      </c>
      <c r="B69">
        <v>332</v>
      </c>
    </row>
    <row r="70" spans="1:2" x14ac:dyDescent="0.25">
      <c r="A70" s="165" t="s">
        <v>334</v>
      </c>
      <c r="B70">
        <v>361</v>
      </c>
    </row>
    <row r="71" spans="1:2" x14ac:dyDescent="0.25">
      <c r="A71" s="165" t="s">
        <v>335</v>
      </c>
      <c r="B71">
        <v>446</v>
      </c>
    </row>
    <row r="72" spans="1:2" x14ac:dyDescent="0.25">
      <c r="A72" s="2" t="s">
        <v>404</v>
      </c>
      <c r="B72">
        <v>1584</v>
      </c>
    </row>
    <row r="73" spans="1:2" x14ac:dyDescent="0.25">
      <c r="A73" s="165" t="s">
        <v>332</v>
      </c>
      <c r="B73">
        <v>387</v>
      </c>
    </row>
    <row r="74" spans="1:2" x14ac:dyDescent="0.25">
      <c r="A74" s="165" t="s">
        <v>333</v>
      </c>
      <c r="B74">
        <v>357</v>
      </c>
    </row>
    <row r="75" spans="1:2" x14ac:dyDescent="0.25">
      <c r="A75" s="165" t="s">
        <v>334</v>
      </c>
      <c r="B75">
        <v>374</v>
      </c>
    </row>
    <row r="76" spans="1:2" x14ac:dyDescent="0.25">
      <c r="A76" s="165" t="s">
        <v>335</v>
      </c>
      <c r="B76">
        <v>466</v>
      </c>
    </row>
    <row r="77" spans="1:2" x14ac:dyDescent="0.25">
      <c r="A77" s="2" t="s">
        <v>405</v>
      </c>
      <c r="B77">
        <v>1646</v>
      </c>
    </row>
    <row r="78" spans="1:2" x14ac:dyDescent="0.25">
      <c r="A78" s="165" t="s">
        <v>332</v>
      </c>
      <c r="B78">
        <v>410</v>
      </c>
    </row>
    <row r="79" spans="1:2" x14ac:dyDescent="0.25">
      <c r="A79" s="165" t="s">
        <v>333</v>
      </c>
      <c r="B79">
        <v>370</v>
      </c>
    </row>
    <row r="80" spans="1:2" x14ac:dyDescent="0.25">
      <c r="A80" s="165" t="s">
        <v>334</v>
      </c>
      <c r="B80">
        <v>379</v>
      </c>
    </row>
    <row r="81" spans="1:2" x14ac:dyDescent="0.25">
      <c r="A81" s="165" t="s">
        <v>335</v>
      </c>
      <c r="B81">
        <v>487</v>
      </c>
    </row>
    <row r="82" spans="1:2" x14ac:dyDescent="0.25">
      <c r="A82" s="2" t="s">
        <v>406</v>
      </c>
      <c r="B82">
        <v>1695</v>
      </c>
    </row>
    <row r="83" spans="1:2" x14ac:dyDescent="0.25">
      <c r="A83" s="165" t="s">
        <v>332</v>
      </c>
      <c r="B83">
        <v>419</v>
      </c>
    </row>
    <row r="84" spans="1:2" x14ac:dyDescent="0.25">
      <c r="A84" s="165" t="s">
        <v>333</v>
      </c>
      <c r="B84">
        <v>377</v>
      </c>
    </row>
    <row r="85" spans="1:2" x14ac:dyDescent="0.25">
      <c r="A85" s="165" t="s">
        <v>334</v>
      </c>
      <c r="B85">
        <v>393</v>
      </c>
    </row>
    <row r="86" spans="1:2" x14ac:dyDescent="0.25">
      <c r="A86" s="165" t="s">
        <v>335</v>
      </c>
      <c r="B86">
        <v>506</v>
      </c>
    </row>
    <row r="87" spans="1:2" x14ac:dyDescent="0.25">
      <c r="A87" s="2" t="s">
        <v>407</v>
      </c>
      <c r="B87">
        <v>1837</v>
      </c>
    </row>
    <row r="88" spans="1:2" x14ac:dyDescent="0.25">
      <c r="A88" s="165" t="s">
        <v>332</v>
      </c>
      <c r="B88">
        <v>458</v>
      </c>
    </row>
    <row r="89" spans="1:2" x14ac:dyDescent="0.25">
      <c r="A89" s="165" t="s">
        <v>333</v>
      </c>
      <c r="B89">
        <v>387</v>
      </c>
    </row>
    <row r="90" spans="1:2" x14ac:dyDescent="0.25">
      <c r="A90" s="165" t="s">
        <v>334</v>
      </c>
      <c r="B90">
        <v>427</v>
      </c>
    </row>
    <row r="91" spans="1:2" x14ac:dyDescent="0.25">
      <c r="A91" s="165" t="s">
        <v>335</v>
      </c>
      <c r="B91">
        <v>565</v>
      </c>
    </row>
    <row r="92" spans="1:2" x14ac:dyDescent="0.25">
      <c r="A92" s="2" t="s">
        <v>249</v>
      </c>
      <c r="B92">
        <v>23792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7"/>
  <sheetViews>
    <sheetView workbookViewId="0">
      <selection activeCell="A11" sqref="A11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19" width="5" bestFit="1" customWidth="1"/>
    <col min="20" max="20" width="11.28515625" bestFit="1" customWidth="1"/>
  </cols>
  <sheetData>
    <row r="1" spans="1:20" x14ac:dyDescent="0.25">
      <c r="A1" s="7" t="s">
        <v>408</v>
      </c>
      <c r="B1" s="7" t="s">
        <v>331</v>
      </c>
    </row>
    <row r="2" spans="1:20" x14ac:dyDescent="0.25">
      <c r="A2" s="7" t="s">
        <v>329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  <c r="Q2" t="s">
        <v>405</v>
      </c>
      <c r="R2" t="s">
        <v>406</v>
      </c>
      <c r="S2" t="s">
        <v>407</v>
      </c>
      <c r="T2" t="s">
        <v>249</v>
      </c>
    </row>
    <row r="3" spans="1:20" x14ac:dyDescent="0.25">
      <c r="A3" s="2" t="s">
        <v>332</v>
      </c>
      <c r="B3">
        <v>284</v>
      </c>
      <c r="C3">
        <v>262</v>
      </c>
      <c r="D3">
        <v>272</v>
      </c>
      <c r="E3">
        <v>261</v>
      </c>
      <c r="F3">
        <v>286</v>
      </c>
      <c r="G3">
        <v>295</v>
      </c>
      <c r="H3">
        <v>279</v>
      </c>
      <c r="I3">
        <v>294</v>
      </c>
      <c r="J3">
        <v>313</v>
      </c>
      <c r="K3">
        <v>331</v>
      </c>
      <c r="L3">
        <v>335</v>
      </c>
      <c r="M3">
        <v>353</v>
      </c>
      <c r="N3">
        <v>393</v>
      </c>
      <c r="O3">
        <v>383</v>
      </c>
      <c r="P3">
        <v>387</v>
      </c>
      <c r="Q3">
        <v>410</v>
      </c>
      <c r="R3">
        <v>419</v>
      </c>
      <c r="S3">
        <v>458</v>
      </c>
      <c r="T3">
        <v>6015</v>
      </c>
    </row>
    <row r="4" spans="1:20" x14ac:dyDescent="0.25">
      <c r="A4" s="2" t="s">
        <v>333</v>
      </c>
      <c r="B4">
        <v>213</v>
      </c>
      <c r="C4">
        <v>228</v>
      </c>
      <c r="D4">
        <v>233</v>
      </c>
      <c r="E4">
        <v>227</v>
      </c>
      <c r="F4">
        <v>227</v>
      </c>
      <c r="G4">
        <v>233</v>
      </c>
      <c r="H4">
        <v>250</v>
      </c>
      <c r="I4">
        <v>255</v>
      </c>
      <c r="J4">
        <v>273</v>
      </c>
      <c r="K4">
        <v>288</v>
      </c>
      <c r="L4">
        <v>288</v>
      </c>
      <c r="M4">
        <v>316</v>
      </c>
      <c r="N4">
        <v>319</v>
      </c>
      <c r="O4">
        <v>332</v>
      </c>
      <c r="P4">
        <v>357</v>
      </c>
      <c r="Q4">
        <v>370</v>
      </c>
      <c r="R4">
        <v>377</v>
      </c>
      <c r="S4">
        <v>387</v>
      </c>
      <c r="T4">
        <v>5173</v>
      </c>
    </row>
    <row r="5" spans="1:20" x14ac:dyDescent="0.25">
      <c r="A5" s="2" t="s">
        <v>334</v>
      </c>
      <c r="B5">
        <v>227</v>
      </c>
      <c r="C5">
        <v>236</v>
      </c>
      <c r="D5">
        <v>237</v>
      </c>
      <c r="E5">
        <v>250</v>
      </c>
      <c r="F5">
        <v>260</v>
      </c>
      <c r="G5">
        <v>257</v>
      </c>
      <c r="H5">
        <v>270</v>
      </c>
      <c r="I5">
        <v>278</v>
      </c>
      <c r="J5">
        <v>300</v>
      </c>
      <c r="K5">
        <v>306</v>
      </c>
      <c r="L5">
        <v>308</v>
      </c>
      <c r="M5">
        <v>325</v>
      </c>
      <c r="N5">
        <v>327</v>
      </c>
      <c r="O5">
        <v>361</v>
      </c>
      <c r="P5">
        <v>374</v>
      </c>
      <c r="Q5">
        <v>379</v>
      </c>
      <c r="R5">
        <v>393</v>
      </c>
      <c r="S5">
        <v>427</v>
      </c>
      <c r="T5">
        <v>5515</v>
      </c>
    </row>
    <row r="6" spans="1:20" x14ac:dyDescent="0.25">
      <c r="A6" s="2" t="s">
        <v>335</v>
      </c>
      <c r="B6">
        <v>308</v>
      </c>
      <c r="C6">
        <v>320</v>
      </c>
      <c r="D6">
        <v>313</v>
      </c>
      <c r="E6">
        <v>314</v>
      </c>
      <c r="F6">
        <v>311</v>
      </c>
      <c r="G6">
        <v>339</v>
      </c>
      <c r="H6">
        <v>346</v>
      </c>
      <c r="I6">
        <v>363</v>
      </c>
      <c r="J6">
        <v>370</v>
      </c>
      <c r="K6">
        <v>386</v>
      </c>
      <c r="L6">
        <v>402</v>
      </c>
      <c r="M6">
        <v>405</v>
      </c>
      <c r="N6">
        <v>442</v>
      </c>
      <c r="O6">
        <v>446</v>
      </c>
      <c r="P6">
        <v>466</v>
      </c>
      <c r="Q6">
        <v>487</v>
      </c>
      <c r="R6">
        <v>506</v>
      </c>
      <c r="S6">
        <v>565</v>
      </c>
      <c r="T6">
        <v>7089</v>
      </c>
    </row>
    <row r="7" spans="1:20" x14ac:dyDescent="0.25">
      <c r="A7" s="2" t="s">
        <v>249</v>
      </c>
      <c r="B7">
        <v>1032</v>
      </c>
      <c r="C7">
        <v>1046</v>
      </c>
      <c r="D7">
        <v>1055</v>
      </c>
      <c r="E7">
        <v>1052</v>
      </c>
      <c r="F7">
        <v>1084</v>
      </c>
      <c r="G7">
        <v>1124</v>
      </c>
      <c r="H7">
        <v>1145</v>
      </c>
      <c r="I7">
        <v>1190</v>
      </c>
      <c r="J7">
        <v>1256</v>
      </c>
      <c r="K7">
        <v>1311</v>
      </c>
      <c r="L7">
        <v>1333</v>
      </c>
      <c r="M7">
        <v>1399</v>
      </c>
      <c r="N7">
        <v>1481</v>
      </c>
      <c r="O7">
        <v>1522</v>
      </c>
      <c r="P7">
        <v>1584</v>
      </c>
      <c r="Q7">
        <v>1646</v>
      </c>
      <c r="R7">
        <v>1695</v>
      </c>
      <c r="S7">
        <v>1837</v>
      </c>
      <c r="T7">
        <v>23792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F21"/>
  <sheetViews>
    <sheetView workbookViewId="0">
      <selection activeCell="A23" sqref="A2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5" width="5" bestFit="1" customWidth="1"/>
    <col min="6" max="6" width="11.28515625" bestFit="1" customWidth="1"/>
    <col min="7" max="19" width="5" bestFit="1" customWidth="1"/>
    <col min="20" max="20" width="11.28515625" bestFit="1" customWidth="1"/>
  </cols>
  <sheetData>
    <row r="1" spans="1:6" x14ac:dyDescent="0.25">
      <c r="A1" s="7" t="s">
        <v>408</v>
      </c>
      <c r="B1" s="7" t="s">
        <v>331</v>
      </c>
    </row>
    <row r="2" spans="1:6" x14ac:dyDescent="0.25">
      <c r="A2" s="7" t="s">
        <v>329</v>
      </c>
      <c r="B2" t="s">
        <v>332</v>
      </c>
      <c r="C2" t="s">
        <v>333</v>
      </c>
      <c r="D2" t="s">
        <v>334</v>
      </c>
      <c r="E2" t="s">
        <v>335</v>
      </c>
      <c r="F2" t="s">
        <v>249</v>
      </c>
    </row>
    <row r="3" spans="1:6" x14ac:dyDescent="0.25">
      <c r="A3" s="2" t="s">
        <v>390</v>
      </c>
      <c r="B3">
        <v>284</v>
      </c>
      <c r="C3">
        <v>213</v>
      </c>
      <c r="D3">
        <v>227</v>
      </c>
      <c r="E3">
        <v>308</v>
      </c>
      <c r="F3">
        <v>1032</v>
      </c>
    </row>
    <row r="4" spans="1:6" x14ac:dyDescent="0.25">
      <c r="A4" s="2" t="s">
        <v>391</v>
      </c>
      <c r="B4">
        <v>262</v>
      </c>
      <c r="C4">
        <v>228</v>
      </c>
      <c r="D4">
        <v>236</v>
      </c>
      <c r="E4">
        <v>320</v>
      </c>
      <c r="F4">
        <v>1046</v>
      </c>
    </row>
    <row r="5" spans="1:6" x14ac:dyDescent="0.25">
      <c r="A5" s="2" t="s">
        <v>392</v>
      </c>
      <c r="B5">
        <v>272</v>
      </c>
      <c r="C5">
        <v>233</v>
      </c>
      <c r="D5">
        <v>237</v>
      </c>
      <c r="E5">
        <v>313</v>
      </c>
      <c r="F5">
        <v>1055</v>
      </c>
    </row>
    <row r="6" spans="1:6" x14ac:dyDescent="0.25">
      <c r="A6" s="2" t="s">
        <v>393</v>
      </c>
      <c r="B6">
        <v>261</v>
      </c>
      <c r="C6">
        <v>227</v>
      </c>
      <c r="D6">
        <v>250</v>
      </c>
      <c r="E6">
        <v>314</v>
      </c>
      <c r="F6">
        <v>1052</v>
      </c>
    </row>
    <row r="7" spans="1:6" x14ac:dyDescent="0.25">
      <c r="A7" s="2" t="s">
        <v>394</v>
      </c>
      <c r="B7">
        <v>286</v>
      </c>
      <c r="C7">
        <v>227</v>
      </c>
      <c r="D7">
        <v>260</v>
      </c>
      <c r="E7">
        <v>311</v>
      </c>
      <c r="F7">
        <v>1084</v>
      </c>
    </row>
    <row r="8" spans="1:6" x14ac:dyDescent="0.25">
      <c r="A8" s="2" t="s">
        <v>395</v>
      </c>
      <c r="B8">
        <v>295</v>
      </c>
      <c r="C8">
        <v>233</v>
      </c>
      <c r="D8">
        <v>257</v>
      </c>
      <c r="E8">
        <v>339</v>
      </c>
      <c r="F8">
        <v>1124</v>
      </c>
    </row>
    <row r="9" spans="1:6" x14ac:dyDescent="0.25">
      <c r="A9" s="2" t="s">
        <v>396</v>
      </c>
      <c r="B9">
        <v>279</v>
      </c>
      <c r="C9">
        <v>250</v>
      </c>
      <c r="D9">
        <v>270</v>
      </c>
      <c r="E9">
        <v>346</v>
      </c>
      <c r="F9">
        <v>1145</v>
      </c>
    </row>
    <row r="10" spans="1:6" x14ac:dyDescent="0.25">
      <c r="A10" s="2" t="s">
        <v>397</v>
      </c>
      <c r="B10">
        <v>294</v>
      </c>
      <c r="C10">
        <v>255</v>
      </c>
      <c r="D10">
        <v>278</v>
      </c>
      <c r="E10">
        <v>363</v>
      </c>
      <c r="F10">
        <v>1190</v>
      </c>
    </row>
    <row r="11" spans="1:6" x14ac:dyDescent="0.25">
      <c r="A11" s="2" t="s">
        <v>398</v>
      </c>
      <c r="B11">
        <v>313</v>
      </c>
      <c r="C11">
        <v>273</v>
      </c>
      <c r="D11">
        <v>300</v>
      </c>
      <c r="E11">
        <v>370</v>
      </c>
      <c r="F11">
        <v>1256</v>
      </c>
    </row>
    <row r="12" spans="1:6" x14ac:dyDescent="0.25">
      <c r="A12" s="2" t="s">
        <v>399</v>
      </c>
      <c r="B12">
        <v>331</v>
      </c>
      <c r="C12">
        <v>288</v>
      </c>
      <c r="D12">
        <v>306</v>
      </c>
      <c r="E12">
        <v>386</v>
      </c>
      <c r="F12">
        <v>1311</v>
      </c>
    </row>
    <row r="13" spans="1:6" x14ac:dyDescent="0.25">
      <c r="A13" s="2" t="s">
        <v>400</v>
      </c>
      <c r="B13">
        <v>335</v>
      </c>
      <c r="C13">
        <v>288</v>
      </c>
      <c r="D13">
        <v>308</v>
      </c>
      <c r="E13">
        <v>402</v>
      </c>
      <c r="F13">
        <v>1333</v>
      </c>
    </row>
    <row r="14" spans="1:6" x14ac:dyDescent="0.25">
      <c r="A14" s="2" t="s">
        <v>401</v>
      </c>
      <c r="B14">
        <v>353</v>
      </c>
      <c r="C14">
        <v>316</v>
      </c>
      <c r="D14">
        <v>325</v>
      </c>
      <c r="E14">
        <v>405</v>
      </c>
      <c r="F14">
        <v>1399</v>
      </c>
    </row>
    <row r="15" spans="1:6" x14ac:dyDescent="0.25">
      <c r="A15" s="2" t="s">
        <v>402</v>
      </c>
      <c r="B15">
        <v>393</v>
      </c>
      <c r="C15">
        <v>319</v>
      </c>
      <c r="D15">
        <v>327</v>
      </c>
      <c r="E15">
        <v>442</v>
      </c>
      <c r="F15">
        <v>1481</v>
      </c>
    </row>
    <row r="16" spans="1:6" x14ac:dyDescent="0.25">
      <c r="A16" s="2" t="s">
        <v>403</v>
      </c>
      <c r="B16">
        <v>383</v>
      </c>
      <c r="C16">
        <v>332</v>
      </c>
      <c r="D16">
        <v>361</v>
      </c>
      <c r="E16">
        <v>446</v>
      </c>
      <c r="F16">
        <v>1522</v>
      </c>
    </row>
    <row r="17" spans="1:6" x14ac:dyDescent="0.25">
      <c r="A17" s="2" t="s">
        <v>404</v>
      </c>
      <c r="B17">
        <v>387</v>
      </c>
      <c r="C17">
        <v>357</v>
      </c>
      <c r="D17">
        <v>374</v>
      </c>
      <c r="E17">
        <v>466</v>
      </c>
      <c r="F17">
        <v>1584</v>
      </c>
    </row>
    <row r="18" spans="1:6" x14ac:dyDescent="0.25">
      <c r="A18" s="2" t="s">
        <v>405</v>
      </c>
      <c r="B18">
        <v>410</v>
      </c>
      <c r="C18">
        <v>370</v>
      </c>
      <c r="D18">
        <v>379</v>
      </c>
      <c r="E18">
        <v>487</v>
      </c>
      <c r="F18">
        <v>1646</v>
      </c>
    </row>
    <row r="19" spans="1:6" x14ac:dyDescent="0.25">
      <c r="A19" s="2" t="s">
        <v>406</v>
      </c>
      <c r="B19">
        <v>419</v>
      </c>
      <c r="C19">
        <v>377</v>
      </c>
      <c r="D19">
        <v>393</v>
      </c>
      <c r="E19">
        <v>506</v>
      </c>
      <c r="F19">
        <v>1695</v>
      </c>
    </row>
    <row r="20" spans="1:6" x14ac:dyDescent="0.25">
      <c r="A20" s="2" t="s">
        <v>407</v>
      </c>
      <c r="B20">
        <v>458</v>
      </c>
      <c r="C20">
        <v>387</v>
      </c>
      <c r="D20">
        <v>427</v>
      </c>
      <c r="E20">
        <v>565</v>
      </c>
      <c r="F20">
        <v>1837</v>
      </c>
    </row>
    <row r="21" spans="1:6" x14ac:dyDescent="0.25">
      <c r="A21" s="2" t="s">
        <v>249</v>
      </c>
      <c r="B21">
        <v>6015</v>
      </c>
      <c r="C21">
        <v>5173</v>
      </c>
      <c r="D21">
        <v>5515</v>
      </c>
      <c r="E21">
        <v>7089</v>
      </c>
      <c r="F21">
        <v>23792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10.140625" customWidth="1"/>
  </cols>
  <sheetData>
    <row r="1" spans="1:2" x14ac:dyDescent="0.25">
      <c r="A1" t="s">
        <v>158</v>
      </c>
      <c r="B1" t="s">
        <v>388</v>
      </c>
    </row>
    <row r="2" spans="1:2" x14ac:dyDescent="0.25">
      <c r="A2" s="17">
        <v>20455</v>
      </c>
      <c r="B2">
        <v>284</v>
      </c>
    </row>
    <row r="3" spans="1:2" x14ac:dyDescent="0.25">
      <c r="A3" s="17">
        <v>20546</v>
      </c>
      <c r="B3">
        <v>213</v>
      </c>
    </row>
    <row r="4" spans="1:2" x14ac:dyDescent="0.25">
      <c r="A4" s="17">
        <v>20637</v>
      </c>
      <c r="B4">
        <v>227</v>
      </c>
    </row>
    <row r="5" spans="1:2" x14ac:dyDescent="0.25">
      <c r="A5" s="17">
        <v>20729</v>
      </c>
      <c r="B5">
        <v>308</v>
      </c>
    </row>
    <row r="6" spans="1:2" x14ac:dyDescent="0.25">
      <c r="A6" s="17">
        <v>20821</v>
      </c>
      <c r="B6">
        <v>262</v>
      </c>
    </row>
    <row r="7" spans="1:2" x14ac:dyDescent="0.25">
      <c r="A7" s="17">
        <v>20911</v>
      </c>
      <c r="B7">
        <v>228</v>
      </c>
    </row>
    <row r="8" spans="1:2" x14ac:dyDescent="0.25">
      <c r="A8" s="17">
        <v>21002</v>
      </c>
      <c r="B8">
        <v>236</v>
      </c>
    </row>
    <row r="9" spans="1:2" x14ac:dyDescent="0.25">
      <c r="A9" s="17">
        <v>21094</v>
      </c>
      <c r="B9">
        <v>320</v>
      </c>
    </row>
    <row r="10" spans="1:2" x14ac:dyDescent="0.25">
      <c r="A10" s="17">
        <v>21186</v>
      </c>
      <c r="B10">
        <v>272</v>
      </c>
    </row>
    <row r="11" spans="1:2" x14ac:dyDescent="0.25">
      <c r="A11" s="17">
        <v>21276</v>
      </c>
      <c r="B11">
        <v>233</v>
      </c>
    </row>
    <row r="12" spans="1:2" x14ac:dyDescent="0.25">
      <c r="A12" s="17">
        <v>21367</v>
      </c>
      <c r="B12">
        <v>237</v>
      </c>
    </row>
    <row r="13" spans="1:2" x14ac:dyDescent="0.25">
      <c r="A13" s="17">
        <v>21459</v>
      </c>
      <c r="B13">
        <v>313</v>
      </c>
    </row>
    <row r="14" spans="1:2" x14ac:dyDescent="0.25">
      <c r="A14" s="17">
        <v>21551</v>
      </c>
      <c r="B14">
        <v>261</v>
      </c>
    </row>
    <row r="15" spans="1:2" x14ac:dyDescent="0.25">
      <c r="A15" s="17">
        <v>21641</v>
      </c>
      <c r="B15">
        <v>227</v>
      </c>
    </row>
    <row r="16" spans="1:2" x14ac:dyDescent="0.25">
      <c r="A16" s="17">
        <v>21732</v>
      </c>
      <c r="B16">
        <v>250</v>
      </c>
    </row>
    <row r="17" spans="1:2" x14ac:dyDescent="0.25">
      <c r="A17" s="17">
        <v>21824</v>
      </c>
      <c r="B17">
        <v>314</v>
      </c>
    </row>
    <row r="18" spans="1:2" x14ac:dyDescent="0.25">
      <c r="A18" s="17">
        <v>21916</v>
      </c>
      <c r="B18">
        <v>286</v>
      </c>
    </row>
    <row r="19" spans="1:2" x14ac:dyDescent="0.25">
      <c r="A19" s="17">
        <v>22007</v>
      </c>
      <c r="B19">
        <v>227</v>
      </c>
    </row>
    <row r="20" spans="1:2" x14ac:dyDescent="0.25">
      <c r="A20" s="17">
        <v>22098</v>
      </c>
      <c r="B20">
        <v>260</v>
      </c>
    </row>
    <row r="21" spans="1:2" x14ac:dyDescent="0.25">
      <c r="A21" s="17">
        <v>22190</v>
      </c>
      <c r="B21">
        <v>311</v>
      </c>
    </row>
    <row r="22" spans="1:2" x14ac:dyDescent="0.25">
      <c r="A22" s="17">
        <v>22282</v>
      </c>
      <c r="B22">
        <v>295</v>
      </c>
    </row>
    <row r="23" spans="1:2" x14ac:dyDescent="0.25">
      <c r="A23" s="17">
        <v>22372</v>
      </c>
      <c r="B23">
        <v>233</v>
      </c>
    </row>
    <row r="24" spans="1:2" x14ac:dyDescent="0.25">
      <c r="A24" s="17">
        <v>22463</v>
      </c>
      <c r="B24">
        <v>257</v>
      </c>
    </row>
    <row r="25" spans="1:2" x14ac:dyDescent="0.25">
      <c r="A25" s="17">
        <v>22555</v>
      </c>
      <c r="B25">
        <v>339</v>
      </c>
    </row>
    <row r="26" spans="1:2" x14ac:dyDescent="0.25">
      <c r="A26" s="17">
        <v>22647</v>
      </c>
      <c r="B26">
        <v>279</v>
      </c>
    </row>
    <row r="27" spans="1:2" x14ac:dyDescent="0.25">
      <c r="A27" s="17">
        <v>22737</v>
      </c>
      <c r="B27">
        <v>250</v>
      </c>
    </row>
    <row r="28" spans="1:2" x14ac:dyDescent="0.25">
      <c r="A28" s="17">
        <v>22828</v>
      </c>
      <c r="B28">
        <v>270</v>
      </c>
    </row>
    <row r="29" spans="1:2" x14ac:dyDescent="0.25">
      <c r="A29" s="17">
        <v>22920</v>
      </c>
      <c r="B29">
        <v>346</v>
      </c>
    </row>
    <row r="30" spans="1:2" x14ac:dyDescent="0.25">
      <c r="A30" s="17">
        <v>23012</v>
      </c>
      <c r="B30">
        <v>294</v>
      </c>
    </row>
    <row r="31" spans="1:2" x14ac:dyDescent="0.25">
      <c r="A31" s="17">
        <v>23102</v>
      </c>
      <c r="B31">
        <v>255</v>
      </c>
    </row>
    <row r="32" spans="1:2" x14ac:dyDescent="0.25">
      <c r="A32" s="17">
        <v>23193</v>
      </c>
      <c r="B32">
        <v>278</v>
      </c>
    </row>
    <row r="33" spans="1:2" x14ac:dyDescent="0.25">
      <c r="A33" s="17">
        <v>23285</v>
      </c>
      <c r="B33">
        <v>363</v>
      </c>
    </row>
    <row r="34" spans="1:2" x14ac:dyDescent="0.25">
      <c r="A34" s="17">
        <v>23377</v>
      </c>
      <c r="B34">
        <v>313</v>
      </c>
    </row>
    <row r="35" spans="1:2" x14ac:dyDescent="0.25">
      <c r="A35" s="17">
        <v>23468</v>
      </c>
      <c r="B35">
        <v>273</v>
      </c>
    </row>
    <row r="36" spans="1:2" x14ac:dyDescent="0.25">
      <c r="A36" s="17">
        <v>23559</v>
      </c>
      <c r="B36">
        <v>300</v>
      </c>
    </row>
    <row r="37" spans="1:2" x14ac:dyDescent="0.25">
      <c r="A37" s="17">
        <v>23651</v>
      </c>
      <c r="B37">
        <v>370</v>
      </c>
    </row>
    <row r="38" spans="1:2" x14ac:dyDescent="0.25">
      <c r="A38" s="17">
        <v>23743</v>
      </c>
      <c r="B38">
        <v>331</v>
      </c>
    </row>
    <row r="39" spans="1:2" x14ac:dyDescent="0.25">
      <c r="A39" s="17">
        <v>23833</v>
      </c>
      <c r="B39">
        <v>288</v>
      </c>
    </row>
    <row r="40" spans="1:2" x14ac:dyDescent="0.25">
      <c r="A40" s="17">
        <v>23924</v>
      </c>
      <c r="B40">
        <v>306</v>
      </c>
    </row>
    <row r="41" spans="1:2" x14ac:dyDescent="0.25">
      <c r="A41" s="17">
        <v>24016</v>
      </c>
      <c r="B41">
        <v>386</v>
      </c>
    </row>
    <row r="42" spans="1:2" x14ac:dyDescent="0.25">
      <c r="A42" s="17">
        <v>24108</v>
      </c>
      <c r="B42">
        <v>335</v>
      </c>
    </row>
    <row r="43" spans="1:2" x14ac:dyDescent="0.25">
      <c r="A43" s="17">
        <v>24198</v>
      </c>
      <c r="B43">
        <v>288</v>
      </c>
    </row>
    <row r="44" spans="1:2" x14ac:dyDescent="0.25">
      <c r="A44" s="17">
        <v>24289</v>
      </c>
      <c r="B44">
        <v>308</v>
      </c>
    </row>
    <row r="45" spans="1:2" x14ac:dyDescent="0.25">
      <c r="A45" s="17">
        <v>24381</v>
      </c>
      <c r="B45">
        <v>402</v>
      </c>
    </row>
    <row r="46" spans="1:2" x14ac:dyDescent="0.25">
      <c r="A46" s="17">
        <v>24473</v>
      </c>
      <c r="B46">
        <v>353</v>
      </c>
    </row>
    <row r="47" spans="1:2" x14ac:dyDescent="0.25">
      <c r="A47" s="17">
        <v>24563</v>
      </c>
      <c r="B47">
        <v>316</v>
      </c>
    </row>
    <row r="48" spans="1:2" x14ac:dyDescent="0.25">
      <c r="A48" s="17">
        <v>24654</v>
      </c>
      <c r="B48">
        <v>325</v>
      </c>
    </row>
    <row r="49" spans="1:2" x14ac:dyDescent="0.25">
      <c r="A49" s="17">
        <v>24746</v>
      </c>
      <c r="B49">
        <v>405</v>
      </c>
    </row>
    <row r="50" spans="1:2" x14ac:dyDescent="0.25">
      <c r="A50" s="17">
        <v>24838</v>
      </c>
      <c r="B50">
        <v>393</v>
      </c>
    </row>
    <row r="51" spans="1:2" x14ac:dyDescent="0.25">
      <c r="A51" s="17">
        <v>24929</v>
      </c>
      <c r="B51">
        <v>319</v>
      </c>
    </row>
    <row r="52" spans="1:2" x14ac:dyDescent="0.25">
      <c r="A52" s="17">
        <v>25020</v>
      </c>
      <c r="B52">
        <v>327</v>
      </c>
    </row>
    <row r="53" spans="1:2" x14ac:dyDescent="0.25">
      <c r="A53" s="17">
        <v>25112</v>
      </c>
      <c r="B53">
        <v>442</v>
      </c>
    </row>
    <row r="54" spans="1:2" x14ac:dyDescent="0.25">
      <c r="A54" s="17">
        <v>25204</v>
      </c>
      <c r="B54">
        <v>383</v>
      </c>
    </row>
    <row r="55" spans="1:2" x14ac:dyDescent="0.25">
      <c r="A55" s="17">
        <v>25294</v>
      </c>
      <c r="B55">
        <v>332</v>
      </c>
    </row>
    <row r="56" spans="1:2" x14ac:dyDescent="0.25">
      <c r="A56" s="17">
        <v>25385</v>
      </c>
      <c r="B56">
        <v>361</v>
      </c>
    </row>
    <row r="57" spans="1:2" x14ac:dyDescent="0.25">
      <c r="A57" s="17">
        <v>25477</v>
      </c>
      <c r="B57">
        <v>446</v>
      </c>
    </row>
    <row r="58" spans="1:2" x14ac:dyDescent="0.25">
      <c r="A58" s="17">
        <v>25569</v>
      </c>
      <c r="B58">
        <v>387</v>
      </c>
    </row>
    <row r="59" spans="1:2" x14ac:dyDescent="0.25">
      <c r="A59" s="17">
        <v>25659</v>
      </c>
      <c r="B59">
        <v>357</v>
      </c>
    </row>
    <row r="60" spans="1:2" x14ac:dyDescent="0.25">
      <c r="A60" s="17">
        <v>25750</v>
      </c>
      <c r="B60">
        <v>374</v>
      </c>
    </row>
    <row r="61" spans="1:2" x14ac:dyDescent="0.25">
      <c r="A61" s="17">
        <v>25842</v>
      </c>
      <c r="B61">
        <v>466</v>
      </c>
    </row>
    <row r="62" spans="1:2" x14ac:dyDescent="0.25">
      <c r="A62" s="17">
        <v>25934</v>
      </c>
      <c r="B62">
        <v>410</v>
      </c>
    </row>
    <row r="63" spans="1:2" x14ac:dyDescent="0.25">
      <c r="A63" s="17">
        <v>26024</v>
      </c>
      <c r="B63">
        <v>370</v>
      </c>
    </row>
    <row r="64" spans="1:2" x14ac:dyDescent="0.25">
      <c r="A64" s="17">
        <v>26115</v>
      </c>
      <c r="B64">
        <v>379</v>
      </c>
    </row>
    <row r="65" spans="1:2" x14ac:dyDescent="0.25">
      <c r="A65" s="17">
        <v>26207</v>
      </c>
      <c r="B65">
        <v>487</v>
      </c>
    </row>
    <row r="66" spans="1:2" x14ac:dyDescent="0.25">
      <c r="A66" s="17">
        <v>26299</v>
      </c>
      <c r="B66">
        <v>419</v>
      </c>
    </row>
    <row r="67" spans="1:2" x14ac:dyDescent="0.25">
      <c r="A67" s="17">
        <v>26390</v>
      </c>
      <c r="B67">
        <v>377</v>
      </c>
    </row>
    <row r="68" spans="1:2" x14ac:dyDescent="0.25">
      <c r="A68" s="17">
        <v>26481</v>
      </c>
      <c r="B68">
        <v>393</v>
      </c>
    </row>
    <row r="69" spans="1:2" x14ac:dyDescent="0.25">
      <c r="A69" s="17">
        <v>26573</v>
      </c>
      <c r="B69">
        <v>506</v>
      </c>
    </row>
    <row r="70" spans="1:2" x14ac:dyDescent="0.25">
      <c r="A70" s="17">
        <v>26665</v>
      </c>
      <c r="B70">
        <v>458</v>
      </c>
    </row>
    <row r="71" spans="1:2" x14ac:dyDescent="0.25">
      <c r="A71" s="17">
        <v>26755</v>
      </c>
      <c r="B71">
        <v>387</v>
      </c>
    </row>
    <row r="72" spans="1:2" x14ac:dyDescent="0.25">
      <c r="A72" s="17">
        <v>26846</v>
      </c>
      <c r="B72">
        <v>427</v>
      </c>
    </row>
    <row r="73" spans="1:2" x14ac:dyDescent="0.25">
      <c r="A73" s="17">
        <v>26938</v>
      </c>
      <c r="B73">
        <v>565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8" customWidth="1"/>
    <col min="2" max="4" width="5.7109375" style="58" customWidth="1"/>
    <col min="5" max="16384" width="9.140625" style="58"/>
  </cols>
  <sheetData>
    <row r="1" spans="1:4" x14ac:dyDescent="0.2">
      <c r="B1" s="59" t="s">
        <v>62</v>
      </c>
      <c r="C1" s="59" t="s">
        <v>63</v>
      </c>
      <c r="D1" s="59" t="s">
        <v>253</v>
      </c>
    </row>
    <row r="2" spans="1:4" x14ac:dyDescent="0.2">
      <c r="A2" s="60" t="s">
        <v>124</v>
      </c>
      <c r="B2" s="77">
        <v>1255</v>
      </c>
      <c r="C2" s="77">
        <v>948</v>
      </c>
      <c r="D2" s="77">
        <v>1269</v>
      </c>
    </row>
    <row r="3" spans="1:4" x14ac:dyDescent="0.2">
      <c r="A3" s="60" t="s">
        <v>125</v>
      </c>
      <c r="B3" s="77">
        <v>2544</v>
      </c>
      <c r="C3" s="77">
        <v>1306</v>
      </c>
      <c r="D3" s="77">
        <v>379</v>
      </c>
    </row>
    <row r="4" spans="1:4" x14ac:dyDescent="0.2">
      <c r="A4" s="60" t="s">
        <v>126</v>
      </c>
      <c r="B4" s="77">
        <v>1655</v>
      </c>
      <c r="C4" s="77">
        <v>781</v>
      </c>
      <c r="D4" s="77">
        <v>1943</v>
      </c>
    </row>
    <row r="5" spans="1:4" x14ac:dyDescent="0.2">
      <c r="A5" s="60" t="s">
        <v>127</v>
      </c>
      <c r="B5" s="77">
        <v>2144</v>
      </c>
      <c r="C5" s="77">
        <v>931</v>
      </c>
      <c r="D5" s="77">
        <v>2463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>
      <selection activeCell="Q32" sqref="Q32"/>
    </sheetView>
  </sheetViews>
  <sheetFormatPr defaultRowHeight="15" x14ac:dyDescent="0.25"/>
  <cols>
    <col min="1" max="1" width="5.7109375" customWidth="1"/>
    <col min="2" max="3" width="6.7109375" customWidth="1"/>
  </cols>
  <sheetData>
    <row r="1" spans="1:3" x14ac:dyDescent="0.25">
      <c r="B1" s="110">
        <v>2009</v>
      </c>
      <c r="C1" s="110">
        <v>2010</v>
      </c>
    </row>
    <row r="2" spans="1:3" x14ac:dyDescent="0.25">
      <c r="A2" s="110" t="s">
        <v>251</v>
      </c>
      <c r="B2">
        <v>15</v>
      </c>
      <c r="C2">
        <v>17</v>
      </c>
    </row>
    <row r="3" spans="1:3" x14ac:dyDescent="0.25">
      <c r="A3" s="110" t="s">
        <v>252</v>
      </c>
      <c r="B3">
        <v>17</v>
      </c>
      <c r="C3">
        <v>16</v>
      </c>
    </row>
    <row r="4" spans="1:3" x14ac:dyDescent="0.25">
      <c r="A4" s="110" t="s">
        <v>248</v>
      </c>
      <c r="B4">
        <v>14</v>
      </c>
      <c r="C4">
        <v>16</v>
      </c>
    </row>
    <row r="5" spans="1:3" x14ac:dyDescent="0.25">
      <c r="A5" s="110" t="s">
        <v>247</v>
      </c>
      <c r="B5">
        <v>19</v>
      </c>
      <c r="C5">
        <v>20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customWidth="1"/>
    <col min="2" max="5" width="6.7109375" customWidth="1"/>
  </cols>
  <sheetData>
    <row r="1" spans="1:5" x14ac:dyDescent="0.25">
      <c r="B1" s="110">
        <v>2008</v>
      </c>
      <c r="C1" s="110">
        <v>2009</v>
      </c>
      <c r="D1" s="110">
        <v>2010</v>
      </c>
      <c r="E1" s="110">
        <v>2011</v>
      </c>
    </row>
    <row r="2" spans="1:5" x14ac:dyDescent="0.25">
      <c r="A2" s="110" t="s">
        <v>251</v>
      </c>
      <c r="B2">
        <v>14</v>
      </c>
      <c r="C2">
        <v>15</v>
      </c>
      <c r="D2">
        <v>17</v>
      </c>
      <c r="E2">
        <v>18</v>
      </c>
    </row>
    <row r="3" spans="1:5" x14ac:dyDescent="0.25">
      <c r="A3" s="110" t="s">
        <v>252</v>
      </c>
      <c r="B3">
        <v>12</v>
      </c>
      <c r="C3">
        <v>17</v>
      </c>
      <c r="D3">
        <v>16</v>
      </c>
      <c r="E3">
        <v>17</v>
      </c>
    </row>
    <row r="4" spans="1:5" x14ac:dyDescent="0.25">
      <c r="A4" s="110" t="s">
        <v>248</v>
      </c>
      <c r="B4">
        <v>10</v>
      </c>
      <c r="C4">
        <v>14</v>
      </c>
      <c r="D4">
        <v>16</v>
      </c>
      <c r="E4">
        <v>18</v>
      </c>
    </row>
    <row r="5" spans="1:5" x14ac:dyDescent="0.25">
      <c r="A5" s="110" t="s">
        <v>247</v>
      </c>
      <c r="B5">
        <v>16</v>
      </c>
      <c r="C5">
        <v>19</v>
      </c>
      <c r="D5">
        <v>20</v>
      </c>
      <c r="E5">
        <v>21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3" max="3" width="9.140625" customWidth="1"/>
  </cols>
  <sheetData>
    <row r="1" spans="1:3" x14ac:dyDescent="0.25">
      <c r="A1" t="s">
        <v>161</v>
      </c>
      <c r="C1">
        <v>4000</v>
      </c>
    </row>
    <row r="2" spans="1:3" x14ac:dyDescent="0.25">
      <c r="A2" t="s">
        <v>162</v>
      </c>
      <c r="B2" s="25">
        <v>0.25</v>
      </c>
      <c r="C2">
        <f>B2*C1</f>
        <v>1000</v>
      </c>
    </row>
    <row r="3" spans="1:3" x14ac:dyDescent="0.25">
      <c r="A3" t="s">
        <v>163</v>
      </c>
      <c r="C3">
        <f>C1+C2</f>
        <v>5000</v>
      </c>
    </row>
    <row r="5" spans="1:3" x14ac:dyDescent="0.25">
      <c r="A5" t="s">
        <v>165</v>
      </c>
      <c r="B5" s="25">
        <v>0.21</v>
      </c>
      <c r="C5">
        <f>B5*C3</f>
        <v>1050</v>
      </c>
    </row>
    <row r="6" spans="1:3" x14ac:dyDescent="0.25">
      <c r="A6" t="s">
        <v>164</v>
      </c>
      <c r="C6">
        <f>C3+C5</f>
        <v>6050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3" max="3" width="12.140625" bestFit="1" customWidth="1"/>
    <col min="4" max="4" width="10.5703125" bestFit="1" customWidth="1"/>
  </cols>
  <sheetData>
    <row r="1" spans="1:4" x14ac:dyDescent="0.25">
      <c r="B1" s="11" t="s">
        <v>167</v>
      </c>
      <c r="C1" s="11" t="s">
        <v>264</v>
      </c>
      <c r="D1" s="11" t="s">
        <v>168</v>
      </c>
    </row>
    <row r="2" spans="1:4" x14ac:dyDescent="0.25">
      <c r="A2" t="s">
        <v>27</v>
      </c>
      <c r="B2">
        <v>20</v>
      </c>
      <c r="C2">
        <v>65</v>
      </c>
      <c r="D2">
        <f>B2*C2</f>
        <v>1300</v>
      </c>
    </row>
    <row r="3" spans="1:4" x14ac:dyDescent="0.25">
      <c r="A3" t="s">
        <v>28</v>
      </c>
      <c r="B3">
        <v>10</v>
      </c>
      <c r="C3">
        <v>80</v>
      </c>
      <c r="D3">
        <f t="shared" ref="D3:D4" si="0">B3*C3</f>
        <v>800</v>
      </c>
    </row>
    <row r="4" spans="1:4" x14ac:dyDescent="0.25">
      <c r="A4" t="s">
        <v>53</v>
      </c>
      <c r="B4">
        <v>4</v>
      </c>
      <c r="C4">
        <v>70</v>
      </c>
      <c r="D4">
        <f t="shared" si="0"/>
        <v>280</v>
      </c>
    </row>
    <row r="5" spans="1:4" x14ac:dyDescent="0.25">
      <c r="A5" t="s">
        <v>166</v>
      </c>
      <c r="D5">
        <f>D2+D3+D4</f>
        <v>2380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bestFit="1" customWidth="1"/>
    <col min="2" max="2" width="7.28515625" bestFit="1" customWidth="1"/>
    <col min="3" max="3" width="6.7109375" customWidth="1"/>
    <col min="4" max="4" width="9" bestFit="1" customWidth="1"/>
    <col min="7" max="7" width="6.7109375" customWidth="1"/>
    <col min="8" max="8" width="10" bestFit="1" customWidth="1"/>
  </cols>
  <sheetData>
    <row r="1" spans="1:8" x14ac:dyDescent="0.25">
      <c r="A1" s="79" t="s">
        <v>6</v>
      </c>
      <c r="B1" s="79" t="s">
        <v>183</v>
      </c>
      <c r="C1" s="79" t="s">
        <v>308</v>
      </c>
      <c r="D1" s="79" t="s">
        <v>309</v>
      </c>
      <c r="G1" s="79" t="s">
        <v>308</v>
      </c>
      <c r="H1" s="79" t="s">
        <v>309</v>
      </c>
    </row>
    <row r="2" spans="1:8" x14ac:dyDescent="0.25">
      <c r="A2" t="s">
        <v>310</v>
      </c>
      <c r="B2" t="s">
        <v>152</v>
      </c>
      <c r="C2" t="s">
        <v>311</v>
      </c>
      <c r="D2" s="116">
        <v>43200</v>
      </c>
      <c r="G2" t="s">
        <v>311</v>
      </c>
      <c r="H2" s="116">
        <f>SUMIF(C:C,G2,D:D)</f>
        <v>743140</v>
      </c>
    </row>
    <row r="3" spans="1:8" x14ac:dyDescent="0.25">
      <c r="A3" t="s">
        <v>310</v>
      </c>
      <c r="B3" t="s">
        <v>153</v>
      </c>
      <c r="C3" t="s">
        <v>311</v>
      </c>
      <c r="D3" s="116">
        <v>45000</v>
      </c>
      <c r="G3" t="s">
        <v>312</v>
      </c>
      <c r="H3" s="116">
        <f t="shared" ref="H3:H5" si="0">SUMIF(C:C,G3,D:D)</f>
        <v>698650</v>
      </c>
    </row>
    <row r="4" spans="1:8" x14ac:dyDescent="0.25">
      <c r="A4" t="s">
        <v>310</v>
      </c>
      <c r="B4" t="s">
        <v>154</v>
      </c>
      <c r="C4" t="s">
        <v>311</v>
      </c>
      <c r="D4" s="116">
        <v>35280</v>
      </c>
      <c r="G4" t="s">
        <v>313</v>
      </c>
      <c r="H4" s="116">
        <f t="shared" si="0"/>
        <v>706150</v>
      </c>
    </row>
    <row r="5" spans="1:8" x14ac:dyDescent="0.25">
      <c r="A5" t="s">
        <v>310</v>
      </c>
      <c r="B5" t="s">
        <v>314</v>
      </c>
      <c r="C5" t="s">
        <v>311</v>
      </c>
      <c r="D5" s="116">
        <v>39600</v>
      </c>
      <c r="G5" t="s">
        <v>10</v>
      </c>
      <c r="H5" s="116">
        <f t="shared" si="0"/>
        <v>682100</v>
      </c>
    </row>
    <row r="6" spans="1:8" x14ac:dyDescent="0.25">
      <c r="A6" t="s">
        <v>310</v>
      </c>
      <c r="B6" t="s">
        <v>315</v>
      </c>
      <c r="C6" t="s">
        <v>311</v>
      </c>
      <c r="D6" s="116">
        <v>39960</v>
      </c>
    </row>
    <row r="7" spans="1:8" x14ac:dyDescent="0.25">
      <c r="A7" t="s">
        <v>310</v>
      </c>
      <c r="B7" t="s">
        <v>316</v>
      </c>
      <c r="C7" t="s">
        <v>311</v>
      </c>
      <c r="D7" s="116">
        <v>39600</v>
      </c>
    </row>
    <row r="8" spans="1:8" x14ac:dyDescent="0.25">
      <c r="A8" t="s">
        <v>310</v>
      </c>
      <c r="B8" t="s">
        <v>152</v>
      </c>
      <c r="C8" t="s">
        <v>312</v>
      </c>
      <c r="D8" s="116">
        <v>39600</v>
      </c>
    </row>
    <row r="9" spans="1:8" x14ac:dyDescent="0.25">
      <c r="A9" t="s">
        <v>310</v>
      </c>
      <c r="B9" t="s">
        <v>153</v>
      </c>
      <c r="C9" t="s">
        <v>312</v>
      </c>
      <c r="D9" s="116">
        <v>42300</v>
      </c>
    </row>
    <row r="10" spans="1:8" x14ac:dyDescent="0.25">
      <c r="A10" t="s">
        <v>310</v>
      </c>
      <c r="B10" t="s">
        <v>154</v>
      </c>
      <c r="C10" t="s">
        <v>312</v>
      </c>
      <c r="D10" s="116">
        <v>42300</v>
      </c>
    </row>
    <row r="11" spans="1:8" x14ac:dyDescent="0.25">
      <c r="A11" t="s">
        <v>310</v>
      </c>
      <c r="B11" t="s">
        <v>314</v>
      </c>
      <c r="C11" t="s">
        <v>312</v>
      </c>
      <c r="D11" s="116">
        <v>42750</v>
      </c>
    </row>
    <row r="12" spans="1:8" x14ac:dyDescent="0.25">
      <c r="A12" t="s">
        <v>310</v>
      </c>
      <c r="B12" t="s">
        <v>315</v>
      </c>
      <c r="C12" t="s">
        <v>312</v>
      </c>
      <c r="D12" s="116">
        <v>43650</v>
      </c>
    </row>
    <row r="13" spans="1:8" x14ac:dyDescent="0.25">
      <c r="A13" t="s">
        <v>310</v>
      </c>
      <c r="B13" t="s">
        <v>316</v>
      </c>
      <c r="C13" t="s">
        <v>312</v>
      </c>
      <c r="D13" s="116">
        <v>44550</v>
      </c>
    </row>
    <row r="14" spans="1:8" x14ac:dyDescent="0.25">
      <c r="A14" t="s">
        <v>310</v>
      </c>
      <c r="B14" t="s">
        <v>152</v>
      </c>
      <c r="C14" t="s">
        <v>313</v>
      </c>
      <c r="D14" s="116">
        <v>39600</v>
      </c>
    </row>
    <row r="15" spans="1:8" x14ac:dyDescent="0.25">
      <c r="A15" t="s">
        <v>310</v>
      </c>
      <c r="B15" t="s">
        <v>153</v>
      </c>
      <c r="C15" t="s">
        <v>313</v>
      </c>
      <c r="D15" s="116">
        <v>42300</v>
      </c>
    </row>
    <row r="16" spans="1:8" x14ac:dyDescent="0.25">
      <c r="A16" t="s">
        <v>310</v>
      </c>
      <c r="B16" t="s">
        <v>154</v>
      </c>
      <c r="C16" t="s">
        <v>313</v>
      </c>
      <c r="D16" s="116">
        <v>42300</v>
      </c>
    </row>
    <row r="17" spans="1:4" x14ac:dyDescent="0.25">
      <c r="A17" t="s">
        <v>310</v>
      </c>
      <c r="B17" t="s">
        <v>314</v>
      </c>
      <c r="C17" t="s">
        <v>313</v>
      </c>
      <c r="D17" s="116">
        <v>42750</v>
      </c>
    </row>
    <row r="18" spans="1:4" x14ac:dyDescent="0.25">
      <c r="A18" t="s">
        <v>310</v>
      </c>
      <c r="B18" t="s">
        <v>315</v>
      </c>
      <c r="C18" t="s">
        <v>313</v>
      </c>
      <c r="D18" s="116">
        <v>43650</v>
      </c>
    </row>
    <row r="19" spans="1:4" x14ac:dyDescent="0.25">
      <c r="A19" t="s">
        <v>310</v>
      </c>
      <c r="B19" t="s">
        <v>316</v>
      </c>
      <c r="C19" t="s">
        <v>313</v>
      </c>
      <c r="D19" s="116">
        <v>44550</v>
      </c>
    </row>
    <row r="20" spans="1:4" x14ac:dyDescent="0.25">
      <c r="A20" t="s">
        <v>310</v>
      </c>
      <c r="B20" t="s">
        <v>152</v>
      </c>
      <c r="C20" t="s">
        <v>10</v>
      </c>
      <c r="D20" s="116">
        <v>41280</v>
      </c>
    </row>
    <row r="21" spans="1:4" x14ac:dyDescent="0.25">
      <c r="A21" t="s">
        <v>310</v>
      </c>
      <c r="B21" t="s">
        <v>153</v>
      </c>
      <c r="C21" t="s">
        <v>10</v>
      </c>
      <c r="D21" s="116">
        <v>41760</v>
      </c>
    </row>
    <row r="22" spans="1:4" x14ac:dyDescent="0.25">
      <c r="A22" t="s">
        <v>310</v>
      </c>
      <c r="B22" t="s">
        <v>154</v>
      </c>
      <c r="C22" t="s">
        <v>10</v>
      </c>
      <c r="D22" s="116">
        <v>39360</v>
      </c>
    </row>
    <row r="23" spans="1:4" x14ac:dyDescent="0.25">
      <c r="A23" t="s">
        <v>310</v>
      </c>
      <c r="B23" t="s">
        <v>314</v>
      </c>
      <c r="C23" t="s">
        <v>10</v>
      </c>
      <c r="D23" s="116">
        <v>40900</v>
      </c>
    </row>
    <row r="24" spans="1:4" x14ac:dyDescent="0.25">
      <c r="A24" t="s">
        <v>310</v>
      </c>
      <c r="B24" t="s">
        <v>315</v>
      </c>
      <c r="C24" t="s">
        <v>10</v>
      </c>
      <c r="D24" s="116">
        <v>42000</v>
      </c>
    </row>
    <row r="25" spans="1:4" x14ac:dyDescent="0.25">
      <c r="A25" t="s">
        <v>310</v>
      </c>
      <c r="B25" t="s">
        <v>316</v>
      </c>
      <c r="C25" t="s">
        <v>10</v>
      </c>
      <c r="D25" s="116">
        <v>43500</v>
      </c>
    </row>
    <row r="26" spans="1:4" x14ac:dyDescent="0.25">
      <c r="A26" t="s">
        <v>317</v>
      </c>
      <c r="B26" t="s">
        <v>152</v>
      </c>
      <c r="C26" t="s">
        <v>311</v>
      </c>
      <c r="D26" s="116">
        <v>35000</v>
      </c>
    </row>
    <row r="27" spans="1:4" x14ac:dyDescent="0.25">
      <c r="A27" t="s">
        <v>317</v>
      </c>
      <c r="B27" t="s">
        <v>153</v>
      </c>
      <c r="C27" t="s">
        <v>311</v>
      </c>
      <c r="D27" s="116">
        <v>35500</v>
      </c>
    </row>
    <row r="28" spans="1:4" x14ac:dyDescent="0.25">
      <c r="A28" t="s">
        <v>317</v>
      </c>
      <c r="B28" t="s">
        <v>154</v>
      </c>
      <c r="C28" t="s">
        <v>311</v>
      </c>
      <c r="D28" s="116">
        <v>36900</v>
      </c>
    </row>
    <row r="29" spans="1:4" x14ac:dyDescent="0.25">
      <c r="A29" t="s">
        <v>317</v>
      </c>
      <c r="B29" t="s">
        <v>314</v>
      </c>
      <c r="C29" t="s">
        <v>311</v>
      </c>
      <c r="D29" s="116">
        <v>36100</v>
      </c>
    </row>
    <row r="30" spans="1:4" x14ac:dyDescent="0.25">
      <c r="A30" t="s">
        <v>317</v>
      </c>
      <c r="B30" t="s">
        <v>315</v>
      </c>
      <c r="C30" t="s">
        <v>311</v>
      </c>
      <c r="D30" s="116">
        <v>36400</v>
      </c>
    </row>
    <row r="31" spans="1:4" x14ac:dyDescent="0.25">
      <c r="A31" t="s">
        <v>317</v>
      </c>
      <c r="B31" t="s">
        <v>316</v>
      </c>
      <c r="C31" t="s">
        <v>311</v>
      </c>
      <c r="D31" s="116">
        <v>36100</v>
      </c>
    </row>
    <row r="32" spans="1:4" x14ac:dyDescent="0.25">
      <c r="A32" t="s">
        <v>317</v>
      </c>
      <c r="B32" t="s">
        <v>152</v>
      </c>
      <c r="C32" t="s">
        <v>312</v>
      </c>
      <c r="D32" s="116">
        <v>22100</v>
      </c>
    </row>
    <row r="33" spans="1:4" x14ac:dyDescent="0.25">
      <c r="A33" t="s">
        <v>317</v>
      </c>
      <c r="B33" t="s">
        <v>153</v>
      </c>
      <c r="C33" t="s">
        <v>312</v>
      </c>
      <c r="D33" s="116">
        <v>24300</v>
      </c>
    </row>
    <row r="34" spans="1:4" x14ac:dyDescent="0.25">
      <c r="A34" t="s">
        <v>317</v>
      </c>
      <c r="B34" t="s">
        <v>154</v>
      </c>
      <c r="C34" t="s">
        <v>312</v>
      </c>
      <c r="D34" s="116">
        <v>24300</v>
      </c>
    </row>
    <row r="35" spans="1:4" x14ac:dyDescent="0.25">
      <c r="A35" t="s">
        <v>317</v>
      </c>
      <c r="B35" t="s">
        <v>314</v>
      </c>
      <c r="C35" t="s">
        <v>312</v>
      </c>
      <c r="D35" s="116">
        <v>24600</v>
      </c>
    </row>
    <row r="36" spans="1:4" x14ac:dyDescent="0.25">
      <c r="A36" t="s">
        <v>317</v>
      </c>
      <c r="B36" t="s">
        <v>315</v>
      </c>
      <c r="C36" t="s">
        <v>312</v>
      </c>
      <c r="D36" s="116">
        <v>25400</v>
      </c>
    </row>
    <row r="37" spans="1:4" x14ac:dyDescent="0.25">
      <c r="A37" t="s">
        <v>317</v>
      </c>
      <c r="B37" t="s">
        <v>316</v>
      </c>
      <c r="C37" t="s">
        <v>312</v>
      </c>
      <c r="D37" s="116">
        <v>23100</v>
      </c>
    </row>
    <row r="38" spans="1:4" x14ac:dyDescent="0.25">
      <c r="A38" t="s">
        <v>317</v>
      </c>
      <c r="B38" t="s">
        <v>152</v>
      </c>
      <c r="C38" t="s">
        <v>313</v>
      </c>
      <c r="D38" s="116">
        <v>26200</v>
      </c>
    </row>
    <row r="39" spans="1:4" x14ac:dyDescent="0.25">
      <c r="A39" t="s">
        <v>317</v>
      </c>
      <c r="B39" t="s">
        <v>153</v>
      </c>
      <c r="C39" t="s">
        <v>313</v>
      </c>
      <c r="D39" s="116">
        <v>24500</v>
      </c>
    </row>
    <row r="40" spans="1:4" x14ac:dyDescent="0.25">
      <c r="A40" t="s">
        <v>317</v>
      </c>
      <c r="B40" t="s">
        <v>154</v>
      </c>
      <c r="C40" t="s">
        <v>313</v>
      </c>
      <c r="D40" s="116">
        <v>24300</v>
      </c>
    </row>
    <row r="41" spans="1:4" x14ac:dyDescent="0.25">
      <c r="A41" t="s">
        <v>317</v>
      </c>
      <c r="B41" t="s">
        <v>314</v>
      </c>
      <c r="C41" t="s">
        <v>313</v>
      </c>
      <c r="D41" s="116">
        <v>24800</v>
      </c>
    </row>
    <row r="42" spans="1:4" x14ac:dyDescent="0.25">
      <c r="A42" t="s">
        <v>317</v>
      </c>
      <c r="B42" t="s">
        <v>315</v>
      </c>
      <c r="C42" t="s">
        <v>313</v>
      </c>
      <c r="D42" s="116">
        <v>25400</v>
      </c>
    </row>
    <row r="43" spans="1:4" x14ac:dyDescent="0.25">
      <c r="A43" t="s">
        <v>317</v>
      </c>
      <c r="B43" t="s">
        <v>316</v>
      </c>
      <c r="C43" t="s">
        <v>313</v>
      </c>
      <c r="D43" s="116">
        <v>26100</v>
      </c>
    </row>
    <row r="44" spans="1:4" x14ac:dyDescent="0.25">
      <c r="A44" t="s">
        <v>317</v>
      </c>
      <c r="B44" t="s">
        <v>152</v>
      </c>
      <c r="C44" t="s">
        <v>10</v>
      </c>
      <c r="D44" s="116">
        <v>23400</v>
      </c>
    </row>
    <row r="45" spans="1:4" x14ac:dyDescent="0.25">
      <c r="A45" t="s">
        <v>317</v>
      </c>
      <c r="B45" t="s">
        <v>153</v>
      </c>
      <c r="C45" t="s">
        <v>10</v>
      </c>
      <c r="D45" s="116">
        <v>23800</v>
      </c>
    </row>
    <row r="46" spans="1:4" x14ac:dyDescent="0.25">
      <c r="A46" t="s">
        <v>317</v>
      </c>
      <c r="B46" t="s">
        <v>154</v>
      </c>
      <c r="C46" t="s">
        <v>10</v>
      </c>
      <c r="D46" s="116">
        <v>23900</v>
      </c>
    </row>
    <row r="47" spans="1:4" x14ac:dyDescent="0.25">
      <c r="A47" t="s">
        <v>317</v>
      </c>
      <c r="B47" t="s">
        <v>314</v>
      </c>
      <c r="C47" t="s">
        <v>10</v>
      </c>
      <c r="D47" s="116">
        <v>23100</v>
      </c>
    </row>
    <row r="48" spans="1:4" x14ac:dyDescent="0.25">
      <c r="A48" t="s">
        <v>317</v>
      </c>
      <c r="B48" t="s">
        <v>315</v>
      </c>
      <c r="C48" t="s">
        <v>10</v>
      </c>
      <c r="D48" s="116">
        <v>24000</v>
      </c>
    </row>
    <row r="49" spans="1:4" x14ac:dyDescent="0.25">
      <c r="A49" t="s">
        <v>317</v>
      </c>
      <c r="B49" t="s">
        <v>316</v>
      </c>
      <c r="C49" t="s">
        <v>10</v>
      </c>
      <c r="D49" s="116">
        <v>23200</v>
      </c>
    </row>
    <row r="50" spans="1:4" x14ac:dyDescent="0.25">
      <c r="A50" t="s">
        <v>318</v>
      </c>
      <c r="B50" t="s">
        <v>152</v>
      </c>
      <c r="C50" t="s">
        <v>311</v>
      </c>
      <c r="D50" s="116">
        <v>50700</v>
      </c>
    </row>
    <row r="51" spans="1:4" x14ac:dyDescent="0.25">
      <c r="A51" t="s">
        <v>318</v>
      </c>
      <c r="B51" t="s">
        <v>153</v>
      </c>
      <c r="C51" t="s">
        <v>311</v>
      </c>
      <c r="D51" s="116">
        <v>52900</v>
      </c>
    </row>
    <row r="52" spans="1:4" x14ac:dyDescent="0.25">
      <c r="A52" t="s">
        <v>318</v>
      </c>
      <c r="B52" t="s">
        <v>154</v>
      </c>
      <c r="C52" t="s">
        <v>311</v>
      </c>
      <c r="D52" s="116">
        <v>41200</v>
      </c>
    </row>
    <row r="53" spans="1:4" x14ac:dyDescent="0.25">
      <c r="A53" t="s">
        <v>318</v>
      </c>
      <c r="B53" t="s">
        <v>314</v>
      </c>
      <c r="C53" t="s">
        <v>311</v>
      </c>
      <c r="D53" s="116">
        <v>46400</v>
      </c>
    </row>
    <row r="54" spans="1:4" x14ac:dyDescent="0.25">
      <c r="A54" t="s">
        <v>318</v>
      </c>
      <c r="B54" t="s">
        <v>315</v>
      </c>
      <c r="C54" t="s">
        <v>311</v>
      </c>
      <c r="D54" s="116">
        <v>46900</v>
      </c>
    </row>
    <row r="55" spans="1:4" x14ac:dyDescent="0.25">
      <c r="A55" t="s">
        <v>318</v>
      </c>
      <c r="B55" t="s">
        <v>316</v>
      </c>
      <c r="C55" t="s">
        <v>311</v>
      </c>
      <c r="D55" s="116">
        <v>46400</v>
      </c>
    </row>
    <row r="56" spans="1:4" x14ac:dyDescent="0.25">
      <c r="A56" t="s">
        <v>318</v>
      </c>
      <c r="B56" t="s">
        <v>152</v>
      </c>
      <c r="C56" t="s">
        <v>312</v>
      </c>
      <c r="D56" s="116">
        <v>46400</v>
      </c>
    </row>
    <row r="57" spans="1:4" x14ac:dyDescent="0.25">
      <c r="A57" t="s">
        <v>318</v>
      </c>
      <c r="B57" t="s">
        <v>153</v>
      </c>
      <c r="C57" t="s">
        <v>312</v>
      </c>
      <c r="D57" s="116">
        <v>49700</v>
      </c>
    </row>
    <row r="58" spans="1:4" x14ac:dyDescent="0.25">
      <c r="A58" t="s">
        <v>318</v>
      </c>
      <c r="B58" t="s">
        <v>154</v>
      </c>
      <c r="C58" t="s">
        <v>312</v>
      </c>
      <c r="D58" s="116">
        <v>49700</v>
      </c>
    </row>
    <row r="59" spans="1:4" x14ac:dyDescent="0.25">
      <c r="A59" t="s">
        <v>318</v>
      </c>
      <c r="B59" t="s">
        <v>314</v>
      </c>
      <c r="C59" t="s">
        <v>312</v>
      </c>
      <c r="D59" s="116">
        <v>50200</v>
      </c>
    </row>
    <row r="60" spans="1:4" x14ac:dyDescent="0.25">
      <c r="A60" t="s">
        <v>318</v>
      </c>
      <c r="B60" t="s">
        <v>315</v>
      </c>
      <c r="C60" t="s">
        <v>312</v>
      </c>
      <c r="D60" s="116">
        <v>51300</v>
      </c>
    </row>
    <row r="61" spans="1:4" x14ac:dyDescent="0.25">
      <c r="A61" t="s">
        <v>318</v>
      </c>
      <c r="B61" t="s">
        <v>316</v>
      </c>
      <c r="C61" t="s">
        <v>312</v>
      </c>
      <c r="D61" s="116">
        <v>52400</v>
      </c>
    </row>
    <row r="62" spans="1:4" x14ac:dyDescent="0.25">
      <c r="A62" t="s">
        <v>318</v>
      </c>
      <c r="B62" t="s">
        <v>152</v>
      </c>
      <c r="C62" t="s">
        <v>313</v>
      </c>
      <c r="D62" s="116">
        <v>46400</v>
      </c>
    </row>
    <row r="63" spans="1:4" x14ac:dyDescent="0.25">
      <c r="A63" t="s">
        <v>318</v>
      </c>
      <c r="B63" t="s">
        <v>153</v>
      </c>
      <c r="C63" t="s">
        <v>313</v>
      </c>
      <c r="D63" s="116">
        <v>49700</v>
      </c>
    </row>
    <row r="64" spans="1:4" x14ac:dyDescent="0.25">
      <c r="A64" t="s">
        <v>318</v>
      </c>
      <c r="B64" t="s">
        <v>154</v>
      </c>
      <c r="C64" t="s">
        <v>313</v>
      </c>
      <c r="D64" s="116">
        <v>49700</v>
      </c>
    </row>
    <row r="65" spans="1:4" x14ac:dyDescent="0.25">
      <c r="A65" t="s">
        <v>318</v>
      </c>
      <c r="B65" t="s">
        <v>314</v>
      </c>
      <c r="C65" t="s">
        <v>313</v>
      </c>
      <c r="D65" s="116">
        <v>50200</v>
      </c>
    </row>
    <row r="66" spans="1:4" x14ac:dyDescent="0.25">
      <c r="A66" t="s">
        <v>318</v>
      </c>
      <c r="B66" t="s">
        <v>315</v>
      </c>
      <c r="C66" t="s">
        <v>313</v>
      </c>
      <c r="D66" s="116">
        <v>51300</v>
      </c>
    </row>
    <row r="67" spans="1:4" x14ac:dyDescent="0.25">
      <c r="A67" t="s">
        <v>318</v>
      </c>
      <c r="B67" t="s">
        <v>316</v>
      </c>
      <c r="C67" t="s">
        <v>313</v>
      </c>
      <c r="D67" s="116">
        <v>52400</v>
      </c>
    </row>
    <row r="68" spans="1:4" x14ac:dyDescent="0.25">
      <c r="A68" t="s">
        <v>318</v>
      </c>
      <c r="B68" t="s">
        <v>152</v>
      </c>
      <c r="C68" t="s">
        <v>10</v>
      </c>
      <c r="D68" s="116">
        <v>48400</v>
      </c>
    </row>
    <row r="69" spans="1:4" x14ac:dyDescent="0.25">
      <c r="A69" t="s">
        <v>318</v>
      </c>
      <c r="B69" t="s">
        <v>153</v>
      </c>
      <c r="C69" t="s">
        <v>10</v>
      </c>
      <c r="D69" s="116">
        <v>49000</v>
      </c>
    </row>
    <row r="70" spans="1:4" x14ac:dyDescent="0.25">
      <c r="A70" t="s">
        <v>318</v>
      </c>
      <c r="B70" t="s">
        <v>154</v>
      </c>
      <c r="C70" t="s">
        <v>10</v>
      </c>
      <c r="D70" s="116">
        <v>46100</v>
      </c>
    </row>
    <row r="71" spans="1:4" x14ac:dyDescent="0.25">
      <c r="A71" t="s">
        <v>318</v>
      </c>
      <c r="B71" t="s">
        <v>314</v>
      </c>
      <c r="C71" t="s">
        <v>10</v>
      </c>
      <c r="D71" s="116">
        <v>48000</v>
      </c>
    </row>
    <row r="72" spans="1:4" x14ac:dyDescent="0.25">
      <c r="A72" t="s">
        <v>318</v>
      </c>
      <c r="B72" t="s">
        <v>315</v>
      </c>
      <c r="C72" t="s">
        <v>10</v>
      </c>
      <c r="D72" s="116">
        <v>49300</v>
      </c>
    </row>
    <row r="73" spans="1:4" x14ac:dyDescent="0.25">
      <c r="A73" t="s">
        <v>318</v>
      </c>
      <c r="B73" t="s">
        <v>316</v>
      </c>
      <c r="C73" t="s">
        <v>10</v>
      </c>
      <c r="D73" s="116">
        <v>51100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299</v>
      </c>
      <c r="B1" s="103">
        <v>4000</v>
      </c>
    </row>
    <row r="2" spans="1:2" x14ac:dyDescent="0.25">
      <c r="A2" t="s">
        <v>303</v>
      </c>
      <c r="B2" s="10">
        <v>0.06</v>
      </c>
    </row>
    <row r="3" spans="1:2" x14ac:dyDescent="0.25">
      <c r="A3" t="s">
        <v>304</v>
      </c>
      <c r="B3" s="103">
        <v>-125</v>
      </c>
    </row>
    <row r="4" spans="1:2" x14ac:dyDescent="0.25">
      <c r="A4" t="s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BC54-2C63-4E96-9129-6325620E9902}">
  <dimension ref="A1:H26"/>
  <sheetViews>
    <sheetView showGridLines="0" workbookViewId="0">
      <selection activeCell="A26" sqref="A26"/>
    </sheetView>
  </sheetViews>
  <sheetFormatPr defaultRowHeight="15" x14ac:dyDescent="0.25"/>
  <cols>
    <col min="1" max="1" width="7.42578125" bestFit="1" customWidth="1"/>
    <col min="2" max="2" width="8" bestFit="1" customWidth="1"/>
    <col min="3" max="5" width="6.7109375" customWidth="1"/>
    <col min="6" max="6" width="2.7109375" customWidth="1"/>
    <col min="7" max="7" width="13.7109375" bestFit="1" customWidth="1"/>
    <col min="8" max="8" width="5.7109375" customWidth="1"/>
    <col min="9" max="9" width="6.42578125" customWidth="1"/>
  </cols>
  <sheetData>
    <row r="1" spans="1:8" x14ac:dyDescent="0.25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G1" t="s">
        <v>671</v>
      </c>
      <c r="H1" s="198">
        <f>AVERAGE(tblData[temp])</f>
        <v>34.929166666666667</v>
      </c>
    </row>
    <row r="2" spans="1:8" x14ac:dyDescent="0.25">
      <c r="A2">
        <v>1</v>
      </c>
      <c r="B2" s="198">
        <v>35.6</v>
      </c>
      <c r="C2" s="198">
        <f t="shared" ref="C2:C25" si="0">$H$1</f>
        <v>34.929166666666667</v>
      </c>
      <c r="D2" s="198">
        <f t="shared" ref="D2:D25" si="1">$H$1+2*$H$2</f>
        <v>37.48870410223153</v>
      </c>
      <c r="E2" s="198">
        <f>$H$1-2*$H$2</f>
        <v>32.369629231101804</v>
      </c>
      <c r="F2" s="198"/>
      <c r="G2" t="s">
        <v>672</v>
      </c>
      <c r="H2" s="199">
        <f>_xlfn.STDEV.S(tblData[temp])</f>
        <v>1.2797687177824331</v>
      </c>
    </row>
    <row r="3" spans="1:8" x14ac:dyDescent="0.25">
      <c r="A3">
        <v>2</v>
      </c>
      <c r="B3" s="198">
        <v>33.799999999999997</v>
      </c>
      <c r="C3" s="198">
        <f t="shared" si="0"/>
        <v>34.929166666666667</v>
      </c>
      <c r="D3" s="198">
        <f t="shared" si="1"/>
        <v>37.48870410223153</v>
      </c>
      <c r="E3" s="198">
        <f t="shared" ref="E3:E25" si="2">$H$1-2*$H$2</f>
        <v>32.369629231101804</v>
      </c>
      <c r="F3" s="198"/>
    </row>
    <row r="4" spans="1:8" x14ac:dyDescent="0.25">
      <c r="A4">
        <v>3</v>
      </c>
      <c r="B4" s="198">
        <v>34.4</v>
      </c>
      <c r="C4" s="198">
        <f t="shared" si="0"/>
        <v>34.929166666666667</v>
      </c>
      <c r="D4" s="198">
        <f t="shared" si="1"/>
        <v>37.48870410223153</v>
      </c>
      <c r="E4" s="198">
        <f t="shared" si="2"/>
        <v>32.369629231101804</v>
      </c>
      <c r="F4" s="198"/>
    </row>
    <row r="5" spans="1:8" x14ac:dyDescent="0.25">
      <c r="A5">
        <v>4</v>
      </c>
      <c r="B5" s="198">
        <v>35</v>
      </c>
      <c r="C5" s="198">
        <f t="shared" si="0"/>
        <v>34.929166666666667</v>
      </c>
      <c r="D5" s="198">
        <f t="shared" si="1"/>
        <v>37.48870410223153</v>
      </c>
      <c r="E5" s="198">
        <f t="shared" si="2"/>
        <v>32.369629231101804</v>
      </c>
      <c r="F5" s="198"/>
    </row>
    <row r="6" spans="1:8" x14ac:dyDescent="0.25">
      <c r="A6">
        <v>5</v>
      </c>
      <c r="B6" s="198">
        <v>35.6</v>
      </c>
      <c r="C6" s="198">
        <f t="shared" si="0"/>
        <v>34.929166666666667</v>
      </c>
      <c r="D6" s="198">
        <f t="shared" si="1"/>
        <v>37.48870410223153</v>
      </c>
      <c r="E6" s="198">
        <f t="shared" si="2"/>
        <v>32.369629231101804</v>
      </c>
      <c r="F6" s="198"/>
    </row>
    <row r="7" spans="1:8" x14ac:dyDescent="0.25">
      <c r="A7">
        <v>6</v>
      </c>
      <c r="B7" s="198">
        <v>33.4</v>
      </c>
      <c r="C7" s="198">
        <f t="shared" si="0"/>
        <v>34.929166666666667</v>
      </c>
      <c r="D7" s="198">
        <f t="shared" si="1"/>
        <v>37.48870410223153</v>
      </c>
      <c r="E7" s="198">
        <f t="shared" si="2"/>
        <v>32.369629231101804</v>
      </c>
      <c r="F7" s="198"/>
    </row>
    <row r="8" spans="1:8" x14ac:dyDescent="0.25">
      <c r="A8">
        <v>7</v>
      </c>
      <c r="B8" s="198">
        <v>33</v>
      </c>
      <c r="C8" s="198">
        <f t="shared" si="0"/>
        <v>34.929166666666667</v>
      </c>
      <c r="D8" s="198">
        <f t="shared" si="1"/>
        <v>37.48870410223153</v>
      </c>
      <c r="E8" s="198">
        <f t="shared" si="2"/>
        <v>32.369629231101804</v>
      </c>
      <c r="F8" s="198"/>
    </row>
    <row r="9" spans="1:8" x14ac:dyDescent="0.25">
      <c r="A9">
        <v>8</v>
      </c>
      <c r="B9" s="198">
        <v>34.4</v>
      </c>
      <c r="C9" s="198">
        <f t="shared" si="0"/>
        <v>34.929166666666667</v>
      </c>
      <c r="D9" s="198">
        <f t="shared" si="1"/>
        <v>37.48870410223153</v>
      </c>
      <c r="E9" s="198">
        <f t="shared" si="2"/>
        <v>32.369629231101804</v>
      </c>
      <c r="F9" s="198"/>
    </row>
    <row r="10" spans="1:8" x14ac:dyDescent="0.25">
      <c r="A10">
        <v>9</v>
      </c>
      <c r="B10" s="198">
        <v>36</v>
      </c>
      <c r="C10" s="198">
        <f t="shared" si="0"/>
        <v>34.929166666666667</v>
      </c>
      <c r="D10" s="198">
        <f t="shared" si="1"/>
        <v>37.48870410223153</v>
      </c>
      <c r="E10" s="198">
        <f t="shared" si="2"/>
        <v>32.369629231101804</v>
      </c>
      <c r="F10" s="198"/>
    </row>
    <row r="11" spans="1:8" x14ac:dyDescent="0.25">
      <c r="A11">
        <v>10</v>
      </c>
      <c r="B11" s="198">
        <v>34</v>
      </c>
      <c r="C11" s="198">
        <f t="shared" si="0"/>
        <v>34.929166666666667</v>
      </c>
      <c r="D11" s="198">
        <f t="shared" si="1"/>
        <v>37.48870410223153</v>
      </c>
      <c r="E11" s="198">
        <f t="shared" si="2"/>
        <v>32.369629231101804</v>
      </c>
      <c r="F11" s="198"/>
    </row>
    <row r="12" spans="1:8" x14ac:dyDescent="0.25">
      <c r="A12">
        <v>11</v>
      </c>
      <c r="B12" s="198">
        <v>35</v>
      </c>
      <c r="C12" s="198">
        <f t="shared" si="0"/>
        <v>34.929166666666667</v>
      </c>
      <c r="D12" s="198">
        <f t="shared" si="1"/>
        <v>37.48870410223153</v>
      </c>
      <c r="E12" s="198">
        <f t="shared" si="2"/>
        <v>32.369629231101804</v>
      </c>
      <c r="F12" s="198"/>
    </row>
    <row r="13" spans="1:8" x14ac:dyDescent="0.25">
      <c r="A13">
        <v>12</v>
      </c>
      <c r="B13" s="198">
        <v>35.6</v>
      </c>
      <c r="C13" s="198">
        <f t="shared" si="0"/>
        <v>34.929166666666667</v>
      </c>
      <c r="D13" s="198">
        <f t="shared" si="1"/>
        <v>37.48870410223153</v>
      </c>
      <c r="E13" s="198">
        <f t="shared" si="2"/>
        <v>32.369629231101804</v>
      </c>
      <c r="F13" s="198"/>
    </row>
    <row r="14" spans="1:8" x14ac:dyDescent="0.25">
      <c r="A14">
        <v>13</v>
      </c>
      <c r="B14" s="198">
        <v>33.9</v>
      </c>
      <c r="C14" s="198">
        <f t="shared" si="0"/>
        <v>34.929166666666667</v>
      </c>
      <c r="D14" s="198">
        <f t="shared" si="1"/>
        <v>37.48870410223153</v>
      </c>
      <c r="E14" s="198">
        <f t="shared" si="2"/>
        <v>32.369629231101804</v>
      </c>
      <c r="F14" s="198"/>
    </row>
    <row r="15" spans="1:8" x14ac:dyDescent="0.25">
      <c r="A15">
        <v>14</v>
      </c>
      <c r="B15" s="198">
        <v>36.1</v>
      </c>
      <c r="C15" s="198">
        <f t="shared" si="0"/>
        <v>34.929166666666667</v>
      </c>
      <c r="D15" s="198">
        <f t="shared" si="1"/>
        <v>37.48870410223153</v>
      </c>
      <c r="E15" s="198">
        <f t="shared" si="2"/>
        <v>32.369629231101804</v>
      </c>
      <c r="F15" s="198"/>
    </row>
    <row r="16" spans="1:8" x14ac:dyDescent="0.25">
      <c r="A16">
        <v>15</v>
      </c>
      <c r="B16" s="198">
        <v>37.4</v>
      </c>
      <c r="C16" s="198">
        <f t="shared" si="0"/>
        <v>34.929166666666667</v>
      </c>
      <c r="D16" s="198">
        <f t="shared" si="1"/>
        <v>37.48870410223153</v>
      </c>
      <c r="E16" s="198">
        <f t="shared" si="2"/>
        <v>32.369629231101804</v>
      </c>
      <c r="F16" s="198"/>
    </row>
    <row r="17" spans="1:6" x14ac:dyDescent="0.25">
      <c r="A17">
        <v>16</v>
      </c>
      <c r="B17" s="198">
        <v>35.200000000000003</v>
      </c>
      <c r="C17" s="198">
        <f t="shared" si="0"/>
        <v>34.929166666666667</v>
      </c>
      <c r="D17" s="198">
        <f t="shared" si="1"/>
        <v>37.48870410223153</v>
      </c>
      <c r="E17" s="198">
        <f t="shared" si="2"/>
        <v>32.369629231101804</v>
      </c>
      <c r="F17" s="198"/>
    </row>
    <row r="18" spans="1:6" x14ac:dyDescent="0.25">
      <c r="A18">
        <v>17</v>
      </c>
      <c r="B18" s="198">
        <v>33.200000000000003</v>
      </c>
      <c r="C18" s="198">
        <f t="shared" si="0"/>
        <v>34.929166666666667</v>
      </c>
      <c r="D18" s="198">
        <f t="shared" si="1"/>
        <v>37.48870410223153</v>
      </c>
      <c r="E18" s="198">
        <f t="shared" si="2"/>
        <v>32.369629231101804</v>
      </c>
      <c r="F18" s="198"/>
    </row>
    <row r="19" spans="1:6" x14ac:dyDescent="0.25">
      <c r="A19">
        <v>18</v>
      </c>
      <c r="B19" s="198">
        <v>36.4</v>
      </c>
      <c r="C19" s="198">
        <f t="shared" si="0"/>
        <v>34.929166666666667</v>
      </c>
      <c r="D19" s="198">
        <f t="shared" si="1"/>
        <v>37.48870410223153</v>
      </c>
      <c r="E19" s="198">
        <f t="shared" si="2"/>
        <v>32.369629231101804</v>
      </c>
      <c r="F19" s="198"/>
    </row>
    <row r="20" spans="1:6" x14ac:dyDescent="0.25">
      <c r="A20">
        <v>19</v>
      </c>
      <c r="B20" s="198">
        <v>34.200000000000003</v>
      </c>
      <c r="C20" s="198">
        <f t="shared" si="0"/>
        <v>34.929166666666667</v>
      </c>
      <c r="D20" s="198">
        <f t="shared" si="1"/>
        <v>37.48870410223153</v>
      </c>
      <c r="E20" s="198">
        <f t="shared" si="2"/>
        <v>32.369629231101804</v>
      </c>
      <c r="F20" s="198"/>
    </row>
    <row r="21" spans="1:6" x14ac:dyDescent="0.25">
      <c r="A21">
        <v>20</v>
      </c>
      <c r="B21" s="198">
        <v>36</v>
      </c>
      <c r="C21" s="198">
        <f t="shared" si="0"/>
        <v>34.929166666666667</v>
      </c>
      <c r="D21" s="198">
        <f t="shared" si="1"/>
        <v>37.48870410223153</v>
      </c>
      <c r="E21" s="198">
        <f t="shared" si="2"/>
        <v>32.369629231101804</v>
      </c>
      <c r="F21" s="198"/>
    </row>
    <row r="22" spans="1:6" x14ac:dyDescent="0.25">
      <c r="A22">
        <v>21</v>
      </c>
      <c r="B22" s="198">
        <v>35.799999999999997</v>
      </c>
      <c r="C22" s="198">
        <f t="shared" si="0"/>
        <v>34.929166666666667</v>
      </c>
      <c r="D22" s="198">
        <f t="shared" si="1"/>
        <v>37.48870410223153</v>
      </c>
      <c r="E22" s="198">
        <f t="shared" si="2"/>
        <v>32.369629231101804</v>
      </c>
      <c r="F22" s="198"/>
    </row>
    <row r="23" spans="1:6" x14ac:dyDescent="0.25">
      <c r="A23">
        <v>22</v>
      </c>
      <c r="B23" s="198">
        <v>32.5</v>
      </c>
      <c r="C23" s="198">
        <f t="shared" si="0"/>
        <v>34.929166666666667</v>
      </c>
      <c r="D23" s="198">
        <f t="shared" si="1"/>
        <v>37.48870410223153</v>
      </c>
      <c r="E23" s="198">
        <f t="shared" si="2"/>
        <v>32.369629231101804</v>
      </c>
      <c r="F23" s="198"/>
    </row>
    <row r="24" spans="1:6" x14ac:dyDescent="0.25">
      <c r="A24">
        <v>23</v>
      </c>
      <c r="B24" s="198">
        <v>37</v>
      </c>
      <c r="C24" s="198">
        <f t="shared" si="0"/>
        <v>34.929166666666667</v>
      </c>
      <c r="D24" s="198">
        <f t="shared" si="1"/>
        <v>37.48870410223153</v>
      </c>
      <c r="E24" s="198">
        <f t="shared" si="2"/>
        <v>32.369629231101804</v>
      </c>
      <c r="F24" s="198"/>
    </row>
    <row r="25" spans="1:6" x14ac:dyDescent="0.25">
      <c r="A25">
        <v>24</v>
      </c>
      <c r="B25" s="198">
        <v>34.799999999999997</v>
      </c>
      <c r="C25" s="198">
        <f t="shared" si="0"/>
        <v>34.929166666666667</v>
      </c>
      <c r="D25" s="198">
        <f t="shared" si="1"/>
        <v>37.48870410223153</v>
      </c>
      <c r="E25" s="198">
        <f t="shared" si="2"/>
        <v>32.369629231101804</v>
      </c>
      <c r="F25" s="198"/>
    </row>
    <row r="26" spans="1:6" x14ac:dyDescent="0.25">
      <c r="F26" s="198"/>
    </row>
  </sheetData>
  <pageMargins left="0.7" right="0.7" top="0.75" bottom="0.75" header="0.3" footer="0.3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399-AB1E-49E0-BCCD-A59BDF0C2D89}">
  <dimension ref="A1:D16"/>
  <sheetViews>
    <sheetView workbookViewId="0">
      <selection activeCell="Q14" sqref="Q14"/>
    </sheetView>
  </sheetViews>
  <sheetFormatPr defaultRowHeight="12.75" x14ac:dyDescent="0.2"/>
  <cols>
    <col min="1" max="4" width="6.7109375" style="170" customWidth="1"/>
    <col min="5" max="16384" width="9.140625" style="170"/>
  </cols>
  <sheetData>
    <row r="1" spans="1:4" x14ac:dyDescent="0.2">
      <c r="A1" s="187" t="s">
        <v>365</v>
      </c>
      <c r="B1" s="188" t="s">
        <v>641</v>
      </c>
      <c r="C1" s="188" t="s">
        <v>642</v>
      </c>
      <c r="D1" s="188" t="s">
        <v>643</v>
      </c>
    </row>
    <row r="2" spans="1:4" x14ac:dyDescent="0.2">
      <c r="A2" s="189">
        <v>2006</v>
      </c>
      <c r="B2" s="190">
        <v>11.3</v>
      </c>
      <c r="C2" s="190">
        <v>15</v>
      </c>
      <c r="D2" s="190">
        <v>7.4</v>
      </c>
    </row>
    <row r="3" spans="1:4" x14ac:dyDescent="0.2">
      <c r="A3" s="189">
        <v>2007</v>
      </c>
      <c r="B3" s="190">
        <v>11.4</v>
      </c>
      <c r="C3" s="190">
        <v>15.1</v>
      </c>
      <c r="D3" s="190">
        <v>7.7</v>
      </c>
    </row>
    <row r="4" spans="1:4" x14ac:dyDescent="0.2">
      <c r="A4" s="189">
        <v>2008</v>
      </c>
      <c r="B4" s="190">
        <v>10.8</v>
      </c>
      <c r="C4" s="190">
        <v>14.4</v>
      </c>
      <c r="D4" s="190">
        <v>6.9</v>
      </c>
    </row>
    <row r="5" spans="1:4" x14ac:dyDescent="0.2">
      <c r="A5" s="189">
        <v>2009</v>
      </c>
      <c r="B5" s="190">
        <v>10.7</v>
      </c>
      <c r="C5" s="190">
        <v>14.6</v>
      </c>
      <c r="D5" s="190">
        <v>6.6</v>
      </c>
    </row>
    <row r="6" spans="1:4" x14ac:dyDescent="0.2">
      <c r="A6" s="189">
        <v>2010</v>
      </c>
      <c r="B6" s="190">
        <v>9.1999999999999993</v>
      </c>
      <c r="C6" s="190">
        <v>12.9</v>
      </c>
      <c r="D6" s="190">
        <v>5.2</v>
      </c>
    </row>
    <row r="7" spans="1:4" x14ac:dyDescent="0.2">
      <c r="A7" s="189">
        <v>2011</v>
      </c>
      <c r="B7" s="190">
        <v>11</v>
      </c>
      <c r="C7" s="190">
        <v>14.9</v>
      </c>
      <c r="D7" s="190">
        <v>7.1</v>
      </c>
    </row>
    <row r="8" spans="1:4" x14ac:dyDescent="0.2">
      <c r="A8" s="189">
        <v>2012</v>
      </c>
      <c r="B8" s="190">
        <v>10.4</v>
      </c>
      <c r="C8" s="190">
        <v>14.1</v>
      </c>
      <c r="D8" s="190">
        <v>6.6</v>
      </c>
    </row>
    <row r="9" spans="1:4" x14ac:dyDescent="0.2">
      <c r="A9" s="189">
        <v>2013</v>
      </c>
      <c r="B9" s="190">
        <v>10</v>
      </c>
      <c r="C9" s="190">
        <v>13.6</v>
      </c>
      <c r="D9" s="190">
        <v>6.1</v>
      </c>
    </row>
    <row r="10" spans="1:4" x14ac:dyDescent="0.2">
      <c r="A10" s="189">
        <v>2014</v>
      </c>
      <c r="B10" s="190">
        <v>11.9</v>
      </c>
      <c r="C10" s="190">
        <v>15.6</v>
      </c>
      <c r="D10" s="190">
        <v>8</v>
      </c>
    </row>
    <row r="11" spans="1:4" x14ac:dyDescent="0.2">
      <c r="A11" s="189">
        <v>2015</v>
      </c>
      <c r="B11" s="190">
        <v>11</v>
      </c>
      <c r="C11" s="190">
        <v>14.7</v>
      </c>
      <c r="D11" s="190">
        <v>7.1</v>
      </c>
    </row>
    <row r="12" spans="1:4" x14ac:dyDescent="0.2">
      <c r="A12" s="189">
        <v>2016</v>
      </c>
      <c r="B12" s="190">
        <v>11</v>
      </c>
      <c r="C12" s="190">
        <v>14.7</v>
      </c>
      <c r="D12" s="190">
        <v>7.1</v>
      </c>
    </row>
    <row r="13" spans="1:4" x14ac:dyDescent="0.2">
      <c r="A13" s="189">
        <v>2017</v>
      </c>
      <c r="B13" s="170">
        <v>11.2</v>
      </c>
      <c r="C13" s="170">
        <v>14.8</v>
      </c>
      <c r="D13" s="170">
        <v>7.1</v>
      </c>
    </row>
    <row r="14" spans="1:4" x14ac:dyDescent="0.2">
      <c r="A14" s="189">
        <v>2018</v>
      </c>
      <c r="B14" s="170">
        <v>11.7</v>
      </c>
      <c r="C14" s="170">
        <v>15.7</v>
      </c>
      <c r="D14" s="170">
        <v>7.4</v>
      </c>
    </row>
    <row r="15" spans="1:4" x14ac:dyDescent="0.2">
      <c r="A15" s="189">
        <v>2019</v>
      </c>
      <c r="B15" s="170">
        <v>11.3</v>
      </c>
      <c r="C15" s="170">
        <v>15.2</v>
      </c>
      <c r="D15" s="170">
        <v>7.2</v>
      </c>
    </row>
    <row r="16" spans="1:4" x14ac:dyDescent="0.2">
      <c r="A16" s="189">
        <v>2020</v>
      </c>
      <c r="B16" s="170">
        <v>11.9</v>
      </c>
      <c r="C16" s="170">
        <v>15.4</v>
      </c>
      <c r="D16" s="170">
        <v>7.7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E69B-CBE0-4E69-8439-7AA8EEAF43A9}">
  <dimension ref="A1:L11"/>
  <sheetViews>
    <sheetView showGridLines="0" workbookViewId="0">
      <selection activeCell="X30" sqref="X30"/>
    </sheetView>
  </sheetViews>
  <sheetFormatPr defaultRowHeight="15" x14ac:dyDescent="0.25"/>
  <cols>
    <col min="1" max="1" width="5" style="192" bestFit="1" customWidth="1"/>
    <col min="2" max="2" width="6.85546875" style="192" bestFit="1" customWidth="1"/>
    <col min="3" max="9" width="9.140625" style="192"/>
    <col min="10" max="10" width="1.7109375" style="192" customWidth="1"/>
    <col min="11" max="16384" width="9.140625" style="192"/>
  </cols>
  <sheetData>
    <row r="1" spans="1:12" x14ac:dyDescent="0.25">
      <c r="A1" s="191" t="s">
        <v>182</v>
      </c>
      <c r="B1" s="191" t="s">
        <v>644</v>
      </c>
    </row>
    <row r="2" spans="1:12" x14ac:dyDescent="0.25">
      <c r="A2" s="193">
        <v>1970</v>
      </c>
      <c r="B2" s="194">
        <v>79</v>
      </c>
      <c r="D2" s="195"/>
      <c r="L2" s="195"/>
    </row>
    <row r="3" spans="1:12" x14ac:dyDescent="0.25">
      <c r="A3" s="193">
        <v>1980</v>
      </c>
      <c r="B3" s="194">
        <v>125</v>
      </c>
    </row>
    <row r="4" spans="1:12" x14ac:dyDescent="0.25">
      <c r="A4" s="193">
        <v>1990</v>
      </c>
      <c r="B4" s="194">
        <v>189</v>
      </c>
    </row>
    <row r="5" spans="1:12" x14ac:dyDescent="0.25">
      <c r="A5" s="193">
        <v>1995</v>
      </c>
      <c r="B5" s="194">
        <v>255</v>
      </c>
    </row>
    <row r="6" spans="1:12" x14ac:dyDescent="0.25">
      <c r="A6" s="193">
        <v>2000</v>
      </c>
      <c r="B6" s="194">
        <v>294</v>
      </c>
    </row>
    <row r="7" spans="1:12" x14ac:dyDescent="0.25">
      <c r="A7" s="193">
        <v>2005</v>
      </c>
      <c r="B7" s="194">
        <v>302</v>
      </c>
    </row>
    <row r="8" spans="1:12" x14ac:dyDescent="0.25">
      <c r="A8" s="193">
        <v>2007</v>
      </c>
      <c r="B8" s="194">
        <v>320</v>
      </c>
    </row>
    <row r="9" spans="1:12" x14ac:dyDescent="0.25">
      <c r="A9" s="193">
        <v>2008</v>
      </c>
      <c r="B9" s="194">
        <v>328</v>
      </c>
    </row>
    <row r="10" spans="1:12" x14ac:dyDescent="0.25">
      <c r="A10" s="193">
        <v>2009</v>
      </c>
      <c r="B10" s="194">
        <v>341</v>
      </c>
    </row>
    <row r="11" spans="1:12" x14ac:dyDescent="0.25">
      <c r="A11" s="193">
        <v>2010</v>
      </c>
      <c r="B11" s="194">
        <v>351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986-ED78-4ED3-8797-C2E5A30C3DFE}">
  <dimension ref="A1:B7"/>
  <sheetViews>
    <sheetView workbookViewId="0">
      <selection activeCell="N23" sqref="N23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633</v>
      </c>
      <c r="B1" s="1" t="s">
        <v>216</v>
      </c>
    </row>
    <row r="2" spans="1:2" x14ac:dyDescent="0.25">
      <c r="A2" t="s">
        <v>634</v>
      </c>
      <c r="B2">
        <v>13962</v>
      </c>
    </row>
    <row r="3" spans="1:2" x14ac:dyDescent="0.25">
      <c r="A3" t="s">
        <v>635</v>
      </c>
      <c r="B3">
        <v>38897</v>
      </c>
    </row>
    <row r="4" spans="1:2" x14ac:dyDescent="0.25">
      <c r="A4" t="s">
        <v>636</v>
      </c>
      <c r="B4">
        <v>42396</v>
      </c>
    </row>
    <row r="5" spans="1:2" x14ac:dyDescent="0.25">
      <c r="A5" t="s">
        <v>637</v>
      </c>
      <c r="B5">
        <v>683</v>
      </c>
    </row>
    <row r="6" spans="1:2" x14ac:dyDescent="0.25">
      <c r="A6" t="s">
        <v>638</v>
      </c>
      <c r="B6">
        <v>11566</v>
      </c>
    </row>
    <row r="7" spans="1:2" x14ac:dyDescent="0.25">
      <c r="A7" t="s">
        <v>639</v>
      </c>
      <c r="B7">
        <v>26731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164"/>
  </cols>
  <sheetData>
    <row r="1" spans="1:1" x14ac:dyDescent="0.25">
      <c r="A1" s="164" t="s">
        <v>389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132</v>
      </c>
    </row>
    <row r="2" spans="1:2" x14ac:dyDescent="0.25">
      <c r="A2" t="s">
        <v>133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134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338</v>
      </c>
    </row>
    <row r="3" spans="1:2" x14ac:dyDescent="0.25">
      <c r="A3" t="s">
        <v>339</v>
      </c>
      <c r="B3">
        <v>450</v>
      </c>
    </row>
    <row r="4" spans="1:2" x14ac:dyDescent="0.25">
      <c r="A4" t="s">
        <v>340</v>
      </c>
      <c r="B4">
        <v>175</v>
      </c>
    </row>
    <row r="5" spans="1:2" x14ac:dyDescent="0.25">
      <c r="A5" t="s">
        <v>341</v>
      </c>
      <c r="B5">
        <v>5</v>
      </c>
    </row>
    <row r="7" spans="1:2" x14ac:dyDescent="0.25">
      <c r="A7" s="11" t="s">
        <v>342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34</v>
      </c>
      <c r="B1">
        <v>0</v>
      </c>
    </row>
    <row r="2" spans="1:6" ht="17.25" x14ac:dyDescent="0.25">
      <c r="A2" s="11" t="s">
        <v>343</v>
      </c>
      <c r="C2" s="11" t="s">
        <v>30</v>
      </c>
      <c r="D2" s="11" t="s">
        <v>33</v>
      </c>
      <c r="E2" s="11" t="s">
        <v>31</v>
      </c>
      <c r="F2" s="11" t="s">
        <v>32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t="s">
        <v>338</v>
      </c>
    </row>
    <row r="3" spans="1:7" x14ac:dyDescent="0.25">
      <c r="A3" t="s">
        <v>339</v>
      </c>
      <c r="B3">
        <v>450</v>
      </c>
    </row>
    <row r="4" spans="1:7" x14ac:dyDescent="0.25">
      <c r="A4" t="s">
        <v>340</v>
      </c>
      <c r="B4">
        <v>175</v>
      </c>
    </row>
    <row r="5" spans="1:7" x14ac:dyDescent="0.25">
      <c r="A5" t="s">
        <v>341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147" bestFit="1" customWidth="1"/>
    <col min="2" max="2" width="8.7109375" style="147" customWidth="1"/>
    <col min="3" max="9" width="8.28515625" style="147" customWidth="1"/>
    <col min="10" max="16384" width="9.140625" style="147"/>
  </cols>
  <sheetData>
    <row r="1" spans="1:9" x14ac:dyDescent="0.2">
      <c r="A1" s="145" t="s">
        <v>351</v>
      </c>
      <c r="B1" s="146">
        <v>200000</v>
      </c>
    </row>
    <row r="2" spans="1:9" x14ac:dyDescent="0.2">
      <c r="A2" s="145" t="s">
        <v>344</v>
      </c>
      <c r="B2" s="148">
        <v>2.2499999999999999E-2</v>
      </c>
    </row>
    <row r="4" spans="1:9" x14ac:dyDescent="0.2">
      <c r="A4" s="147" t="s">
        <v>345</v>
      </c>
      <c r="B4" s="149">
        <v>0.35</v>
      </c>
    </row>
    <row r="5" spans="1:9" x14ac:dyDescent="0.2">
      <c r="A5" s="147" t="s">
        <v>346</v>
      </c>
      <c r="B5" s="149">
        <v>0.55000000000000004</v>
      </c>
    </row>
    <row r="6" spans="1:9" x14ac:dyDescent="0.2">
      <c r="A6" s="147" t="s">
        <v>347</v>
      </c>
      <c r="B6" s="149">
        <v>44</v>
      </c>
    </row>
    <row r="7" spans="1:9" x14ac:dyDescent="0.2">
      <c r="B7" s="149"/>
    </row>
    <row r="8" spans="1:9" x14ac:dyDescent="0.2">
      <c r="A8" s="147" t="s">
        <v>348</v>
      </c>
      <c r="B8" s="150">
        <f>B2*B1</f>
        <v>4500</v>
      </c>
    </row>
    <row r="9" spans="1:9" x14ac:dyDescent="0.2">
      <c r="A9" s="147" t="s">
        <v>349</v>
      </c>
      <c r="B9" s="150">
        <f>B8*B6</f>
        <v>198000</v>
      </c>
    </row>
    <row r="10" spans="1:9" x14ac:dyDescent="0.2">
      <c r="A10" s="147" t="s">
        <v>350</v>
      </c>
      <c r="B10" s="150">
        <f>B1*(B4+B5)</f>
        <v>180000</v>
      </c>
    </row>
    <row r="11" spans="1:9" x14ac:dyDescent="0.2">
      <c r="A11" s="145" t="s">
        <v>162</v>
      </c>
      <c r="B11" s="151">
        <f>B9-B10</f>
        <v>18000</v>
      </c>
    </row>
    <row r="14" spans="1:9" ht="12.75" thickBot="1" x14ac:dyDescent="0.25">
      <c r="B14" s="152">
        <f>B11</f>
        <v>18000</v>
      </c>
      <c r="C14" s="153">
        <v>1.4999999999999999E-2</v>
      </c>
      <c r="D14" s="153">
        <v>1.7500000000000002E-2</v>
      </c>
      <c r="E14" s="153">
        <v>0.02</v>
      </c>
      <c r="F14" s="153">
        <v>2.2499999999999999E-2</v>
      </c>
      <c r="G14" s="153">
        <v>2.5000000000000001E-2</v>
      </c>
      <c r="H14" s="153">
        <v>2.75E-2</v>
      </c>
      <c r="I14" s="153">
        <v>0.03</v>
      </c>
    </row>
    <row r="15" spans="1:9" x14ac:dyDescent="0.2">
      <c r="B15" s="154">
        <v>100000</v>
      </c>
      <c r="C15" s="152">
        <f t="dataTable" ref="C15:I23" dt2D="1" dtr="1" r1="B2" r2="B1"/>
        <v>-24000</v>
      </c>
      <c r="D15" s="152">
        <v>-12999.999999999985</v>
      </c>
      <c r="E15" s="152">
        <v>-2000</v>
      </c>
      <c r="F15" s="152">
        <v>9000</v>
      </c>
      <c r="G15" s="152">
        <v>20000</v>
      </c>
      <c r="H15" s="152">
        <v>31000</v>
      </c>
      <c r="I15" s="152">
        <v>42000</v>
      </c>
    </row>
    <row r="16" spans="1:9" x14ac:dyDescent="0.2">
      <c r="B16" s="154">
        <v>125000</v>
      </c>
      <c r="C16" s="152">
        <v>-30000</v>
      </c>
      <c r="D16" s="152">
        <v>-16250</v>
      </c>
      <c r="E16" s="152">
        <v>-2500</v>
      </c>
      <c r="F16" s="152">
        <v>11250</v>
      </c>
      <c r="G16" s="152">
        <v>25000</v>
      </c>
      <c r="H16" s="152">
        <v>38750</v>
      </c>
      <c r="I16" s="152">
        <v>52500</v>
      </c>
    </row>
    <row r="17" spans="2:9" x14ac:dyDescent="0.2">
      <c r="B17" s="154">
        <v>150000</v>
      </c>
      <c r="C17" s="152">
        <v>-36000</v>
      </c>
      <c r="D17" s="152">
        <v>-19499.999999999985</v>
      </c>
      <c r="E17" s="152">
        <v>-3000</v>
      </c>
      <c r="F17" s="152">
        <v>13500</v>
      </c>
      <c r="G17" s="152">
        <v>30000</v>
      </c>
      <c r="H17" s="152">
        <v>46500</v>
      </c>
      <c r="I17" s="152">
        <v>63000</v>
      </c>
    </row>
    <row r="18" spans="2:9" x14ac:dyDescent="0.2">
      <c r="B18" s="154">
        <v>175000</v>
      </c>
      <c r="C18" s="152">
        <v>-42000</v>
      </c>
      <c r="D18" s="152">
        <v>-22749.999999999971</v>
      </c>
      <c r="E18" s="152">
        <v>-3500</v>
      </c>
      <c r="F18" s="152">
        <v>15750</v>
      </c>
      <c r="G18" s="152">
        <v>35000</v>
      </c>
      <c r="H18" s="152">
        <v>54250</v>
      </c>
      <c r="I18" s="152">
        <v>73500</v>
      </c>
    </row>
    <row r="19" spans="2:9" x14ac:dyDescent="0.2">
      <c r="B19" s="154">
        <v>200000</v>
      </c>
      <c r="C19" s="152">
        <v>-48000</v>
      </c>
      <c r="D19" s="152">
        <v>-25999.999999999971</v>
      </c>
      <c r="E19" s="152">
        <v>-4000</v>
      </c>
      <c r="F19" s="152">
        <v>18000</v>
      </c>
      <c r="G19" s="152">
        <v>40000</v>
      </c>
      <c r="H19" s="152">
        <v>62000</v>
      </c>
      <c r="I19" s="152">
        <v>84000</v>
      </c>
    </row>
    <row r="20" spans="2:9" x14ac:dyDescent="0.2">
      <c r="B20" s="154">
        <v>225000</v>
      </c>
      <c r="C20" s="152">
        <v>-54000</v>
      </c>
      <c r="D20" s="152">
        <v>-29249.999999999971</v>
      </c>
      <c r="E20" s="152">
        <v>-4500</v>
      </c>
      <c r="F20" s="152">
        <v>20250</v>
      </c>
      <c r="G20" s="152">
        <v>45000</v>
      </c>
      <c r="H20" s="152">
        <v>69750</v>
      </c>
      <c r="I20" s="152">
        <v>94500</v>
      </c>
    </row>
    <row r="21" spans="2:9" x14ac:dyDescent="0.2">
      <c r="B21" s="154">
        <v>250000</v>
      </c>
      <c r="C21" s="152">
        <v>-60000</v>
      </c>
      <c r="D21" s="152">
        <v>-32500</v>
      </c>
      <c r="E21" s="152">
        <v>-5000</v>
      </c>
      <c r="F21" s="152">
        <v>22500</v>
      </c>
      <c r="G21" s="152">
        <v>50000</v>
      </c>
      <c r="H21" s="152">
        <v>77500</v>
      </c>
      <c r="I21" s="152">
        <v>105000</v>
      </c>
    </row>
    <row r="22" spans="2:9" x14ac:dyDescent="0.2">
      <c r="B22" s="154">
        <v>275000</v>
      </c>
      <c r="C22" s="152">
        <v>-66000</v>
      </c>
      <c r="D22" s="152">
        <v>-35749.999999999971</v>
      </c>
      <c r="E22" s="152">
        <v>-5500</v>
      </c>
      <c r="F22" s="152">
        <v>24750</v>
      </c>
      <c r="G22" s="152">
        <v>55000</v>
      </c>
      <c r="H22" s="152">
        <v>85250</v>
      </c>
      <c r="I22" s="152">
        <v>115500</v>
      </c>
    </row>
    <row r="23" spans="2:9" x14ac:dyDescent="0.2">
      <c r="B23" s="154">
        <v>300000</v>
      </c>
      <c r="C23" s="152">
        <v>-72000</v>
      </c>
      <c r="D23" s="152">
        <v>-38999.999999999971</v>
      </c>
      <c r="E23" s="152">
        <v>-6000</v>
      </c>
      <c r="F23" s="152">
        <v>27000</v>
      </c>
      <c r="G23" s="152">
        <v>60000</v>
      </c>
      <c r="H23" s="152">
        <v>93000</v>
      </c>
      <c r="I23" s="152">
        <v>126000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5:M32"/>
  <sheetViews>
    <sheetView showGridLines="0" workbookViewId="0">
      <selection activeCell="Z29" sqref="Z29"/>
    </sheetView>
  </sheetViews>
  <sheetFormatPr defaultRowHeight="15" x14ac:dyDescent="0.25"/>
  <cols>
    <col min="8" max="8" width="2.7109375" customWidth="1"/>
  </cols>
  <sheetData>
    <row r="5" spans="4:13" x14ac:dyDescent="0.25">
      <c r="D5" s="1" t="s">
        <v>337</v>
      </c>
      <c r="I5" s="1" t="s">
        <v>336</v>
      </c>
    </row>
    <row r="9" spans="4:13" x14ac:dyDescent="0.25">
      <c r="D9" s="143"/>
      <c r="E9" s="144"/>
      <c r="F9" s="144"/>
      <c r="G9" s="144"/>
      <c r="I9" s="143"/>
      <c r="J9" s="144"/>
      <c r="K9" s="144"/>
      <c r="L9" s="144"/>
    </row>
    <row r="10" spans="4:13" x14ac:dyDescent="0.25">
      <c r="D10" s="144"/>
      <c r="E10" s="143"/>
      <c r="F10" s="143"/>
      <c r="G10" s="143"/>
      <c r="I10" s="144"/>
      <c r="J10" s="143"/>
      <c r="K10" s="143"/>
      <c r="L10" s="143"/>
    </row>
    <row r="11" spans="4:13" x14ac:dyDescent="0.25">
      <c r="D11" s="144"/>
      <c r="E11" s="143"/>
      <c r="F11" s="143"/>
      <c r="G11" s="143"/>
      <c r="I11" s="144"/>
      <c r="J11" s="143"/>
      <c r="K11" s="143"/>
      <c r="L11" s="143"/>
      <c r="M11" s="1"/>
    </row>
    <row r="12" spans="4:13" x14ac:dyDescent="0.25">
      <c r="D12" s="144"/>
      <c r="E12" s="143"/>
      <c r="F12" s="143"/>
      <c r="G12" s="143"/>
      <c r="I12" s="144"/>
      <c r="J12" s="143"/>
      <c r="K12" s="143"/>
      <c r="L12" s="143"/>
    </row>
    <row r="13" spans="4:13" x14ac:dyDescent="0.25">
      <c r="D13" s="144"/>
      <c r="E13" s="143"/>
      <c r="F13" s="143"/>
      <c r="G13" s="143"/>
      <c r="I13" s="144"/>
      <c r="J13" s="143"/>
      <c r="K13" s="143"/>
      <c r="L13" s="143"/>
    </row>
    <row r="14" spans="4:13" x14ac:dyDescent="0.25">
      <c r="D14" s="144"/>
      <c r="E14" s="143"/>
      <c r="F14" s="143"/>
      <c r="G14" s="143"/>
      <c r="I14" s="144"/>
      <c r="J14" s="143"/>
      <c r="K14" s="143"/>
      <c r="L14" s="143"/>
    </row>
    <row r="15" spans="4:13" x14ac:dyDescent="0.25">
      <c r="D15" s="144"/>
      <c r="E15" s="143"/>
      <c r="F15" s="143"/>
      <c r="G15" s="143"/>
      <c r="I15" s="144"/>
      <c r="J15" s="143"/>
      <c r="K15" s="143"/>
      <c r="L15" s="143"/>
    </row>
    <row r="16" spans="4:13" x14ac:dyDescent="0.25">
      <c r="D16" s="144"/>
      <c r="E16" s="143"/>
      <c r="F16" s="143"/>
      <c r="G16" s="143"/>
      <c r="I16" s="144"/>
      <c r="J16" s="143"/>
      <c r="K16" s="143"/>
      <c r="L16" s="143"/>
    </row>
    <row r="25" spans="4:7" x14ac:dyDescent="0.25">
      <c r="D25" s="143"/>
      <c r="E25" s="144"/>
      <c r="F25" s="144"/>
      <c r="G25" s="144"/>
    </row>
    <row r="26" spans="4:7" x14ac:dyDescent="0.25">
      <c r="D26" s="144"/>
      <c r="E26" s="143"/>
      <c r="F26" s="143"/>
      <c r="G26" s="143"/>
    </row>
    <row r="27" spans="4:7" x14ac:dyDescent="0.25">
      <c r="D27" s="144"/>
      <c r="E27" s="143"/>
      <c r="F27" s="143"/>
      <c r="G27" s="143"/>
    </row>
    <row r="28" spans="4:7" x14ac:dyDescent="0.25">
      <c r="D28" s="144"/>
      <c r="E28" s="143"/>
      <c r="F28" s="143"/>
      <c r="G28" s="143"/>
    </row>
    <row r="29" spans="4:7" x14ac:dyDescent="0.25">
      <c r="D29" s="144"/>
      <c r="E29" s="143"/>
      <c r="F29" s="143"/>
      <c r="G29" s="143"/>
    </row>
    <row r="30" spans="4:7" x14ac:dyDescent="0.25">
      <c r="D30" s="144"/>
      <c r="E30" s="143"/>
      <c r="F30" s="143"/>
      <c r="G30" s="143"/>
    </row>
    <row r="31" spans="4:7" x14ac:dyDescent="0.25">
      <c r="D31" s="144"/>
      <c r="E31" s="143"/>
      <c r="F31" s="143"/>
      <c r="G31" s="143"/>
    </row>
    <row r="32" spans="4:7" x14ac:dyDescent="0.25">
      <c r="D32" s="144"/>
      <c r="E32" s="143"/>
      <c r="F32" s="143"/>
      <c r="G32" s="143"/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121</v>
      </c>
      <c r="B1" s="54">
        <v>1000</v>
      </c>
    </row>
    <row r="2" spans="1:3" x14ac:dyDescent="0.15">
      <c r="A2" s="8" t="s">
        <v>122</v>
      </c>
      <c r="B2" s="56">
        <v>7.0000000000000007E-2</v>
      </c>
    </row>
    <row r="4" spans="1:3" x14ac:dyDescent="0.15">
      <c r="A4" s="9" t="s">
        <v>61</v>
      </c>
      <c r="B4" s="9" t="s">
        <v>123</v>
      </c>
      <c r="C4" s="9" t="s">
        <v>13</v>
      </c>
    </row>
    <row r="5" spans="1:3" ht="15" x14ac:dyDescent="0.25">
      <c r="A5" s="57">
        <v>2010</v>
      </c>
      <c r="C5" s="54">
        <f>inleg</f>
        <v>1000</v>
      </c>
    </row>
    <row r="6" spans="1:3" x14ac:dyDescent="0.15">
      <c r="A6" s="57">
        <v>2011</v>
      </c>
      <c r="B6" s="55">
        <f t="shared" ref="B6:B15" si="0">jaarrente*C5</f>
        <v>70</v>
      </c>
      <c r="C6" s="55">
        <f>C5+B6</f>
        <v>1070</v>
      </c>
    </row>
    <row r="7" spans="1:3" x14ac:dyDescent="0.15">
      <c r="A7" s="57">
        <v>2012</v>
      </c>
      <c r="B7" s="55">
        <f t="shared" si="0"/>
        <v>74.900000000000006</v>
      </c>
      <c r="C7" s="55">
        <f>C6+B7</f>
        <v>1144.9000000000001</v>
      </c>
    </row>
    <row r="8" spans="1:3" x14ac:dyDescent="0.15">
      <c r="A8" s="57">
        <v>2013</v>
      </c>
      <c r="B8" s="55">
        <f t="shared" si="0"/>
        <v>80.143000000000015</v>
      </c>
      <c r="C8" s="55">
        <f t="shared" ref="C8:C15" si="1">C7+B8</f>
        <v>1225.0430000000001</v>
      </c>
    </row>
    <row r="9" spans="1:3" x14ac:dyDescent="0.15">
      <c r="A9" s="57">
        <v>2014</v>
      </c>
      <c r="B9" s="55">
        <f t="shared" si="0"/>
        <v>85.753010000000017</v>
      </c>
      <c r="C9" s="55">
        <f t="shared" si="1"/>
        <v>1310.79601</v>
      </c>
    </row>
    <row r="10" spans="1:3" x14ac:dyDescent="0.15">
      <c r="A10" s="57">
        <v>2015</v>
      </c>
      <c r="B10" s="55">
        <f t="shared" si="0"/>
        <v>91.755720700000012</v>
      </c>
      <c r="C10" s="55">
        <f t="shared" si="1"/>
        <v>1402.5517307</v>
      </c>
    </row>
    <row r="11" spans="1:3" x14ac:dyDescent="0.15">
      <c r="A11" s="57">
        <v>2016</v>
      </c>
      <c r="B11" s="55">
        <f t="shared" si="0"/>
        <v>98.178621149000008</v>
      </c>
      <c r="C11" s="55">
        <f t="shared" si="1"/>
        <v>1500.730351849</v>
      </c>
    </row>
    <row r="12" spans="1:3" x14ac:dyDescent="0.15">
      <c r="A12" s="57">
        <v>2017</v>
      </c>
      <c r="B12" s="55">
        <f t="shared" si="0"/>
        <v>105.05112462943001</v>
      </c>
      <c r="C12" s="55">
        <f t="shared" si="1"/>
        <v>1605.78147647843</v>
      </c>
    </row>
    <row r="13" spans="1:3" x14ac:dyDescent="0.15">
      <c r="A13" s="57">
        <v>2018</v>
      </c>
      <c r="B13" s="55">
        <f t="shared" si="0"/>
        <v>112.40470335349011</v>
      </c>
      <c r="C13" s="55">
        <f t="shared" si="1"/>
        <v>1718.1861798319201</v>
      </c>
    </row>
    <row r="14" spans="1:3" x14ac:dyDescent="0.15">
      <c r="A14" s="57">
        <v>2019</v>
      </c>
      <c r="B14" s="55">
        <f t="shared" si="0"/>
        <v>120.27303258823441</v>
      </c>
      <c r="C14" s="55">
        <f t="shared" si="1"/>
        <v>1838.4592124201545</v>
      </c>
    </row>
    <row r="15" spans="1:3" x14ac:dyDescent="0.15">
      <c r="A15" s="57">
        <v>2020</v>
      </c>
      <c r="B15" s="55">
        <f t="shared" si="0"/>
        <v>128.69214486941084</v>
      </c>
      <c r="C15" s="55">
        <f t="shared" si="1"/>
        <v>1967.1513572895653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00" customWidth="1"/>
    <col min="2" max="2" width="12.5703125" style="100" bestFit="1" customWidth="1"/>
    <col min="3" max="16384" width="9.140625" style="100"/>
  </cols>
  <sheetData>
    <row r="1" spans="1:2" x14ac:dyDescent="0.15">
      <c r="A1" s="100" t="s">
        <v>299</v>
      </c>
      <c r="B1" s="97">
        <v>250000</v>
      </c>
    </row>
    <row r="2" spans="1:2" x14ac:dyDescent="0.15">
      <c r="A2" s="100" t="s">
        <v>300</v>
      </c>
      <c r="B2" s="10">
        <v>0.06</v>
      </c>
    </row>
    <row r="3" spans="1:2" x14ac:dyDescent="0.15">
      <c r="A3" s="100" t="s">
        <v>301</v>
      </c>
      <c r="B3" s="98">
        <v>15</v>
      </c>
    </row>
    <row r="4" spans="1:2" x14ac:dyDescent="0.15">
      <c r="A4" s="101" t="s">
        <v>302</v>
      </c>
      <c r="B4" s="99">
        <f>-PMT(B2/12,B3*12,B1)</f>
        <v>2109.6420701211282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D7E-A1A8-4FF0-B90C-645BB0BFA567}">
  <dimension ref="A1:C9"/>
  <sheetViews>
    <sheetView topLeftCell="A19" workbookViewId="0">
      <selection activeCell="S17" sqref="S17"/>
    </sheetView>
  </sheetViews>
  <sheetFormatPr defaultRowHeight="12.75" x14ac:dyDescent="0.2"/>
  <cols>
    <col min="1" max="1" width="17.7109375" style="170" customWidth="1"/>
    <col min="2" max="2" width="8.7109375" style="170" customWidth="1"/>
    <col min="3" max="3" width="19.7109375" style="170" customWidth="1"/>
    <col min="4" max="16384" width="9.140625" style="170"/>
  </cols>
  <sheetData>
    <row r="1" spans="1:3" x14ac:dyDescent="0.2">
      <c r="A1" s="170" t="s">
        <v>156</v>
      </c>
      <c r="B1" s="170">
        <v>123.654</v>
      </c>
    </row>
    <row r="2" spans="1:3" x14ac:dyDescent="0.2">
      <c r="A2" s="170" t="s">
        <v>496</v>
      </c>
    </row>
    <row r="3" spans="1:3" x14ac:dyDescent="0.2">
      <c r="A3" s="170" t="s">
        <v>497</v>
      </c>
      <c r="B3" s="170">
        <f>ROUND(B1,0)</f>
        <v>124</v>
      </c>
      <c r="C3" s="170" t="str">
        <f ca="1">_xlfn.FORMULATEXT(B3)</f>
        <v>=AFRONDEN(B1;0)</v>
      </c>
    </row>
    <row r="4" spans="1:3" x14ac:dyDescent="0.2">
      <c r="A4" s="170" t="s">
        <v>498</v>
      </c>
      <c r="B4" s="170">
        <f>ROUND(B1,1)</f>
        <v>123.7</v>
      </c>
      <c r="C4" s="170" t="str">
        <f t="shared" ref="C4:C9" ca="1" si="0">_xlfn.FORMULATEXT(B4)</f>
        <v>=AFRONDEN(B1;1)</v>
      </c>
    </row>
    <row r="5" spans="1:3" x14ac:dyDescent="0.2">
      <c r="A5" s="170" t="s">
        <v>499</v>
      </c>
      <c r="B5" s="170">
        <f>ROUND(B1,2)</f>
        <v>123.65</v>
      </c>
      <c r="C5" s="170" t="str">
        <f t="shared" ca="1" si="0"/>
        <v>=AFRONDEN(B1;2)</v>
      </c>
    </row>
    <row r="6" spans="1:3" x14ac:dyDescent="0.2">
      <c r="A6" s="170" t="s">
        <v>500</v>
      </c>
      <c r="B6" s="170">
        <f>ROUNDDOWN(B1,1)</f>
        <v>123.6</v>
      </c>
      <c r="C6" s="170" t="str">
        <f t="shared" ca="1" si="0"/>
        <v>=AFRONDEN.NAAR.BENEDEN(B1;1)</v>
      </c>
    </row>
    <row r="7" spans="1:3" x14ac:dyDescent="0.2">
      <c r="A7" s="170" t="s">
        <v>501</v>
      </c>
      <c r="B7" s="170">
        <f>ROUNDUP(B1,2)</f>
        <v>123.66000000000001</v>
      </c>
      <c r="C7" s="170" t="str">
        <f t="shared" ca="1" si="0"/>
        <v>=AFRONDEN.NAAR.BOVEN(B1;2)</v>
      </c>
    </row>
    <row r="8" spans="1:3" x14ac:dyDescent="0.2">
      <c r="A8" s="170" t="s">
        <v>503</v>
      </c>
      <c r="B8" s="170">
        <f>MROUND(B1,5)</f>
        <v>125</v>
      </c>
      <c r="C8" s="170" t="str">
        <f t="shared" ca="1" si="0"/>
        <v>=AFRONDEN.N.VEELVOUD(B1;5)</v>
      </c>
    </row>
    <row r="9" spans="1:3" x14ac:dyDescent="0.2">
      <c r="A9" s="170" t="s">
        <v>502</v>
      </c>
      <c r="B9" s="170">
        <f>MROUND(B1,10)</f>
        <v>120</v>
      </c>
      <c r="C9" s="170" t="str">
        <f t="shared" ca="1" si="0"/>
        <v>=AFRONDEN.N.VEELVOUD(B1;10)</v>
      </c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155"/>
  </cols>
  <sheetData>
    <row r="1" spans="1:2" x14ac:dyDescent="0.25">
      <c r="A1" s="155" t="s">
        <v>352</v>
      </c>
      <c r="B1" s="155">
        <v>0.6</v>
      </c>
    </row>
    <row r="2" spans="1:2" x14ac:dyDescent="0.25">
      <c r="A2" s="155" t="s">
        <v>353</v>
      </c>
      <c r="B2" s="155">
        <f>1-B1</f>
        <v>0.4</v>
      </c>
    </row>
    <row r="4" spans="1:2" x14ac:dyDescent="0.25">
      <c r="A4" s="155" t="s">
        <v>354</v>
      </c>
      <c r="B4" s="155" t="s">
        <v>355</v>
      </c>
    </row>
    <row r="5" spans="1:2" x14ac:dyDescent="0.25">
      <c r="A5" s="155" t="s">
        <v>356</v>
      </c>
      <c r="B5" s="156">
        <f>$B$1</f>
        <v>0.6</v>
      </c>
    </row>
    <row r="6" spans="1:2" x14ac:dyDescent="0.25">
      <c r="A6" s="155" t="s">
        <v>357</v>
      </c>
      <c r="B6" s="156">
        <f>B5*$B$2</f>
        <v>0.24</v>
      </c>
    </row>
    <row r="7" spans="1:2" x14ac:dyDescent="0.25">
      <c r="A7" s="155" t="s">
        <v>358</v>
      </c>
      <c r="B7" s="156">
        <f>B6*$B$2</f>
        <v>9.6000000000000002E-2</v>
      </c>
    </row>
    <row r="8" spans="1:2" x14ac:dyDescent="0.25">
      <c r="A8" s="155" t="s">
        <v>359</v>
      </c>
      <c r="B8" s="156">
        <f t="shared" ref="B8:B13" si="0">B7*$B$2</f>
        <v>3.8400000000000004E-2</v>
      </c>
    </row>
    <row r="9" spans="1:2" x14ac:dyDescent="0.25">
      <c r="A9" s="155" t="s">
        <v>360</v>
      </c>
      <c r="B9" s="156">
        <f t="shared" si="0"/>
        <v>1.5360000000000002E-2</v>
      </c>
    </row>
    <row r="10" spans="1:2" x14ac:dyDescent="0.25">
      <c r="A10" s="155" t="s">
        <v>361</v>
      </c>
      <c r="B10" s="156">
        <f t="shared" si="0"/>
        <v>6.144000000000001E-3</v>
      </c>
    </row>
    <row r="11" spans="1:2" x14ac:dyDescent="0.25">
      <c r="A11" s="155" t="s">
        <v>362</v>
      </c>
      <c r="B11" s="156">
        <f t="shared" si="0"/>
        <v>2.4576000000000008E-3</v>
      </c>
    </row>
    <row r="12" spans="1:2" x14ac:dyDescent="0.25">
      <c r="A12" s="155" t="s">
        <v>363</v>
      </c>
      <c r="B12" s="156">
        <f t="shared" si="0"/>
        <v>9.8304000000000035E-4</v>
      </c>
    </row>
    <row r="13" spans="1:2" x14ac:dyDescent="0.25">
      <c r="A13" s="155" t="s">
        <v>364</v>
      </c>
      <c r="B13" s="156">
        <f t="shared" si="0"/>
        <v>3.9321600000000016E-4</v>
      </c>
    </row>
    <row r="14" spans="1:2" x14ac:dyDescent="0.25">
      <c r="B14" s="156"/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182</v>
      </c>
      <c r="D1" s="11" t="s">
        <v>183</v>
      </c>
      <c r="E1" s="11" t="s">
        <v>184</v>
      </c>
    </row>
    <row r="2" spans="1:5" x14ac:dyDescent="0.25">
      <c r="A2" t="s">
        <v>180</v>
      </c>
      <c r="B2" s="17">
        <v>40575</v>
      </c>
      <c r="C2">
        <f>YEAR(B2)</f>
        <v>2011</v>
      </c>
      <c r="D2">
        <f>MONTH(B2)</f>
        <v>2</v>
      </c>
      <c r="E2">
        <f>DAY(B2)</f>
        <v>1</v>
      </c>
    </row>
    <row r="3" spans="1:5" x14ac:dyDescent="0.25">
      <c r="A3" t="s">
        <v>181</v>
      </c>
      <c r="B3" s="17">
        <v>40602</v>
      </c>
      <c r="C3">
        <f>YEAR(B3)</f>
        <v>2011</v>
      </c>
      <c r="D3">
        <f>MONTH(B3)</f>
        <v>2</v>
      </c>
      <c r="E3">
        <f>DAY(B3)</f>
        <v>28</v>
      </c>
    </row>
    <row r="4" spans="1:5" x14ac:dyDescent="0.25">
      <c r="A4" t="s">
        <v>185</v>
      </c>
      <c r="B4">
        <f>B3-B2</f>
        <v>27</v>
      </c>
    </row>
    <row r="5" spans="1:5" x14ac:dyDescent="0.25">
      <c r="A5" t="s">
        <v>186</v>
      </c>
      <c r="B5">
        <f>NETWORKDAYS(B2,B3)</f>
        <v>20</v>
      </c>
    </row>
    <row r="7" spans="1:5" x14ac:dyDescent="0.25">
      <c r="C7" s="11" t="s">
        <v>190</v>
      </c>
      <c r="D7" s="11" t="s">
        <v>191</v>
      </c>
      <c r="E7" s="11" t="s">
        <v>192</v>
      </c>
    </row>
    <row r="8" spans="1:5" x14ac:dyDescent="0.25">
      <c r="A8" t="s">
        <v>187</v>
      </c>
      <c r="B8" s="29">
        <v>0.38217592592592592</v>
      </c>
      <c r="C8">
        <f>HOUR(B8)</f>
        <v>9</v>
      </c>
      <c r="D8">
        <f>MINUTE(B8)</f>
        <v>10</v>
      </c>
      <c r="E8">
        <f>SECOND(B8)</f>
        <v>20</v>
      </c>
    </row>
    <row r="9" spans="1:5" x14ac:dyDescent="0.25">
      <c r="A9" t="s">
        <v>188</v>
      </c>
      <c r="B9" s="29">
        <v>0.63923611111111112</v>
      </c>
      <c r="C9">
        <f>HOUR(B9)</f>
        <v>15</v>
      </c>
      <c r="D9">
        <f>MINUTE(B9)</f>
        <v>20</v>
      </c>
      <c r="E9">
        <f>SECOND(B9)</f>
        <v>30</v>
      </c>
    </row>
    <row r="10" spans="1:5" x14ac:dyDescent="0.25">
      <c r="A10" t="s">
        <v>189</v>
      </c>
      <c r="B10" s="29">
        <f>B9-B8</f>
        <v>0.2570601851851852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02" customWidth="1"/>
    <col min="2" max="2" width="14.7109375" style="102" customWidth="1"/>
    <col min="3" max="244" width="9.140625" style="102"/>
    <col min="245" max="245" width="27.85546875" style="102" customWidth="1"/>
    <col min="246" max="248" width="9.140625" style="102"/>
    <col min="249" max="249" width="17.7109375" style="102" customWidth="1"/>
    <col min="250" max="250" width="7.42578125" style="102" customWidth="1"/>
    <col min="251" max="500" width="9.140625" style="102"/>
    <col min="501" max="501" width="27.85546875" style="102" customWidth="1"/>
    <col min="502" max="504" width="9.140625" style="102"/>
    <col min="505" max="505" width="17.7109375" style="102" customWidth="1"/>
    <col min="506" max="506" width="7.42578125" style="102" customWidth="1"/>
    <col min="507" max="756" width="9.140625" style="102"/>
    <col min="757" max="757" width="27.85546875" style="102" customWidth="1"/>
    <col min="758" max="760" width="9.140625" style="102"/>
    <col min="761" max="761" width="17.7109375" style="102" customWidth="1"/>
    <col min="762" max="762" width="7.42578125" style="102" customWidth="1"/>
    <col min="763" max="1012" width="9.140625" style="102"/>
    <col min="1013" max="1013" width="27.85546875" style="102" customWidth="1"/>
    <col min="1014" max="1016" width="9.140625" style="102"/>
    <col min="1017" max="1017" width="17.7109375" style="102" customWidth="1"/>
    <col min="1018" max="1018" width="7.42578125" style="102" customWidth="1"/>
    <col min="1019" max="1268" width="9.140625" style="102"/>
    <col min="1269" max="1269" width="27.85546875" style="102" customWidth="1"/>
    <col min="1270" max="1272" width="9.140625" style="102"/>
    <col min="1273" max="1273" width="17.7109375" style="102" customWidth="1"/>
    <col min="1274" max="1274" width="7.42578125" style="102" customWidth="1"/>
    <col min="1275" max="1524" width="9.140625" style="102"/>
    <col min="1525" max="1525" width="27.85546875" style="102" customWidth="1"/>
    <col min="1526" max="1528" width="9.140625" style="102"/>
    <col min="1529" max="1529" width="17.7109375" style="102" customWidth="1"/>
    <col min="1530" max="1530" width="7.42578125" style="102" customWidth="1"/>
    <col min="1531" max="1780" width="9.140625" style="102"/>
    <col min="1781" max="1781" width="27.85546875" style="102" customWidth="1"/>
    <col min="1782" max="1784" width="9.140625" style="102"/>
    <col min="1785" max="1785" width="17.7109375" style="102" customWidth="1"/>
    <col min="1786" max="1786" width="7.42578125" style="102" customWidth="1"/>
    <col min="1787" max="2036" width="9.140625" style="102"/>
    <col min="2037" max="2037" width="27.85546875" style="102" customWidth="1"/>
    <col min="2038" max="2040" width="9.140625" style="102"/>
    <col min="2041" max="2041" width="17.7109375" style="102" customWidth="1"/>
    <col min="2042" max="2042" width="7.42578125" style="102" customWidth="1"/>
    <col min="2043" max="2292" width="9.140625" style="102"/>
    <col min="2293" max="2293" width="27.85546875" style="102" customWidth="1"/>
    <col min="2294" max="2296" width="9.140625" style="102"/>
    <col min="2297" max="2297" width="17.7109375" style="102" customWidth="1"/>
    <col min="2298" max="2298" width="7.42578125" style="102" customWidth="1"/>
    <col min="2299" max="2548" width="9.140625" style="102"/>
    <col min="2549" max="2549" width="27.85546875" style="102" customWidth="1"/>
    <col min="2550" max="2552" width="9.140625" style="102"/>
    <col min="2553" max="2553" width="17.7109375" style="102" customWidth="1"/>
    <col min="2554" max="2554" width="7.42578125" style="102" customWidth="1"/>
    <col min="2555" max="2804" width="9.140625" style="102"/>
    <col min="2805" max="2805" width="27.85546875" style="102" customWidth="1"/>
    <col min="2806" max="2808" width="9.140625" style="102"/>
    <col min="2809" max="2809" width="17.7109375" style="102" customWidth="1"/>
    <col min="2810" max="2810" width="7.42578125" style="102" customWidth="1"/>
    <col min="2811" max="3060" width="9.140625" style="102"/>
    <col min="3061" max="3061" width="27.85546875" style="102" customWidth="1"/>
    <col min="3062" max="3064" width="9.140625" style="102"/>
    <col min="3065" max="3065" width="17.7109375" style="102" customWidth="1"/>
    <col min="3066" max="3066" width="7.42578125" style="102" customWidth="1"/>
    <col min="3067" max="3316" width="9.140625" style="102"/>
    <col min="3317" max="3317" width="27.85546875" style="102" customWidth="1"/>
    <col min="3318" max="3320" width="9.140625" style="102"/>
    <col min="3321" max="3321" width="17.7109375" style="102" customWidth="1"/>
    <col min="3322" max="3322" width="7.42578125" style="102" customWidth="1"/>
    <col min="3323" max="3572" width="9.140625" style="102"/>
    <col min="3573" max="3573" width="27.85546875" style="102" customWidth="1"/>
    <col min="3574" max="3576" width="9.140625" style="102"/>
    <col min="3577" max="3577" width="17.7109375" style="102" customWidth="1"/>
    <col min="3578" max="3578" width="7.42578125" style="102" customWidth="1"/>
    <col min="3579" max="3828" width="9.140625" style="102"/>
    <col min="3829" max="3829" width="27.85546875" style="102" customWidth="1"/>
    <col min="3830" max="3832" width="9.140625" style="102"/>
    <col min="3833" max="3833" width="17.7109375" style="102" customWidth="1"/>
    <col min="3834" max="3834" width="7.42578125" style="102" customWidth="1"/>
    <col min="3835" max="4084" width="9.140625" style="102"/>
    <col min="4085" max="4085" width="27.85546875" style="102" customWidth="1"/>
    <col min="4086" max="4088" width="9.140625" style="102"/>
    <col min="4089" max="4089" width="17.7109375" style="102" customWidth="1"/>
    <col min="4090" max="4090" width="7.42578125" style="102" customWidth="1"/>
    <col min="4091" max="4340" width="9.140625" style="102"/>
    <col min="4341" max="4341" width="27.85546875" style="102" customWidth="1"/>
    <col min="4342" max="4344" width="9.140625" style="102"/>
    <col min="4345" max="4345" width="17.7109375" style="102" customWidth="1"/>
    <col min="4346" max="4346" width="7.42578125" style="102" customWidth="1"/>
    <col min="4347" max="4596" width="9.140625" style="102"/>
    <col min="4597" max="4597" width="27.85546875" style="102" customWidth="1"/>
    <col min="4598" max="4600" width="9.140625" style="102"/>
    <col min="4601" max="4601" width="17.7109375" style="102" customWidth="1"/>
    <col min="4602" max="4602" width="7.42578125" style="102" customWidth="1"/>
    <col min="4603" max="4852" width="9.140625" style="102"/>
    <col min="4853" max="4853" width="27.85546875" style="102" customWidth="1"/>
    <col min="4854" max="4856" width="9.140625" style="102"/>
    <col min="4857" max="4857" width="17.7109375" style="102" customWidth="1"/>
    <col min="4858" max="4858" width="7.42578125" style="102" customWidth="1"/>
    <col min="4859" max="5108" width="9.140625" style="102"/>
    <col min="5109" max="5109" width="27.85546875" style="102" customWidth="1"/>
    <col min="5110" max="5112" width="9.140625" style="102"/>
    <col min="5113" max="5113" width="17.7109375" style="102" customWidth="1"/>
    <col min="5114" max="5114" width="7.42578125" style="102" customWidth="1"/>
    <col min="5115" max="5364" width="9.140625" style="102"/>
    <col min="5365" max="5365" width="27.85546875" style="102" customWidth="1"/>
    <col min="5366" max="5368" width="9.140625" style="102"/>
    <col min="5369" max="5369" width="17.7109375" style="102" customWidth="1"/>
    <col min="5370" max="5370" width="7.42578125" style="102" customWidth="1"/>
    <col min="5371" max="5620" width="9.140625" style="102"/>
    <col min="5621" max="5621" width="27.85546875" style="102" customWidth="1"/>
    <col min="5622" max="5624" width="9.140625" style="102"/>
    <col min="5625" max="5625" width="17.7109375" style="102" customWidth="1"/>
    <col min="5626" max="5626" width="7.42578125" style="102" customWidth="1"/>
    <col min="5627" max="5876" width="9.140625" style="102"/>
    <col min="5877" max="5877" width="27.85546875" style="102" customWidth="1"/>
    <col min="5878" max="5880" width="9.140625" style="102"/>
    <col min="5881" max="5881" width="17.7109375" style="102" customWidth="1"/>
    <col min="5882" max="5882" width="7.42578125" style="102" customWidth="1"/>
    <col min="5883" max="6132" width="9.140625" style="102"/>
    <col min="6133" max="6133" width="27.85546875" style="102" customWidth="1"/>
    <col min="6134" max="6136" width="9.140625" style="102"/>
    <col min="6137" max="6137" width="17.7109375" style="102" customWidth="1"/>
    <col min="6138" max="6138" width="7.42578125" style="102" customWidth="1"/>
    <col min="6139" max="6388" width="9.140625" style="102"/>
    <col min="6389" max="6389" width="27.85546875" style="102" customWidth="1"/>
    <col min="6390" max="6392" width="9.140625" style="102"/>
    <col min="6393" max="6393" width="17.7109375" style="102" customWidth="1"/>
    <col min="6394" max="6394" width="7.42578125" style="102" customWidth="1"/>
    <col min="6395" max="6644" width="9.140625" style="102"/>
    <col min="6645" max="6645" width="27.85546875" style="102" customWidth="1"/>
    <col min="6646" max="6648" width="9.140625" style="102"/>
    <col min="6649" max="6649" width="17.7109375" style="102" customWidth="1"/>
    <col min="6650" max="6650" width="7.42578125" style="102" customWidth="1"/>
    <col min="6651" max="6900" width="9.140625" style="102"/>
    <col min="6901" max="6901" width="27.85546875" style="102" customWidth="1"/>
    <col min="6902" max="6904" width="9.140625" style="102"/>
    <col min="6905" max="6905" width="17.7109375" style="102" customWidth="1"/>
    <col min="6906" max="6906" width="7.42578125" style="102" customWidth="1"/>
    <col min="6907" max="7156" width="9.140625" style="102"/>
    <col min="7157" max="7157" width="27.85546875" style="102" customWidth="1"/>
    <col min="7158" max="7160" width="9.140625" style="102"/>
    <col min="7161" max="7161" width="17.7109375" style="102" customWidth="1"/>
    <col min="7162" max="7162" width="7.42578125" style="102" customWidth="1"/>
    <col min="7163" max="7412" width="9.140625" style="102"/>
    <col min="7413" max="7413" width="27.85546875" style="102" customWidth="1"/>
    <col min="7414" max="7416" width="9.140625" style="102"/>
    <col min="7417" max="7417" width="17.7109375" style="102" customWidth="1"/>
    <col min="7418" max="7418" width="7.42578125" style="102" customWidth="1"/>
    <col min="7419" max="7668" width="9.140625" style="102"/>
    <col min="7669" max="7669" width="27.85546875" style="102" customWidth="1"/>
    <col min="7670" max="7672" width="9.140625" style="102"/>
    <col min="7673" max="7673" width="17.7109375" style="102" customWidth="1"/>
    <col min="7674" max="7674" width="7.42578125" style="102" customWidth="1"/>
    <col min="7675" max="7924" width="9.140625" style="102"/>
    <col min="7925" max="7925" width="27.85546875" style="102" customWidth="1"/>
    <col min="7926" max="7928" width="9.140625" style="102"/>
    <col min="7929" max="7929" width="17.7109375" style="102" customWidth="1"/>
    <col min="7930" max="7930" width="7.42578125" style="102" customWidth="1"/>
    <col min="7931" max="8180" width="9.140625" style="102"/>
    <col min="8181" max="8181" width="27.85546875" style="102" customWidth="1"/>
    <col min="8182" max="8184" width="9.140625" style="102"/>
    <col min="8185" max="8185" width="17.7109375" style="102" customWidth="1"/>
    <col min="8186" max="8186" width="7.42578125" style="102" customWidth="1"/>
    <col min="8187" max="8436" width="9.140625" style="102"/>
    <col min="8437" max="8437" width="27.85546875" style="102" customWidth="1"/>
    <col min="8438" max="8440" width="9.140625" style="102"/>
    <col min="8441" max="8441" width="17.7109375" style="102" customWidth="1"/>
    <col min="8442" max="8442" width="7.42578125" style="102" customWidth="1"/>
    <col min="8443" max="8692" width="9.140625" style="102"/>
    <col min="8693" max="8693" width="27.85546875" style="102" customWidth="1"/>
    <col min="8694" max="8696" width="9.140625" style="102"/>
    <col min="8697" max="8697" width="17.7109375" style="102" customWidth="1"/>
    <col min="8698" max="8698" width="7.42578125" style="102" customWidth="1"/>
    <col min="8699" max="8948" width="9.140625" style="102"/>
    <col min="8949" max="8949" width="27.85546875" style="102" customWidth="1"/>
    <col min="8950" max="8952" width="9.140625" style="102"/>
    <col min="8953" max="8953" width="17.7109375" style="102" customWidth="1"/>
    <col min="8954" max="8954" width="7.42578125" style="102" customWidth="1"/>
    <col min="8955" max="9204" width="9.140625" style="102"/>
    <col min="9205" max="9205" width="27.85546875" style="102" customWidth="1"/>
    <col min="9206" max="9208" width="9.140625" style="102"/>
    <col min="9209" max="9209" width="17.7109375" style="102" customWidth="1"/>
    <col min="9210" max="9210" width="7.42578125" style="102" customWidth="1"/>
    <col min="9211" max="9460" width="9.140625" style="102"/>
    <col min="9461" max="9461" width="27.85546875" style="102" customWidth="1"/>
    <col min="9462" max="9464" width="9.140625" style="102"/>
    <col min="9465" max="9465" width="17.7109375" style="102" customWidth="1"/>
    <col min="9466" max="9466" width="7.42578125" style="102" customWidth="1"/>
    <col min="9467" max="9716" width="9.140625" style="102"/>
    <col min="9717" max="9717" width="27.85546875" style="102" customWidth="1"/>
    <col min="9718" max="9720" width="9.140625" style="102"/>
    <col min="9721" max="9721" width="17.7109375" style="102" customWidth="1"/>
    <col min="9722" max="9722" width="7.42578125" style="102" customWidth="1"/>
    <col min="9723" max="9972" width="9.140625" style="102"/>
    <col min="9973" max="9973" width="27.85546875" style="102" customWidth="1"/>
    <col min="9974" max="9976" width="9.140625" style="102"/>
    <col min="9977" max="9977" width="17.7109375" style="102" customWidth="1"/>
    <col min="9978" max="9978" width="7.42578125" style="102" customWidth="1"/>
    <col min="9979" max="10228" width="9.140625" style="102"/>
    <col min="10229" max="10229" width="27.85546875" style="102" customWidth="1"/>
    <col min="10230" max="10232" width="9.140625" style="102"/>
    <col min="10233" max="10233" width="17.7109375" style="102" customWidth="1"/>
    <col min="10234" max="10234" width="7.42578125" style="102" customWidth="1"/>
    <col min="10235" max="10484" width="9.140625" style="102"/>
    <col min="10485" max="10485" width="27.85546875" style="102" customWidth="1"/>
    <col min="10486" max="10488" width="9.140625" style="102"/>
    <col min="10489" max="10489" width="17.7109375" style="102" customWidth="1"/>
    <col min="10490" max="10490" width="7.42578125" style="102" customWidth="1"/>
    <col min="10491" max="10740" width="9.140625" style="102"/>
    <col min="10741" max="10741" width="27.85546875" style="102" customWidth="1"/>
    <col min="10742" max="10744" width="9.140625" style="102"/>
    <col min="10745" max="10745" width="17.7109375" style="102" customWidth="1"/>
    <col min="10746" max="10746" width="7.42578125" style="102" customWidth="1"/>
    <col min="10747" max="10996" width="9.140625" style="102"/>
    <col min="10997" max="10997" width="27.85546875" style="102" customWidth="1"/>
    <col min="10998" max="11000" width="9.140625" style="102"/>
    <col min="11001" max="11001" width="17.7109375" style="102" customWidth="1"/>
    <col min="11002" max="11002" width="7.42578125" style="102" customWidth="1"/>
    <col min="11003" max="11252" width="9.140625" style="102"/>
    <col min="11253" max="11253" width="27.85546875" style="102" customWidth="1"/>
    <col min="11254" max="11256" width="9.140625" style="102"/>
    <col min="11257" max="11257" width="17.7109375" style="102" customWidth="1"/>
    <col min="11258" max="11258" width="7.42578125" style="102" customWidth="1"/>
    <col min="11259" max="11508" width="9.140625" style="102"/>
    <col min="11509" max="11509" width="27.85546875" style="102" customWidth="1"/>
    <col min="11510" max="11512" width="9.140625" style="102"/>
    <col min="11513" max="11513" width="17.7109375" style="102" customWidth="1"/>
    <col min="11514" max="11514" width="7.42578125" style="102" customWidth="1"/>
    <col min="11515" max="11764" width="9.140625" style="102"/>
    <col min="11765" max="11765" width="27.85546875" style="102" customWidth="1"/>
    <col min="11766" max="11768" width="9.140625" style="102"/>
    <col min="11769" max="11769" width="17.7109375" style="102" customWidth="1"/>
    <col min="11770" max="11770" width="7.42578125" style="102" customWidth="1"/>
    <col min="11771" max="12020" width="9.140625" style="102"/>
    <col min="12021" max="12021" width="27.85546875" style="102" customWidth="1"/>
    <col min="12022" max="12024" width="9.140625" style="102"/>
    <col min="12025" max="12025" width="17.7109375" style="102" customWidth="1"/>
    <col min="12026" max="12026" width="7.42578125" style="102" customWidth="1"/>
    <col min="12027" max="12276" width="9.140625" style="102"/>
    <col min="12277" max="12277" width="27.85546875" style="102" customWidth="1"/>
    <col min="12278" max="12280" width="9.140625" style="102"/>
    <col min="12281" max="12281" width="17.7109375" style="102" customWidth="1"/>
    <col min="12282" max="12282" width="7.42578125" style="102" customWidth="1"/>
    <col min="12283" max="12532" width="9.140625" style="102"/>
    <col min="12533" max="12533" width="27.85546875" style="102" customWidth="1"/>
    <col min="12534" max="12536" width="9.140625" style="102"/>
    <col min="12537" max="12537" width="17.7109375" style="102" customWidth="1"/>
    <col min="12538" max="12538" width="7.42578125" style="102" customWidth="1"/>
    <col min="12539" max="12788" width="9.140625" style="102"/>
    <col min="12789" max="12789" width="27.85546875" style="102" customWidth="1"/>
    <col min="12790" max="12792" width="9.140625" style="102"/>
    <col min="12793" max="12793" width="17.7109375" style="102" customWidth="1"/>
    <col min="12794" max="12794" width="7.42578125" style="102" customWidth="1"/>
    <col min="12795" max="13044" width="9.140625" style="102"/>
    <col min="13045" max="13045" width="27.85546875" style="102" customWidth="1"/>
    <col min="13046" max="13048" width="9.140625" style="102"/>
    <col min="13049" max="13049" width="17.7109375" style="102" customWidth="1"/>
    <col min="13050" max="13050" width="7.42578125" style="102" customWidth="1"/>
    <col min="13051" max="13300" width="9.140625" style="102"/>
    <col min="13301" max="13301" width="27.85546875" style="102" customWidth="1"/>
    <col min="13302" max="13304" width="9.140625" style="102"/>
    <col min="13305" max="13305" width="17.7109375" style="102" customWidth="1"/>
    <col min="13306" max="13306" width="7.42578125" style="102" customWidth="1"/>
    <col min="13307" max="13556" width="9.140625" style="102"/>
    <col min="13557" max="13557" width="27.85546875" style="102" customWidth="1"/>
    <col min="13558" max="13560" width="9.140625" style="102"/>
    <col min="13561" max="13561" width="17.7109375" style="102" customWidth="1"/>
    <col min="13562" max="13562" width="7.42578125" style="102" customWidth="1"/>
    <col min="13563" max="13812" width="9.140625" style="102"/>
    <col min="13813" max="13813" width="27.85546875" style="102" customWidth="1"/>
    <col min="13814" max="13816" width="9.140625" style="102"/>
    <col min="13817" max="13817" width="17.7109375" style="102" customWidth="1"/>
    <col min="13818" max="13818" width="7.42578125" style="102" customWidth="1"/>
    <col min="13819" max="14068" width="9.140625" style="102"/>
    <col min="14069" max="14069" width="27.85546875" style="102" customWidth="1"/>
    <col min="14070" max="14072" width="9.140625" style="102"/>
    <col min="14073" max="14073" width="17.7109375" style="102" customWidth="1"/>
    <col min="14074" max="14074" width="7.42578125" style="102" customWidth="1"/>
    <col min="14075" max="14324" width="9.140625" style="102"/>
    <col min="14325" max="14325" width="27.85546875" style="102" customWidth="1"/>
    <col min="14326" max="14328" width="9.140625" style="102"/>
    <col min="14329" max="14329" width="17.7109375" style="102" customWidth="1"/>
    <col min="14330" max="14330" width="7.42578125" style="102" customWidth="1"/>
    <col min="14331" max="14580" width="9.140625" style="102"/>
    <col min="14581" max="14581" width="27.85546875" style="102" customWidth="1"/>
    <col min="14582" max="14584" width="9.140625" style="102"/>
    <col min="14585" max="14585" width="17.7109375" style="102" customWidth="1"/>
    <col min="14586" max="14586" width="7.42578125" style="102" customWidth="1"/>
    <col min="14587" max="14836" width="9.140625" style="102"/>
    <col min="14837" max="14837" width="27.85546875" style="102" customWidth="1"/>
    <col min="14838" max="14840" width="9.140625" style="102"/>
    <col min="14841" max="14841" width="17.7109375" style="102" customWidth="1"/>
    <col min="14842" max="14842" width="7.42578125" style="102" customWidth="1"/>
    <col min="14843" max="15092" width="9.140625" style="102"/>
    <col min="15093" max="15093" width="27.85546875" style="102" customWidth="1"/>
    <col min="15094" max="15096" width="9.140625" style="102"/>
    <col min="15097" max="15097" width="17.7109375" style="102" customWidth="1"/>
    <col min="15098" max="15098" width="7.42578125" style="102" customWidth="1"/>
    <col min="15099" max="15348" width="9.140625" style="102"/>
    <col min="15349" max="15349" width="27.85546875" style="102" customWidth="1"/>
    <col min="15350" max="15352" width="9.140625" style="102"/>
    <col min="15353" max="15353" width="17.7109375" style="102" customWidth="1"/>
    <col min="15354" max="15354" width="7.42578125" style="102" customWidth="1"/>
    <col min="15355" max="15604" width="9.140625" style="102"/>
    <col min="15605" max="15605" width="27.85546875" style="102" customWidth="1"/>
    <col min="15606" max="15608" width="9.140625" style="102"/>
    <col min="15609" max="15609" width="17.7109375" style="102" customWidth="1"/>
    <col min="15610" max="15610" width="7.42578125" style="102" customWidth="1"/>
    <col min="15611" max="15860" width="9.140625" style="102"/>
    <col min="15861" max="15861" width="27.85546875" style="102" customWidth="1"/>
    <col min="15862" max="15864" width="9.140625" style="102"/>
    <col min="15865" max="15865" width="17.7109375" style="102" customWidth="1"/>
    <col min="15866" max="15866" width="7.42578125" style="102" customWidth="1"/>
    <col min="15867" max="16116" width="9.140625" style="102"/>
    <col min="16117" max="16117" width="27.85546875" style="102" customWidth="1"/>
    <col min="16118" max="16120" width="9.140625" style="102"/>
    <col min="16121" max="16121" width="17.7109375" style="102" customWidth="1"/>
    <col min="16122" max="16122" width="7.42578125" style="102" customWidth="1"/>
    <col min="16123" max="16384" width="9.140625" style="102"/>
  </cols>
  <sheetData>
    <row r="1" spans="1:2" ht="15" x14ac:dyDescent="0.25">
      <c r="A1" s="1" t="s">
        <v>194</v>
      </c>
      <c r="B1" s="1" t="s">
        <v>193</v>
      </c>
    </row>
    <row r="2" spans="1:2" ht="15" x14ac:dyDescent="0.25">
      <c r="A2">
        <v>4</v>
      </c>
      <c r="B2" t="str">
        <f>IF(A2&lt;5.5,"insufficient","sufficient")</f>
        <v>insufficient</v>
      </c>
    </row>
    <row r="3" spans="1:2" ht="15" x14ac:dyDescent="0.25">
      <c r="A3">
        <v>6</v>
      </c>
      <c r="B3" t="str">
        <f t="shared" ref="B3:B6" si="0">IF(A3&lt;5.5,"insufficient","sufficient")</f>
        <v>sufficient</v>
      </c>
    </row>
    <row r="4" spans="1:2" ht="15" x14ac:dyDescent="0.25">
      <c r="A4">
        <v>5.5</v>
      </c>
      <c r="B4" t="str">
        <f t="shared" si="0"/>
        <v>sufficient</v>
      </c>
    </row>
    <row r="5" spans="1:2" ht="15" x14ac:dyDescent="0.25">
      <c r="A5">
        <v>7</v>
      </c>
      <c r="B5" t="str">
        <f t="shared" si="0"/>
        <v>sufficient</v>
      </c>
    </row>
    <row r="6" spans="1:2" ht="15" x14ac:dyDescent="0.25">
      <c r="A6">
        <v>4.5</v>
      </c>
      <c r="B6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1.1100000000000001</v>
      </c>
    </row>
    <row r="2" spans="1:1" x14ac:dyDescent="0.25">
      <c r="A2">
        <v>2.2200000000000002</v>
      </c>
    </row>
    <row r="3" spans="1:1" x14ac:dyDescent="0.25">
      <c r="A3">
        <v>3.33</v>
      </c>
    </row>
    <row r="4" spans="1:1" x14ac:dyDescent="0.25">
      <c r="A4">
        <v>4.4400000000000004</v>
      </c>
    </row>
    <row r="5" spans="1:1" x14ac:dyDescent="0.25">
      <c r="A5">
        <v>5.55</v>
      </c>
    </row>
    <row r="6" spans="1:1" x14ac:dyDescent="0.25">
      <c r="A6">
        <f>ROUNDDOWN(SUM(A1:A5),0)</f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C12"/>
  <sheetViews>
    <sheetView workbookViewId="0">
      <selection activeCell="F1" sqref="F1:F1048576"/>
    </sheetView>
  </sheetViews>
  <sheetFormatPr defaultRowHeight="12.75" x14ac:dyDescent="0.2"/>
  <cols>
    <col min="1" max="1" width="9.140625" style="102" bestFit="1" customWidth="1"/>
    <col min="2" max="2" width="10.7109375" style="102" customWidth="1"/>
    <col min="3" max="3" width="22.28515625" style="102" customWidth="1"/>
    <col min="4" max="256" width="9.140625" style="102"/>
    <col min="257" max="258" width="12.7109375" style="102" customWidth="1"/>
    <col min="259" max="512" width="9.140625" style="102"/>
    <col min="513" max="514" width="12.7109375" style="102" customWidth="1"/>
    <col min="515" max="768" width="9.140625" style="102"/>
    <col min="769" max="770" width="12.7109375" style="102" customWidth="1"/>
    <col min="771" max="1024" width="9.140625" style="102"/>
    <col min="1025" max="1026" width="12.7109375" style="102" customWidth="1"/>
    <col min="1027" max="1280" width="9.140625" style="102"/>
    <col min="1281" max="1282" width="12.7109375" style="102" customWidth="1"/>
    <col min="1283" max="1536" width="9.140625" style="102"/>
    <col min="1537" max="1538" width="12.7109375" style="102" customWidth="1"/>
    <col min="1539" max="1792" width="9.140625" style="102"/>
    <col min="1793" max="1794" width="12.7109375" style="102" customWidth="1"/>
    <col min="1795" max="2048" width="9.140625" style="102"/>
    <col min="2049" max="2050" width="12.7109375" style="102" customWidth="1"/>
    <col min="2051" max="2304" width="9.140625" style="102"/>
    <col min="2305" max="2306" width="12.7109375" style="102" customWidth="1"/>
    <col min="2307" max="2560" width="9.140625" style="102"/>
    <col min="2561" max="2562" width="12.7109375" style="102" customWidth="1"/>
    <col min="2563" max="2816" width="9.140625" style="102"/>
    <col min="2817" max="2818" width="12.7109375" style="102" customWidth="1"/>
    <col min="2819" max="3072" width="9.140625" style="102"/>
    <col min="3073" max="3074" width="12.7109375" style="102" customWidth="1"/>
    <col min="3075" max="3328" width="9.140625" style="102"/>
    <col min="3329" max="3330" width="12.7109375" style="102" customWidth="1"/>
    <col min="3331" max="3584" width="9.140625" style="102"/>
    <col min="3585" max="3586" width="12.7109375" style="102" customWidth="1"/>
    <col min="3587" max="3840" width="9.140625" style="102"/>
    <col min="3841" max="3842" width="12.7109375" style="102" customWidth="1"/>
    <col min="3843" max="4096" width="9.140625" style="102"/>
    <col min="4097" max="4098" width="12.7109375" style="102" customWidth="1"/>
    <col min="4099" max="4352" width="9.140625" style="102"/>
    <col min="4353" max="4354" width="12.7109375" style="102" customWidth="1"/>
    <col min="4355" max="4608" width="9.140625" style="102"/>
    <col min="4609" max="4610" width="12.7109375" style="102" customWidth="1"/>
    <col min="4611" max="4864" width="9.140625" style="102"/>
    <col min="4865" max="4866" width="12.7109375" style="102" customWidth="1"/>
    <col min="4867" max="5120" width="9.140625" style="102"/>
    <col min="5121" max="5122" width="12.7109375" style="102" customWidth="1"/>
    <col min="5123" max="5376" width="9.140625" style="102"/>
    <col min="5377" max="5378" width="12.7109375" style="102" customWidth="1"/>
    <col min="5379" max="5632" width="9.140625" style="102"/>
    <col min="5633" max="5634" width="12.7109375" style="102" customWidth="1"/>
    <col min="5635" max="5888" width="9.140625" style="102"/>
    <col min="5889" max="5890" width="12.7109375" style="102" customWidth="1"/>
    <col min="5891" max="6144" width="9.140625" style="102"/>
    <col min="6145" max="6146" width="12.7109375" style="102" customWidth="1"/>
    <col min="6147" max="6400" width="9.140625" style="102"/>
    <col min="6401" max="6402" width="12.7109375" style="102" customWidth="1"/>
    <col min="6403" max="6656" width="9.140625" style="102"/>
    <col min="6657" max="6658" width="12.7109375" style="102" customWidth="1"/>
    <col min="6659" max="6912" width="9.140625" style="102"/>
    <col min="6913" max="6914" width="12.7109375" style="102" customWidth="1"/>
    <col min="6915" max="7168" width="9.140625" style="102"/>
    <col min="7169" max="7170" width="12.7109375" style="102" customWidth="1"/>
    <col min="7171" max="7424" width="9.140625" style="102"/>
    <col min="7425" max="7426" width="12.7109375" style="102" customWidth="1"/>
    <col min="7427" max="7680" width="9.140625" style="102"/>
    <col min="7681" max="7682" width="12.7109375" style="102" customWidth="1"/>
    <col min="7683" max="7936" width="9.140625" style="102"/>
    <col min="7937" max="7938" width="12.7109375" style="102" customWidth="1"/>
    <col min="7939" max="8192" width="9.140625" style="102"/>
    <col min="8193" max="8194" width="12.7109375" style="102" customWidth="1"/>
    <col min="8195" max="8448" width="9.140625" style="102"/>
    <col min="8449" max="8450" width="12.7109375" style="102" customWidth="1"/>
    <col min="8451" max="8704" width="9.140625" style="102"/>
    <col min="8705" max="8706" width="12.7109375" style="102" customWidth="1"/>
    <col min="8707" max="8960" width="9.140625" style="102"/>
    <col min="8961" max="8962" width="12.7109375" style="102" customWidth="1"/>
    <col min="8963" max="9216" width="9.140625" style="102"/>
    <col min="9217" max="9218" width="12.7109375" style="102" customWidth="1"/>
    <col min="9219" max="9472" width="9.140625" style="102"/>
    <col min="9473" max="9474" width="12.7109375" style="102" customWidth="1"/>
    <col min="9475" max="9728" width="9.140625" style="102"/>
    <col min="9729" max="9730" width="12.7109375" style="102" customWidth="1"/>
    <col min="9731" max="9984" width="9.140625" style="102"/>
    <col min="9985" max="9986" width="12.7109375" style="102" customWidth="1"/>
    <col min="9987" max="10240" width="9.140625" style="102"/>
    <col min="10241" max="10242" width="12.7109375" style="102" customWidth="1"/>
    <col min="10243" max="10496" width="9.140625" style="102"/>
    <col min="10497" max="10498" width="12.7109375" style="102" customWidth="1"/>
    <col min="10499" max="10752" width="9.140625" style="102"/>
    <col min="10753" max="10754" width="12.7109375" style="102" customWidth="1"/>
    <col min="10755" max="11008" width="9.140625" style="102"/>
    <col min="11009" max="11010" width="12.7109375" style="102" customWidth="1"/>
    <col min="11011" max="11264" width="9.140625" style="102"/>
    <col min="11265" max="11266" width="12.7109375" style="102" customWidth="1"/>
    <col min="11267" max="11520" width="9.140625" style="102"/>
    <col min="11521" max="11522" width="12.7109375" style="102" customWidth="1"/>
    <col min="11523" max="11776" width="9.140625" style="102"/>
    <col min="11777" max="11778" width="12.7109375" style="102" customWidth="1"/>
    <col min="11779" max="12032" width="9.140625" style="102"/>
    <col min="12033" max="12034" width="12.7109375" style="102" customWidth="1"/>
    <col min="12035" max="12288" width="9.140625" style="102"/>
    <col min="12289" max="12290" width="12.7109375" style="102" customWidth="1"/>
    <col min="12291" max="12544" width="9.140625" style="102"/>
    <col min="12545" max="12546" width="12.7109375" style="102" customWidth="1"/>
    <col min="12547" max="12800" width="9.140625" style="102"/>
    <col min="12801" max="12802" width="12.7109375" style="102" customWidth="1"/>
    <col min="12803" max="13056" width="9.140625" style="102"/>
    <col min="13057" max="13058" width="12.7109375" style="102" customWidth="1"/>
    <col min="13059" max="13312" width="9.140625" style="102"/>
    <col min="13313" max="13314" width="12.7109375" style="102" customWidth="1"/>
    <col min="13315" max="13568" width="9.140625" style="102"/>
    <col min="13569" max="13570" width="12.7109375" style="102" customWidth="1"/>
    <col min="13571" max="13824" width="9.140625" style="102"/>
    <col min="13825" max="13826" width="12.7109375" style="102" customWidth="1"/>
    <col min="13827" max="14080" width="9.140625" style="102"/>
    <col min="14081" max="14082" width="12.7109375" style="102" customWidth="1"/>
    <col min="14083" max="14336" width="9.140625" style="102"/>
    <col min="14337" max="14338" width="12.7109375" style="102" customWidth="1"/>
    <col min="14339" max="14592" width="9.140625" style="102"/>
    <col min="14593" max="14594" width="12.7109375" style="102" customWidth="1"/>
    <col min="14595" max="14848" width="9.140625" style="102"/>
    <col min="14849" max="14850" width="12.7109375" style="102" customWidth="1"/>
    <col min="14851" max="15104" width="9.140625" style="102"/>
    <col min="15105" max="15106" width="12.7109375" style="102" customWidth="1"/>
    <col min="15107" max="15360" width="9.140625" style="102"/>
    <col min="15361" max="15362" width="12.7109375" style="102" customWidth="1"/>
    <col min="15363" max="15616" width="9.140625" style="102"/>
    <col min="15617" max="15618" width="12.7109375" style="102" customWidth="1"/>
    <col min="15619" max="15872" width="9.140625" style="102"/>
    <col min="15873" max="15874" width="12.7109375" style="102" customWidth="1"/>
    <col min="15875" max="16128" width="9.140625" style="102"/>
    <col min="16129" max="16130" width="12.7109375" style="102" customWidth="1"/>
    <col min="16131" max="16384" width="9.140625" style="102"/>
  </cols>
  <sheetData>
    <row r="1" spans="1:3" x14ac:dyDescent="0.2">
      <c r="B1" s="102">
        <v>38</v>
      </c>
    </row>
    <row r="2" spans="1:3" x14ac:dyDescent="0.2">
      <c r="B2" s="102">
        <v>10</v>
      </c>
    </row>
    <row r="3" spans="1:3" x14ac:dyDescent="0.2">
      <c r="B3" s="102">
        <v>60</v>
      </c>
    </row>
    <row r="4" spans="1:3" x14ac:dyDescent="0.2">
      <c r="B4" s="102">
        <v>90</v>
      </c>
    </row>
    <row r="5" spans="1:3" x14ac:dyDescent="0.2">
      <c r="B5" s="102">
        <v>88</v>
      </c>
    </row>
    <row r="6" spans="1:3" x14ac:dyDescent="0.2">
      <c r="B6" s="102">
        <v>96</v>
      </c>
    </row>
    <row r="7" spans="1:3" x14ac:dyDescent="0.2">
      <c r="B7" s="102">
        <v>2</v>
      </c>
    </row>
    <row r="8" spans="1:3" x14ac:dyDescent="0.2">
      <c r="B8" s="102">
        <v>41</v>
      </c>
    </row>
    <row r="9" spans="1:3" x14ac:dyDescent="0.2">
      <c r="A9" s="104" t="s">
        <v>178</v>
      </c>
      <c r="B9" s="102">
        <f>AVERAGE(B1:B8)</f>
        <v>53.125</v>
      </c>
      <c r="C9" s="102" t="s">
        <v>504</v>
      </c>
    </row>
    <row r="10" spans="1:3" x14ac:dyDescent="0.2">
      <c r="A10" s="104" t="s">
        <v>179</v>
      </c>
      <c r="B10" s="102">
        <f>COUNT(B1:B8)</f>
        <v>8</v>
      </c>
      <c r="C10" s="102" t="s">
        <v>506</v>
      </c>
    </row>
    <row r="11" spans="1:3" x14ac:dyDescent="0.2">
      <c r="A11" s="104" t="s">
        <v>86</v>
      </c>
      <c r="B11" s="102">
        <f>MIN(B1:B8)</f>
        <v>2</v>
      </c>
      <c r="C11" s="102" t="s">
        <v>505</v>
      </c>
    </row>
    <row r="12" spans="1:3" x14ac:dyDescent="0.2">
      <c r="A12" s="104" t="s">
        <v>87</v>
      </c>
      <c r="B12" s="102">
        <f>MAX(B1:B8)</f>
        <v>96</v>
      </c>
      <c r="C12" s="102" t="s">
        <v>507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02" bestFit="1" customWidth="1"/>
    <col min="2" max="2" width="6.7109375" style="102" customWidth="1"/>
    <col min="3" max="3" width="14.28515625" style="102" bestFit="1" customWidth="1"/>
    <col min="4" max="4" width="10.140625" style="102" customWidth="1"/>
    <col min="5" max="5" width="9.85546875" style="102" bestFit="1" customWidth="1"/>
    <col min="6" max="256" width="9.140625" style="102"/>
    <col min="257" max="257" width="16.5703125" style="102" customWidth="1"/>
    <col min="258" max="258" width="6.7109375" style="102" customWidth="1"/>
    <col min="259" max="259" width="12.42578125" style="102" customWidth="1"/>
    <col min="260" max="260" width="10.140625" style="102" customWidth="1"/>
    <col min="261" max="261" width="11.85546875" style="102" customWidth="1"/>
    <col min="262" max="512" width="9.140625" style="102"/>
    <col min="513" max="513" width="16.5703125" style="102" customWidth="1"/>
    <col min="514" max="514" width="6.7109375" style="102" customWidth="1"/>
    <col min="515" max="515" width="12.42578125" style="102" customWidth="1"/>
    <col min="516" max="516" width="10.140625" style="102" customWidth="1"/>
    <col min="517" max="517" width="11.85546875" style="102" customWidth="1"/>
    <col min="518" max="768" width="9.140625" style="102"/>
    <col min="769" max="769" width="16.5703125" style="102" customWidth="1"/>
    <col min="770" max="770" width="6.7109375" style="102" customWidth="1"/>
    <col min="771" max="771" width="12.42578125" style="102" customWidth="1"/>
    <col min="772" max="772" width="10.140625" style="102" customWidth="1"/>
    <col min="773" max="773" width="11.85546875" style="102" customWidth="1"/>
    <col min="774" max="1024" width="9.140625" style="102"/>
    <col min="1025" max="1025" width="16.5703125" style="102" customWidth="1"/>
    <col min="1026" max="1026" width="6.7109375" style="102" customWidth="1"/>
    <col min="1027" max="1027" width="12.42578125" style="102" customWidth="1"/>
    <col min="1028" max="1028" width="10.140625" style="102" customWidth="1"/>
    <col min="1029" max="1029" width="11.85546875" style="102" customWidth="1"/>
    <col min="1030" max="1280" width="9.140625" style="102"/>
    <col min="1281" max="1281" width="16.5703125" style="102" customWidth="1"/>
    <col min="1282" max="1282" width="6.7109375" style="102" customWidth="1"/>
    <col min="1283" max="1283" width="12.42578125" style="102" customWidth="1"/>
    <col min="1284" max="1284" width="10.140625" style="102" customWidth="1"/>
    <col min="1285" max="1285" width="11.85546875" style="102" customWidth="1"/>
    <col min="1286" max="1536" width="9.140625" style="102"/>
    <col min="1537" max="1537" width="16.5703125" style="102" customWidth="1"/>
    <col min="1538" max="1538" width="6.7109375" style="102" customWidth="1"/>
    <col min="1539" max="1539" width="12.42578125" style="102" customWidth="1"/>
    <col min="1540" max="1540" width="10.140625" style="102" customWidth="1"/>
    <col min="1541" max="1541" width="11.85546875" style="102" customWidth="1"/>
    <col min="1542" max="1792" width="9.140625" style="102"/>
    <col min="1793" max="1793" width="16.5703125" style="102" customWidth="1"/>
    <col min="1794" max="1794" width="6.7109375" style="102" customWidth="1"/>
    <col min="1795" max="1795" width="12.42578125" style="102" customWidth="1"/>
    <col min="1796" max="1796" width="10.140625" style="102" customWidth="1"/>
    <col min="1797" max="1797" width="11.85546875" style="102" customWidth="1"/>
    <col min="1798" max="2048" width="9.140625" style="102"/>
    <col min="2049" max="2049" width="16.5703125" style="102" customWidth="1"/>
    <col min="2050" max="2050" width="6.7109375" style="102" customWidth="1"/>
    <col min="2051" max="2051" width="12.42578125" style="102" customWidth="1"/>
    <col min="2052" max="2052" width="10.140625" style="102" customWidth="1"/>
    <col min="2053" max="2053" width="11.85546875" style="102" customWidth="1"/>
    <col min="2054" max="2304" width="9.140625" style="102"/>
    <col min="2305" max="2305" width="16.5703125" style="102" customWidth="1"/>
    <col min="2306" max="2306" width="6.7109375" style="102" customWidth="1"/>
    <col min="2307" max="2307" width="12.42578125" style="102" customWidth="1"/>
    <col min="2308" max="2308" width="10.140625" style="102" customWidth="1"/>
    <col min="2309" max="2309" width="11.85546875" style="102" customWidth="1"/>
    <col min="2310" max="2560" width="9.140625" style="102"/>
    <col min="2561" max="2561" width="16.5703125" style="102" customWidth="1"/>
    <col min="2562" max="2562" width="6.7109375" style="102" customWidth="1"/>
    <col min="2563" max="2563" width="12.42578125" style="102" customWidth="1"/>
    <col min="2564" max="2564" width="10.140625" style="102" customWidth="1"/>
    <col min="2565" max="2565" width="11.85546875" style="102" customWidth="1"/>
    <col min="2566" max="2816" width="9.140625" style="102"/>
    <col min="2817" max="2817" width="16.5703125" style="102" customWidth="1"/>
    <col min="2818" max="2818" width="6.7109375" style="102" customWidth="1"/>
    <col min="2819" max="2819" width="12.42578125" style="102" customWidth="1"/>
    <col min="2820" max="2820" width="10.140625" style="102" customWidth="1"/>
    <col min="2821" max="2821" width="11.85546875" style="102" customWidth="1"/>
    <col min="2822" max="3072" width="9.140625" style="102"/>
    <col min="3073" max="3073" width="16.5703125" style="102" customWidth="1"/>
    <col min="3074" max="3074" width="6.7109375" style="102" customWidth="1"/>
    <col min="3075" max="3075" width="12.42578125" style="102" customWidth="1"/>
    <col min="3076" max="3076" width="10.140625" style="102" customWidth="1"/>
    <col min="3077" max="3077" width="11.85546875" style="102" customWidth="1"/>
    <col min="3078" max="3328" width="9.140625" style="102"/>
    <col min="3329" max="3329" width="16.5703125" style="102" customWidth="1"/>
    <col min="3330" max="3330" width="6.7109375" style="102" customWidth="1"/>
    <col min="3331" max="3331" width="12.42578125" style="102" customWidth="1"/>
    <col min="3332" max="3332" width="10.140625" style="102" customWidth="1"/>
    <col min="3333" max="3333" width="11.85546875" style="102" customWidth="1"/>
    <col min="3334" max="3584" width="9.140625" style="102"/>
    <col min="3585" max="3585" width="16.5703125" style="102" customWidth="1"/>
    <col min="3586" max="3586" width="6.7109375" style="102" customWidth="1"/>
    <col min="3587" max="3587" width="12.42578125" style="102" customWidth="1"/>
    <col min="3588" max="3588" width="10.140625" style="102" customWidth="1"/>
    <col min="3589" max="3589" width="11.85546875" style="102" customWidth="1"/>
    <col min="3590" max="3840" width="9.140625" style="102"/>
    <col min="3841" max="3841" width="16.5703125" style="102" customWidth="1"/>
    <col min="3842" max="3842" width="6.7109375" style="102" customWidth="1"/>
    <col min="3843" max="3843" width="12.42578125" style="102" customWidth="1"/>
    <col min="3844" max="3844" width="10.140625" style="102" customWidth="1"/>
    <col min="3845" max="3845" width="11.85546875" style="102" customWidth="1"/>
    <col min="3846" max="4096" width="9.140625" style="102"/>
    <col min="4097" max="4097" width="16.5703125" style="102" customWidth="1"/>
    <col min="4098" max="4098" width="6.7109375" style="102" customWidth="1"/>
    <col min="4099" max="4099" width="12.42578125" style="102" customWidth="1"/>
    <col min="4100" max="4100" width="10.140625" style="102" customWidth="1"/>
    <col min="4101" max="4101" width="11.85546875" style="102" customWidth="1"/>
    <col min="4102" max="4352" width="9.140625" style="102"/>
    <col min="4353" max="4353" width="16.5703125" style="102" customWidth="1"/>
    <col min="4354" max="4354" width="6.7109375" style="102" customWidth="1"/>
    <col min="4355" max="4355" width="12.42578125" style="102" customWidth="1"/>
    <col min="4356" max="4356" width="10.140625" style="102" customWidth="1"/>
    <col min="4357" max="4357" width="11.85546875" style="102" customWidth="1"/>
    <col min="4358" max="4608" width="9.140625" style="102"/>
    <col min="4609" max="4609" width="16.5703125" style="102" customWidth="1"/>
    <col min="4610" max="4610" width="6.7109375" style="102" customWidth="1"/>
    <col min="4611" max="4611" width="12.42578125" style="102" customWidth="1"/>
    <col min="4612" max="4612" width="10.140625" style="102" customWidth="1"/>
    <col min="4613" max="4613" width="11.85546875" style="102" customWidth="1"/>
    <col min="4614" max="4864" width="9.140625" style="102"/>
    <col min="4865" max="4865" width="16.5703125" style="102" customWidth="1"/>
    <col min="4866" max="4866" width="6.7109375" style="102" customWidth="1"/>
    <col min="4867" max="4867" width="12.42578125" style="102" customWidth="1"/>
    <col min="4868" max="4868" width="10.140625" style="102" customWidth="1"/>
    <col min="4869" max="4869" width="11.85546875" style="102" customWidth="1"/>
    <col min="4870" max="5120" width="9.140625" style="102"/>
    <col min="5121" max="5121" width="16.5703125" style="102" customWidth="1"/>
    <col min="5122" max="5122" width="6.7109375" style="102" customWidth="1"/>
    <col min="5123" max="5123" width="12.42578125" style="102" customWidth="1"/>
    <col min="5124" max="5124" width="10.140625" style="102" customWidth="1"/>
    <col min="5125" max="5125" width="11.85546875" style="102" customWidth="1"/>
    <col min="5126" max="5376" width="9.140625" style="102"/>
    <col min="5377" max="5377" width="16.5703125" style="102" customWidth="1"/>
    <col min="5378" max="5378" width="6.7109375" style="102" customWidth="1"/>
    <col min="5379" max="5379" width="12.42578125" style="102" customWidth="1"/>
    <col min="5380" max="5380" width="10.140625" style="102" customWidth="1"/>
    <col min="5381" max="5381" width="11.85546875" style="102" customWidth="1"/>
    <col min="5382" max="5632" width="9.140625" style="102"/>
    <col min="5633" max="5633" width="16.5703125" style="102" customWidth="1"/>
    <col min="5634" max="5634" width="6.7109375" style="102" customWidth="1"/>
    <col min="5635" max="5635" width="12.42578125" style="102" customWidth="1"/>
    <col min="5636" max="5636" width="10.140625" style="102" customWidth="1"/>
    <col min="5637" max="5637" width="11.85546875" style="102" customWidth="1"/>
    <col min="5638" max="5888" width="9.140625" style="102"/>
    <col min="5889" max="5889" width="16.5703125" style="102" customWidth="1"/>
    <col min="5890" max="5890" width="6.7109375" style="102" customWidth="1"/>
    <col min="5891" max="5891" width="12.42578125" style="102" customWidth="1"/>
    <col min="5892" max="5892" width="10.140625" style="102" customWidth="1"/>
    <col min="5893" max="5893" width="11.85546875" style="102" customWidth="1"/>
    <col min="5894" max="6144" width="9.140625" style="102"/>
    <col min="6145" max="6145" width="16.5703125" style="102" customWidth="1"/>
    <col min="6146" max="6146" width="6.7109375" style="102" customWidth="1"/>
    <col min="6147" max="6147" width="12.42578125" style="102" customWidth="1"/>
    <col min="6148" max="6148" width="10.140625" style="102" customWidth="1"/>
    <col min="6149" max="6149" width="11.85546875" style="102" customWidth="1"/>
    <col min="6150" max="6400" width="9.140625" style="102"/>
    <col min="6401" max="6401" width="16.5703125" style="102" customWidth="1"/>
    <col min="6402" max="6402" width="6.7109375" style="102" customWidth="1"/>
    <col min="6403" max="6403" width="12.42578125" style="102" customWidth="1"/>
    <col min="6404" max="6404" width="10.140625" style="102" customWidth="1"/>
    <col min="6405" max="6405" width="11.85546875" style="102" customWidth="1"/>
    <col min="6406" max="6656" width="9.140625" style="102"/>
    <col min="6657" max="6657" width="16.5703125" style="102" customWidth="1"/>
    <col min="6658" max="6658" width="6.7109375" style="102" customWidth="1"/>
    <col min="6659" max="6659" width="12.42578125" style="102" customWidth="1"/>
    <col min="6660" max="6660" width="10.140625" style="102" customWidth="1"/>
    <col min="6661" max="6661" width="11.85546875" style="102" customWidth="1"/>
    <col min="6662" max="6912" width="9.140625" style="102"/>
    <col min="6913" max="6913" width="16.5703125" style="102" customWidth="1"/>
    <col min="6914" max="6914" width="6.7109375" style="102" customWidth="1"/>
    <col min="6915" max="6915" width="12.42578125" style="102" customWidth="1"/>
    <col min="6916" max="6916" width="10.140625" style="102" customWidth="1"/>
    <col min="6917" max="6917" width="11.85546875" style="102" customWidth="1"/>
    <col min="6918" max="7168" width="9.140625" style="102"/>
    <col min="7169" max="7169" width="16.5703125" style="102" customWidth="1"/>
    <col min="7170" max="7170" width="6.7109375" style="102" customWidth="1"/>
    <col min="7171" max="7171" width="12.42578125" style="102" customWidth="1"/>
    <col min="7172" max="7172" width="10.140625" style="102" customWidth="1"/>
    <col min="7173" max="7173" width="11.85546875" style="102" customWidth="1"/>
    <col min="7174" max="7424" width="9.140625" style="102"/>
    <col min="7425" max="7425" width="16.5703125" style="102" customWidth="1"/>
    <col min="7426" max="7426" width="6.7109375" style="102" customWidth="1"/>
    <col min="7427" max="7427" width="12.42578125" style="102" customWidth="1"/>
    <col min="7428" max="7428" width="10.140625" style="102" customWidth="1"/>
    <col min="7429" max="7429" width="11.85546875" style="102" customWidth="1"/>
    <col min="7430" max="7680" width="9.140625" style="102"/>
    <col min="7681" max="7681" width="16.5703125" style="102" customWidth="1"/>
    <col min="7682" max="7682" width="6.7109375" style="102" customWidth="1"/>
    <col min="7683" max="7683" width="12.42578125" style="102" customWidth="1"/>
    <col min="7684" max="7684" width="10.140625" style="102" customWidth="1"/>
    <col min="7685" max="7685" width="11.85546875" style="102" customWidth="1"/>
    <col min="7686" max="7936" width="9.140625" style="102"/>
    <col min="7937" max="7937" width="16.5703125" style="102" customWidth="1"/>
    <col min="7938" max="7938" width="6.7109375" style="102" customWidth="1"/>
    <col min="7939" max="7939" width="12.42578125" style="102" customWidth="1"/>
    <col min="7940" max="7940" width="10.140625" style="102" customWidth="1"/>
    <col min="7941" max="7941" width="11.85546875" style="102" customWidth="1"/>
    <col min="7942" max="8192" width="9.140625" style="102"/>
    <col min="8193" max="8193" width="16.5703125" style="102" customWidth="1"/>
    <col min="8194" max="8194" width="6.7109375" style="102" customWidth="1"/>
    <col min="8195" max="8195" width="12.42578125" style="102" customWidth="1"/>
    <col min="8196" max="8196" width="10.140625" style="102" customWidth="1"/>
    <col min="8197" max="8197" width="11.85546875" style="102" customWidth="1"/>
    <col min="8198" max="8448" width="9.140625" style="102"/>
    <col min="8449" max="8449" width="16.5703125" style="102" customWidth="1"/>
    <col min="8450" max="8450" width="6.7109375" style="102" customWidth="1"/>
    <col min="8451" max="8451" width="12.42578125" style="102" customWidth="1"/>
    <col min="8452" max="8452" width="10.140625" style="102" customWidth="1"/>
    <col min="8453" max="8453" width="11.85546875" style="102" customWidth="1"/>
    <col min="8454" max="8704" width="9.140625" style="102"/>
    <col min="8705" max="8705" width="16.5703125" style="102" customWidth="1"/>
    <col min="8706" max="8706" width="6.7109375" style="102" customWidth="1"/>
    <col min="8707" max="8707" width="12.42578125" style="102" customWidth="1"/>
    <col min="8708" max="8708" width="10.140625" style="102" customWidth="1"/>
    <col min="8709" max="8709" width="11.85546875" style="102" customWidth="1"/>
    <col min="8710" max="8960" width="9.140625" style="102"/>
    <col min="8961" max="8961" width="16.5703125" style="102" customWidth="1"/>
    <col min="8962" max="8962" width="6.7109375" style="102" customWidth="1"/>
    <col min="8963" max="8963" width="12.42578125" style="102" customWidth="1"/>
    <col min="8964" max="8964" width="10.140625" style="102" customWidth="1"/>
    <col min="8965" max="8965" width="11.85546875" style="102" customWidth="1"/>
    <col min="8966" max="9216" width="9.140625" style="102"/>
    <col min="9217" max="9217" width="16.5703125" style="102" customWidth="1"/>
    <col min="9218" max="9218" width="6.7109375" style="102" customWidth="1"/>
    <col min="9219" max="9219" width="12.42578125" style="102" customWidth="1"/>
    <col min="9220" max="9220" width="10.140625" style="102" customWidth="1"/>
    <col min="9221" max="9221" width="11.85546875" style="102" customWidth="1"/>
    <col min="9222" max="9472" width="9.140625" style="102"/>
    <col min="9473" max="9473" width="16.5703125" style="102" customWidth="1"/>
    <col min="9474" max="9474" width="6.7109375" style="102" customWidth="1"/>
    <col min="9475" max="9475" width="12.42578125" style="102" customWidth="1"/>
    <col min="9476" max="9476" width="10.140625" style="102" customWidth="1"/>
    <col min="9477" max="9477" width="11.85546875" style="102" customWidth="1"/>
    <col min="9478" max="9728" width="9.140625" style="102"/>
    <col min="9729" max="9729" width="16.5703125" style="102" customWidth="1"/>
    <col min="9730" max="9730" width="6.7109375" style="102" customWidth="1"/>
    <col min="9731" max="9731" width="12.42578125" style="102" customWidth="1"/>
    <col min="9732" max="9732" width="10.140625" style="102" customWidth="1"/>
    <col min="9733" max="9733" width="11.85546875" style="102" customWidth="1"/>
    <col min="9734" max="9984" width="9.140625" style="102"/>
    <col min="9985" max="9985" width="16.5703125" style="102" customWidth="1"/>
    <col min="9986" max="9986" width="6.7109375" style="102" customWidth="1"/>
    <col min="9987" max="9987" width="12.42578125" style="102" customWidth="1"/>
    <col min="9988" max="9988" width="10.140625" style="102" customWidth="1"/>
    <col min="9989" max="9989" width="11.85546875" style="102" customWidth="1"/>
    <col min="9990" max="10240" width="9.140625" style="102"/>
    <col min="10241" max="10241" width="16.5703125" style="102" customWidth="1"/>
    <col min="10242" max="10242" width="6.7109375" style="102" customWidth="1"/>
    <col min="10243" max="10243" width="12.42578125" style="102" customWidth="1"/>
    <col min="10244" max="10244" width="10.140625" style="102" customWidth="1"/>
    <col min="10245" max="10245" width="11.85546875" style="102" customWidth="1"/>
    <col min="10246" max="10496" width="9.140625" style="102"/>
    <col min="10497" max="10497" width="16.5703125" style="102" customWidth="1"/>
    <col min="10498" max="10498" width="6.7109375" style="102" customWidth="1"/>
    <col min="10499" max="10499" width="12.42578125" style="102" customWidth="1"/>
    <col min="10500" max="10500" width="10.140625" style="102" customWidth="1"/>
    <col min="10501" max="10501" width="11.85546875" style="102" customWidth="1"/>
    <col min="10502" max="10752" width="9.140625" style="102"/>
    <col min="10753" max="10753" width="16.5703125" style="102" customWidth="1"/>
    <col min="10754" max="10754" width="6.7109375" style="102" customWidth="1"/>
    <col min="10755" max="10755" width="12.42578125" style="102" customWidth="1"/>
    <col min="10756" max="10756" width="10.140625" style="102" customWidth="1"/>
    <col min="10757" max="10757" width="11.85546875" style="102" customWidth="1"/>
    <col min="10758" max="11008" width="9.140625" style="102"/>
    <col min="11009" max="11009" width="16.5703125" style="102" customWidth="1"/>
    <col min="11010" max="11010" width="6.7109375" style="102" customWidth="1"/>
    <col min="11011" max="11011" width="12.42578125" style="102" customWidth="1"/>
    <col min="11012" max="11012" width="10.140625" style="102" customWidth="1"/>
    <col min="11013" max="11013" width="11.85546875" style="102" customWidth="1"/>
    <col min="11014" max="11264" width="9.140625" style="102"/>
    <col min="11265" max="11265" width="16.5703125" style="102" customWidth="1"/>
    <col min="11266" max="11266" width="6.7109375" style="102" customWidth="1"/>
    <col min="11267" max="11267" width="12.42578125" style="102" customWidth="1"/>
    <col min="11268" max="11268" width="10.140625" style="102" customWidth="1"/>
    <col min="11269" max="11269" width="11.85546875" style="102" customWidth="1"/>
    <col min="11270" max="11520" width="9.140625" style="102"/>
    <col min="11521" max="11521" width="16.5703125" style="102" customWidth="1"/>
    <col min="11522" max="11522" width="6.7109375" style="102" customWidth="1"/>
    <col min="11523" max="11523" width="12.42578125" style="102" customWidth="1"/>
    <col min="11524" max="11524" width="10.140625" style="102" customWidth="1"/>
    <col min="11525" max="11525" width="11.85546875" style="102" customWidth="1"/>
    <col min="11526" max="11776" width="9.140625" style="102"/>
    <col min="11777" max="11777" width="16.5703125" style="102" customWidth="1"/>
    <col min="11778" max="11778" width="6.7109375" style="102" customWidth="1"/>
    <col min="11779" max="11779" width="12.42578125" style="102" customWidth="1"/>
    <col min="11780" max="11780" width="10.140625" style="102" customWidth="1"/>
    <col min="11781" max="11781" width="11.85546875" style="102" customWidth="1"/>
    <col min="11782" max="12032" width="9.140625" style="102"/>
    <col min="12033" max="12033" width="16.5703125" style="102" customWidth="1"/>
    <col min="12034" max="12034" width="6.7109375" style="102" customWidth="1"/>
    <col min="12035" max="12035" width="12.42578125" style="102" customWidth="1"/>
    <col min="12036" max="12036" width="10.140625" style="102" customWidth="1"/>
    <col min="12037" max="12037" width="11.85546875" style="102" customWidth="1"/>
    <col min="12038" max="12288" width="9.140625" style="102"/>
    <col min="12289" max="12289" width="16.5703125" style="102" customWidth="1"/>
    <col min="12290" max="12290" width="6.7109375" style="102" customWidth="1"/>
    <col min="12291" max="12291" width="12.42578125" style="102" customWidth="1"/>
    <col min="12292" max="12292" width="10.140625" style="102" customWidth="1"/>
    <col min="12293" max="12293" width="11.85546875" style="102" customWidth="1"/>
    <col min="12294" max="12544" width="9.140625" style="102"/>
    <col min="12545" max="12545" width="16.5703125" style="102" customWidth="1"/>
    <col min="12546" max="12546" width="6.7109375" style="102" customWidth="1"/>
    <col min="12547" max="12547" width="12.42578125" style="102" customWidth="1"/>
    <col min="12548" max="12548" width="10.140625" style="102" customWidth="1"/>
    <col min="12549" max="12549" width="11.85546875" style="102" customWidth="1"/>
    <col min="12550" max="12800" width="9.140625" style="102"/>
    <col min="12801" max="12801" width="16.5703125" style="102" customWidth="1"/>
    <col min="12802" max="12802" width="6.7109375" style="102" customWidth="1"/>
    <col min="12803" max="12803" width="12.42578125" style="102" customWidth="1"/>
    <col min="12804" max="12804" width="10.140625" style="102" customWidth="1"/>
    <col min="12805" max="12805" width="11.85546875" style="102" customWidth="1"/>
    <col min="12806" max="13056" width="9.140625" style="102"/>
    <col min="13057" max="13057" width="16.5703125" style="102" customWidth="1"/>
    <col min="13058" max="13058" width="6.7109375" style="102" customWidth="1"/>
    <col min="13059" max="13059" width="12.42578125" style="102" customWidth="1"/>
    <col min="13060" max="13060" width="10.140625" style="102" customWidth="1"/>
    <col min="13061" max="13061" width="11.85546875" style="102" customWidth="1"/>
    <col min="13062" max="13312" width="9.140625" style="102"/>
    <col min="13313" max="13313" width="16.5703125" style="102" customWidth="1"/>
    <col min="13314" max="13314" width="6.7109375" style="102" customWidth="1"/>
    <col min="13315" max="13315" width="12.42578125" style="102" customWidth="1"/>
    <col min="13316" max="13316" width="10.140625" style="102" customWidth="1"/>
    <col min="13317" max="13317" width="11.85546875" style="102" customWidth="1"/>
    <col min="13318" max="13568" width="9.140625" style="102"/>
    <col min="13569" max="13569" width="16.5703125" style="102" customWidth="1"/>
    <col min="13570" max="13570" width="6.7109375" style="102" customWidth="1"/>
    <col min="13571" max="13571" width="12.42578125" style="102" customWidth="1"/>
    <col min="13572" max="13572" width="10.140625" style="102" customWidth="1"/>
    <col min="13573" max="13573" width="11.85546875" style="102" customWidth="1"/>
    <col min="13574" max="13824" width="9.140625" style="102"/>
    <col min="13825" max="13825" width="16.5703125" style="102" customWidth="1"/>
    <col min="13826" max="13826" width="6.7109375" style="102" customWidth="1"/>
    <col min="13827" max="13827" width="12.42578125" style="102" customWidth="1"/>
    <col min="13828" max="13828" width="10.140625" style="102" customWidth="1"/>
    <col min="13829" max="13829" width="11.85546875" style="102" customWidth="1"/>
    <col min="13830" max="14080" width="9.140625" style="102"/>
    <col min="14081" max="14081" width="16.5703125" style="102" customWidth="1"/>
    <col min="14082" max="14082" width="6.7109375" style="102" customWidth="1"/>
    <col min="14083" max="14083" width="12.42578125" style="102" customWidth="1"/>
    <col min="14084" max="14084" width="10.140625" style="102" customWidth="1"/>
    <col min="14085" max="14085" width="11.85546875" style="102" customWidth="1"/>
    <col min="14086" max="14336" width="9.140625" style="102"/>
    <col min="14337" max="14337" width="16.5703125" style="102" customWidth="1"/>
    <col min="14338" max="14338" width="6.7109375" style="102" customWidth="1"/>
    <col min="14339" max="14339" width="12.42578125" style="102" customWidth="1"/>
    <col min="14340" max="14340" width="10.140625" style="102" customWidth="1"/>
    <col min="14341" max="14341" width="11.85546875" style="102" customWidth="1"/>
    <col min="14342" max="14592" width="9.140625" style="102"/>
    <col min="14593" max="14593" width="16.5703125" style="102" customWidth="1"/>
    <col min="14594" max="14594" width="6.7109375" style="102" customWidth="1"/>
    <col min="14595" max="14595" width="12.42578125" style="102" customWidth="1"/>
    <col min="14596" max="14596" width="10.140625" style="102" customWidth="1"/>
    <col min="14597" max="14597" width="11.85546875" style="102" customWidth="1"/>
    <col min="14598" max="14848" width="9.140625" style="102"/>
    <col min="14849" max="14849" width="16.5703125" style="102" customWidth="1"/>
    <col min="14850" max="14850" width="6.7109375" style="102" customWidth="1"/>
    <col min="14851" max="14851" width="12.42578125" style="102" customWidth="1"/>
    <col min="14852" max="14852" width="10.140625" style="102" customWidth="1"/>
    <col min="14853" max="14853" width="11.85546875" style="102" customWidth="1"/>
    <col min="14854" max="15104" width="9.140625" style="102"/>
    <col min="15105" max="15105" width="16.5703125" style="102" customWidth="1"/>
    <col min="15106" max="15106" width="6.7109375" style="102" customWidth="1"/>
    <col min="15107" max="15107" width="12.42578125" style="102" customWidth="1"/>
    <col min="15108" max="15108" width="10.140625" style="102" customWidth="1"/>
    <col min="15109" max="15109" width="11.85546875" style="102" customWidth="1"/>
    <col min="15110" max="15360" width="9.140625" style="102"/>
    <col min="15361" max="15361" width="16.5703125" style="102" customWidth="1"/>
    <col min="15362" max="15362" width="6.7109375" style="102" customWidth="1"/>
    <col min="15363" max="15363" width="12.42578125" style="102" customWidth="1"/>
    <col min="15364" max="15364" width="10.140625" style="102" customWidth="1"/>
    <col min="15365" max="15365" width="11.85546875" style="102" customWidth="1"/>
    <col min="15366" max="15616" width="9.140625" style="102"/>
    <col min="15617" max="15617" width="16.5703125" style="102" customWidth="1"/>
    <col min="15618" max="15618" width="6.7109375" style="102" customWidth="1"/>
    <col min="15619" max="15619" width="12.42578125" style="102" customWidth="1"/>
    <col min="15620" max="15620" width="10.140625" style="102" customWidth="1"/>
    <col min="15621" max="15621" width="11.85546875" style="102" customWidth="1"/>
    <col min="15622" max="15872" width="9.140625" style="102"/>
    <col min="15873" max="15873" width="16.5703125" style="102" customWidth="1"/>
    <col min="15874" max="15874" width="6.7109375" style="102" customWidth="1"/>
    <col min="15875" max="15875" width="12.42578125" style="102" customWidth="1"/>
    <col min="15876" max="15876" width="10.140625" style="102" customWidth="1"/>
    <col min="15877" max="15877" width="11.85546875" style="102" customWidth="1"/>
    <col min="15878" max="16128" width="9.140625" style="102"/>
    <col min="16129" max="16129" width="16.5703125" style="102" customWidth="1"/>
    <col min="16130" max="16130" width="6.7109375" style="102" customWidth="1"/>
    <col min="16131" max="16131" width="12.42578125" style="102" customWidth="1"/>
    <col min="16132" max="16132" width="10.140625" style="102" customWidth="1"/>
    <col min="16133" max="16133" width="11.85546875" style="102" customWidth="1"/>
    <col min="16134" max="16384" width="9.140625" style="102"/>
  </cols>
  <sheetData>
    <row r="1" spans="1:5" x14ac:dyDescent="0.2">
      <c r="A1" s="105" t="s">
        <v>195</v>
      </c>
      <c r="B1" s="106" t="s">
        <v>198</v>
      </c>
      <c r="C1" s="106" t="s">
        <v>199</v>
      </c>
      <c r="D1" s="105" t="s">
        <v>196</v>
      </c>
      <c r="E1" s="105" t="s">
        <v>197</v>
      </c>
    </row>
    <row r="2" spans="1:5" x14ac:dyDescent="0.2">
      <c r="A2" s="102" t="s">
        <v>92</v>
      </c>
      <c r="B2" s="107">
        <f>LEN(A2)</f>
        <v>10</v>
      </c>
      <c r="C2" s="107">
        <f>SEARCH(" ",A2,1)</f>
        <v>6</v>
      </c>
      <c r="D2" s="102" t="str">
        <f>LEFT(A2,C2-1)</f>
        <v>roger</v>
      </c>
      <c r="E2" s="102" t="str">
        <f>RIGHT(A2,B2-C2)</f>
        <v>rood</v>
      </c>
    </row>
    <row r="3" spans="1:5" x14ac:dyDescent="0.2">
      <c r="A3" s="102" t="s">
        <v>93</v>
      </c>
      <c r="B3" s="107">
        <f>LEN(A3)</f>
        <v>12</v>
      </c>
      <c r="C3" s="107">
        <f>SEARCH(" ",A3,1)</f>
        <v>7</v>
      </c>
      <c r="D3" s="102" t="str">
        <f>LEFT(A3,C3-1)</f>
        <v>gerrit</v>
      </c>
      <c r="E3" s="102" t="str">
        <f>RIGHT(A3,B3-C3)</f>
        <v>groen</v>
      </c>
    </row>
    <row r="4" spans="1:5" x14ac:dyDescent="0.2">
      <c r="A4" s="102" t="s">
        <v>94</v>
      </c>
      <c r="B4" s="107">
        <f>LEN(A4)</f>
        <v>14</v>
      </c>
      <c r="C4" s="107">
        <f>SEARCH(" ",A4,1)</f>
        <v>6</v>
      </c>
      <c r="D4" s="102" t="str">
        <f>LEFT(A4,C4-1)</f>
        <v>trudy</v>
      </c>
      <c r="E4" s="102" t="str">
        <f>RIGHT(A4,B4-C4)</f>
        <v>turkoois</v>
      </c>
    </row>
    <row r="5" spans="1:5" x14ac:dyDescent="0.2">
      <c r="A5" s="102" t="s">
        <v>95</v>
      </c>
      <c r="B5" s="107">
        <f>LEN(A5)</f>
        <v>12</v>
      </c>
      <c r="C5" s="107">
        <f>SEARCH(" ",A5,1)</f>
        <v>5</v>
      </c>
      <c r="D5" s="102" t="str">
        <f>LEFT(A5,C5-1)</f>
        <v>mari</v>
      </c>
      <c r="E5" s="10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/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88</v>
      </c>
      <c r="B1" s="27">
        <v>5.29</v>
      </c>
    </row>
    <row r="3" spans="1:2" x14ac:dyDescent="0.2">
      <c r="A3" s="28" t="s">
        <v>89</v>
      </c>
    </row>
    <row r="4" spans="1:2" x14ac:dyDescent="0.2">
      <c r="A4" s="28" t="s">
        <v>90</v>
      </c>
    </row>
    <row r="5" spans="1:2" x14ac:dyDescent="0.2">
      <c r="A5" s="28" t="s">
        <v>91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2" t="s">
        <v>157</v>
      </c>
      <c r="B1" s="62" t="s">
        <v>155</v>
      </c>
      <c r="C1" s="62" t="s">
        <v>156</v>
      </c>
      <c r="D1" s="62" t="s">
        <v>159</v>
      </c>
      <c r="E1" s="62" t="s">
        <v>158</v>
      </c>
    </row>
    <row r="2" spans="1:5" ht="15" x14ac:dyDescent="0.25">
      <c r="A2" s="64" t="s">
        <v>160</v>
      </c>
      <c r="B2" s="63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3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3">
        <v>62.75</v>
      </c>
      <c r="C4" s="44">
        <v>185</v>
      </c>
      <c r="D4" s="48">
        <v>8.3500000000000005E-2</v>
      </c>
      <c r="E4" s="42">
        <v>40456</v>
      </c>
    </row>
    <row r="5" spans="1:5" ht="15" x14ac:dyDescent="0.25">
      <c r="A5" s="43">
        <v>11266</v>
      </c>
      <c r="B5" s="63">
        <v>8.5</v>
      </c>
      <c r="C5" s="44">
        <v>1472</v>
      </c>
      <c r="D5" s="49">
        <v>2.1739999999999999E-2</v>
      </c>
      <c r="E5" s="42">
        <v>40483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tabSelected="1" workbookViewId="0"/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673</v>
      </c>
      <c r="C2" s="108" t="s">
        <v>28</v>
      </c>
    </row>
    <row r="4" spans="2:5" x14ac:dyDescent="0.25">
      <c r="B4" t="s">
        <v>674</v>
      </c>
      <c r="C4">
        <f>HLOOKUP($C$2,$C$8:$E$11,2,FALSE)</f>
        <v>42</v>
      </c>
    </row>
    <row r="5" spans="2:5" x14ac:dyDescent="0.25">
      <c r="B5" t="s">
        <v>675</v>
      </c>
      <c r="C5">
        <f>HLOOKUP($C$2,$C$8:$E$11,3,FALSE)</f>
        <v>182</v>
      </c>
    </row>
    <row r="6" spans="2:5" x14ac:dyDescent="0.25">
      <c r="B6" t="s">
        <v>676</v>
      </c>
      <c r="C6">
        <f>HLOOKUP($C$2,$C$8:$E$11,4,FALSE)</f>
        <v>44</v>
      </c>
    </row>
    <row r="8" spans="2:5" x14ac:dyDescent="0.25">
      <c r="C8" s="11" t="s">
        <v>27</v>
      </c>
      <c r="D8" s="11" t="s">
        <v>28</v>
      </c>
      <c r="E8" s="11" t="s">
        <v>29</v>
      </c>
    </row>
    <row r="9" spans="2:5" x14ac:dyDescent="0.25">
      <c r="B9" t="s">
        <v>674</v>
      </c>
      <c r="C9">
        <v>35</v>
      </c>
      <c r="D9">
        <v>42</v>
      </c>
      <c r="E9">
        <v>56</v>
      </c>
    </row>
    <row r="10" spans="2:5" x14ac:dyDescent="0.25">
      <c r="B10" t="s">
        <v>675</v>
      </c>
      <c r="C10">
        <v>178</v>
      </c>
      <c r="D10">
        <v>182</v>
      </c>
      <c r="E10">
        <v>174</v>
      </c>
    </row>
    <row r="11" spans="2:5" x14ac:dyDescent="0.25">
      <c r="B11" t="s">
        <v>676</v>
      </c>
      <c r="C11">
        <v>43</v>
      </c>
      <c r="D11">
        <v>44</v>
      </c>
      <c r="E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/>
  </sheetViews>
  <sheetFormatPr defaultRowHeight="12.75" x14ac:dyDescent="0.2"/>
  <cols>
    <col min="1" max="1" width="7.42578125" style="137" bestFit="1" customWidth="1"/>
    <col min="2" max="2" width="10" style="137" bestFit="1" customWidth="1"/>
    <col min="3" max="3" width="14.7109375" style="137" bestFit="1" customWidth="1"/>
    <col min="4" max="4" width="14.85546875" style="137" bestFit="1" customWidth="1"/>
    <col min="5" max="5" width="11.7109375" style="137" bestFit="1" customWidth="1"/>
    <col min="6" max="6" width="9.140625" style="137"/>
    <col min="7" max="7" width="21.5703125" style="137" bestFit="1" customWidth="1"/>
    <col min="8" max="8" width="16.28515625" style="137" customWidth="1"/>
    <col min="9" max="9" width="10.140625" style="137" bestFit="1" customWidth="1"/>
    <col min="10" max="10" width="10.140625" style="137" customWidth="1"/>
    <col min="11" max="11" width="10.140625" style="137" bestFit="1" customWidth="1"/>
    <col min="12" max="12" width="11.28515625" style="137" customWidth="1"/>
    <col min="13" max="26" width="9.7109375" style="137" bestFit="1" customWidth="1"/>
    <col min="27" max="28" width="9.140625" style="137"/>
    <col min="29" max="29" width="8.7109375" style="137" customWidth="1"/>
    <col min="30" max="32" width="9.140625" style="137"/>
    <col min="33" max="33" width="8.7109375" style="137" customWidth="1"/>
    <col min="34" max="42" width="9.7109375" style="137" bestFit="1" customWidth="1"/>
    <col min="43" max="43" width="9.140625" style="137"/>
    <col min="44" max="44" width="8.7109375" style="137" customWidth="1"/>
    <col min="45" max="45" width="9.140625" style="137"/>
    <col min="46" max="47" width="8.7109375" style="137" customWidth="1"/>
    <col min="48" max="48" width="9.140625" style="137"/>
    <col min="49" max="62" width="9.7109375" style="137" bestFit="1" customWidth="1"/>
    <col min="63" max="63" width="9.140625" style="137"/>
    <col min="64" max="64" width="8.7109375" style="137" customWidth="1"/>
    <col min="65" max="65" width="9.140625" style="137"/>
    <col min="66" max="66" width="8.7109375" style="137" customWidth="1"/>
    <col min="67" max="68" width="9.140625" style="137"/>
    <col min="69" max="80" width="9.7109375" style="137" bestFit="1" customWidth="1"/>
    <col min="81" max="81" width="8.7109375" style="137" customWidth="1"/>
    <col min="82" max="85" width="9.140625" style="137"/>
    <col min="86" max="99" width="9.7109375" style="137" bestFit="1" customWidth="1"/>
    <col min="100" max="100" width="8.7109375" style="137" customWidth="1"/>
    <col min="101" max="101" width="9.140625" style="137"/>
    <col min="102" max="102" width="8.7109375" style="137" customWidth="1"/>
    <col min="103" max="103" width="9.140625" style="137"/>
    <col min="104" max="113" width="9.7109375" style="137" bestFit="1" customWidth="1"/>
    <col min="114" max="115" width="9.140625" style="137"/>
    <col min="116" max="117" width="8.7109375" style="137" customWidth="1"/>
    <col min="118" max="131" width="9.7109375" style="137" bestFit="1" customWidth="1"/>
    <col min="132" max="132" width="9.140625" style="137"/>
    <col min="133" max="134" width="8.7109375" style="137" customWidth="1"/>
    <col min="135" max="136" width="9.140625" style="137"/>
    <col min="137" max="137" width="8.7109375" style="137" customWidth="1"/>
    <col min="138" max="150" width="9.7109375" style="137" bestFit="1" customWidth="1"/>
    <col min="151" max="151" width="8.7109375" style="137" customWidth="1"/>
    <col min="152" max="152" width="9.140625" style="137"/>
    <col min="153" max="155" width="8.7109375" style="137" customWidth="1"/>
    <col min="156" max="156" width="9.140625" style="137"/>
    <col min="157" max="173" width="9.7109375" style="137" bestFit="1" customWidth="1"/>
    <col min="174" max="185" width="10.7109375" style="137" bestFit="1" customWidth="1"/>
    <col min="186" max="192" width="9.7109375" style="137" bestFit="1" customWidth="1"/>
    <col min="193" max="203" width="10.7109375" style="137" bestFit="1" customWidth="1"/>
    <col min="204" max="208" width="9.7109375" style="137" bestFit="1" customWidth="1"/>
    <col min="209" max="222" width="10.7109375" style="137" bestFit="1" customWidth="1"/>
    <col min="223" max="223" width="11.28515625" style="137" bestFit="1" customWidth="1"/>
    <col min="224" max="256" width="9.140625" style="137"/>
    <col min="257" max="257" width="6.28515625" style="137" bestFit="1" customWidth="1"/>
    <col min="258" max="258" width="10.28515625" style="137" bestFit="1" customWidth="1"/>
    <col min="259" max="259" width="14.42578125" style="137" bestFit="1" customWidth="1"/>
    <col min="260" max="260" width="9.7109375" style="137" bestFit="1" customWidth="1"/>
    <col min="261" max="261" width="13.7109375" style="137" bestFit="1" customWidth="1"/>
    <col min="262" max="512" width="9.140625" style="137"/>
    <col min="513" max="513" width="6.28515625" style="137" bestFit="1" customWidth="1"/>
    <col min="514" max="514" width="10.28515625" style="137" bestFit="1" customWidth="1"/>
    <col min="515" max="515" width="14.42578125" style="137" bestFit="1" customWidth="1"/>
    <col min="516" max="516" width="9.7109375" style="137" bestFit="1" customWidth="1"/>
    <col min="517" max="517" width="13.7109375" style="137" bestFit="1" customWidth="1"/>
    <col min="518" max="768" width="9.140625" style="137"/>
    <col min="769" max="769" width="6.28515625" style="137" bestFit="1" customWidth="1"/>
    <col min="770" max="770" width="10.28515625" style="137" bestFit="1" customWidth="1"/>
    <col min="771" max="771" width="14.42578125" style="137" bestFit="1" customWidth="1"/>
    <col min="772" max="772" width="9.7109375" style="137" bestFit="1" customWidth="1"/>
    <col min="773" max="773" width="13.7109375" style="137" bestFit="1" customWidth="1"/>
    <col min="774" max="1024" width="9.140625" style="137"/>
    <col min="1025" max="1025" width="6.28515625" style="137" bestFit="1" customWidth="1"/>
    <col min="1026" max="1026" width="10.28515625" style="137" bestFit="1" customWidth="1"/>
    <col min="1027" max="1027" width="14.42578125" style="137" bestFit="1" customWidth="1"/>
    <col min="1028" max="1028" width="9.7109375" style="137" bestFit="1" customWidth="1"/>
    <col min="1029" max="1029" width="13.7109375" style="137" bestFit="1" customWidth="1"/>
    <col min="1030" max="1280" width="9.140625" style="137"/>
    <col min="1281" max="1281" width="6.28515625" style="137" bestFit="1" customWidth="1"/>
    <col min="1282" max="1282" width="10.28515625" style="137" bestFit="1" customWidth="1"/>
    <col min="1283" max="1283" width="14.42578125" style="137" bestFit="1" customWidth="1"/>
    <col min="1284" max="1284" width="9.7109375" style="137" bestFit="1" customWidth="1"/>
    <col min="1285" max="1285" width="13.7109375" style="137" bestFit="1" customWidth="1"/>
    <col min="1286" max="1536" width="9.140625" style="137"/>
    <col min="1537" max="1537" width="6.28515625" style="137" bestFit="1" customWidth="1"/>
    <col min="1538" max="1538" width="10.28515625" style="137" bestFit="1" customWidth="1"/>
    <col min="1539" max="1539" width="14.42578125" style="137" bestFit="1" customWidth="1"/>
    <col min="1540" max="1540" width="9.7109375" style="137" bestFit="1" customWidth="1"/>
    <col min="1541" max="1541" width="13.7109375" style="137" bestFit="1" customWidth="1"/>
    <col min="1542" max="1792" width="9.140625" style="137"/>
    <col min="1793" max="1793" width="6.28515625" style="137" bestFit="1" customWidth="1"/>
    <col min="1794" max="1794" width="10.28515625" style="137" bestFit="1" customWidth="1"/>
    <col min="1795" max="1795" width="14.42578125" style="137" bestFit="1" customWidth="1"/>
    <col min="1796" max="1796" width="9.7109375" style="137" bestFit="1" customWidth="1"/>
    <col min="1797" max="1797" width="13.7109375" style="137" bestFit="1" customWidth="1"/>
    <col min="1798" max="2048" width="9.140625" style="137"/>
    <col min="2049" max="2049" width="6.28515625" style="137" bestFit="1" customWidth="1"/>
    <col min="2050" max="2050" width="10.28515625" style="137" bestFit="1" customWidth="1"/>
    <col min="2051" max="2051" width="14.42578125" style="137" bestFit="1" customWidth="1"/>
    <col min="2052" max="2052" width="9.7109375" style="137" bestFit="1" customWidth="1"/>
    <col min="2053" max="2053" width="13.7109375" style="137" bestFit="1" customWidth="1"/>
    <col min="2054" max="2304" width="9.140625" style="137"/>
    <col min="2305" max="2305" width="6.28515625" style="137" bestFit="1" customWidth="1"/>
    <col min="2306" max="2306" width="10.28515625" style="137" bestFit="1" customWidth="1"/>
    <col min="2307" max="2307" width="14.42578125" style="137" bestFit="1" customWidth="1"/>
    <col min="2308" max="2308" width="9.7109375" style="137" bestFit="1" customWidth="1"/>
    <col min="2309" max="2309" width="13.7109375" style="137" bestFit="1" customWidth="1"/>
    <col min="2310" max="2560" width="9.140625" style="137"/>
    <col min="2561" max="2561" width="6.28515625" style="137" bestFit="1" customWidth="1"/>
    <col min="2562" max="2562" width="10.28515625" style="137" bestFit="1" customWidth="1"/>
    <col min="2563" max="2563" width="14.42578125" style="137" bestFit="1" customWidth="1"/>
    <col min="2564" max="2564" width="9.7109375" style="137" bestFit="1" customWidth="1"/>
    <col min="2565" max="2565" width="13.7109375" style="137" bestFit="1" customWidth="1"/>
    <col min="2566" max="2816" width="9.140625" style="137"/>
    <col min="2817" max="2817" width="6.28515625" style="137" bestFit="1" customWidth="1"/>
    <col min="2818" max="2818" width="10.28515625" style="137" bestFit="1" customWidth="1"/>
    <col min="2819" max="2819" width="14.42578125" style="137" bestFit="1" customWidth="1"/>
    <col min="2820" max="2820" width="9.7109375" style="137" bestFit="1" customWidth="1"/>
    <col min="2821" max="2821" width="13.7109375" style="137" bestFit="1" customWidth="1"/>
    <col min="2822" max="3072" width="9.140625" style="137"/>
    <col min="3073" max="3073" width="6.28515625" style="137" bestFit="1" customWidth="1"/>
    <col min="3074" max="3074" width="10.28515625" style="137" bestFit="1" customWidth="1"/>
    <col min="3075" max="3075" width="14.42578125" style="137" bestFit="1" customWidth="1"/>
    <col min="3076" max="3076" width="9.7109375" style="137" bestFit="1" customWidth="1"/>
    <col min="3077" max="3077" width="13.7109375" style="137" bestFit="1" customWidth="1"/>
    <col min="3078" max="3328" width="9.140625" style="137"/>
    <col min="3329" max="3329" width="6.28515625" style="137" bestFit="1" customWidth="1"/>
    <col min="3330" max="3330" width="10.28515625" style="137" bestFit="1" customWidth="1"/>
    <col min="3331" max="3331" width="14.42578125" style="137" bestFit="1" customWidth="1"/>
    <col min="3332" max="3332" width="9.7109375" style="137" bestFit="1" customWidth="1"/>
    <col min="3333" max="3333" width="13.7109375" style="137" bestFit="1" customWidth="1"/>
    <col min="3334" max="3584" width="9.140625" style="137"/>
    <col min="3585" max="3585" width="6.28515625" style="137" bestFit="1" customWidth="1"/>
    <col min="3586" max="3586" width="10.28515625" style="137" bestFit="1" customWidth="1"/>
    <col min="3587" max="3587" width="14.42578125" style="137" bestFit="1" customWidth="1"/>
    <col min="3588" max="3588" width="9.7109375" style="137" bestFit="1" customWidth="1"/>
    <col min="3589" max="3589" width="13.7109375" style="137" bestFit="1" customWidth="1"/>
    <col min="3590" max="3840" width="9.140625" style="137"/>
    <col min="3841" max="3841" width="6.28515625" style="137" bestFit="1" customWidth="1"/>
    <col min="3842" max="3842" width="10.28515625" style="137" bestFit="1" customWidth="1"/>
    <col min="3843" max="3843" width="14.42578125" style="137" bestFit="1" customWidth="1"/>
    <col min="3844" max="3844" width="9.7109375" style="137" bestFit="1" customWidth="1"/>
    <col min="3845" max="3845" width="13.7109375" style="137" bestFit="1" customWidth="1"/>
    <col min="3846" max="4096" width="9.140625" style="137"/>
    <col min="4097" max="4097" width="6.28515625" style="137" bestFit="1" customWidth="1"/>
    <col min="4098" max="4098" width="10.28515625" style="137" bestFit="1" customWidth="1"/>
    <col min="4099" max="4099" width="14.42578125" style="137" bestFit="1" customWidth="1"/>
    <col min="4100" max="4100" width="9.7109375" style="137" bestFit="1" customWidth="1"/>
    <col min="4101" max="4101" width="13.7109375" style="137" bestFit="1" customWidth="1"/>
    <col min="4102" max="4352" width="9.140625" style="137"/>
    <col min="4353" max="4353" width="6.28515625" style="137" bestFit="1" customWidth="1"/>
    <col min="4354" max="4354" width="10.28515625" style="137" bestFit="1" customWidth="1"/>
    <col min="4355" max="4355" width="14.42578125" style="137" bestFit="1" customWidth="1"/>
    <col min="4356" max="4356" width="9.7109375" style="137" bestFit="1" customWidth="1"/>
    <col min="4357" max="4357" width="13.7109375" style="137" bestFit="1" customWidth="1"/>
    <col min="4358" max="4608" width="9.140625" style="137"/>
    <col min="4609" max="4609" width="6.28515625" style="137" bestFit="1" customWidth="1"/>
    <col min="4610" max="4610" width="10.28515625" style="137" bestFit="1" customWidth="1"/>
    <col min="4611" max="4611" width="14.42578125" style="137" bestFit="1" customWidth="1"/>
    <col min="4612" max="4612" width="9.7109375" style="137" bestFit="1" customWidth="1"/>
    <col min="4613" max="4613" width="13.7109375" style="137" bestFit="1" customWidth="1"/>
    <col min="4614" max="4864" width="9.140625" style="137"/>
    <col min="4865" max="4865" width="6.28515625" style="137" bestFit="1" customWidth="1"/>
    <col min="4866" max="4866" width="10.28515625" style="137" bestFit="1" customWidth="1"/>
    <col min="4867" max="4867" width="14.42578125" style="137" bestFit="1" customWidth="1"/>
    <col min="4868" max="4868" width="9.7109375" style="137" bestFit="1" customWidth="1"/>
    <col min="4869" max="4869" width="13.7109375" style="137" bestFit="1" customWidth="1"/>
    <col min="4870" max="5120" width="9.140625" style="137"/>
    <col min="5121" max="5121" width="6.28515625" style="137" bestFit="1" customWidth="1"/>
    <col min="5122" max="5122" width="10.28515625" style="137" bestFit="1" customWidth="1"/>
    <col min="5123" max="5123" width="14.42578125" style="137" bestFit="1" customWidth="1"/>
    <col min="5124" max="5124" width="9.7109375" style="137" bestFit="1" customWidth="1"/>
    <col min="5125" max="5125" width="13.7109375" style="137" bestFit="1" customWidth="1"/>
    <col min="5126" max="5376" width="9.140625" style="137"/>
    <col min="5377" max="5377" width="6.28515625" style="137" bestFit="1" customWidth="1"/>
    <col min="5378" max="5378" width="10.28515625" style="137" bestFit="1" customWidth="1"/>
    <col min="5379" max="5379" width="14.42578125" style="137" bestFit="1" customWidth="1"/>
    <col min="5380" max="5380" width="9.7109375" style="137" bestFit="1" customWidth="1"/>
    <col min="5381" max="5381" width="13.7109375" style="137" bestFit="1" customWidth="1"/>
    <col min="5382" max="5632" width="9.140625" style="137"/>
    <col min="5633" max="5633" width="6.28515625" style="137" bestFit="1" customWidth="1"/>
    <col min="5634" max="5634" width="10.28515625" style="137" bestFit="1" customWidth="1"/>
    <col min="5635" max="5635" width="14.42578125" style="137" bestFit="1" customWidth="1"/>
    <col min="5636" max="5636" width="9.7109375" style="137" bestFit="1" customWidth="1"/>
    <col min="5637" max="5637" width="13.7109375" style="137" bestFit="1" customWidth="1"/>
    <col min="5638" max="5888" width="9.140625" style="137"/>
    <col min="5889" max="5889" width="6.28515625" style="137" bestFit="1" customWidth="1"/>
    <col min="5890" max="5890" width="10.28515625" style="137" bestFit="1" customWidth="1"/>
    <col min="5891" max="5891" width="14.42578125" style="137" bestFit="1" customWidth="1"/>
    <col min="5892" max="5892" width="9.7109375" style="137" bestFit="1" customWidth="1"/>
    <col min="5893" max="5893" width="13.7109375" style="137" bestFit="1" customWidth="1"/>
    <col min="5894" max="6144" width="9.140625" style="137"/>
    <col min="6145" max="6145" width="6.28515625" style="137" bestFit="1" customWidth="1"/>
    <col min="6146" max="6146" width="10.28515625" style="137" bestFit="1" customWidth="1"/>
    <col min="6147" max="6147" width="14.42578125" style="137" bestFit="1" customWidth="1"/>
    <col min="6148" max="6148" width="9.7109375" style="137" bestFit="1" customWidth="1"/>
    <col min="6149" max="6149" width="13.7109375" style="137" bestFit="1" customWidth="1"/>
    <col min="6150" max="6400" width="9.140625" style="137"/>
    <col min="6401" max="6401" width="6.28515625" style="137" bestFit="1" customWidth="1"/>
    <col min="6402" max="6402" width="10.28515625" style="137" bestFit="1" customWidth="1"/>
    <col min="6403" max="6403" width="14.42578125" style="137" bestFit="1" customWidth="1"/>
    <col min="6404" max="6404" width="9.7109375" style="137" bestFit="1" customWidth="1"/>
    <col min="6405" max="6405" width="13.7109375" style="137" bestFit="1" customWidth="1"/>
    <col min="6406" max="6656" width="9.140625" style="137"/>
    <col min="6657" max="6657" width="6.28515625" style="137" bestFit="1" customWidth="1"/>
    <col min="6658" max="6658" width="10.28515625" style="137" bestFit="1" customWidth="1"/>
    <col min="6659" max="6659" width="14.42578125" style="137" bestFit="1" customWidth="1"/>
    <col min="6660" max="6660" width="9.7109375" style="137" bestFit="1" customWidth="1"/>
    <col min="6661" max="6661" width="13.7109375" style="137" bestFit="1" customWidth="1"/>
    <col min="6662" max="6912" width="9.140625" style="137"/>
    <col min="6913" max="6913" width="6.28515625" style="137" bestFit="1" customWidth="1"/>
    <col min="6914" max="6914" width="10.28515625" style="137" bestFit="1" customWidth="1"/>
    <col min="6915" max="6915" width="14.42578125" style="137" bestFit="1" customWidth="1"/>
    <col min="6916" max="6916" width="9.7109375" style="137" bestFit="1" customWidth="1"/>
    <col min="6917" max="6917" width="13.7109375" style="137" bestFit="1" customWidth="1"/>
    <col min="6918" max="7168" width="9.140625" style="137"/>
    <col min="7169" max="7169" width="6.28515625" style="137" bestFit="1" customWidth="1"/>
    <col min="7170" max="7170" width="10.28515625" style="137" bestFit="1" customWidth="1"/>
    <col min="7171" max="7171" width="14.42578125" style="137" bestFit="1" customWidth="1"/>
    <col min="7172" max="7172" width="9.7109375" style="137" bestFit="1" customWidth="1"/>
    <col min="7173" max="7173" width="13.7109375" style="137" bestFit="1" customWidth="1"/>
    <col min="7174" max="7424" width="9.140625" style="137"/>
    <col min="7425" max="7425" width="6.28515625" style="137" bestFit="1" customWidth="1"/>
    <col min="7426" max="7426" width="10.28515625" style="137" bestFit="1" customWidth="1"/>
    <col min="7427" max="7427" width="14.42578125" style="137" bestFit="1" customWidth="1"/>
    <col min="7428" max="7428" width="9.7109375" style="137" bestFit="1" customWidth="1"/>
    <col min="7429" max="7429" width="13.7109375" style="137" bestFit="1" customWidth="1"/>
    <col min="7430" max="7680" width="9.140625" style="137"/>
    <col min="7681" max="7681" width="6.28515625" style="137" bestFit="1" customWidth="1"/>
    <col min="7682" max="7682" width="10.28515625" style="137" bestFit="1" customWidth="1"/>
    <col min="7683" max="7683" width="14.42578125" style="137" bestFit="1" customWidth="1"/>
    <col min="7684" max="7684" width="9.7109375" style="137" bestFit="1" customWidth="1"/>
    <col min="7685" max="7685" width="13.7109375" style="137" bestFit="1" customWidth="1"/>
    <col min="7686" max="7936" width="9.140625" style="137"/>
    <col min="7937" max="7937" width="6.28515625" style="137" bestFit="1" customWidth="1"/>
    <col min="7938" max="7938" width="10.28515625" style="137" bestFit="1" customWidth="1"/>
    <col min="7939" max="7939" width="14.42578125" style="137" bestFit="1" customWidth="1"/>
    <col min="7940" max="7940" width="9.7109375" style="137" bestFit="1" customWidth="1"/>
    <col min="7941" max="7941" width="13.7109375" style="137" bestFit="1" customWidth="1"/>
    <col min="7942" max="8192" width="9.140625" style="137"/>
    <col min="8193" max="8193" width="6.28515625" style="137" bestFit="1" customWidth="1"/>
    <col min="8194" max="8194" width="10.28515625" style="137" bestFit="1" customWidth="1"/>
    <col min="8195" max="8195" width="14.42578125" style="137" bestFit="1" customWidth="1"/>
    <col min="8196" max="8196" width="9.7109375" style="137" bestFit="1" customWidth="1"/>
    <col min="8197" max="8197" width="13.7109375" style="137" bestFit="1" customWidth="1"/>
    <col min="8198" max="8448" width="9.140625" style="137"/>
    <col min="8449" max="8449" width="6.28515625" style="137" bestFit="1" customWidth="1"/>
    <col min="8450" max="8450" width="10.28515625" style="137" bestFit="1" customWidth="1"/>
    <col min="8451" max="8451" width="14.42578125" style="137" bestFit="1" customWidth="1"/>
    <col min="8452" max="8452" width="9.7109375" style="137" bestFit="1" customWidth="1"/>
    <col min="8453" max="8453" width="13.7109375" style="137" bestFit="1" customWidth="1"/>
    <col min="8454" max="8704" width="9.140625" style="137"/>
    <col min="8705" max="8705" width="6.28515625" style="137" bestFit="1" customWidth="1"/>
    <col min="8706" max="8706" width="10.28515625" style="137" bestFit="1" customWidth="1"/>
    <col min="8707" max="8707" width="14.42578125" style="137" bestFit="1" customWidth="1"/>
    <col min="8708" max="8708" width="9.7109375" style="137" bestFit="1" customWidth="1"/>
    <col min="8709" max="8709" width="13.7109375" style="137" bestFit="1" customWidth="1"/>
    <col min="8710" max="8960" width="9.140625" style="137"/>
    <col min="8961" max="8961" width="6.28515625" style="137" bestFit="1" customWidth="1"/>
    <col min="8962" max="8962" width="10.28515625" style="137" bestFit="1" customWidth="1"/>
    <col min="8963" max="8963" width="14.42578125" style="137" bestFit="1" customWidth="1"/>
    <col min="8964" max="8964" width="9.7109375" style="137" bestFit="1" customWidth="1"/>
    <col min="8965" max="8965" width="13.7109375" style="137" bestFit="1" customWidth="1"/>
    <col min="8966" max="9216" width="9.140625" style="137"/>
    <col min="9217" max="9217" width="6.28515625" style="137" bestFit="1" customWidth="1"/>
    <col min="9218" max="9218" width="10.28515625" style="137" bestFit="1" customWidth="1"/>
    <col min="9219" max="9219" width="14.42578125" style="137" bestFit="1" customWidth="1"/>
    <col min="9220" max="9220" width="9.7109375" style="137" bestFit="1" customWidth="1"/>
    <col min="9221" max="9221" width="13.7109375" style="137" bestFit="1" customWidth="1"/>
    <col min="9222" max="9472" width="9.140625" style="137"/>
    <col min="9473" max="9473" width="6.28515625" style="137" bestFit="1" customWidth="1"/>
    <col min="9474" max="9474" width="10.28515625" style="137" bestFit="1" customWidth="1"/>
    <col min="9475" max="9475" width="14.42578125" style="137" bestFit="1" customWidth="1"/>
    <col min="9476" max="9476" width="9.7109375" style="137" bestFit="1" customWidth="1"/>
    <col min="9477" max="9477" width="13.7109375" style="137" bestFit="1" customWidth="1"/>
    <col min="9478" max="9728" width="9.140625" style="137"/>
    <col min="9729" max="9729" width="6.28515625" style="137" bestFit="1" customWidth="1"/>
    <col min="9730" max="9730" width="10.28515625" style="137" bestFit="1" customWidth="1"/>
    <col min="9731" max="9731" width="14.42578125" style="137" bestFit="1" customWidth="1"/>
    <col min="9732" max="9732" width="9.7109375" style="137" bestFit="1" customWidth="1"/>
    <col min="9733" max="9733" width="13.7109375" style="137" bestFit="1" customWidth="1"/>
    <col min="9734" max="9984" width="9.140625" style="137"/>
    <col min="9985" max="9985" width="6.28515625" style="137" bestFit="1" customWidth="1"/>
    <col min="9986" max="9986" width="10.28515625" style="137" bestFit="1" customWidth="1"/>
    <col min="9987" max="9987" width="14.42578125" style="137" bestFit="1" customWidth="1"/>
    <col min="9988" max="9988" width="9.7109375" style="137" bestFit="1" customWidth="1"/>
    <col min="9989" max="9989" width="13.7109375" style="137" bestFit="1" customWidth="1"/>
    <col min="9990" max="10240" width="9.140625" style="137"/>
    <col min="10241" max="10241" width="6.28515625" style="137" bestFit="1" customWidth="1"/>
    <col min="10242" max="10242" width="10.28515625" style="137" bestFit="1" customWidth="1"/>
    <col min="10243" max="10243" width="14.42578125" style="137" bestFit="1" customWidth="1"/>
    <col min="10244" max="10244" width="9.7109375" style="137" bestFit="1" customWidth="1"/>
    <col min="10245" max="10245" width="13.7109375" style="137" bestFit="1" customWidth="1"/>
    <col min="10246" max="10496" width="9.140625" style="137"/>
    <col min="10497" max="10497" width="6.28515625" style="137" bestFit="1" customWidth="1"/>
    <col min="10498" max="10498" width="10.28515625" style="137" bestFit="1" customWidth="1"/>
    <col min="10499" max="10499" width="14.42578125" style="137" bestFit="1" customWidth="1"/>
    <col min="10500" max="10500" width="9.7109375" style="137" bestFit="1" customWidth="1"/>
    <col min="10501" max="10501" width="13.7109375" style="137" bestFit="1" customWidth="1"/>
    <col min="10502" max="10752" width="9.140625" style="137"/>
    <col min="10753" max="10753" width="6.28515625" style="137" bestFit="1" customWidth="1"/>
    <col min="10754" max="10754" width="10.28515625" style="137" bestFit="1" customWidth="1"/>
    <col min="10755" max="10755" width="14.42578125" style="137" bestFit="1" customWidth="1"/>
    <col min="10756" max="10756" width="9.7109375" style="137" bestFit="1" customWidth="1"/>
    <col min="10757" max="10757" width="13.7109375" style="137" bestFit="1" customWidth="1"/>
    <col min="10758" max="11008" width="9.140625" style="137"/>
    <col min="11009" max="11009" width="6.28515625" style="137" bestFit="1" customWidth="1"/>
    <col min="11010" max="11010" width="10.28515625" style="137" bestFit="1" customWidth="1"/>
    <col min="11011" max="11011" width="14.42578125" style="137" bestFit="1" customWidth="1"/>
    <col min="11012" max="11012" width="9.7109375" style="137" bestFit="1" customWidth="1"/>
    <col min="11013" max="11013" width="13.7109375" style="137" bestFit="1" customWidth="1"/>
    <col min="11014" max="11264" width="9.140625" style="137"/>
    <col min="11265" max="11265" width="6.28515625" style="137" bestFit="1" customWidth="1"/>
    <col min="11266" max="11266" width="10.28515625" style="137" bestFit="1" customWidth="1"/>
    <col min="11267" max="11267" width="14.42578125" style="137" bestFit="1" customWidth="1"/>
    <col min="11268" max="11268" width="9.7109375" style="137" bestFit="1" customWidth="1"/>
    <col min="11269" max="11269" width="13.7109375" style="137" bestFit="1" customWidth="1"/>
    <col min="11270" max="11520" width="9.140625" style="137"/>
    <col min="11521" max="11521" width="6.28515625" style="137" bestFit="1" customWidth="1"/>
    <col min="11522" max="11522" width="10.28515625" style="137" bestFit="1" customWidth="1"/>
    <col min="11523" max="11523" width="14.42578125" style="137" bestFit="1" customWidth="1"/>
    <col min="11524" max="11524" width="9.7109375" style="137" bestFit="1" customWidth="1"/>
    <col min="11525" max="11525" width="13.7109375" style="137" bestFit="1" customWidth="1"/>
    <col min="11526" max="11776" width="9.140625" style="137"/>
    <col min="11777" max="11777" width="6.28515625" style="137" bestFit="1" customWidth="1"/>
    <col min="11778" max="11778" width="10.28515625" style="137" bestFit="1" customWidth="1"/>
    <col min="11779" max="11779" width="14.42578125" style="137" bestFit="1" customWidth="1"/>
    <col min="11780" max="11780" width="9.7109375" style="137" bestFit="1" customWidth="1"/>
    <col min="11781" max="11781" width="13.7109375" style="137" bestFit="1" customWidth="1"/>
    <col min="11782" max="12032" width="9.140625" style="137"/>
    <col min="12033" max="12033" width="6.28515625" style="137" bestFit="1" customWidth="1"/>
    <col min="12034" max="12034" width="10.28515625" style="137" bestFit="1" customWidth="1"/>
    <col min="12035" max="12035" width="14.42578125" style="137" bestFit="1" customWidth="1"/>
    <col min="12036" max="12036" width="9.7109375" style="137" bestFit="1" customWidth="1"/>
    <col min="12037" max="12037" width="13.7109375" style="137" bestFit="1" customWidth="1"/>
    <col min="12038" max="12288" width="9.140625" style="137"/>
    <col min="12289" max="12289" width="6.28515625" style="137" bestFit="1" customWidth="1"/>
    <col min="12290" max="12290" width="10.28515625" style="137" bestFit="1" customWidth="1"/>
    <col min="12291" max="12291" width="14.42578125" style="137" bestFit="1" customWidth="1"/>
    <col min="12292" max="12292" width="9.7109375" style="137" bestFit="1" customWidth="1"/>
    <col min="12293" max="12293" width="13.7109375" style="137" bestFit="1" customWidth="1"/>
    <col min="12294" max="12544" width="9.140625" style="137"/>
    <col min="12545" max="12545" width="6.28515625" style="137" bestFit="1" customWidth="1"/>
    <col min="12546" max="12546" width="10.28515625" style="137" bestFit="1" customWidth="1"/>
    <col min="12547" max="12547" width="14.42578125" style="137" bestFit="1" customWidth="1"/>
    <col min="12548" max="12548" width="9.7109375" style="137" bestFit="1" customWidth="1"/>
    <col min="12549" max="12549" width="13.7109375" style="137" bestFit="1" customWidth="1"/>
    <col min="12550" max="12800" width="9.140625" style="137"/>
    <col min="12801" max="12801" width="6.28515625" style="137" bestFit="1" customWidth="1"/>
    <col min="12802" max="12802" width="10.28515625" style="137" bestFit="1" customWidth="1"/>
    <col min="12803" max="12803" width="14.42578125" style="137" bestFit="1" customWidth="1"/>
    <col min="12804" max="12804" width="9.7109375" style="137" bestFit="1" customWidth="1"/>
    <col min="12805" max="12805" width="13.7109375" style="137" bestFit="1" customWidth="1"/>
    <col min="12806" max="13056" width="9.140625" style="137"/>
    <col min="13057" max="13057" width="6.28515625" style="137" bestFit="1" customWidth="1"/>
    <col min="13058" max="13058" width="10.28515625" style="137" bestFit="1" customWidth="1"/>
    <col min="13059" max="13059" width="14.42578125" style="137" bestFit="1" customWidth="1"/>
    <col min="13060" max="13060" width="9.7109375" style="137" bestFit="1" customWidth="1"/>
    <col min="13061" max="13061" width="13.7109375" style="137" bestFit="1" customWidth="1"/>
    <col min="13062" max="13312" width="9.140625" style="137"/>
    <col min="13313" max="13313" width="6.28515625" style="137" bestFit="1" customWidth="1"/>
    <col min="13314" max="13314" width="10.28515625" style="137" bestFit="1" customWidth="1"/>
    <col min="13315" max="13315" width="14.42578125" style="137" bestFit="1" customWidth="1"/>
    <col min="13316" max="13316" width="9.7109375" style="137" bestFit="1" customWidth="1"/>
    <col min="13317" max="13317" width="13.7109375" style="137" bestFit="1" customWidth="1"/>
    <col min="13318" max="13568" width="9.140625" style="137"/>
    <col min="13569" max="13569" width="6.28515625" style="137" bestFit="1" customWidth="1"/>
    <col min="13570" max="13570" width="10.28515625" style="137" bestFit="1" customWidth="1"/>
    <col min="13571" max="13571" width="14.42578125" style="137" bestFit="1" customWidth="1"/>
    <col min="13572" max="13572" width="9.7109375" style="137" bestFit="1" customWidth="1"/>
    <col min="13573" max="13573" width="13.7109375" style="137" bestFit="1" customWidth="1"/>
    <col min="13574" max="13824" width="9.140625" style="137"/>
    <col min="13825" max="13825" width="6.28515625" style="137" bestFit="1" customWidth="1"/>
    <col min="13826" max="13826" width="10.28515625" style="137" bestFit="1" customWidth="1"/>
    <col min="13827" max="13827" width="14.42578125" style="137" bestFit="1" customWidth="1"/>
    <col min="13828" max="13828" width="9.7109375" style="137" bestFit="1" customWidth="1"/>
    <col min="13829" max="13829" width="13.7109375" style="137" bestFit="1" customWidth="1"/>
    <col min="13830" max="14080" width="9.140625" style="137"/>
    <col min="14081" max="14081" width="6.28515625" style="137" bestFit="1" customWidth="1"/>
    <col min="14082" max="14082" width="10.28515625" style="137" bestFit="1" customWidth="1"/>
    <col min="14083" max="14083" width="14.42578125" style="137" bestFit="1" customWidth="1"/>
    <col min="14084" max="14084" width="9.7109375" style="137" bestFit="1" customWidth="1"/>
    <col min="14085" max="14085" width="13.7109375" style="137" bestFit="1" customWidth="1"/>
    <col min="14086" max="14336" width="9.140625" style="137"/>
    <col min="14337" max="14337" width="6.28515625" style="137" bestFit="1" customWidth="1"/>
    <col min="14338" max="14338" width="10.28515625" style="137" bestFit="1" customWidth="1"/>
    <col min="14339" max="14339" width="14.42578125" style="137" bestFit="1" customWidth="1"/>
    <col min="14340" max="14340" width="9.7109375" style="137" bestFit="1" customWidth="1"/>
    <col min="14341" max="14341" width="13.7109375" style="137" bestFit="1" customWidth="1"/>
    <col min="14342" max="14592" width="9.140625" style="137"/>
    <col min="14593" max="14593" width="6.28515625" style="137" bestFit="1" customWidth="1"/>
    <col min="14594" max="14594" width="10.28515625" style="137" bestFit="1" customWidth="1"/>
    <col min="14595" max="14595" width="14.42578125" style="137" bestFit="1" customWidth="1"/>
    <col min="14596" max="14596" width="9.7109375" style="137" bestFit="1" customWidth="1"/>
    <col min="14597" max="14597" width="13.7109375" style="137" bestFit="1" customWidth="1"/>
    <col min="14598" max="14848" width="9.140625" style="137"/>
    <col min="14849" max="14849" width="6.28515625" style="137" bestFit="1" customWidth="1"/>
    <col min="14850" max="14850" width="10.28515625" style="137" bestFit="1" customWidth="1"/>
    <col min="14851" max="14851" width="14.42578125" style="137" bestFit="1" customWidth="1"/>
    <col min="14852" max="14852" width="9.7109375" style="137" bestFit="1" customWidth="1"/>
    <col min="14853" max="14853" width="13.7109375" style="137" bestFit="1" customWidth="1"/>
    <col min="14854" max="15104" width="9.140625" style="137"/>
    <col min="15105" max="15105" width="6.28515625" style="137" bestFit="1" customWidth="1"/>
    <col min="15106" max="15106" width="10.28515625" style="137" bestFit="1" customWidth="1"/>
    <col min="15107" max="15107" width="14.42578125" style="137" bestFit="1" customWidth="1"/>
    <col min="15108" max="15108" width="9.7109375" style="137" bestFit="1" customWidth="1"/>
    <col min="15109" max="15109" width="13.7109375" style="137" bestFit="1" customWidth="1"/>
    <col min="15110" max="15360" width="9.140625" style="137"/>
    <col min="15361" max="15361" width="6.28515625" style="137" bestFit="1" customWidth="1"/>
    <col min="15362" max="15362" width="10.28515625" style="137" bestFit="1" customWidth="1"/>
    <col min="15363" max="15363" width="14.42578125" style="137" bestFit="1" customWidth="1"/>
    <col min="15364" max="15364" width="9.7109375" style="137" bestFit="1" customWidth="1"/>
    <col min="15365" max="15365" width="13.7109375" style="137" bestFit="1" customWidth="1"/>
    <col min="15366" max="15616" width="9.140625" style="137"/>
    <col min="15617" max="15617" width="6.28515625" style="137" bestFit="1" customWidth="1"/>
    <col min="15618" max="15618" width="10.28515625" style="137" bestFit="1" customWidth="1"/>
    <col min="15619" max="15619" width="14.42578125" style="137" bestFit="1" customWidth="1"/>
    <col min="15620" max="15620" width="9.7109375" style="137" bestFit="1" customWidth="1"/>
    <col min="15621" max="15621" width="13.7109375" style="137" bestFit="1" customWidth="1"/>
    <col min="15622" max="15872" width="9.140625" style="137"/>
    <col min="15873" max="15873" width="6.28515625" style="137" bestFit="1" customWidth="1"/>
    <col min="15874" max="15874" width="10.28515625" style="137" bestFit="1" customWidth="1"/>
    <col min="15875" max="15875" width="14.42578125" style="137" bestFit="1" customWidth="1"/>
    <col min="15876" max="15876" width="9.7109375" style="137" bestFit="1" customWidth="1"/>
    <col min="15877" max="15877" width="13.7109375" style="137" bestFit="1" customWidth="1"/>
    <col min="15878" max="16128" width="9.140625" style="137"/>
    <col min="16129" max="16129" width="6.28515625" style="137" bestFit="1" customWidth="1"/>
    <col min="16130" max="16130" width="10.28515625" style="137" bestFit="1" customWidth="1"/>
    <col min="16131" max="16131" width="14.42578125" style="137" bestFit="1" customWidth="1"/>
    <col min="16132" max="16132" width="9.7109375" style="137" bestFit="1" customWidth="1"/>
    <col min="16133" max="16133" width="13.7109375" style="137" bestFit="1" customWidth="1"/>
    <col min="16134" max="16384" width="9.140625" style="137"/>
  </cols>
  <sheetData>
    <row r="1" spans="1:223" x14ac:dyDescent="0.2">
      <c r="A1" s="136" t="s">
        <v>308</v>
      </c>
      <c r="B1" s="136" t="s">
        <v>322</v>
      </c>
      <c r="C1" s="136" t="s">
        <v>326</v>
      </c>
      <c r="D1" s="136" t="s">
        <v>327</v>
      </c>
      <c r="E1" s="136" t="s">
        <v>328</v>
      </c>
    </row>
    <row r="2" spans="1:223" ht="15" x14ac:dyDescent="0.25">
      <c r="A2" s="137" t="s">
        <v>311</v>
      </c>
      <c r="B2" s="137" t="s">
        <v>48</v>
      </c>
      <c r="C2" s="138">
        <v>349.06</v>
      </c>
      <c r="D2" s="137">
        <v>2010011</v>
      </c>
      <c r="E2" s="139">
        <v>40188</v>
      </c>
    </row>
    <row r="3" spans="1:223" ht="15" x14ac:dyDescent="0.25">
      <c r="A3" s="137" t="s">
        <v>311</v>
      </c>
      <c r="B3" s="137" t="s">
        <v>48</v>
      </c>
      <c r="C3" s="138">
        <v>219.09</v>
      </c>
      <c r="D3" s="137">
        <v>2010207</v>
      </c>
      <c r="E3" s="139">
        <v>40352</v>
      </c>
      <c r="G3" s="7" t="s">
        <v>330</v>
      </c>
      <c r="H3" s="7" t="s">
        <v>331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37" t="s">
        <v>313</v>
      </c>
      <c r="B4" s="137" t="s">
        <v>49</v>
      </c>
      <c r="C4" s="138">
        <v>618.63</v>
      </c>
      <c r="D4" s="137">
        <v>2010021</v>
      </c>
      <c r="E4" s="139">
        <v>40195</v>
      </c>
      <c r="G4" s="7" t="s">
        <v>329</v>
      </c>
      <c r="H4" s="17" t="s">
        <v>332</v>
      </c>
      <c r="I4" s="17" t="s">
        <v>333</v>
      </c>
      <c r="J4" s="17" t="s">
        <v>334</v>
      </c>
      <c r="K4" s="17" t="s">
        <v>335</v>
      </c>
      <c r="L4" s="17" t="s">
        <v>249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37" t="s">
        <v>313</v>
      </c>
      <c r="B5" s="137" t="s">
        <v>49</v>
      </c>
      <c r="C5" s="138">
        <v>498.14</v>
      </c>
      <c r="D5" s="137">
        <v>2010110</v>
      </c>
      <c r="E5" s="139">
        <v>40269</v>
      </c>
      <c r="G5" s="2" t="s">
        <v>49</v>
      </c>
      <c r="H5" s="140">
        <v>13039.609999999999</v>
      </c>
      <c r="I5" s="140">
        <v>15467.28</v>
      </c>
      <c r="J5" s="140">
        <v>8164.35</v>
      </c>
      <c r="K5" s="140">
        <v>13057.6</v>
      </c>
      <c r="L5" s="140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37" t="s">
        <v>313</v>
      </c>
      <c r="B6" s="137" t="s">
        <v>50</v>
      </c>
      <c r="C6" s="138">
        <v>898.52</v>
      </c>
      <c r="D6" s="137">
        <v>2010191</v>
      </c>
      <c r="E6" s="139">
        <v>40339</v>
      </c>
      <c r="G6" s="2" t="s">
        <v>50</v>
      </c>
      <c r="H6" s="140">
        <v>6796.0099999999993</v>
      </c>
      <c r="I6" s="140">
        <v>7604.81</v>
      </c>
      <c r="J6" s="140">
        <v>7223.33</v>
      </c>
      <c r="K6" s="140">
        <v>10236.290000000003</v>
      </c>
      <c r="L6" s="140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37" t="s">
        <v>313</v>
      </c>
      <c r="B7" s="137" t="s">
        <v>28</v>
      </c>
      <c r="C7" s="138">
        <v>1151.55</v>
      </c>
      <c r="D7" s="137">
        <v>2010366</v>
      </c>
      <c r="E7" s="139">
        <v>40513</v>
      </c>
      <c r="G7" s="2" t="s">
        <v>48</v>
      </c>
      <c r="H7" s="140">
        <v>3063.7400000000002</v>
      </c>
      <c r="I7" s="140">
        <v>1194.76</v>
      </c>
      <c r="J7" s="140">
        <v>4826.0000000000009</v>
      </c>
      <c r="K7" s="140">
        <v>872.66</v>
      </c>
      <c r="L7" s="140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37" t="s">
        <v>313</v>
      </c>
      <c r="B8" s="137" t="s">
        <v>28</v>
      </c>
      <c r="C8" s="138">
        <v>310.24</v>
      </c>
      <c r="D8" s="137">
        <v>2010056</v>
      </c>
      <c r="E8" s="139">
        <v>40220</v>
      </c>
      <c r="G8" s="2" t="s">
        <v>27</v>
      </c>
      <c r="H8" s="140">
        <v>3001.23</v>
      </c>
      <c r="I8" s="140">
        <v>9645.5</v>
      </c>
      <c r="J8" s="140">
        <v>8654.5399999999991</v>
      </c>
      <c r="K8" s="140">
        <v>2599.89</v>
      </c>
      <c r="L8" s="140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37" t="s">
        <v>311</v>
      </c>
      <c r="B9" s="137" t="s">
        <v>51</v>
      </c>
      <c r="C9" s="138">
        <v>431.76</v>
      </c>
      <c r="D9" s="137">
        <v>2010043</v>
      </c>
      <c r="E9" s="139">
        <v>40211</v>
      </c>
      <c r="G9" s="2" t="s">
        <v>53</v>
      </c>
      <c r="H9" s="140">
        <v>7814.9100000000008</v>
      </c>
      <c r="I9" s="140">
        <v>11067.96</v>
      </c>
      <c r="J9" s="140">
        <v>7423.49</v>
      </c>
      <c r="K9" s="140">
        <v>5389.79</v>
      </c>
      <c r="L9" s="140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37" t="s">
        <v>313</v>
      </c>
      <c r="B10" s="137" t="s">
        <v>50</v>
      </c>
      <c r="C10" s="138">
        <v>234.24</v>
      </c>
      <c r="D10" s="137">
        <v>2010164</v>
      </c>
      <c r="E10" s="139">
        <v>40313</v>
      </c>
      <c r="G10" s="2" t="s">
        <v>52</v>
      </c>
      <c r="H10" s="140">
        <v>14495</v>
      </c>
      <c r="I10" s="140">
        <v>8564.69</v>
      </c>
      <c r="J10" s="140">
        <v>7820.19</v>
      </c>
      <c r="K10" s="140">
        <v>13220.33</v>
      </c>
      <c r="L10" s="140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37" t="s">
        <v>313</v>
      </c>
      <c r="B11" s="137" t="s">
        <v>28</v>
      </c>
      <c r="C11" s="138">
        <v>463.37</v>
      </c>
      <c r="D11" s="137">
        <v>2010165</v>
      </c>
      <c r="E11" s="139">
        <v>40314</v>
      </c>
      <c r="G11" s="2" t="s">
        <v>28</v>
      </c>
      <c r="H11" s="140">
        <v>8967.9</v>
      </c>
      <c r="I11" s="140">
        <v>6216.6699999999992</v>
      </c>
      <c r="J11" s="140">
        <v>6328.03</v>
      </c>
      <c r="K11" s="140">
        <v>8829.39</v>
      </c>
      <c r="L11" s="140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37" t="s">
        <v>313</v>
      </c>
      <c r="B12" s="137" t="s">
        <v>28</v>
      </c>
      <c r="C12" s="138">
        <v>1052.94</v>
      </c>
      <c r="D12" s="137">
        <v>2010109</v>
      </c>
      <c r="E12" s="139">
        <v>40268</v>
      </c>
      <c r="G12" s="2" t="s">
        <v>51</v>
      </c>
      <c r="H12" s="140">
        <v>6713.07</v>
      </c>
      <c r="I12" s="140">
        <v>3096.45</v>
      </c>
      <c r="J12" s="140">
        <v>5395.4</v>
      </c>
      <c r="K12" s="140">
        <v>2549.7800000000002</v>
      </c>
      <c r="L12" s="140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37" t="s">
        <v>313</v>
      </c>
      <c r="B13" s="137" t="s">
        <v>50</v>
      </c>
      <c r="C13" s="138">
        <v>288.57</v>
      </c>
      <c r="D13" s="137">
        <v>2010200</v>
      </c>
      <c r="E13" s="139">
        <v>40347</v>
      </c>
      <c r="G13" s="2" t="s">
        <v>54</v>
      </c>
      <c r="H13" s="140">
        <v>3272.42</v>
      </c>
      <c r="I13" s="140">
        <v>4036.12</v>
      </c>
      <c r="J13" s="140">
        <v>2382.85</v>
      </c>
      <c r="K13" s="140">
        <v>2217.63</v>
      </c>
      <c r="L13" s="140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37" t="s">
        <v>313</v>
      </c>
      <c r="B14" s="137" t="s">
        <v>52</v>
      </c>
      <c r="C14" s="138">
        <v>50.62</v>
      </c>
      <c r="D14" s="137">
        <v>2010042</v>
      </c>
      <c r="E14" s="139">
        <v>40211</v>
      </c>
      <c r="G14" s="2" t="s">
        <v>249</v>
      </c>
      <c r="H14" s="140">
        <v>67163.89</v>
      </c>
      <c r="I14" s="140">
        <v>66894.239999999991</v>
      </c>
      <c r="J14" s="140">
        <v>58218.18</v>
      </c>
      <c r="K14" s="140">
        <v>58973.36</v>
      </c>
      <c r="L14" s="140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37" t="s">
        <v>313</v>
      </c>
      <c r="B15" s="137" t="s">
        <v>53</v>
      </c>
      <c r="C15" s="138">
        <v>317.45</v>
      </c>
      <c r="D15" s="137">
        <v>2010085</v>
      </c>
      <c r="E15" s="139">
        <v>40246</v>
      </c>
      <c r="G15"/>
      <c r="H15"/>
      <c r="I15"/>
    </row>
    <row r="16" spans="1:223" ht="15" x14ac:dyDescent="0.25">
      <c r="A16" s="137" t="s">
        <v>313</v>
      </c>
      <c r="B16" s="137" t="s">
        <v>52</v>
      </c>
      <c r="C16" s="138">
        <v>398.5</v>
      </c>
      <c r="D16" s="137">
        <v>2010008</v>
      </c>
      <c r="E16" s="139">
        <v>40186</v>
      </c>
      <c r="G16"/>
      <c r="H16"/>
      <c r="I16"/>
    </row>
    <row r="17" spans="1:9" ht="15" x14ac:dyDescent="0.25">
      <c r="A17" s="137" t="s">
        <v>313</v>
      </c>
      <c r="B17" s="137" t="s">
        <v>52</v>
      </c>
      <c r="C17" s="138">
        <v>688.01</v>
      </c>
      <c r="D17" s="137">
        <v>2010374</v>
      </c>
      <c r="E17" s="139">
        <v>40520</v>
      </c>
      <c r="G17"/>
      <c r="H17"/>
      <c r="I17"/>
    </row>
    <row r="18" spans="1:9" ht="15" x14ac:dyDescent="0.25">
      <c r="A18" s="137" t="s">
        <v>311</v>
      </c>
      <c r="B18" s="137" t="s">
        <v>27</v>
      </c>
      <c r="C18" s="138">
        <v>80.11</v>
      </c>
      <c r="D18" s="137">
        <v>2010257</v>
      </c>
      <c r="E18" s="139">
        <v>40402</v>
      </c>
      <c r="G18"/>
      <c r="H18"/>
      <c r="I18"/>
    </row>
    <row r="19" spans="1:9" ht="15" x14ac:dyDescent="0.25">
      <c r="A19" s="137" t="s">
        <v>313</v>
      </c>
      <c r="B19" s="137" t="s">
        <v>52</v>
      </c>
      <c r="C19" s="138">
        <v>940.93</v>
      </c>
      <c r="D19" s="137">
        <v>2010099</v>
      </c>
      <c r="E19" s="139">
        <v>40256</v>
      </c>
      <c r="G19"/>
      <c r="H19"/>
      <c r="I19"/>
    </row>
    <row r="20" spans="1:9" ht="15" x14ac:dyDescent="0.25">
      <c r="A20" s="137" t="s">
        <v>313</v>
      </c>
      <c r="B20" s="137" t="s">
        <v>28</v>
      </c>
      <c r="C20" s="138">
        <v>1190.3800000000001</v>
      </c>
      <c r="D20" s="137">
        <v>2010176</v>
      </c>
      <c r="E20" s="139">
        <v>40322</v>
      </c>
      <c r="G20"/>
      <c r="H20"/>
      <c r="I20"/>
    </row>
    <row r="21" spans="1:9" ht="15" x14ac:dyDescent="0.25">
      <c r="A21" s="137" t="s">
        <v>313</v>
      </c>
      <c r="B21" s="137" t="s">
        <v>52</v>
      </c>
      <c r="C21" s="138">
        <v>1109.6600000000001</v>
      </c>
      <c r="D21" s="137">
        <v>2010127</v>
      </c>
      <c r="E21" s="139">
        <v>40281</v>
      </c>
    </row>
    <row r="22" spans="1:9" ht="15" x14ac:dyDescent="0.25">
      <c r="A22" s="137" t="s">
        <v>313</v>
      </c>
      <c r="B22" s="137" t="s">
        <v>49</v>
      </c>
      <c r="C22" s="138">
        <v>37.01</v>
      </c>
      <c r="D22" s="137">
        <v>2010278</v>
      </c>
      <c r="E22" s="139">
        <v>40422</v>
      </c>
    </row>
    <row r="23" spans="1:9" ht="15" x14ac:dyDescent="0.25">
      <c r="A23" s="137" t="s">
        <v>313</v>
      </c>
      <c r="B23" s="137" t="s">
        <v>28</v>
      </c>
      <c r="C23" s="138">
        <v>938.88</v>
      </c>
      <c r="D23" s="137">
        <v>2010055</v>
      </c>
      <c r="E23" s="139">
        <v>40220</v>
      </c>
    </row>
    <row r="24" spans="1:9" ht="15" x14ac:dyDescent="0.25">
      <c r="A24" s="137" t="s">
        <v>311</v>
      </c>
      <c r="B24" s="137" t="s">
        <v>48</v>
      </c>
      <c r="C24" s="138">
        <v>581.53</v>
      </c>
      <c r="D24" s="137">
        <v>2010260</v>
      </c>
      <c r="E24" s="139">
        <v>40405</v>
      </c>
    </row>
    <row r="25" spans="1:9" ht="15" x14ac:dyDescent="0.25">
      <c r="A25" s="137" t="s">
        <v>311</v>
      </c>
      <c r="B25" s="137" t="s">
        <v>27</v>
      </c>
      <c r="C25" s="138">
        <v>615.12</v>
      </c>
      <c r="D25" s="137">
        <v>2010204</v>
      </c>
      <c r="E25" s="139">
        <v>40351</v>
      </c>
    </row>
    <row r="26" spans="1:9" ht="15" x14ac:dyDescent="0.25">
      <c r="A26" s="137" t="s">
        <v>313</v>
      </c>
      <c r="B26" s="137" t="s">
        <v>53</v>
      </c>
      <c r="C26" s="138">
        <v>598.69000000000005</v>
      </c>
      <c r="D26" s="137">
        <v>2010295</v>
      </c>
      <c r="E26" s="139">
        <v>40441</v>
      </c>
    </row>
    <row r="27" spans="1:9" ht="15" x14ac:dyDescent="0.25">
      <c r="A27" s="137" t="s">
        <v>313</v>
      </c>
      <c r="B27" s="137" t="s">
        <v>52</v>
      </c>
      <c r="C27" s="138">
        <v>494.88</v>
      </c>
      <c r="D27" s="137">
        <v>2010285</v>
      </c>
      <c r="E27" s="139">
        <v>40430</v>
      </c>
    </row>
    <row r="28" spans="1:9" ht="15" x14ac:dyDescent="0.25">
      <c r="A28" s="137" t="s">
        <v>311</v>
      </c>
      <c r="B28" s="137" t="s">
        <v>48</v>
      </c>
      <c r="C28" s="138">
        <v>365.86</v>
      </c>
      <c r="D28" s="137">
        <v>2010290</v>
      </c>
      <c r="E28" s="139">
        <v>40435</v>
      </c>
    </row>
    <row r="29" spans="1:9" ht="15" x14ac:dyDescent="0.25">
      <c r="A29" s="137" t="s">
        <v>313</v>
      </c>
      <c r="B29" s="137" t="s">
        <v>53</v>
      </c>
      <c r="C29" s="138">
        <v>577.25</v>
      </c>
      <c r="D29" s="137">
        <v>2010134</v>
      </c>
      <c r="E29" s="139">
        <v>40288</v>
      </c>
    </row>
    <row r="30" spans="1:9" ht="15" x14ac:dyDescent="0.25">
      <c r="A30" s="137" t="s">
        <v>313</v>
      </c>
      <c r="B30" s="137" t="s">
        <v>52</v>
      </c>
      <c r="C30" s="138">
        <v>764.41</v>
      </c>
      <c r="D30" s="137">
        <v>2010206</v>
      </c>
      <c r="E30" s="139">
        <v>40352</v>
      </c>
    </row>
    <row r="31" spans="1:9" ht="15" x14ac:dyDescent="0.25">
      <c r="A31" s="137" t="s">
        <v>313</v>
      </c>
      <c r="B31" s="137" t="s">
        <v>28</v>
      </c>
      <c r="C31" s="138">
        <v>1052.28</v>
      </c>
      <c r="D31" s="137">
        <v>2010318</v>
      </c>
      <c r="E31" s="139">
        <v>40465</v>
      </c>
    </row>
    <row r="32" spans="1:9" ht="15" x14ac:dyDescent="0.25">
      <c r="A32" s="137" t="s">
        <v>313</v>
      </c>
      <c r="B32" s="137" t="s">
        <v>52</v>
      </c>
      <c r="C32" s="138">
        <v>291.17</v>
      </c>
      <c r="D32" s="137">
        <v>2010349</v>
      </c>
      <c r="E32" s="139">
        <v>40491</v>
      </c>
    </row>
    <row r="33" spans="1:5" ht="15" x14ac:dyDescent="0.25">
      <c r="A33" s="137" t="s">
        <v>313</v>
      </c>
      <c r="B33" s="137" t="s">
        <v>50</v>
      </c>
      <c r="C33" s="138">
        <v>910.3</v>
      </c>
      <c r="D33" s="137">
        <v>2010338</v>
      </c>
      <c r="E33" s="139">
        <v>40480</v>
      </c>
    </row>
    <row r="34" spans="1:5" ht="15" x14ac:dyDescent="0.25">
      <c r="A34" s="137" t="s">
        <v>311</v>
      </c>
      <c r="B34" s="137" t="s">
        <v>51</v>
      </c>
      <c r="C34" s="138">
        <v>321.14</v>
      </c>
      <c r="D34" s="137">
        <v>2010068</v>
      </c>
      <c r="E34" s="139">
        <v>40233</v>
      </c>
    </row>
    <row r="35" spans="1:5" ht="15" x14ac:dyDescent="0.25">
      <c r="A35" s="137" t="s">
        <v>313</v>
      </c>
      <c r="B35" s="137" t="s">
        <v>50</v>
      </c>
      <c r="C35" s="138">
        <v>463.67</v>
      </c>
      <c r="D35" s="137">
        <v>2010312</v>
      </c>
      <c r="E35" s="139">
        <v>40459</v>
      </c>
    </row>
    <row r="36" spans="1:5" ht="15" x14ac:dyDescent="0.25">
      <c r="A36" s="137" t="s">
        <v>311</v>
      </c>
      <c r="B36" s="137" t="s">
        <v>27</v>
      </c>
      <c r="C36" s="138">
        <v>170.38</v>
      </c>
      <c r="D36" s="137">
        <v>2010300</v>
      </c>
      <c r="E36" s="139">
        <v>40444</v>
      </c>
    </row>
    <row r="37" spans="1:5" ht="15" x14ac:dyDescent="0.25">
      <c r="A37" s="137" t="s">
        <v>311</v>
      </c>
      <c r="B37" s="137" t="s">
        <v>27</v>
      </c>
      <c r="C37" s="138">
        <v>1080.0899999999999</v>
      </c>
      <c r="D37" s="137">
        <v>2010364</v>
      </c>
      <c r="E37" s="139">
        <v>40507</v>
      </c>
    </row>
    <row r="38" spans="1:5" ht="15" x14ac:dyDescent="0.25">
      <c r="A38" s="137" t="s">
        <v>311</v>
      </c>
      <c r="B38" s="137" t="s">
        <v>27</v>
      </c>
      <c r="C38" s="138">
        <v>1160.1500000000001</v>
      </c>
      <c r="D38" s="137">
        <v>2010276</v>
      </c>
      <c r="E38" s="139">
        <v>40420</v>
      </c>
    </row>
    <row r="39" spans="1:5" ht="15" x14ac:dyDescent="0.25">
      <c r="A39" s="137" t="s">
        <v>313</v>
      </c>
      <c r="B39" s="137" t="s">
        <v>50</v>
      </c>
      <c r="C39" s="138">
        <v>1182.4000000000001</v>
      </c>
      <c r="D39" s="137">
        <v>2010219</v>
      </c>
      <c r="E39" s="139">
        <v>40364</v>
      </c>
    </row>
    <row r="40" spans="1:5" ht="15" x14ac:dyDescent="0.25">
      <c r="A40" s="137" t="s">
        <v>313</v>
      </c>
      <c r="B40" s="137" t="s">
        <v>49</v>
      </c>
      <c r="C40" s="138">
        <v>37.450000000000003</v>
      </c>
      <c r="D40" s="137">
        <v>2010325</v>
      </c>
      <c r="E40" s="139">
        <v>40470</v>
      </c>
    </row>
    <row r="41" spans="1:5" ht="15" x14ac:dyDescent="0.25">
      <c r="A41" s="137" t="s">
        <v>313</v>
      </c>
      <c r="B41" s="137" t="s">
        <v>28</v>
      </c>
      <c r="C41" s="138">
        <v>985.24</v>
      </c>
      <c r="D41" s="137">
        <v>2010378</v>
      </c>
      <c r="E41" s="139">
        <v>40527</v>
      </c>
    </row>
    <row r="42" spans="1:5" ht="15" x14ac:dyDescent="0.25">
      <c r="A42" s="137" t="s">
        <v>313</v>
      </c>
      <c r="B42" s="137" t="s">
        <v>50</v>
      </c>
      <c r="C42" s="138">
        <v>586.16999999999996</v>
      </c>
      <c r="D42" s="137">
        <v>2010273</v>
      </c>
      <c r="E42" s="139">
        <v>40419</v>
      </c>
    </row>
    <row r="43" spans="1:5" ht="15" x14ac:dyDescent="0.25">
      <c r="A43" s="137" t="s">
        <v>311</v>
      </c>
      <c r="B43" s="137" t="s">
        <v>27</v>
      </c>
      <c r="C43" s="138">
        <v>508.09</v>
      </c>
      <c r="D43" s="137">
        <v>2010004</v>
      </c>
      <c r="E43" s="139">
        <v>40184</v>
      </c>
    </row>
    <row r="44" spans="1:5" ht="15" x14ac:dyDescent="0.25">
      <c r="A44" s="137" t="s">
        <v>313</v>
      </c>
      <c r="B44" s="137" t="s">
        <v>49</v>
      </c>
      <c r="C44" s="138">
        <v>183.85</v>
      </c>
      <c r="D44" s="137">
        <v>2010057</v>
      </c>
      <c r="E44" s="139">
        <v>40220</v>
      </c>
    </row>
    <row r="45" spans="1:5" ht="15" x14ac:dyDescent="0.25">
      <c r="A45" s="137" t="s">
        <v>313</v>
      </c>
      <c r="B45" s="137" t="s">
        <v>53</v>
      </c>
      <c r="C45" s="138">
        <v>997.79</v>
      </c>
      <c r="D45" s="137">
        <v>2010314</v>
      </c>
      <c r="E45" s="139">
        <v>40462</v>
      </c>
    </row>
    <row r="46" spans="1:5" ht="15" x14ac:dyDescent="0.25">
      <c r="A46" s="137" t="s">
        <v>313</v>
      </c>
      <c r="B46" s="137" t="s">
        <v>53</v>
      </c>
      <c r="C46" s="138">
        <v>338.56</v>
      </c>
      <c r="D46" s="137">
        <v>2010186</v>
      </c>
      <c r="E46" s="139">
        <v>40332</v>
      </c>
    </row>
    <row r="47" spans="1:5" ht="15" x14ac:dyDescent="0.25">
      <c r="A47" s="137" t="s">
        <v>313</v>
      </c>
      <c r="B47" s="137" t="s">
        <v>50</v>
      </c>
      <c r="C47" s="138">
        <v>843.71</v>
      </c>
      <c r="D47" s="137">
        <v>2010329</v>
      </c>
      <c r="E47" s="139">
        <v>40472</v>
      </c>
    </row>
    <row r="48" spans="1:5" ht="15" x14ac:dyDescent="0.25">
      <c r="A48" s="137" t="s">
        <v>313</v>
      </c>
      <c r="B48" s="137" t="s">
        <v>50</v>
      </c>
      <c r="C48" s="138">
        <v>1113.06</v>
      </c>
      <c r="D48" s="137">
        <v>2010018</v>
      </c>
      <c r="E48" s="139">
        <v>40193</v>
      </c>
    </row>
    <row r="49" spans="1:5" ht="15" x14ac:dyDescent="0.25">
      <c r="A49" s="137" t="s">
        <v>313</v>
      </c>
      <c r="B49" s="137" t="s">
        <v>53</v>
      </c>
      <c r="C49" s="138">
        <v>1050.4100000000001</v>
      </c>
      <c r="D49" s="137">
        <v>2010263</v>
      </c>
      <c r="E49" s="139">
        <v>40408</v>
      </c>
    </row>
    <row r="50" spans="1:5" ht="15" x14ac:dyDescent="0.25">
      <c r="A50" s="137" t="s">
        <v>313</v>
      </c>
      <c r="B50" s="137" t="s">
        <v>52</v>
      </c>
      <c r="C50" s="138">
        <v>486.13</v>
      </c>
      <c r="D50" s="137">
        <v>2010059</v>
      </c>
      <c r="E50" s="139">
        <v>40221</v>
      </c>
    </row>
    <row r="51" spans="1:5" ht="15" x14ac:dyDescent="0.25">
      <c r="A51" s="137" t="s">
        <v>313</v>
      </c>
      <c r="B51" s="137" t="s">
        <v>52</v>
      </c>
      <c r="C51" s="138">
        <v>582.85</v>
      </c>
      <c r="D51" s="137">
        <v>2010244</v>
      </c>
      <c r="E51" s="139">
        <v>40388</v>
      </c>
    </row>
    <row r="52" spans="1:5" ht="15" x14ac:dyDescent="0.25">
      <c r="A52" s="137" t="s">
        <v>311</v>
      </c>
      <c r="B52" s="137" t="s">
        <v>51</v>
      </c>
      <c r="C52" s="138">
        <v>452.98</v>
      </c>
      <c r="D52" s="137">
        <v>2010350</v>
      </c>
      <c r="E52" s="139">
        <v>40492</v>
      </c>
    </row>
    <row r="53" spans="1:5" ht="15" x14ac:dyDescent="0.25">
      <c r="A53" s="137" t="s">
        <v>313</v>
      </c>
      <c r="B53" s="137" t="s">
        <v>28</v>
      </c>
      <c r="C53" s="138">
        <v>457.08</v>
      </c>
      <c r="D53" s="137">
        <v>2010039</v>
      </c>
      <c r="E53" s="139">
        <v>40210</v>
      </c>
    </row>
    <row r="54" spans="1:5" ht="15" x14ac:dyDescent="0.25">
      <c r="A54" s="137" t="s">
        <v>313</v>
      </c>
      <c r="B54" s="137" t="s">
        <v>50</v>
      </c>
      <c r="C54" s="138">
        <v>715.42</v>
      </c>
      <c r="D54" s="137">
        <v>2010299</v>
      </c>
      <c r="E54" s="139">
        <v>40443</v>
      </c>
    </row>
    <row r="55" spans="1:5" ht="15" x14ac:dyDescent="0.25">
      <c r="A55" s="137" t="s">
        <v>313</v>
      </c>
      <c r="B55" s="137" t="s">
        <v>52</v>
      </c>
      <c r="C55" s="138">
        <v>1186.5</v>
      </c>
      <c r="D55" s="137">
        <v>2010293</v>
      </c>
      <c r="E55" s="139">
        <v>40440</v>
      </c>
    </row>
    <row r="56" spans="1:5" ht="15" x14ac:dyDescent="0.25">
      <c r="A56" s="137" t="s">
        <v>313</v>
      </c>
      <c r="B56" s="137" t="s">
        <v>49</v>
      </c>
      <c r="C56" s="138">
        <v>53</v>
      </c>
      <c r="D56" s="137">
        <v>2010072</v>
      </c>
      <c r="E56" s="139">
        <v>40233</v>
      </c>
    </row>
    <row r="57" spans="1:5" ht="15" x14ac:dyDescent="0.25">
      <c r="A57" s="137" t="s">
        <v>313</v>
      </c>
      <c r="B57" s="137" t="s">
        <v>50</v>
      </c>
      <c r="C57" s="138">
        <v>751.94</v>
      </c>
      <c r="D57" s="137">
        <v>2010175</v>
      </c>
      <c r="E57" s="139">
        <v>40322</v>
      </c>
    </row>
    <row r="58" spans="1:5" ht="15" x14ac:dyDescent="0.25">
      <c r="A58" s="137" t="s">
        <v>313</v>
      </c>
      <c r="B58" s="137" t="s">
        <v>52</v>
      </c>
      <c r="C58" s="138">
        <v>956.04</v>
      </c>
      <c r="D58" s="137">
        <v>2010214</v>
      </c>
      <c r="E58" s="139">
        <v>40359</v>
      </c>
    </row>
    <row r="59" spans="1:5" ht="15" x14ac:dyDescent="0.25">
      <c r="A59" s="137" t="s">
        <v>313</v>
      </c>
      <c r="B59" s="137" t="s">
        <v>53</v>
      </c>
      <c r="C59" s="138">
        <v>660.42</v>
      </c>
      <c r="D59" s="137">
        <v>2010210</v>
      </c>
      <c r="E59" s="139">
        <v>40357</v>
      </c>
    </row>
    <row r="60" spans="1:5" ht="15" x14ac:dyDescent="0.25">
      <c r="A60" s="137" t="s">
        <v>313</v>
      </c>
      <c r="B60" s="137" t="s">
        <v>49</v>
      </c>
      <c r="C60" s="138">
        <v>1121.33</v>
      </c>
      <c r="D60" s="137">
        <v>2010138</v>
      </c>
      <c r="E60" s="139">
        <v>40291</v>
      </c>
    </row>
    <row r="61" spans="1:5" ht="15" x14ac:dyDescent="0.25">
      <c r="A61" s="137" t="s">
        <v>313</v>
      </c>
      <c r="B61" s="137" t="s">
        <v>53</v>
      </c>
      <c r="C61" s="138">
        <v>43.92</v>
      </c>
      <c r="D61" s="137">
        <v>2010051</v>
      </c>
      <c r="E61" s="139">
        <v>40217</v>
      </c>
    </row>
    <row r="62" spans="1:5" ht="15" x14ac:dyDescent="0.25">
      <c r="A62" s="137" t="s">
        <v>313</v>
      </c>
      <c r="B62" s="137" t="s">
        <v>52</v>
      </c>
      <c r="C62" s="138">
        <v>1081</v>
      </c>
      <c r="D62" s="137">
        <v>2010385</v>
      </c>
      <c r="E62" s="139">
        <v>40530</v>
      </c>
    </row>
    <row r="63" spans="1:5" ht="15" x14ac:dyDescent="0.25">
      <c r="A63" s="137" t="s">
        <v>313</v>
      </c>
      <c r="B63" s="137" t="s">
        <v>52</v>
      </c>
      <c r="C63" s="138">
        <v>599.09</v>
      </c>
      <c r="D63" s="137">
        <v>2010023</v>
      </c>
      <c r="E63" s="139">
        <v>40198</v>
      </c>
    </row>
    <row r="64" spans="1:5" ht="15" x14ac:dyDescent="0.25">
      <c r="A64" s="137" t="s">
        <v>313</v>
      </c>
      <c r="B64" s="137" t="s">
        <v>52</v>
      </c>
      <c r="C64" s="138">
        <v>629.21</v>
      </c>
      <c r="D64" s="137">
        <v>2010355</v>
      </c>
      <c r="E64" s="139">
        <v>40498</v>
      </c>
    </row>
    <row r="65" spans="1:5" ht="15" x14ac:dyDescent="0.25">
      <c r="A65" s="137" t="s">
        <v>313</v>
      </c>
      <c r="B65" s="137" t="s">
        <v>52</v>
      </c>
      <c r="C65" s="138">
        <v>356.78</v>
      </c>
      <c r="D65" s="137">
        <v>2010199</v>
      </c>
      <c r="E65" s="139">
        <v>40347</v>
      </c>
    </row>
    <row r="66" spans="1:5" ht="15" x14ac:dyDescent="0.25">
      <c r="A66" s="137" t="s">
        <v>313</v>
      </c>
      <c r="B66" s="137" t="s">
        <v>49</v>
      </c>
      <c r="C66" s="138">
        <v>19.48</v>
      </c>
      <c r="D66" s="137">
        <v>2010087</v>
      </c>
      <c r="E66" s="139">
        <v>40248</v>
      </c>
    </row>
    <row r="67" spans="1:5" ht="15" x14ac:dyDescent="0.25">
      <c r="A67" s="137" t="s">
        <v>313</v>
      </c>
      <c r="B67" s="137" t="s">
        <v>49</v>
      </c>
      <c r="C67" s="138">
        <v>604.54</v>
      </c>
      <c r="D67" s="137">
        <v>2010345</v>
      </c>
      <c r="E67" s="139">
        <v>40486</v>
      </c>
    </row>
    <row r="68" spans="1:5" ht="15" x14ac:dyDescent="0.25">
      <c r="A68" s="137" t="s">
        <v>313</v>
      </c>
      <c r="B68" s="137" t="s">
        <v>50</v>
      </c>
      <c r="C68" s="138">
        <v>410.35</v>
      </c>
      <c r="D68" s="137">
        <v>2010383</v>
      </c>
      <c r="E68" s="139">
        <v>40529</v>
      </c>
    </row>
    <row r="69" spans="1:5" ht="15" x14ac:dyDescent="0.25">
      <c r="A69" s="137" t="s">
        <v>313</v>
      </c>
      <c r="B69" s="137" t="s">
        <v>49</v>
      </c>
      <c r="C69" s="138">
        <v>864.27</v>
      </c>
      <c r="D69" s="137">
        <v>2010363</v>
      </c>
      <c r="E69" s="139">
        <v>40505</v>
      </c>
    </row>
    <row r="70" spans="1:5" ht="15" x14ac:dyDescent="0.25">
      <c r="A70" s="137" t="s">
        <v>311</v>
      </c>
      <c r="B70" s="137" t="s">
        <v>48</v>
      </c>
      <c r="C70" s="138">
        <v>14.28</v>
      </c>
      <c r="D70" s="137">
        <v>2010398</v>
      </c>
      <c r="E70" s="139">
        <v>40542</v>
      </c>
    </row>
    <row r="71" spans="1:5" ht="15" x14ac:dyDescent="0.25">
      <c r="A71" s="137" t="s">
        <v>313</v>
      </c>
      <c r="B71" s="137" t="s">
        <v>52</v>
      </c>
      <c r="C71" s="138">
        <v>51.75</v>
      </c>
      <c r="D71" s="137">
        <v>2010279</v>
      </c>
      <c r="E71" s="139">
        <v>40422</v>
      </c>
    </row>
    <row r="72" spans="1:5" ht="15" x14ac:dyDescent="0.25">
      <c r="A72" s="137" t="s">
        <v>313</v>
      </c>
      <c r="B72" s="137" t="s">
        <v>49</v>
      </c>
      <c r="C72" s="138">
        <v>216.38</v>
      </c>
      <c r="D72" s="137">
        <v>2010182</v>
      </c>
      <c r="E72" s="139">
        <v>40327</v>
      </c>
    </row>
    <row r="73" spans="1:5" ht="15" x14ac:dyDescent="0.25">
      <c r="A73" s="137" t="s">
        <v>311</v>
      </c>
      <c r="B73" s="137" t="s">
        <v>51</v>
      </c>
      <c r="C73" s="138">
        <v>888.42</v>
      </c>
      <c r="D73" s="137">
        <v>2010253</v>
      </c>
      <c r="E73" s="139">
        <v>40398</v>
      </c>
    </row>
    <row r="74" spans="1:5" ht="15" x14ac:dyDescent="0.25">
      <c r="A74" s="137" t="s">
        <v>313</v>
      </c>
      <c r="B74" s="137" t="s">
        <v>52</v>
      </c>
      <c r="C74" s="138">
        <v>774.48</v>
      </c>
      <c r="D74" s="137">
        <v>2010067</v>
      </c>
      <c r="E74" s="139">
        <v>40231</v>
      </c>
    </row>
    <row r="75" spans="1:5" ht="15" x14ac:dyDescent="0.25">
      <c r="A75" s="137" t="s">
        <v>311</v>
      </c>
      <c r="B75" s="137" t="s">
        <v>51</v>
      </c>
      <c r="C75" s="138">
        <v>193.58</v>
      </c>
      <c r="D75" s="137">
        <v>2010352</v>
      </c>
      <c r="E75" s="139">
        <v>40497</v>
      </c>
    </row>
    <row r="76" spans="1:5" ht="15" x14ac:dyDescent="0.25">
      <c r="A76" s="137" t="s">
        <v>311</v>
      </c>
      <c r="B76" s="137" t="s">
        <v>54</v>
      </c>
      <c r="C76" s="138">
        <v>544.61</v>
      </c>
      <c r="D76" s="137">
        <v>2010137</v>
      </c>
      <c r="E76" s="139">
        <v>40290</v>
      </c>
    </row>
    <row r="77" spans="1:5" ht="15" x14ac:dyDescent="0.25">
      <c r="A77" s="137" t="s">
        <v>313</v>
      </c>
      <c r="B77" s="137" t="s">
        <v>52</v>
      </c>
      <c r="C77" s="138">
        <v>1157.81</v>
      </c>
      <c r="D77" s="137">
        <v>2010108</v>
      </c>
      <c r="E77" s="139">
        <v>40268</v>
      </c>
    </row>
    <row r="78" spans="1:5" ht="15" x14ac:dyDescent="0.25">
      <c r="A78" s="137" t="s">
        <v>311</v>
      </c>
      <c r="B78" s="137" t="s">
        <v>48</v>
      </c>
      <c r="C78" s="138">
        <v>46.92</v>
      </c>
      <c r="D78" s="137">
        <v>2010054</v>
      </c>
      <c r="E78" s="139">
        <v>40220</v>
      </c>
    </row>
    <row r="79" spans="1:5" ht="15" x14ac:dyDescent="0.25">
      <c r="A79" s="137" t="s">
        <v>313</v>
      </c>
      <c r="B79" s="137" t="s">
        <v>52</v>
      </c>
      <c r="C79" s="138">
        <v>197.72</v>
      </c>
      <c r="D79" s="137">
        <v>2010306</v>
      </c>
      <c r="E79" s="139">
        <v>40450</v>
      </c>
    </row>
    <row r="80" spans="1:5" ht="15" x14ac:dyDescent="0.25">
      <c r="A80" s="137" t="s">
        <v>313</v>
      </c>
      <c r="B80" s="137" t="s">
        <v>53</v>
      </c>
      <c r="C80" s="138">
        <v>887.84</v>
      </c>
      <c r="D80" s="137">
        <v>2010009</v>
      </c>
      <c r="E80" s="139">
        <v>40186</v>
      </c>
    </row>
    <row r="81" spans="1:5" ht="15" x14ac:dyDescent="0.25">
      <c r="A81" s="137" t="s">
        <v>311</v>
      </c>
      <c r="B81" s="137" t="s">
        <v>51</v>
      </c>
      <c r="C81" s="138">
        <v>815.49</v>
      </c>
      <c r="D81" s="137">
        <v>2010266</v>
      </c>
      <c r="E81" s="139">
        <v>40412</v>
      </c>
    </row>
    <row r="82" spans="1:5" ht="15" x14ac:dyDescent="0.25">
      <c r="A82" s="137" t="s">
        <v>313</v>
      </c>
      <c r="B82" s="137" t="s">
        <v>50</v>
      </c>
      <c r="C82" s="138">
        <v>944.04</v>
      </c>
      <c r="D82" s="137">
        <v>2010356</v>
      </c>
      <c r="E82" s="139">
        <v>40499</v>
      </c>
    </row>
    <row r="83" spans="1:5" ht="15" x14ac:dyDescent="0.25">
      <c r="A83" s="137" t="s">
        <v>313</v>
      </c>
      <c r="B83" s="137" t="s">
        <v>50</v>
      </c>
      <c r="C83" s="138">
        <v>492.94</v>
      </c>
      <c r="D83" s="137">
        <v>2010132</v>
      </c>
      <c r="E83" s="139">
        <v>40288</v>
      </c>
    </row>
    <row r="84" spans="1:5" ht="15" x14ac:dyDescent="0.25">
      <c r="A84" s="137" t="s">
        <v>313</v>
      </c>
      <c r="B84" s="137" t="s">
        <v>53</v>
      </c>
      <c r="C84" s="138">
        <v>37.520000000000003</v>
      </c>
      <c r="D84" s="137">
        <v>2010002</v>
      </c>
      <c r="E84" s="139">
        <v>40179</v>
      </c>
    </row>
    <row r="85" spans="1:5" ht="15" x14ac:dyDescent="0.25">
      <c r="A85" s="137" t="s">
        <v>313</v>
      </c>
      <c r="B85" s="137" t="s">
        <v>53</v>
      </c>
      <c r="C85" s="138">
        <v>255.68</v>
      </c>
      <c r="D85" s="137">
        <v>2010376</v>
      </c>
      <c r="E85" s="139">
        <v>40522</v>
      </c>
    </row>
    <row r="86" spans="1:5" ht="15" x14ac:dyDescent="0.25">
      <c r="A86" s="137" t="s">
        <v>313</v>
      </c>
      <c r="B86" s="137" t="s">
        <v>53</v>
      </c>
      <c r="C86" s="138">
        <v>586.03</v>
      </c>
      <c r="D86" s="137">
        <v>2010344</v>
      </c>
      <c r="E86" s="139">
        <v>40485</v>
      </c>
    </row>
    <row r="87" spans="1:5" ht="15" x14ac:dyDescent="0.25">
      <c r="A87" s="137" t="s">
        <v>313</v>
      </c>
      <c r="B87" s="137" t="s">
        <v>28</v>
      </c>
      <c r="C87" s="138">
        <v>1021.58</v>
      </c>
      <c r="D87" s="137">
        <v>2010126</v>
      </c>
      <c r="E87" s="139">
        <v>40280</v>
      </c>
    </row>
    <row r="88" spans="1:5" ht="15" x14ac:dyDescent="0.25">
      <c r="A88" s="137" t="s">
        <v>311</v>
      </c>
      <c r="B88" s="137" t="s">
        <v>48</v>
      </c>
      <c r="C88" s="138">
        <v>876.82</v>
      </c>
      <c r="D88" s="137">
        <v>2010272</v>
      </c>
      <c r="E88" s="139">
        <v>40419</v>
      </c>
    </row>
    <row r="89" spans="1:5" ht="15" x14ac:dyDescent="0.25">
      <c r="A89" s="137" t="s">
        <v>313</v>
      </c>
      <c r="B89" s="137" t="s">
        <v>49</v>
      </c>
      <c r="C89" s="138">
        <v>84.58</v>
      </c>
      <c r="D89" s="137">
        <v>2010246</v>
      </c>
      <c r="E89" s="139">
        <v>40391</v>
      </c>
    </row>
    <row r="90" spans="1:5" ht="15" x14ac:dyDescent="0.25">
      <c r="A90" s="137" t="s">
        <v>311</v>
      </c>
      <c r="B90" s="137" t="s">
        <v>27</v>
      </c>
      <c r="C90" s="138">
        <v>1161.58</v>
      </c>
      <c r="D90" s="137">
        <v>2010185</v>
      </c>
      <c r="E90" s="139">
        <v>40331</v>
      </c>
    </row>
    <row r="91" spans="1:5" ht="15" x14ac:dyDescent="0.25">
      <c r="A91" s="137" t="s">
        <v>313</v>
      </c>
      <c r="B91" s="137" t="s">
        <v>50</v>
      </c>
      <c r="C91" s="138">
        <v>581.09</v>
      </c>
      <c r="D91" s="137">
        <v>2010328</v>
      </c>
      <c r="E91" s="139">
        <v>40472</v>
      </c>
    </row>
    <row r="92" spans="1:5" ht="15" x14ac:dyDescent="0.25">
      <c r="A92" s="137" t="s">
        <v>311</v>
      </c>
      <c r="B92" s="137" t="s">
        <v>51</v>
      </c>
      <c r="C92" s="138">
        <v>1115.03</v>
      </c>
      <c r="D92" s="137">
        <v>2010297</v>
      </c>
      <c r="E92" s="139">
        <v>40442</v>
      </c>
    </row>
    <row r="93" spans="1:5" ht="15" x14ac:dyDescent="0.25">
      <c r="A93" s="137" t="s">
        <v>313</v>
      </c>
      <c r="B93" s="137" t="s">
        <v>53</v>
      </c>
      <c r="C93" s="138">
        <v>289.97000000000003</v>
      </c>
      <c r="D93" s="137">
        <v>2010395</v>
      </c>
      <c r="E93" s="139">
        <v>40541</v>
      </c>
    </row>
    <row r="94" spans="1:5" ht="15" x14ac:dyDescent="0.25">
      <c r="A94" s="137" t="s">
        <v>313</v>
      </c>
      <c r="B94" s="137" t="s">
        <v>49</v>
      </c>
      <c r="C94" s="138">
        <v>1178.8499999999999</v>
      </c>
      <c r="D94" s="137">
        <v>2010347</v>
      </c>
      <c r="E94" s="139">
        <v>40487</v>
      </c>
    </row>
    <row r="95" spans="1:5" ht="15" x14ac:dyDescent="0.25">
      <c r="A95" s="137" t="s">
        <v>313</v>
      </c>
      <c r="B95" s="137" t="s">
        <v>49</v>
      </c>
      <c r="C95" s="138">
        <v>439.22</v>
      </c>
      <c r="D95" s="137">
        <v>2010158</v>
      </c>
      <c r="E95" s="139">
        <v>40308</v>
      </c>
    </row>
    <row r="96" spans="1:5" ht="15" x14ac:dyDescent="0.25">
      <c r="A96" s="137" t="s">
        <v>313</v>
      </c>
      <c r="B96" s="137" t="s">
        <v>52</v>
      </c>
      <c r="C96" s="138">
        <v>1176.22</v>
      </c>
      <c r="D96" s="137">
        <v>2010353</v>
      </c>
      <c r="E96" s="139">
        <v>40497</v>
      </c>
    </row>
    <row r="97" spans="1:5" ht="15" x14ac:dyDescent="0.25">
      <c r="A97" s="137" t="s">
        <v>313</v>
      </c>
      <c r="B97" s="137" t="s">
        <v>50</v>
      </c>
      <c r="C97" s="138">
        <v>705.5</v>
      </c>
      <c r="D97" s="137">
        <v>2010183</v>
      </c>
      <c r="E97" s="139">
        <v>40327</v>
      </c>
    </row>
    <row r="98" spans="1:5" ht="15" x14ac:dyDescent="0.25">
      <c r="A98" s="137" t="s">
        <v>313</v>
      </c>
      <c r="B98" s="137" t="s">
        <v>50</v>
      </c>
      <c r="C98" s="138">
        <v>816.67</v>
      </c>
      <c r="D98" s="137">
        <v>2010262</v>
      </c>
      <c r="E98" s="139">
        <v>40407</v>
      </c>
    </row>
    <row r="99" spans="1:5" ht="15" x14ac:dyDescent="0.25">
      <c r="A99" s="137" t="s">
        <v>313</v>
      </c>
      <c r="B99" s="137" t="s">
        <v>52</v>
      </c>
      <c r="C99" s="138">
        <v>420.63</v>
      </c>
      <c r="D99" s="137">
        <v>2010045</v>
      </c>
      <c r="E99" s="139">
        <v>40213</v>
      </c>
    </row>
    <row r="100" spans="1:5" ht="15" x14ac:dyDescent="0.25">
      <c r="A100" s="137" t="s">
        <v>313</v>
      </c>
      <c r="B100" s="137" t="s">
        <v>53</v>
      </c>
      <c r="C100" s="138">
        <v>1102.3399999999999</v>
      </c>
      <c r="D100" s="137">
        <v>2010250</v>
      </c>
      <c r="E100" s="139">
        <v>40395</v>
      </c>
    </row>
    <row r="101" spans="1:5" ht="15" x14ac:dyDescent="0.25">
      <c r="A101" s="137" t="s">
        <v>313</v>
      </c>
      <c r="B101" s="137" t="s">
        <v>28</v>
      </c>
      <c r="C101" s="138">
        <v>859.11</v>
      </c>
      <c r="D101" s="137">
        <v>2010309</v>
      </c>
      <c r="E101" s="139">
        <v>40457</v>
      </c>
    </row>
    <row r="102" spans="1:5" ht="15" x14ac:dyDescent="0.25">
      <c r="A102" s="137" t="s">
        <v>313</v>
      </c>
      <c r="B102" s="137" t="s">
        <v>53</v>
      </c>
      <c r="C102" s="138">
        <v>730.49</v>
      </c>
      <c r="D102" s="137">
        <v>2010104</v>
      </c>
      <c r="E102" s="139">
        <v>40262</v>
      </c>
    </row>
    <row r="103" spans="1:5" ht="15" x14ac:dyDescent="0.25">
      <c r="A103" s="137" t="s">
        <v>313</v>
      </c>
      <c r="B103" s="137" t="s">
        <v>49</v>
      </c>
      <c r="C103" s="138">
        <v>241.15</v>
      </c>
      <c r="D103" s="137">
        <v>2010188</v>
      </c>
      <c r="E103" s="139">
        <v>40336</v>
      </c>
    </row>
    <row r="104" spans="1:5" ht="15" x14ac:dyDescent="0.25">
      <c r="A104" s="137" t="s">
        <v>313</v>
      </c>
      <c r="B104" s="137" t="s">
        <v>52</v>
      </c>
      <c r="C104" s="138">
        <v>896.55</v>
      </c>
      <c r="D104" s="137">
        <v>2010166</v>
      </c>
      <c r="E104" s="139">
        <v>40314</v>
      </c>
    </row>
    <row r="105" spans="1:5" ht="15" x14ac:dyDescent="0.25">
      <c r="A105" s="137" t="s">
        <v>313</v>
      </c>
      <c r="B105" s="137" t="s">
        <v>49</v>
      </c>
      <c r="C105" s="138">
        <v>292.56</v>
      </c>
      <c r="D105" s="137">
        <v>2010193</v>
      </c>
      <c r="E105" s="139">
        <v>40340</v>
      </c>
    </row>
    <row r="106" spans="1:5" ht="15" x14ac:dyDescent="0.25">
      <c r="A106" s="137" t="s">
        <v>311</v>
      </c>
      <c r="B106" s="137" t="s">
        <v>54</v>
      </c>
      <c r="C106" s="138">
        <v>644.9</v>
      </c>
      <c r="D106" s="137">
        <v>2010061</v>
      </c>
      <c r="E106" s="139">
        <v>40224</v>
      </c>
    </row>
    <row r="107" spans="1:5" ht="15" x14ac:dyDescent="0.25">
      <c r="A107" s="137" t="s">
        <v>313</v>
      </c>
      <c r="B107" s="137" t="s">
        <v>52</v>
      </c>
      <c r="C107" s="138">
        <v>282.43</v>
      </c>
      <c r="D107" s="137">
        <v>2010361</v>
      </c>
      <c r="E107" s="139">
        <v>40504</v>
      </c>
    </row>
    <row r="108" spans="1:5" ht="15" x14ac:dyDescent="0.25">
      <c r="A108" s="137" t="s">
        <v>313</v>
      </c>
      <c r="B108" s="137" t="s">
        <v>53</v>
      </c>
      <c r="C108" s="138">
        <v>147.33000000000001</v>
      </c>
      <c r="D108" s="137">
        <v>2010231</v>
      </c>
      <c r="E108" s="139">
        <v>40378</v>
      </c>
    </row>
    <row r="109" spans="1:5" ht="15" x14ac:dyDescent="0.25">
      <c r="A109" s="137" t="s">
        <v>311</v>
      </c>
      <c r="B109" s="137" t="s">
        <v>51</v>
      </c>
      <c r="C109" s="138">
        <v>1037.0899999999999</v>
      </c>
      <c r="D109" s="137">
        <v>2010192</v>
      </c>
      <c r="E109" s="139">
        <v>40340</v>
      </c>
    </row>
    <row r="110" spans="1:5" ht="15" x14ac:dyDescent="0.25">
      <c r="A110" s="137" t="s">
        <v>311</v>
      </c>
      <c r="B110" s="137" t="s">
        <v>27</v>
      </c>
      <c r="C110" s="138">
        <v>1068.23</v>
      </c>
      <c r="D110" s="137">
        <v>2010150</v>
      </c>
      <c r="E110" s="139">
        <v>40301</v>
      </c>
    </row>
    <row r="111" spans="1:5" ht="15" x14ac:dyDescent="0.25">
      <c r="A111" s="137" t="s">
        <v>311</v>
      </c>
      <c r="B111" s="137" t="s">
        <v>54</v>
      </c>
      <c r="C111" s="138">
        <v>195.89</v>
      </c>
      <c r="D111" s="137">
        <v>2010030</v>
      </c>
      <c r="E111" s="139">
        <v>40202</v>
      </c>
    </row>
    <row r="112" spans="1:5" ht="15" x14ac:dyDescent="0.25">
      <c r="A112" s="137" t="s">
        <v>313</v>
      </c>
      <c r="B112" s="137" t="s">
        <v>52</v>
      </c>
      <c r="C112" s="138">
        <v>568.42999999999995</v>
      </c>
      <c r="D112" s="137">
        <v>2010197</v>
      </c>
      <c r="E112" s="139">
        <v>40345</v>
      </c>
    </row>
    <row r="113" spans="1:5" ht="15" x14ac:dyDescent="0.25">
      <c r="A113" s="137" t="s">
        <v>313</v>
      </c>
      <c r="B113" s="137" t="s">
        <v>50</v>
      </c>
      <c r="C113" s="138">
        <v>144</v>
      </c>
      <c r="D113" s="137">
        <v>2010354</v>
      </c>
      <c r="E113" s="139">
        <v>40497</v>
      </c>
    </row>
    <row r="114" spans="1:5" ht="15" x14ac:dyDescent="0.25">
      <c r="A114" s="137" t="s">
        <v>311</v>
      </c>
      <c r="B114" s="137" t="s">
        <v>51</v>
      </c>
      <c r="C114" s="138">
        <v>72.430000000000007</v>
      </c>
      <c r="D114" s="137">
        <v>2010230</v>
      </c>
      <c r="E114" s="139">
        <v>40377</v>
      </c>
    </row>
    <row r="115" spans="1:5" ht="15" x14ac:dyDescent="0.25">
      <c r="A115" s="137" t="s">
        <v>311</v>
      </c>
      <c r="B115" s="137" t="s">
        <v>51</v>
      </c>
      <c r="C115" s="138">
        <v>319.06</v>
      </c>
      <c r="D115" s="137">
        <v>2010288</v>
      </c>
      <c r="E115" s="139">
        <v>40434</v>
      </c>
    </row>
    <row r="116" spans="1:5" ht="15" x14ac:dyDescent="0.25">
      <c r="A116" s="137" t="s">
        <v>311</v>
      </c>
      <c r="B116" s="137" t="s">
        <v>27</v>
      </c>
      <c r="C116" s="138">
        <v>101.12</v>
      </c>
      <c r="D116" s="137">
        <v>2010283</v>
      </c>
      <c r="E116" s="139">
        <v>40427</v>
      </c>
    </row>
    <row r="117" spans="1:5" ht="15" x14ac:dyDescent="0.25">
      <c r="A117" s="137" t="s">
        <v>313</v>
      </c>
      <c r="B117" s="137" t="s">
        <v>28</v>
      </c>
      <c r="C117" s="138">
        <v>333.58</v>
      </c>
      <c r="D117" s="137">
        <v>2010114</v>
      </c>
      <c r="E117" s="139">
        <v>40270</v>
      </c>
    </row>
    <row r="118" spans="1:5" ht="15" x14ac:dyDescent="0.25">
      <c r="A118" s="137" t="s">
        <v>311</v>
      </c>
      <c r="B118" s="137" t="s">
        <v>51</v>
      </c>
      <c r="C118" s="138">
        <v>464.07</v>
      </c>
      <c r="D118" s="137">
        <v>2010049</v>
      </c>
      <c r="E118" s="139">
        <v>40217</v>
      </c>
    </row>
    <row r="119" spans="1:5" ht="15" x14ac:dyDescent="0.25">
      <c r="A119" s="137" t="s">
        <v>313</v>
      </c>
      <c r="B119" s="137" t="s">
        <v>50</v>
      </c>
      <c r="C119" s="138">
        <v>696.21</v>
      </c>
      <c r="D119" s="137">
        <v>2010070</v>
      </c>
      <c r="E119" s="139">
        <v>40233</v>
      </c>
    </row>
    <row r="120" spans="1:5" ht="15" x14ac:dyDescent="0.25">
      <c r="A120" s="137" t="s">
        <v>313</v>
      </c>
      <c r="B120" s="137" t="s">
        <v>50</v>
      </c>
      <c r="C120" s="138">
        <v>198.56</v>
      </c>
      <c r="D120" s="137">
        <v>2010209</v>
      </c>
      <c r="E120" s="139">
        <v>40357</v>
      </c>
    </row>
    <row r="121" spans="1:5" ht="15" x14ac:dyDescent="0.25">
      <c r="A121" s="137" t="s">
        <v>313</v>
      </c>
      <c r="B121" s="137" t="s">
        <v>50</v>
      </c>
      <c r="C121" s="138">
        <v>281.88</v>
      </c>
      <c r="D121" s="137">
        <v>2010340</v>
      </c>
      <c r="E121" s="139">
        <v>40483</v>
      </c>
    </row>
    <row r="122" spans="1:5" ht="15" x14ac:dyDescent="0.25">
      <c r="A122" s="137" t="s">
        <v>311</v>
      </c>
      <c r="B122" s="137" t="s">
        <v>54</v>
      </c>
      <c r="C122" s="138">
        <v>105.62</v>
      </c>
      <c r="D122" s="137">
        <v>2010310</v>
      </c>
      <c r="E122" s="139">
        <v>40458</v>
      </c>
    </row>
    <row r="123" spans="1:5" ht="15" x14ac:dyDescent="0.25">
      <c r="A123" s="137" t="s">
        <v>313</v>
      </c>
      <c r="B123" s="137" t="s">
        <v>49</v>
      </c>
      <c r="C123" s="138">
        <v>288.72000000000003</v>
      </c>
      <c r="D123" s="137">
        <v>2010171</v>
      </c>
      <c r="E123" s="139">
        <v>40317</v>
      </c>
    </row>
    <row r="124" spans="1:5" ht="15" x14ac:dyDescent="0.25">
      <c r="A124" s="137" t="s">
        <v>311</v>
      </c>
      <c r="B124" s="137" t="s">
        <v>27</v>
      </c>
      <c r="C124" s="138">
        <v>551.04999999999995</v>
      </c>
      <c r="D124" s="137">
        <v>2010131</v>
      </c>
      <c r="E124" s="139">
        <v>40284</v>
      </c>
    </row>
    <row r="125" spans="1:5" ht="15" x14ac:dyDescent="0.25">
      <c r="A125" s="137" t="s">
        <v>313</v>
      </c>
      <c r="B125" s="137" t="s">
        <v>52</v>
      </c>
      <c r="C125" s="138">
        <v>1003.06</v>
      </c>
      <c r="D125" s="137">
        <v>2010198</v>
      </c>
      <c r="E125" s="139">
        <v>40345</v>
      </c>
    </row>
    <row r="126" spans="1:5" ht="15" x14ac:dyDescent="0.25">
      <c r="A126" s="137" t="s">
        <v>311</v>
      </c>
      <c r="B126" s="137" t="s">
        <v>48</v>
      </c>
      <c r="C126" s="138">
        <v>1095.68</v>
      </c>
      <c r="D126" s="137">
        <v>2010218</v>
      </c>
      <c r="E126" s="139">
        <v>40360</v>
      </c>
    </row>
    <row r="127" spans="1:5" ht="15" x14ac:dyDescent="0.25">
      <c r="A127" s="137" t="s">
        <v>313</v>
      </c>
      <c r="B127" s="137" t="s">
        <v>28</v>
      </c>
      <c r="C127" s="138">
        <v>759.14</v>
      </c>
      <c r="D127" s="137">
        <v>2010122</v>
      </c>
      <c r="E127" s="139">
        <v>40277</v>
      </c>
    </row>
    <row r="128" spans="1:5" ht="15" x14ac:dyDescent="0.25">
      <c r="A128" s="137" t="s">
        <v>313</v>
      </c>
      <c r="B128" s="137" t="s">
        <v>50</v>
      </c>
      <c r="C128" s="138">
        <v>473.51</v>
      </c>
      <c r="D128" s="137">
        <v>2010294</v>
      </c>
      <c r="E128" s="139">
        <v>40440</v>
      </c>
    </row>
    <row r="129" spans="1:5" ht="15" x14ac:dyDescent="0.25">
      <c r="A129" s="137" t="s">
        <v>313</v>
      </c>
      <c r="B129" s="137" t="s">
        <v>50</v>
      </c>
      <c r="C129" s="138">
        <v>637.07000000000005</v>
      </c>
      <c r="D129" s="137">
        <v>2010162</v>
      </c>
      <c r="E129" s="139">
        <v>40309</v>
      </c>
    </row>
    <row r="130" spans="1:5" ht="15" x14ac:dyDescent="0.25">
      <c r="A130" s="137" t="s">
        <v>313</v>
      </c>
      <c r="B130" s="137" t="s">
        <v>49</v>
      </c>
      <c r="C130" s="138">
        <v>975.33</v>
      </c>
      <c r="D130" s="137">
        <v>2010212</v>
      </c>
      <c r="E130" s="139">
        <v>40357</v>
      </c>
    </row>
    <row r="131" spans="1:5" ht="15" x14ac:dyDescent="0.25">
      <c r="A131" s="137" t="s">
        <v>311</v>
      </c>
      <c r="B131" s="137" t="s">
        <v>51</v>
      </c>
      <c r="C131" s="138">
        <v>627.74</v>
      </c>
      <c r="D131" s="137">
        <v>2010066</v>
      </c>
      <c r="E131" s="139">
        <v>40231</v>
      </c>
    </row>
    <row r="132" spans="1:5" ht="15" x14ac:dyDescent="0.25">
      <c r="A132" s="137" t="s">
        <v>311</v>
      </c>
      <c r="B132" s="137" t="s">
        <v>54</v>
      </c>
      <c r="C132" s="138">
        <v>398.9</v>
      </c>
      <c r="D132" s="137">
        <v>2010133</v>
      </c>
      <c r="E132" s="139">
        <v>40288</v>
      </c>
    </row>
    <row r="133" spans="1:5" ht="15" x14ac:dyDescent="0.25">
      <c r="A133" s="137" t="s">
        <v>311</v>
      </c>
      <c r="B133" s="137" t="s">
        <v>51</v>
      </c>
      <c r="C133" s="138">
        <v>911.55</v>
      </c>
      <c r="D133" s="137">
        <v>2010135</v>
      </c>
      <c r="E133" s="139">
        <v>40289</v>
      </c>
    </row>
    <row r="134" spans="1:5" ht="15" x14ac:dyDescent="0.25">
      <c r="A134" s="137" t="s">
        <v>313</v>
      </c>
      <c r="B134" s="137" t="s">
        <v>49</v>
      </c>
      <c r="C134" s="138">
        <v>470.65</v>
      </c>
      <c r="D134" s="137">
        <v>2010296</v>
      </c>
      <c r="E134" s="139">
        <v>40441</v>
      </c>
    </row>
    <row r="135" spans="1:5" ht="15" x14ac:dyDescent="0.25">
      <c r="A135" s="137" t="s">
        <v>313</v>
      </c>
      <c r="B135" s="137" t="s">
        <v>52</v>
      </c>
      <c r="C135" s="138">
        <v>972.14</v>
      </c>
      <c r="D135" s="137">
        <v>2010031</v>
      </c>
      <c r="E135" s="139">
        <v>40202</v>
      </c>
    </row>
    <row r="136" spans="1:5" ht="15" x14ac:dyDescent="0.25">
      <c r="A136" s="137" t="s">
        <v>313</v>
      </c>
      <c r="B136" s="137" t="s">
        <v>53</v>
      </c>
      <c r="C136" s="138">
        <v>1115.73</v>
      </c>
      <c r="D136" s="137">
        <v>2010119</v>
      </c>
      <c r="E136" s="139">
        <v>40276</v>
      </c>
    </row>
    <row r="137" spans="1:5" ht="15" x14ac:dyDescent="0.25">
      <c r="A137" s="137" t="s">
        <v>313</v>
      </c>
      <c r="B137" s="137" t="s">
        <v>49</v>
      </c>
      <c r="C137" s="138">
        <v>1185.03</v>
      </c>
      <c r="D137" s="137">
        <v>2010151</v>
      </c>
      <c r="E137" s="139">
        <v>40302</v>
      </c>
    </row>
    <row r="138" spans="1:5" ht="15" x14ac:dyDescent="0.25">
      <c r="A138" s="137" t="s">
        <v>313</v>
      </c>
      <c r="B138" s="137" t="s">
        <v>50</v>
      </c>
      <c r="C138" s="138">
        <v>530.26</v>
      </c>
      <c r="D138" s="137">
        <v>2010362</v>
      </c>
      <c r="E138" s="139">
        <v>40504</v>
      </c>
    </row>
    <row r="139" spans="1:5" ht="15" x14ac:dyDescent="0.25">
      <c r="A139" s="137" t="s">
        <v>313</v>
      </c>
      <c r="B139" s="137" t="s">
        <v>49</v>
      </c>
      <c r="C139" s="138">
        <v>75.87</v>
      </c>
      <c r="D139" s="137">
        <v>2010142</v>
      </c>
      <c r="E139" s="139">
        <v>40296</v>
      </c>
    </row>
    <row r="140" spans="1:5" ht="15" x14ac:dyDescent="0.25">
      <c r="A140" s="137" t="s">
        <v>313</v>
      </c>
      <c r="B140" s="137" t="s">
        <v>50</v>
      </c>
      <c r="C140" s="138">
        <v>188.94</v>
      </c>
      <c r="D140" s="137">
        <v>2010071</v>
      </c>
      <c r="E140" s="139">
        <v>40233</v>
      </c>
    </row>
    <row r="141" spans="1:5" ht="15" x14ac:dyDescent="0.25">
      <c r="A141" s="137" t="s">
        <v>313</v>
      </c>
      <c r="B141" s="137" t="s">
        <v>50</v>
      </c>
      <c r="C141" s="138">
        <v>941.55</v>
      </c>
      <c r="D141" s="137">
        <v>2010224</v>
      </c>
      <c r="E141" s="139">
        <v>40372</v>
      </c>
    </row>
    <row r="142" spans="1:5" ht="15" x14ac:dyDescent="0.25">
      <c r="A142" s="137" t="s">
        <v>311</v>
      </c>
      <c r="B142" s="137" t="s">
        <v>27</v>
      </c>
      <c r="C142" s="138">
        <v>386.49</v>
      </c>
      <c r="D142" s="137">
        <v>2010095</v>
      </c>
      <c r="E142" s="139">
        <v>40255</v>
      </c>
    </row>
    <row r="143" spans="1:5" ht="15" x14ac:dyDescent="0.25">
      <c r="A143" s="137" t="s">
        <v>313</v>
      </c>
      <c r="B143" s="137" t="s">
        <v>49</v>
      </c>
      <c r="C143" s="138">
        <v>593.79</v>
      </c>
      <c r="D143" s="137">
        <v>2010335</v>
      </c>
      <c r="E143" s="139">
        <v>40480</v>
      </c>
    </row>
    <row r="144" spans="1:5" ht="15" x14ac:dyDescent="0.25">
      <c r="A144" s="137" t="s">
        <v>313</v>
      </c>
      <c r="B144" s="137" t="s">
        <v>49</v>
      </c>
      <c r="C144" s="138">
        <v>1188</v>
      </c>
      <c r="D144" s="137">
        <v>2010033</v>
      </c>
      <c r="E144" s="139">
        <v>40205</v>
      </c>
    </row>
    <row r="145" spans="1:5" ht="15" x14ac:dyDescent="0.25">
      <c r="A145" s="137" t="s">
        <v>313</v>
      </c>
      <c r="B145" s="137" t="s">
        <v>50</v>
      </c>
      <c r="C145" s="138">
        <v>1032.6300000000001</v>
      </c>
      <c r="D145" s="137">
        <v>2010111</v>
      </c>
      <c r="E145" s="139">
        <v>40269</v>
      </c>
    </row>
    <row r="146" spans="1:5" ht="15" x14ac:dyDescent="0.25">
      <c r="A146" s="137" t="s">
        <v>311</v>
      </c>
      <c r="B146" s="137" t="s">
        <v>27</v>
      </c>
      <c r="C146" s="138">
        <v>574.1</v>
      </c>
      <c r="D146" s="137">
        <v>2010282</v>
      </c>
      <c r="E146" s="139">
        <v>40426</v>
      </c>
    </row>
    <row r="147" spans="1:5" ht="15" x14ac:dyDescent="0.25">
      <c r="A147" s="137" t="s">
        <v>311</v>
      </c>
      <c r="B147" s="137" t="s">
        <v>27</v>
      </c>
      <c r="C147" s="138">
        <v>645.78</v>
      </c>
      <c r="D147" s="137">
        <v>2010236</v>
      </c>
      <c r="E147" s="139">
        <v>40384</v>
      </c>
    </row>
    <row r="148" spans="1:5" ht="15" x14ac:dyDescent="0.25">
      <c r="A148" s="137" t="s">
        <v>311</v>
      </c>
      <c r="B148" s="137" t="s">
        <v>27</v>
      </c>
      <c r="C148" s="138">
        <v>388.87</v>
      </c>
      <c r="D148" s="137">
        <v>2010140</v>
      </c>
      <c r="E148" s="139">
        <v>40294</v>
      </c>
    </row>
    <row r="149" spans="1:5" ht="15" x14ac:dyDescent="0.25">
      <c r="A149" s="137" t="s">
        <v>313</v>
      </c>
      <c r="B149" s="137" t="s">
        <v>49</v>
      </c>
      <c r="C149" s="138">
        <v>556.42999999999995</v>
      </c>
      <c r="D149" s="137">
        <v>2010082</v>
      </c>
      <c r="E149" s="139">
        <v>40242</v>
      </c>
    </row>
    <row r="150" spans="1:5" ht="15" x14ac:dyDescent="0.25">
      <c r="A150" s="137" t="s">
        <v>313</v>
      </c>
      <c r="B150" s="137" t="s">
        <v>49</v>
      </c>
      <c r="C150" s="138">
        <v>1052.3900000000001</v>
      </c>
      <c r="D150" s="137">
        <v>2010149</v>
      </c>
      <c r="E150" s="139">
        <v>40300</v>
      </c>
    </row>
    <row r="151" spans="1:5" ht="15" x14ac:dyDescent="0.25">
      <c r="A151" s="137" t="s">
        <v>311</v>
      </c>
      <c r="B151" s="137" t="s">
        <v>54</v>
      </c>
      <c r="C151" s="138">
        <v>799.58</v>
      </c>
      <c r="D151" s="137">
        <v>2010331</v>
      </c>
      <c r="E151" s="139">
        <v>40477</v>
      </c>
    </row>
    <row r="152" spans="1:5" ht="15" x14ac:dyDescent="0.25">
      <c r="A152" s="137" t="s">
        <v>311</v>
      </c>
      <c r="B152" s="137" t="s">
        <v>54</v>
      </c>
      <c r="C152" s="138">
        <v>147.26</v>
      </c>
      <c r="D152" s="137">
        <v>2010397</v>
      </c>
      <c r="E152" s="139">
        <v>40542</v>
      </c>
    </row>
    <row r="153" spans="1:5" ht="15" x14ac:dyDescent="0.25">
      <c r="A153" s="137" t="s">
        <v>313</v>
      </c>
      <c r="B153" s="137" t="s">
        <v>52</v>
      </c>
      <c r="C153" s="138">
        <v>52.63</v>
      </c>
      <c r="D153" s="137">
        <v>2010327</v>
      </c>
      <c r="E153" s="139">
        <v>40471</v>
      </c>
    </row>
    <row r="154" spans="1:5" ht="15" x14ac:dyDescent="0.25">
      <c r="A154" s="137" t="s">
        <v>311</v>
      </c>
      <c r="B154" s="137" t="s">
        <v>27</v>
      </c>
      <c r="C154" s="138">
        <v>762.62</v>
      </c>
      <c r="D154" s="137">
        <v>2010194</v>
      </c>
      <c r="E154" s="139">
        <v>40343</v>
      </c>
    </row>
    <row r="155" spans="1:5" ht="15" x14ac:dyDescent="0.25">
      <c r="A155" s="137" t="s">
        <v>313</v>
      </c>
      <c r="B155" s="137" t="s">
        <v>28</v>
      </c>
      <c r="C155" s="138">
        <v>752.04</v>
      </c>
      <c r="D155" s="137">
        <v>2010007</v>
      </c>
      <c r="E155" s="139">
        <v>40185</v>
      </c>
    </row>
    <row r="156" spans="1:5" ht="15" x14ac:dyDescent="0.25">
      <c r="A156" s="137" t="s">
        <v>313</v>
      </c>
      <c r="B156" s="137" t="s">
        <v>50</v>
      </c>
      <c r="C156" s="138">
        <v>420.23</v>
      </c>
      <c r="D156" s="137">
        <v>2010370</v>
      </c>
      <c r="E156" s="139">
        <v>40517</v>
      </c>
    </row>
    <row r="157" spans="1:5" ht="15" x14ac:dyDescent="0.25">
      <c r="A157" s="137" t="s">
        <v>311</v>
      </c>
      <c r="B157" s="137" t="s">
        <v>51</v>
      </c>
      <c r="C157" s="138">
        <v>709.27</v>
      </c>
      <c r="D157" s="137">
        <v>2010006</v>
      </c>
      <c r="E157" s="139">
        <v>40184</v>
      </c>
    </row>
    <row r="158" spans="1:5" ht="15" x14ac:dyDescent="0.25">
      <c r="A158" s="137" t="s">
        <v>311</v>
      </c>
      <c r="B158" s="137" t="s">
        <v>51</v>
      </c>
      <c r="C158" s="138">
        <v>756.84</v>
      </c>
      <c r="D158" s="137">
        <v>2010047</v>
      </c>
      <c r="E158" s="139">
        <v>40214</v>
      </c>
    </row>
    <row r="159" spans="1:5" ht="15" x14ac:dyDescent="0.25">
      <c r="A159" s="137" t="s">
        <v>311</v>
      </c>
      <c r="B159" s="137" t="s">
        <v>27</v>
      </c>
      <c r="C159" s="138">
        <v>883.52</v>
      </c>
      <c r="D159" s="137">
        <v>2010284</v>
      </c>
      <c r="E159" s="139">
        <v>40429</v>
      </c>
    </row>
    <row r="160" spans="1:5" ht="15" x14ac:dyDescent="0.25">
      <c r="A160" s="137" t="s">
        <v>311</v>
      </c>
      <c r="B160" s="137" t="s">
        <v>51</v>
      </c>
      <c r="C160" s="138">
        <v>846.93</v>
      </c>
      <c r="D160" s="137">
        <v>2010313</v>
      </c>
      <c r="E160" s="139">
        <v>40459</v>
      </c>
    </row>
    <row r="161" spans="1:5" ht="15" x14ac:dyDescent="0.25">
      <c r="A161" s="137" t="s">
        <v>313</v>
      </c>
      <c r="B161" s="137" t="s">
        <v>49</v>
      </c>
      <c r="C161" s="138">
        <v>668.18</v>
      </c>
      <c r="D161" s="137">
        <v>2010170</v>
      </c>
      <c r="E161" s="139">
        <v>40317</v>
      </c>
    </row>
    <row r="162" spans="1:5" ht="15" x14ac:dyDescent="0.25">
      <c r="A162" s="137" t="s">
        <v>313</v>
      </c>
      <c r="B162" s="137" t="s">
        <v>49</v>
      </c>
      <c r="C162" s="138">
        <v>444.27</v>
      </c>
      <c r="D162" s="137">
        <v>2010215</v>
      </c>
      <c r="E162" s="139">
        <v>40360</v>
      </c>
    </row>
    <row r="163" spans="1:5" ht="15" x14ac:dyDescent="0.25">
      <c r="A163" s="137" t="s">
        <v>311</v>
      </c>
      <c r="B163" s="137" t="s">
        <v>27</v>
      </c>
      <c r="C163" s="138">
        <v>480.24</v>
      </c>
      <c r="D163" s="137">
        <v>2010265</v>
      </c>
      <c r="E163" s="139">
        <v>40409</v>
      </c>
    </row>
    <row r="164" spans="1:5" ht="15" x14ac:dyDescent="0.25">
      <c r="A164" s="137" t="s">
        <v>313</v>
      </c>
      <c r="B164" s="137" t="s">
        <v>49</v>
      </c>
      <c r="C164" s="138">
        <v>836.57</v>
      </c>
      <c r="D164" s="137">
        <v>2010106</v>
      </c>
      <c r="E164" s="139">
        <v>40266</v>
      </c>
    </row>
    <row r="165" spans="1:5" ht="15" x14ac:dyDescent="0.25">
      <c r="A165" s="137" t="s">
        <v>313</v>
      </c>
      <c r="B165" s="137" t="s">
        <v>52</v>
      </c>
      <c r="C165" s="138">
        <v>905.95</v>
      </c>
      <c r="D165" s="137">
        <v>2010382</v>
      </c>
      <c r="E165" s="139">
        <v>40529</v>
      </c>
    </row>
    <row r="166" spans="1:5" ht="15" x14ac:dyDescent="0.25">
      <c r="A166" s="137" t="s">
        <v>313</v>
      </c>
      <c r="B166" s="137" t="s">
        <v>52</v>
      </c>
      <c r="C166" s="138">
        <v>1080.53</v>
      </c>
      <c r="D166" s="137">
        <v>2010097</v>
      </c>
      <c r="E166" s="139">
        <v>40255</v>
      </c>
    </row>
    <row r="167" spans="1:5" ht="15" x14ac:dyDescent="0.25">
      <c r="A167" s="137" t="s">
        <v>313</v>
      </c>
      <c r="B167" s="137" t="s">
        <v>53</v>
      </c>
      <c r="C167" s="138">
        <v>604.62</v>
      </c>
      <c r="D167" s="137">
        <v>2010208</v>
      </c>
      <c r="E167" s="139">
        <v>40352</v>
      </c>
    </row>
    <row r="168" spans="1:5" ht="15" x14ac:dyDescent="0.25">
      <c r="A168" s="137" t="s">
        <v>311</v>
      </c>
      <c r="B168" s="137" t="s">
        <v>51</v>
      </c>
      <c r="C168" s="138">
        <v>99.07</v>
      </c>
      <c r="D168" s="137">
        <v>2010180</v>
      </c>
      <c r="E168" s="139">
        <v>40327</v>
      </c>
    </row>
    <row r="169" spans="1:5" ht="15" x14ac:dyDescent="0.25">
      <c r="A169" s="137" t="s">
        <v>313</v>
      </c>
      <c r="B169" s="137" t="s">
        <v>53</v>
      </c>
      <c r="C169" s="138">
        <v>195.05</v>
      </c>
      <c r="D169" s="137">
        <v>2010196</v>
      </c>
      <c r="E169" s="139">
        <v>40345</v>
      </c>
    </row>
    <row r="170" spans="1:5" ht="15" x14ac:dyDescent="0.25">
      <c r="A170" s="137" t="s">
        <v>313</v>
      </c>
      <c r="B170" s="137" t="s">
        <v>53</v>
      </c>
      <c r="C170" s="138">
        <v>51.5</v>
      </c>
      <c r="D170" s="137">
        <v>2010116</v>
      </c>
      <c r="E170" s="139">
        <v>40273</v>
      </c>
    </row>
    <row r="171" spans="1:5" ht="15" x14ac:dyDescent="0.25">
      <c r="A171" s="137" t="s">
        <v>311</v>
      </c>
      <c r="B171" s="137" t="s">
        <v>51</v>
      </c>
      <c r="C171" s="138">
        <v>1010.93</v>
      </c>
      <c r="D171" s="137">
        <v>2010144</v>
      </c>
      <c r="E171" s="139">
        <v>40297</v>
      </c>
    </row>
    <row r="172" spans="1:5" ht="15" x14ac:dyDescent="0.25">
      <c r="A172" s="137" t="s">
        <v>313</v>
      </c>
      <c r="B172" s="137" t="s">
        <v>28</v>
      </c>
      <c r="C172" s="138">
        <v>255.24</v>
      </c>
      <c r="D172" s="137">
        <v>2010277</v>
      </c>
      <c r="E172" s="139">
        <v>40422</v>
      </c>
    </row>
    <row r="173" spans="1:5" ht="15" x14ac:dyDescent="0.25">
      <c r="A173" s="137" t="s">
        <v>313</v>
      </c>
      <c r="B173" s="137" t="s">
        <v>53</v>
      </c>
      <c r="C173" s="138">
        <v>15.49</v>
      </c>
      <c r="D173" s="137">
        <v>2010252</v>
      </c>
      <c r="E173" s="139">
        <v>40398</v>
      </c>
    </row>
    <row r="174" spans="1:5" ht="15" x14ac:dyDescent="0.25">
      <c r="A174" s="137" t="s">
        <v>313</v>
      </c>
      <c r="B174" s="137" t="s">
        <v>28</v>
      </c>
      <c r="C174" s="138">
        <v>868.41</v>
      </c>
      <c r="D174" s="137">
        <v>2010229</v>
      </c>
      <c r="E174" s="139">
        <v>40377</v>
      </c>
    </row>
    <row r="175" spans="1:5" ht="15" x14ac:dyDescent="0.25">
      <c r="A175" s="137" t="s">
        <v>313</v>
      </c>
      <c r="B175" s="137" t="s">
        <v>52</v>
      </c>
      <c r="C175" s="138">
        <v>285.20999999999998</v>
      </c>
      <c r="D175" s="137">
        <v>2010217</v>
      </c>
      <c r="E175" s="139">
        <v>40360</v>
      </c>
    </row>
    <row r="176" spans="1:5" ht="15" x14ac:dyDescent="0.25">
      <c r="A176" s="137" t="s">
        <v>313</v>
      </c>
      <c r="B176" s="137" t="s">
        <v>50</v>
      </c>
      <c r="C176" s="138">
        <v>369.81</v>
      </c>
      <c r="D176" s="137">
        <v>2010069</v>
      </c>
      <c r="E176" s="139">
        <v>40233</v>
      </c>
    </row>
    <row r="177" spans="1:5" ht="15" x14ac:dyDescent="0.25">
      <c r="A177" s="137" t="s">
        <v>313</v>
      </c>
      <c r="B177" s="137" t="s">
        <v>52</v>
      </c>
      <c r="C177" s="138">
        <v>119.96</v>
      </c>
      <c r="D177" s="137">
        <v>2010292</v>
      </c>
      <c r="E177" s="139">
        <v>40440</v>
      </c>
    </row>
    <row r="178" spans="1:5" ht="15" x14ac:dyDescent="0.25">
      <c r="A178" s="137" t="s">
        <v>313</v>
      </c>
      <c r="B178" s="137" t="s">
        <v>52</v>
      </c>
      <c r="C178" s="138">
        <v>842.87</v>
      </c>
      <c r="D178" s="137">
        <v>2010333</v>
      </c>
      <c r="E178" s="139">
        <v>40479</v>
      </c>
    </row>
    <row r="179" spans="1:5" ht="15" x14ac:dyDescent="0.25">
      <c r="A179" s="137" t="s">
        <v>313</v>
      </c>
      <c r="B179" s="137" t="s">
        <v>49</v>
      </c>
      <c r="C179" s="138">
        <v>596.38</v>
      </c>
      <c r="D179" s="137">
        <v>2010390</v>
      </c>
      <c r="E179" s="139">
        <v>40535</v>
      </c>
    </row>
    <row r="180" spans="1:5" ht="15" x14ac:dyDescent="0.25">
      <c r="A180" s="137" t="s">
        <v>313</v>
      </c>
      <c r="B180" s="137" t="s">
        <v>53</v>
      </c>
      <c r="C180" s="138">
        <v>233.58</v>
      </c>
      <c r="D180" s="137">
        <v>2010107</v>
      </c>
      <c r="E180" s="139">
        <v>40266</v>
      </c>
    </row>
    <row r="181" spans="1:5" ht="15" x14ac:dyDescent="0.25">
      <c r="A181" s="137" t="s">
        <v>313</v>
      </c>
      <c r="B181" s="137" t="s">
        <v>49</v>
      </c>
      <c r="C181" s="138">
        <v>827.39</v>
      </c>
      <c r="D181" s="137">
        <v>2010025</v>
      </c>
      <c r="E181" s="139">
        <v>40198</v>
      </c>
    </row>
    <row r="182" spans="1:5" ht="15" x14ac:dyDescent="0.25">
      <c r="A182" s="137" t="s">
        <v>313</v>
      </c>
      <c r="B182" s="137" t="s">
        <v>49</v>
      </c>
      <c r="C182" s="138">
        <v>543.4</v>
      </c>
      <c r="D182" s="137">
        <v>2010098</v>
      </c>
      <c r="E182" s="139">
        <v>40256</v>
      </c>
    </row>
    <row r="183" spans="1:5" ht="15" x14ac:dyDescent="0.25">
      <c r="A183" s="137" t="s">
        <v>313</v>
      </c>
      <c r="B183" s="137" t="s">
        <v>28</v>
      </c>
      <c r="C183" s="138">
        <v>1059.23</v>
      </c>
      <c r="D183" s="137">
        <v>2010239</v>
      </c>
      <c r="E183" s="139">
        <v>40385</v>
      </c>
    </row>
    <row r="184" spans="1:5" ht="15" x14ac:dyDescent="0.25">
      <c r="A184" s="137" t="s">
        <v>313</v>
      </c>
      <c r="B184" s="137" t="s">
        <v>28</v>
      </c>
      <c r="C184" s="138">
        <v>641.25</v>
      </c>
      <c r="D184" s="137">
        <v>2010308</v>
      </c>
      <c r="E184" s="139">
        <v>40455</v>
      </c>
    </row>
    <row r="185" spans="1:5" ht="15" x14ac:dyDescent="0.25">
      <c r="A185" s="137" t="s">
        <v>311</v>
      </c>
      <c r="B185" s="137" t="s">
        <v>54</v>
      </c>
      <c r="C185" s="138">
        <v>1140.6099999999999</v>
      </c>
      <c r="D185" s="137">
        <v>2010203</v>
      </c>
      <c r="E185" s="139">
        <v>40350</v>
      </c>
    </row>
    <row r="186" spans="1:5" ht="15" x14ac:dyDescent="0.25">
      <c r="A186" s="137" t="s">
        <v>313</v>
      </c>
      <c r="B186" s="137" t="s">
        <v>53</v>
      </c>
      <c r="C186" s="138">
        <v>598.91</v>
      </c>
      <c r="D186" s="137">
        <v>2010161</v>
      </c>
      <c r="E186" s="139">
        <v>40309</v>
      </c>
    </row>
    <row r="187" spans="1:5" ht="15" x14ac:dyDescent="0.25">
      <c r="A187" s="137" t="s">
        <v>313</v>
      </c>
      <c r="B187" s="137" t="s">
        <v>49</v>
      </c>
      <c r="C187" s="138">
        <v>279.27999999999997</v>
      </c>
      <c r="D187" s="137">
        <v>2010298</v>
      </c>
      <c r="E187" s="139">
        <v>40442</v>
      </c>
    </row>
    <row r="188" spans="1:5" ht="15" x14ac:dyDescent="0.25">
      <c r="A188" s="137" t="s">
        <v>313</v>
      </c>
      <c r="B188" s="137" t="s">
        <v>49</v>
      </c>
      <c r="C188" s="138">
        <v>102.36</v>
      </c>
      <c r="D188" s="137">
        <v>2010330</v>
      </c>
      <c r="E188" s="139">
        <v>40476</v>
      </c>
    </row>
    <row r="189" spans="1:5" ht="15" x14ac:dyDescent="0.25">
      <c r="A189" s="137" t="s">
        <v>313</v>
      </c>
      <c r="B189" s="137" t="s">
        <v>53</v>
      </c>
      <c r="C189" s="138">
        <v>370.25</v>
      </c>
      <c r="D189" s="137">
        <v>2010118</v>
      </c>
      <c r="E189" s="139">
        <v>40275</v>
      </c>
    </row>
    <row r="190" spans="1:5" ht="15" x14ac:dyDescent="0.25">
      <c r="A190" s="137" t="s">
        <v>311</v>
      </c>
      <c r="B190" s="137" t="s">
        <v>54</v>
      </c>
      <c r="C190" s="138">
        <v>1174.3499999999999</v>
      </c>
      <c r="D190" s="137">
        <v>2010075</v>
      </c>
      <c r="E190" s="139">
        <v>40238</v>
      </c>
    </row>
    <row r="191" spans="1:5" ht="15" x14ac:dyDescent="0.25">
      <c r="A191" s="137" t="s">
        <v>311</v>
      </c>
      <c r="B191" s="137" t="s">
        <v>54</v>
      </c>
      <c r="C191" s="138">
        <v>474.28</v>
      </c>
      <c r="D191" s="137">
        <v>2010267</v>
      </c>
      <c r="E191" s="139">
        <v>40412</v>
      </c>
    </row>
    <row r="192" spans="1:5" ht="15" x14ac:dyDescent="0.25">
      <c r="A192" s="137" t="s">
        <v>313</v>
      </c>
      <c r="B192" s="137" t="s">
        <v>53</v>
      </c>
      <c r="C192" s="138">
        <v>13.37</v>
      </c>
      <c r="D192" s="137">
        <v>2010323</v>
      </c>
      <c r="E192" s="139">
        <v>40469</v>
      </c>
    </row>
    <row r="193" spans="1:5" ht="15" x14ac:dyDescent="0.25">
      <c r="A193" s="137" t="s">
        <v>313</v>
      </c>
      <c r="B193" s="137" t="s">
        <v>28</v>
      </c>
      <c r="C193" s="138">
        <v>753.47</v>
      </c>
      <c r="D193" s="137">
        <v>2010221</v>
      </c>
      <c r="E193" s="139">
        <v>40366</v>
      </c>
    </row>
    <row r="194" spans="1:5" ht="15" x14ac:dyDescent="0.25">
      <c r="A194" s="137" t="s">
        <v>311</v>
      </c>
      <c r="B194" s="137" t="s">
        <v>48</v>
      </c>
      <c r="C194" s="138">
        <v>858.38</v>
      </c>
      <c r="D194" s="137">
        <v>2010377</v>
      </c>
      <c r="E194" s="139">
        <v>40523</v>
      </c>
    </row>
    <row r="195" spans="1:5" ht="15" x14ac:dyDescent="0.25">
      <c r="A195" s="137" t="s">
        <v>313</v>
      </c>
      <c r="B195" s="137" t="s">
        <v>28</v>
      </c>
      <c r="C195" s="138">
        <v>169.25</v>
      </c>
      <c r="D195" s="137">
        <v>2010015</v>
      </c>
      <c r="E195" s="139">
        <v>40191</v>
      </c>
    </row>
    <row r="196" spans="1:5" ht="15" x14ac:dyDescent="0.25">
      <c r="A196" s="137" t="s">
        <v>313</v>
      </c>
      <c r="B196" s="137" t="s">
        <v>50</v>
      </c>
      <c r="C196" s="138">
        <v>942.58</v>
      </c>
      <c r="D196" s="137">
        <v>2010096</v>
      </c>
      <c r="E196" s="139">
        <v>40255</v>
      </c>
    </row>
    <row r="197" spans="1:5" ht="15" x14ac:dyDescent="0.25">
      <c r="A197" s="137" t="s">
        <v>311</v>
      </c>
      <c r="B197" s="137" t="s">
        <v>48</v>
      </c>
      <c r="C197" s="138">
        <v>764.12</v>
      </c>
      <c r="D197" s="137">
        <v>2010050</v>
      </c>
      <c r="E197" s="139">
        <v>40217</v>
      </c>
    </row>
    <row r="198" spans="1:5" ht="15" x14ac:dyDescent="0.25">
      <c r="A198" s="137" t="s">
        <v>313</v>
      </c>
      <c r="B198" s="137" t="s">
        <v>49</v>
      </c>
      <c r="C198" s="138">
        <v>696.24</v>
      </c>
      <c r="D198" s="137">
        <v>2010213</v>
      </c>
      <c r="E198" s="139">
        <v>40359</v>
      </c>
    </row>
    <row r="199" spans="1:5" ht="15" x14ac:dyDescent="0.25">
      <c r="A199" s="137" t="s">
        <v>311</v>
      </c>
      <c r="B199" s="137" t="s">
        <v>51</v>
      </c>
      <c r="C199" s="138">
        <v>233.65</v>
      </c>
      <c r="D199" s="137">
        <v>2010346</v>
      </c>
      <c r="E199" s="139">
        <v>40487</v>
      </c>
    </row>
    <row r="200" spans="1:5" ht="15" x14ac:dyDescent="0.25">
      <c r="A200" s="137" t="s">
        <v>313</v>
      </c>
      <c r="B200" s="137" t="s">
        <v>52</v>
      </c>
      <c r="C200" s="138">
        <v>856.15</v>
      </c>
      <c r="D200" s="137">
        <v>2010348</v>
      </c>
      <c r="E200" s="139">
        <v>40490</v>
      </c>
    </row>
    <row r="201" spans="1:5" ht="15" x14ac:dyDescent="0.25">
      <c r="A201" s="137" t="s">
        <v>313</v>
      </c>
      <c r="B201" s="137" t="s">
        <v>50</v>
      </c>
      <c r="C201" s="138">
        <v>583.94000000000005</v>
      </c>
      <c r="D201" s="137">
        <v>2010317</v>
      </c>
      <c r="E201" s="139">
        <v>40464</v>
      </c>
    </row>
    <row r="202" spans="1:5" ht="15" x14ac:dyDescent="0.25">
      <c r="A202" s="137" t="s">
        <v>313</v>
      </c>
      <c r="B202" s="137" t="s">
        <v>49</v>
      </c>
      <c r="C202" s="138">
        <v>515.63</v>
      </c>
      <c r="D202" s="137">
        <v>2010179</v>
      </c>
      <c r="E202" s="139">
        <v>40327</v>
      </c>
    </row>
    <row r="203" spans="1:5" ht="15" x14ac:dyDescent="0.25">
      <c r="A203" s="137" t="s">
        <v>313</v>
      </c>
      <c r="B203" s="137" t="s">
        <v>50</v>
      </c>
      <c r="C203" s="138">
        <v>665.25</v>
      </c>
      <c r="D203" s="137">
        <v>2010233</v>
      </c>
      <c r="E203" s="139">
        <v>40381</v>
      </c>
    </row>
    <row r="204" spans="1:5" ht="15" x14ac:dyDescent="0.25">
      <c r="A204" s="137" t="s">
        <v>311</v>
      </c>
      <c r="B204" s="137" t="s">
        <v>51</v>
      </c>
      <c r="C204" s="138">
        <v>718.89</v>
      </c>
      <c r="D204" s="137">
        <v>2010358</v>
      </c>
      <c r="E204" s="139">
        <v>40501</v>
      </c>
    </row>
    <row r="205" spans="1:5" ht="15" x14ac:dyDescent="0.25">
      <c r="A205" s="137" t="s">
        <v>313</v>
      </c>
      <c r="B205" s="137" t="s">
        <v>49</v>
      </c>
      <c r="C205" s="138">
        <v>1037.8599999999999</v>
      </c>
      <c r="D205" s="137">
        <v>2010013</v>
      </c>
      <c r="E205" s="139">
        <v>40191</v>
      </c>
    </row>
    <row r="206" spans="1:5" ht="15" x14ac:dyDescent="0.25">
      <c r="A206" s="137" t="s">
        <v>313</v>
      </c>
      <c r="B206" s="137" t="s">
        <v>53</v>
      </c>
      <c r="C206" s="138">
        <v>472.16</v>
      </c>
      <c r="D206" s="137">
        <v>2010123</v>
      </c>
      <c r="E206" s="139">
        <v>40280</v>
      </c>
    </row>
    <row r="207" spans="1:5" ht="15" x14ac:dyDescent="0.25">
      <c r="A207" s="137" t="s">
        <v>313</v>
      </c>
      <c r="B207" s="137" t="s">
        <v>49</v>
      </c>
      <c r="C207" s="138">
        <v>899.14</v>
      </c>
      <c r="D207" s="137">
        <v>2010201</v>
      </c>
      <c r="E207" s="139">
        <v>40347</v>
      </c>
    </row>
    <row r="208" spans="1:5" ht="15" x14ac:dyDescent="0.25">
      <c r="A208" s="137" t="s">
        <v>313</v>
      </c>
      <c r="B208" s="137" t="s">
        <v>49</v>
      </c>
      <c r="C208" s="138">
        <v>720.61</v>
      </c>
      <c r="D208" s="137">
        <v>2010184</v>
      </c>
      <c r="E208" s="139">
        <v>40330</v>
      </c>
    </row>
    <row r="209" spans="1:5" ht="15" x14ac:dyDescent="0.25">
      <c r="A209" s="137" t="s">
        <v>313</v>
      </c>
      <c r="B209" s="137" t="s">
        <v>49</v>
      </c>
      <c r="C209" s="138">
        <v>676.7</v>
      </c>
      <c r="D209" s="137">
        <v>2010261</v>
      </c>
      <c r="E209" s="139">
        <v>40406</v>
      </c>
    </row>
    <row r="210" spans="1:5" ht="15" x14ac:dyDescent="0.25">
      <c r="A210" s="137" t="s">
        <v>311</v>
      </c>
      <c r="B210" s="137" t="s">
        <v>48</v>
      </c>
      <c r="C210" s="138">
        <v>958.61</v>
      </c>
      <c r="D210" s="137">
        <v>2010238</v>
      </c>
      <c r="E210" s="139">
        <v>40384</v>
      </c>
    </row>
    <row r="211" spans="1:5" ht="15" x14ac:dyDescent="0.25">
      <c r="A211" s="137" t="s">
        <v>313</v>
      </c>
      <c r="B211" s="137" t="s">
        <v>50</v>
      </c>
      <c r="C211" s="138">
        <v>230.87</v>
      </c>
      <c r="D211" s="137">
        <v>2010168</v>
      </c>
      <c r="E211" s="139">
        <v>40316</v>
      </c>
    </row>
    <row r="212" spans="1:5" ht="15" x14ac:dyDescent="0.25">
      <c r="A212" s="137" t="s">
        <v>313</v>
      </c>
      <c r="B212" s="137" t="s">
        <v>50</v>
      </c>
      <c r="C212" s="138">
        <v>954.03</v>
      </c>
      <c r="D212" s="137">
        <v>2010154</v>
      </c>
      <c r="E212" s="139">
        <v>40307</v>
      </c>
    </row>
    <row r="213" spans="1:5" ht="15" x14ac:dyDescent="0.25">
      <c r="A213" s="137" t="s">
        <v>313</v>
      </c>
      <c r="B213" s="137" t="s">
        <v>28</v>
      </c>
      <c r="C213" s="138">
        <v>1086.97</v>
      </c>
      <c r="D213" s="137">
        <v>2010367</v>
      </c>
      <c r="E213" s="139">
        <v>40514</v>
      </c>
    </row>
    <row r="214" spans="1:5" ht="15" x14ac:dyDescent="0.25">
      <c r="A214" s="137" t="s">
        <v>313</v>
      </c>
      <c r="B214" s="137" t="s">
        <v>50</v>
      </c>
      <c r="C214" s="138">
        <v>614.13</v>
      </c>
      <c r="D214" s="137">
        <v>2010372</v>
      </c>
      <c r="E214" s="139">
        <v>40517</v>
      </c>
    </row>
    <row r="215" spans="1:5" ht="15" x14ac:dyDescent="0.25">
      <c r="A215" s="137" t="s">
        <v>311</v>
      </c>
      <c r="B215" s="137" t="s">
        <v>27</v>
      </c>
      <c r="C215" s="138">
        <v>340.79</v>
      </c>
      <c r="D215" s="137">
        <v>2010136</v>
      </c>
      <c r="E215" s="139">
        <v>40289</v>
      </c>
    </row>
    <row r="216" spans="1:5" ht="15" x14ac:dyDescent="0.25">
      <c r="A216" s="137" t="s">
        <v>313</v>
      </c>
      <c r="B216" s="137" t="s">
        <v>52</v>
      </c>
      <c r="C216" s="138">
        <v>587.16</v>
      </c>
      <c r="D216" s="137">
        <v>2010074</v>
      </c>
      <c r="E216" s="139">
        <v>40238</v>
      </c>
    </row>
    <row r="217" spans="1:5" ht="15" x14ac:dyDescent="0.25">
      <c r="A217" s="137" t="s">
        <v>313</v>
      </c>
      <c r="B217" s="137" t="s">
        <v>49</v>
      </c>
      <c r="C217" s="138">
        <v>1130.51</v>
      </c>
      <c r="D217" s="137">
        <v>2010227</v>
      </c>
      <c r="E217" s="139">
        <v>40374</v>
      </c>
    </row>
    <row r="218" spans="1:5" ht="15" x14ac:dyDescent="0.25">
      <c r="A218" s="137" t="s">
        <v>311</v>
      </c>
      <c r="B218" s="137" t="s">
        <v>54</v>
      </c>
      <c r="C218" s="138">
        <v>1165.17</v>
      </c>
      <c r="D218" s="137">
        <v>2010315</v>
      </c>
      <c r="E218" s="139">
        <v>40462</v>
      </c>
    </row>
    <row r="219" spans="1:5" ht="15" x14ac:dyDescent="0.25">
      <c r="A219" s="137" t="s">
        <v>313</v>
      </c>
      <c r="B219" s="137" t="s">
        <v>52</v>
      </c>
      <c r="C219" s="138">
        <v>513.61</v>
      </c>
      <c r="D219" s="137">
        <v>2010174</v>
      </c>
      <c r="E219" s="139">
        <v>40321</v>
      </c>
    </row>
    <row r="220" spans="1:5" ht="15" x14ac:dyDescent="0.25">
      <c r="A220" s="137" t="s">
        <v>313</v>
      </c>
      <c r="B220" s="137" t="s">
        <v>53</v>
      </c>
      <c r="C220" s="138">
        <v>962.96</v>
      </c>
      <c r="D220" s="137">
        <v>2010117</v>
      </c>
      <c r="E220" s="139">
        <v>40273</v>
      </c>
    </row>
    <row r="221" spans="1:5" ht="15" x14ac:dyDescent="0.25">
      <c r="A221" s="137" t="s">
        <v>313</v>
      </c>
      <c r="B221" s="137" t="s">
        <v>53</v>
      </c>
      <c r="C221" s="138">
        <v>985.1</v>
      </c>
      <c r="D221" s="137">
        <v>2010079</v>
      </c>
      <c r="E221" s="139">
        <v>40240</v>
      </c>
    </row>
    <row r="222" spans="1:5" ht="15" x14ac:dyDescent="0.25">
      <c r="A222" s="137" t="s">
        <v>313</v>
      </c>
      <c r="B222" s="137" t="s">
        <v>53</v>
      </c>
      <c r="C222" s="138">
        <v>849.67</v>
      </c>
      <c r="D222" s="137">
        <v>2010304</v>
      </c>
      <c r="E222" s="139">
        <v>40449</v>
      </c>
    </row>
    <row r="223" spans="1:5" ht="15" x14ac:dyDescent="0.25">
      <c r="A223" s="137" t="s">
        <v>313</v>
      </c>
      <c r="B223" s="137" t="s">
        <v>52</v>
      </c>
      <c r="C223" s="138">
        <v>729.5</v>
      </c>
      <c r="D223" s="137">
        <v>2010112</v>
      </c>
      <c r="E223" s="139">
        <v>40269</v>
      </c>
    </row>
    <row r="224" spans="1:5" ht="15" x14ac:dyDescent="0.25">
      <c r="A224" s="137" t="s">
        <v>313</v>
      </c>
      <c r="B224" s="137" t="s">
        <v>53</v>
      </c>
      <c r="C224" s="138">
        <v>673.37</v>
      </c>
      <c r="D224" s="137">
        <v>2010124</v>
      </c>
      <c r="E224" s="139">
        <v>40280</v>
      </c>
    </row>
    <row r="225" spans="1:5" ht="15" x14ac:dyDescent="0.25">
      <c r="A225" s="137" t="s">
        <v>313</v>
      </c>
      <c r="B225" s="137" t="s">
        <v>53</v>
      </c>
      <c r="C225" s="138">
        <v>285.54000000000002</v>
      </c>
      <c r="D225" s="137">
        <v>2010129</v>
      </c>
      <c r="E225" s="139">
        <v>40282</v>
      </c>
    </row>
    <row r="226" spans="1:5" ht="15" x14ac:dyDescent="0.25">
      <c r="A226" s="137" t="s">
        <v>313</v>
      </c>
      <c r="B226" s="137" t="s">
        <v>52</v>
      </c>
      <c r="C226" s="138">
        <v>742.57</v>
      </c>
      <c r="D226" s="137">
        <v>2010078</v>
      </c>
      <c r="E226" s="139">
        <v>40240</v>
      </c>
    </row>
    <row r="227" spans="1:5" ht="15" x14ac:dyDescent="0.25">
      <c r="A227" s="137" t="s">
        <v>313</v>
      </c>
      <c r="B227" s="137" t="s">
        <v>49</v>
      </c>
      <c r="C227" s="138">
        <v>822.74</v>
      </c>
      <c r="D227" s="137">
        <v>2010064</v>
      </c>
      <c r="E227" s="139">
        <v>40227</v>
      </c>
    </row>
    <row r="228" spans="1:5" ht="15" x14ac:dyDescent="0.25">
      <c r="A228" s="137" t="s">
        <v>313</v>
      </c>
      <c r="B228" s="137" t="s">
        <v>50</v>
      </c>
      <c r="C228" s="138">
        <v>31.08</v>
      </c>
      <c r="D228" s="137">
        <v>2010379</v>
      </c>
      <c r="E228" s="139">
        <v>40528</v>
      </c>
    </row>
    <row r="229" spans="1:5" ht="15" x14ac:dyDescent="0.25">
      <c r="A229" s="137" t="s">
        <v>313</v>
      </c>
      <c r="B229" s="137" t="s">
        <v>50</v>
      </c>
      <c r="C229" s="138">
        <v>445.41</v>
      </c>
      <c r="D229" s="137">
        <v>2010156</v>
      </c>
      <c r="E229" s="139">
        <v>40307</v>
      </c>
    </row>
    <row r="230" spans="1:5" ht="15" x14ac:dyDescent="0.25">
      <c r="A230" s="137" t="s">
        <v>313</v>
      </c>
      <c r="B230" s="137" t="s">
        <v>28</v>
      </c>
      <c r="C230" s="138">
        <v>938.7</v>
      </c>
      <c r="D230" s="137">
        <v>2010319</v>
      </c>
      <c r="E230" s="139">
        <v>40465</v>
      </c>
    </row>
    <row r="231" spans="1:5" ht="15" x14ac:dyDescent="0.25">
      <c r="A231" s="137" t="s">
        <v>313</v>
      </c>
      <c r="B231" s="137" t="s">
        <v>50</v>
      </c>
      <c r="C231" s="138">
        <v>92.52</v>
      </c>
      <c r="D231" s="137">
        <v>2010169</v>
      </c>
      <c r="E231" s="139">
        <v>40316</v>
      </c>
    </row>
    <row r="232" spans="1:5" ht="15" x14ac:dyDescent="0.25">
      <c r="A232" s="137" t="s">
        <v>313</v>
      </c>
      <c r="B232" s="137" t="s">
        <v>52</v>
      </c>
      <c r="C232" s="138">
        <v>588.70000000000005</v>
      </c>
      <c r="D232" s="137">
        <v>2010147</v>
      </c>
      <c r="E232" s="139">
        <v>40298</v>
      </c>
    </row>
    <row r="233" spans="1:5" ht="15" x14ac:dyDescent="0.25">
      <c r="A233" s="137" t="s">
        <v>311</v>
      </c>
      <c r="B233" s="137" t="s">
        <v>27</v>
      </c>
      <c r="C233" s="138">
        <v>254.84</v>
      </c>
      <c r="D233" s="137">
        <v>2010301</v>
      </c>
      <c r="E233" s="139">
        <v>40444</v>
      </c>
    </row>
    <row r="234" spans="1:5" ht="15" x14ac:dyDescent="0.25">
      <c r="A234" s="137" t="s">
        <v>313</v>
      </c>
      <c r="B234" s="137" t="s">
        <v>49</v>
      </c>
      <c r="C234" s="138">
        <v>119.7</v>
      </c>
      <c r="D234" s="137">
        <v>2010287</v>
      </c>
      <c r="E234" s="139">
        <v>40433</v>
      </c>
    </row>
    <row r="235" spans="1:5" ht="15" x14ac:dyDescent="0.25">
      <c r="A235" s="137" t="s">
        <v>313</v>
      </c>
      <c r="B235" s="137" t="s">
        <v>49</v>
      </c>
      <c r="C235" s="138">
        <v>1150.3499999999999</v>
      </c>
      <c r="D235" s="137">
        <v>2010160</v>
      </c>
      <c r="E235" s="139">
        <v>40309</v>
      </c>
    </row>
    <row r="236" spans="1:5" ht="15" x14ac:dyDescent="0.25">
      <c r="A236" s="137" t="s">
        <v>313</v>
      </c>
      <c r="B236" s="137" t="s">
        <v>49</v>
      </c>
      <c r="C236" s="138">
        <v>341.34</v>
      </c>
      <c r="D236" s="137">
        <v>2010178</v>
      </c>
      <c r="E236" s="139">
        <v>40324</v>
      </c>
    </row>
    <row r="237" spans="1:5" ht="15" x14ac:dyDescent="0.25">
      <c r="A237" s="137" t="s">
        <v>313</v>
      </c>
      <c r="B237" s="137" t="s">
        <v>28</v>
      </c>
      <c r="C237" s="138">
        <v>829.84</v>
      </c>
      <c r="D237" s="137">
        <v>2010102</v>
      </c>
      <c r="E237" s="139">
        <v>40261</v>
      </c>
    </row>
    <row r="238" spans="1:5" ht="15" x14ac:dyDescent="0.25">
      <c r="A238" s="137" t="s">
        <v>313</v>
      </c>
      <c r="B238" s="137" t="s">
        <v>49</v>
      </c>
      <c r="C238" s="138">
        <v>640.66</v>
      </c>
      <c r="D238" s="137">
        <v>2010289</v>
      </c>
      <c r="E238" s="139">
        <v>40435</v>
      </c>
    </row>
    <row r="239" spans="1:5" ht="15" x14ac:dyDescent="0.25">
      <c r="A239" s="137" t="s">
        <v>313</v>
      </c>
      <c r="B239" s="137" t="s">
        <v>49</v>
      </c>
      <c r="C239" s="138">
        <v>804.81</v>
      </c>
      <c r="D239" s="137">
        <v>2010046</v>
      </c>
      <c r="E239" s="139">
        <v>40213</v>
      </c>
    </row>
    <row r="240" spans="1:5" ht="15" x14ac:dyDescent="0.25">
      <c r="A240" s="137" t="s">
        <v>311</v>
      </c>
      <c r="B240" s="137" t="s">
        <v>54</v>
      </c>
      <c r="C240" s="138">
        <v>238.44</v>
      </c>
      <c r="D240" s="137">
        <v>2010120</v>
      </c>
      <c r="E240" s="139">
        <v>40276</v>
      </c>
    </row>
    <row r="241" spans="1:5" ht="15" x14ac:dyDescent="0.25">
      <c r="A241" s="137" t="s">
        <v>311</v>
      </c>
      <c r="B241" s="137" t="s">
        <v>54</v>
      </c>
      <c r="C241" s="138">
        <v>615.34</v>
      </c>
      <c r="D241" s="137">
        <v>2010148</v>
      </c>
      <c r="E241" s="139">
        <v>40299</v>
      </c>
    </row>
    <row r="242" spans="1:5" ht="15" x14ac:dyDescent="0.25">
      <c r="A242" s="137" t="s">
        <v>313</v>
      </c>
      <c r="B242" s="137" t="s">
        <v>28</v>
      </c>
      <c r="C242" s="138">
        <v>289.33999999999997</v>
      </c>
      <c r="D242" s="137">
        <v>2010399</v>
      </c>
      <c r="E242" s="139">
        <v>40543</v>
      </c>
    </row>
    <row r="243" spans="1:5" ht="15" x14ac:dyDescent="0.25">
      <c r="A243" s="137" t="s">
        <v>313</v>
      </c>
      <c r="B243" s="137" t="s">
        <v>52</v>
      </c>
      <c r="C243" s="138">
        <v>546.03</v>
      </c>
      <c r="D243" s="137">
        <v>2010359</v>
      </c>
      <c r="E243" s="139">
        <v>40504</v>
      </c>
    </row>
    <row r="244" spans="1:5" ht="15" x14ac:dyDescent="0.25">
      <c r="A244" s="137" t="s">
        <v>313</v>
      </c>
      <c r="B244" s="137" t="s">
        <v>49</v>
      </c>
      <c r="C244" s="138">
        <v>1058.72</v>
      </c>
      <c r="D244" s="137">
        <v>2010016</v>
      </c>
      <c r="E244" s="139">
        <v>40191</v>
      </c>
    </row>
    <row r="245" spans="1:5" ht="15" x14ac:dyDescent="0.25">
      <c r="A245" s="137" t="s">
        <v>311</v>
      </c>
      <c r="B245" s="137" t="s">
        <v>48</v>
      </c>
      <c r="C245" s="138">
        <v>114.18</v>
      </c>
      <c r="D245" s="137">
        <v>2010141</v>
      </c>
      <c r="E245" s="139">
        <v>40296</v>
      </c>
    </row>
    <row r="246" spans="1:5" ht="15" x14ac:dyDescent="0.25">
      <c r="A246" s="137" t="s">
        <v>313</v>
      </c>
      <c r="B246" s="137" t="s">
        <v>53</v>
      </c>
      <c r="C246" s="138">
        <v>431.17</v>
      </c>
      <c r="D246" s="137">
        <v>2010065</v>
      </c>
      <c r="E246" s="139">
        <v>40228</v>
      </c>
    </row>
    <row r="247" spans="1:5" ht="15" x14ac:dyDescent="0.25">
      <c r="A247" s="137" t="s">
        <v>313</v>
      </c>
      <c r="B247" s="137" t="s">
        <v>50</v>
      </c>
      <c r="C247" s="138">
        <v>245.18</v>
      </c>
      <c r="D247" s="137">
        <v>2010311</v>
      </c>
      <c r="E247" s="139">
        <v>40458</v>
      </c>
    </row>
    <row r="248" spans="1:5" ht="15" x14ac:dyDescent="0.25">
      <c r="A248" s="137" t="s">
        <v>313</v>
      </c>
      <c r="B248" s="137" t="s">
        <v>52</v>
      </c>
      <c r="C248" s="138">
        <v>278</v>
      </c>
      <c r="D248" s="137">
        <v>2010022</v>
      </c>
      <c r="E248" s="139">
        <v>40195</v>
      </c>
    </row>
    <row r="249" spans="1:5" ht="15" x14ac:dyDescent="0.25">
      <c r="A249" s="137" t="s">
        <v>313</v>
      </c>
      <c r="B249" s="137" t="s">
        <v>50</v>
      </c>
      <c r="C249" s="138">
        <v>642.01</v>
      </c>
      <c r="D249" s="137">
        <v>2010172</v>
      </c>
      <c r="E249" s="139">
        <v>40320</v>
      </c>
    </row>
    <row r="250" spans="1:5" ht="15" x14ac:dyDescent="0.25">
      <c r="A250" s="137" t="s">
        <v>313</v>
      </c>
      <c r="B250" s="137" t="s">
        <v>49</v>
      </c>
      <c r="C250" s="138">
        <v>901.96</v>
      </c>
      <c r="D250" s="137">
        <v>2010012</v>
      </c>
      <c r="E250" s="139">
        <v>40188</v>
      </c>
    </row>
    <row r="251" spans="1:5" ht="15" x14ac:dyDescent="0.25">
      <c r="A251" s="137" t="s">
        <v>313</v>
      </c>
      <c r="B251" s="137" t="s">
        <v>28</v>
      </c>
      <c r="C251" s="138">
        <v>437.76</v>
      </c>
      <c r="D251" s="137">
        <v>2010063</v>
      </c>
      <c r="E251" s="139">
        <v>40226</v>
      </c>
    </row>
    <row r="252" spans="1:5" ht="15" x14ac:dyDescent="0.25">
      <c r="A252" s="137" t="s">
        <v>313</v>
      </c>
      <c r="B252" s="137" t="s">
        <v>52</v>
      </c>
      <c r="C252" s="138">
        <v>358.39</v>
      </c>
      <c r="D252" s="137">
        <v>2010220</v>
      </c>
      <c r="E252" s="139">
        <v>40365</v>
      </c>
    </row>
    <row r="253" spans="1:5" ht="15" x14ac:dyDescent="0.25">
      <c r="A253" s="137" t="s">
        <v>311</v>
      </c>
      <c r="B253" s="137" t="s">
        <v>27</v>
      </c>
      <c r="C253" s="138">
        <v>1192.28</v>
      </c>
      <c r="D253" s="137">
        <v>2010269</v>
      </c>
      <c r="E253" s="139">
        <v>40414</v>
      </c>
    </row>
    <row r="254" spans="1:5" ht="15" x14ac:dyDescent="0.25">
      <c r="A254" s="137" t="s">
        <v>313</v>
      </c>
      <c r="B254" s="137" t="s">
        <v>53</v>
      </c>
      <c r="C254" s="138">
        <v>569.96</v>
      </c>
      <c r="D254" s="137">
        <v>2010157</v>
      </c>
      <c r="E254" s="139">
        <v>40308</v>
      </c>
    </row>
    <row r="255" spans="1:5" ht="15" x14ac:dyDescent="0.25">
      <c r="A255" s="137" t="s">
        <v>313</v>
      </c>
      <c r="B255" s="137" t="s">
        <v>50</v>
      </c>
      <c r="C255" s="138">
        <v>786.59</v>
      </c>
      <c r="D255" s="137">
        <v>2010254</v>
      </c>
      <c r="E255" s="139">
        <v>40398</v>
      </c>
    </row>
    <row r="256" spans="1:5" ht="15" x14ac:dyDescent="0.25">
      <c r="A256" s="137" t="s">
        <v>311</v>
      </c>
      <c r="B256" s="137" t="s">
        <v>48</v>
      </c>
      <c r="C256" s="138">
        <v>918.54</v>
      </c>
      <c r="D256" s="137">
        <v>2010302</v>
      </c>
      <c r="E256" s="139">
        <v>40447</v>
      </c>
    </row>
    <row r="257" spans="1:5" ht="15" x14ac:dyDescent="0.25">
      <c r="A257" s="137" t="s">
        <v>313</v>
      </c>
      <c r="B257" s="137" t="s">
        <v>50</v>
      </c>
      <c r="C257" s="138">
        <v>492.94</v>
      </c>
      <c r="D257" s="137">
        <v>2010305</v>
      </c>
      <c r="E257" s="139">
        <v>40449</v>
      </c>
    </row>
    <row r="258" spans="1:5" ht="15" x14ac:dyDescent="0.25">
      <c r="A258" s="137" t="s">
        <v>313</v>
      </c>
      <c r="B258" s="137" t="s">
        <v>52</v>
      </c>
      <c r="C258" s="138">
        <v>307.93</v>
      </c>
      <c r="D258" s="137">
        <v>2010028</v>
      </c>
      <c r="E258" s="139">
        <v>40201</v>
      </c>
    </row>
    <row r="259" spans="1:5" ht="15" x14ac:dyDescent="0.25">
      <c r="A259" s="137" t="s">
        <v>313</v>
      </c>
      <c r="B259" s="137" t="s">
        <v>50</v>
      </c>
      <c r="C259" s="138">
        <v>908.22</v>
      </c>
      <c r="D259" s="137">
        <v>2010010</v>
      </c>
      <c r="E259" s="139">
        <v>40187</v>
      </c>
    </row>
    <row r="260" spans="1:5" ht="15" x14ac:dyDescent="0.25">
      <c r="A260" s="137" t="s">
        <v>313</v>
      </c>
      <c r="B260" s="137" t="s">
        <v>49</v>
      </c>
      <c r="C260" s="138">
        <v>601.14</v>
      </c>
      <c r="D260" s="137">
        <v>2010145</v>
      </c>
      <c r="E260" s="139">
        <v>40297</v>
      </c>
    </row>
    <row r="261" spans="1:5" ht="15" x14ac:dyDescent="0.25">
      <c r="A261" s="137" t="s">
        <v>311</v>
      </c>
      <c r="B261" s="137" t="s">
        <v>27</v>
      </c>
      <c r="C261" s="138">
        <v>1145.5899999999999</v>
      </c>
      <c r="D261" s="137">
        <v>2010125</v>
      </c>
      <c r="E261" s="139">
        <v>40280</v>
      </c>
    </row>
    <row r="262" spans="1:5" ht="15" x14ac:dyDescent="0.25">
      <c r="A262" s="137" t="s">
        <v>313</v>
      </c>
      <c r="B262" s="137" t="s">
        <v>53</v>
      </c>
      <c r="C262" s="138">
        <v>918.24</v>
      </c>
      <c r="D262" s="137">
        <v>2010332</v>
      </c>
      <c r="E262" s="139">
        <v>40478</v>
      </c>
    </row>
    <row r="263" spans="1:5" ht="15" x14ac:dyDescent="0.25">
      <c r="A263" s="137" t="s">
        <v>313</v>
      </c>
      <c r="B263" s="137" t="s">
        <v>28</v>
      </c>
      <c r="C263" s="138">
        <v>751.83</v>
      </c>
      <c r="D263" s="137">
        <v>2010242</v>
      </c>
      <c r="E263" s="139">
        <v>40387</v>
      </c>
    </row>
    <row r="264" spans="1:5" ht="15" x14ac:dyDescent="0.25">
      <c r="A264" s="137" t="s">
        <v>313</v>
      </c>
      <c r="B264" s="137" t="s">
        <v>50</v>
      </c>
      <c r="C264" s="138">
        <v>282.98</v>
      </c>
      <c r="D264" s="137">
        <v>2010073</v>
      </c>
      <c r="E264" s="139">
        <v>40234</v>
      </c>
    </row>
    <row r="265" spans="1:5" ht="15" x14ac:dyDescent="0.25">
      <c r="A265" s="137" t="s">
        <v>313</v>
      </c>
      <c r="B265" s="137" t="s">
        <v>28</v>
      </c>
      <c r="C265" s="138">
        <v>145.97999999999999</v>
      </c>
      <c r="D265" s="137">
        <v>2010337</v>
      </c>
      <c r="E265" s="139">
        <v>40480</v>
      </c>
    </row>
    <row r="266" spans="1:5" ht="15" x14ac:dyDescent="0.25">
      <c r="A266" s="137" t="s">
        <v>313</v>
      </c>
      <c r="B266" s="137" t="s">
        <v>49</v>
      </c>
      <c r="C266" s="138">
        <v>1145</v>
      </c>
      <c r="D266" s="137">
        <v>2010307</v>
      </c>
      <c r="E266" s="139">
        <v>40452</v>
      </c>
    </row>
    <row r="267" spans="1:5" ht="15" x14ac:dyDescent="0.25">
      <c r="A267" s="137" t="s">
        <v>311</v>
      </c>
      <c r="B267" s="137" t="s">
        <v>48</v>
      </c>
      <c r="C267" s="138">
        <v>718.23</v>
      </c>
      <c r="D267" s="137">
        <v>2010048</v>
      </c>
      <c r="E267" s="139">
        <v>40214</v>
      </c>
    </row>
    <row r="268" spans="1:5" ht="15" x14ac:dyDescent="0.25">
      <c r="A268" s="137" t="s">
        <v>313</v>
      </c>
      <c r="B268" s="137" t="s">
        <v>28</v>
      </c>
      <c r="C268" s="138">
        <v>1068.97</v>
      </c>
      <c r="D268" s="137">
        <v>2010392</v>
      </c>
      <c r="E268" s="139">
        <v>40536</v>
      </c>
    </row>
    <row r="269" spans="1:5" ht="15" x14ac:dyDescent="0.25">
      <c r="A269" s="137" t="s">
        <v>313</v>
      </c>
      <c r="B269" s="137" t="s">
        <v>49</v>
      </c>
      <c r="C269" s="138">
        <v>1046.28</v>
      </c>
      <c r="D269" s="137">
        <v>2010321</v>
      </c>
      <c r="E269" s="139">
        <v>40469</v>
      </c>
    </row>
    <row r="270" spans="1:5" ht="15" x14ac:dyDescent="0.25">
      <c r="A270" s="137" t="s">
        <v>313</v>
      </c>
      <c r="B270" s="137" t="s">
        <v>50</v>
      </c>
      <c r="C270" s="138">
        <v>306.27999999999997</v>
      </c>
      <c r="D270" s="137">
        <v>2010384</v>
      </c>
      <c r="E270" s="139">
        <v>40530</v>
      </c>
    </row>
    <row r="271" spans="1:5" ht="15" x14ac:dyDescent="0.25">
      <c r="A271" s="137" t="s">
        <v>313</v>
      </c>
      <c r="B271" s="137" t="s">
        <v>28</v>
      </c>
      <c r="C271" s="138">
        <v>1106.73</v>
      </c>
      <c r="D271" s="137">
        <v>2010034</v>
      </c>
      <c r="E271" s="139">
        <v>40205</v>
      </c>
    </row>
    <row r="272" spans="1:5" ht="15" x14ac:dyDescent="0.25">
      <c r="A272" s="137" t="s">
        <v>313</v>
      </c>
      <c r="B272" s="137" t="s">
        <v>52</v>
      </c>
      <c r="C272" s="138">
        <v>705.76</v>
      </c>
      <c r="D272" s="137">
        <v>2010036</v>
      </c>
      <c r="E272" s="139">
        <v>40207</v>
      </c>
    </row>
    <row r="273" spans="1:5" ht="15" x14ac:dyDescent="0.25">
      <c r="A273" s="137" t="s">
        <v>313</v>
      </c>
      <c r="B273" s="137" t="s">
        <v>52</v>
      </c>
      <c r="C273" s="138">
        <v>883.45</v>
      </c>
      <c r="D273" s="137">
        <v>2010092</v>
      </c>
      <c r="E273" s="139">
        <v>40253</v>
      </c>
    </row>
    <row r="274" spans="1:5" ht="15" x14ac:dyDescent="0.25">
      <c r="A274" s="137" t="s">
        <v>313</v>
      </c>
      <c r="B274" s="137" t="s">
        <v>49</v>
      </c>
      <c r="C274" s="138">
        <v>1088.18</v>
      </c>
      <c r="D274" s="137">
        <v>2010084</v>
      </c>
      <c r="E274" s="139">
        <v>40246</v>
      </c>
    </row>
    <row r="275" spans="1:5" ht="15" x14ac:dyDescent="0.25">
      <c r="A275" s="137" t="s">
        <v>313</v>
      </c>
      <c r="B275" s="137" t="s">
        <v>52</v>
      </c>
      <c r="C275" s="138">
        <v>1077.24</v>
      </c>
      <c r="D275" s="137">
        <v>2010035</v>
      </c>
      <c r="E275" s="139">
        <v>40206</v>
      </c>
    </row>
    <row r="276" spans="1:5" ht="15" x14ac:dyDescent="0.25">
      <c r="A276" s="137" t="s">
        <v>313</v>
      </c>
      <c r="B276" s="137" t="s">
        <v>52</v>
      </c>
      <c r="C276" s="138">
        <v>1042.1400000000001</v>
      </c>
      <c r="D276" s="137">
        <v>2010235</v>
      </c>
      <c r="E276" s="139">
        <v>40384</v>
      </c>
    </row>
    <row r="277" spans="1:5" ht="15" x14ac:dyDescent="0.25">
      <c r="A277" s="137" t="s">
        <v>313</v>
      </c>
      <c r="B277" s="137" t="s">
        <v>49</v>
      </c>
      <c r="C277" s="138">
        <v>322.64</v>
      </c>
      <c r="D277" s="137">
        <v>2010341</v>
      </c>
      <c r="E277" s="139">
        <v>40483</v>
      </c>
    </row>
    <row r="278" spans="1:5" ht="15" x14ac:dyDescent="0.25">
      <c r="A278" s="137" t="s">
        <v>313</v>
      </c>
      <c r="B278" s="137" t="s">
        <v>49</v>
      </c>
      <c r="C278" s="138">
        <v>247.77</v>
      </c>
      <c r="D278" s="137">
        <v>2010237</v>
      </c>
      <c r="E278" s="139">
        <v>40384</v>
      </c>
    </row>
    <row r="279" spans="1:5" ht="15" x14ac:dyDescent="0.25">
      <c r="A279" s="137" t="s">
        <v>313</v>
      </c>
      <c r="B279" s="137" t="s">
        <v>52</v>
      </c>
      <c r="C279" s="138">
        <v>312.58</v>
      </c>
      <c r="D279" s="137">
        <v>2010024</v>
      </c>
      <c r="E279" s="139">
        <v>40198</v>
      </c>
    </row>
    <row r="280" spans="1:5" ht="15" x14ac:dyDescent="0.25">
      <c r="A280" s="137" t="s">
        <v>313</v>
      </c>
      <c r="B280" s="137" t="s">
        <v>50</v>
      </c>
      <c r="C280" s="138">
        <v>194.17</v>
      </c>
      <c r="D280" s="137">
        <v>2010093</v>
      </c>
      <c r="E280" s="139">
        <v>40254</v>
      </c>
    </row>
    <row r="281" spans="1:5" ht="15" x14ac:dyDescent="0.25">
      <c r="A281" s="137" t="s">
        <v>313</v>
      </c>
      <c r="B281" s="137" t="s">
        <v>52</v>
      </c>
      <c r="C281" s="138">
        <v>931.86</v>
      </c>
      <c r="D281" s="137">
        <v>2010371</v>
      </c>
      <c r="E281" s="139">
        <v>40517</v>
      </c>
    </row>
    <row r="282" spans="1:5" ht="15" x14ac:dyDescent="0.25">
      <c r="A282" s="137" t="s">
        <v>313</v>
      </c>
      <c r="B282" s="137" t="s">
        <v>49</v>
      </c>
      <c r="C282" s="138">
        <v>1135.1199999999999</v>
      </c>
      <c r="D282" s="137">
        <v>2010240</v>
      </c>
      <c r="E282" s="139">
        <v>40385</v>
      </c>
    </row>
    <row r="283" spans="1:5" ht="15" x14ac:dyDescent="0.25">
      <c r="A283" s="137" t="s">
        <v>313</v>
      </c>
      <c r="B283" s="137" t="s">
        <v>52</v>
      </c>
      <c r="C283" s="138">
        <v>1170.25</v>
      </c>
      <c r="D283" s="137">
        <v>2010320</v>
      </c>
      <c r="E283" s="139">
        <v>40469</v>
      </c>
    </row>
    <row r="284" spans="1:5" ht="15" x14ac:dyDescent="0.25">
      <c r="A284" s="137" t="s">
        <v>311</v>
      </c>
      <c r="B284" s="137" t="s">
        <v>48</v>
      </c>
      <c r="C284" s="138">
        <v>28.96</v>
      </c>
      <c r="D284" s="137">
        <v>2010225</v>
      </c>
      <c r="E284" s="139">
        <v>40372</v>
      </c>
    </row>
    <row r="285" spans="1:5" ht="15" x14ac:dyDescent="0.25">
      <c r="A285" s="137" t="s">
        <v>313</v>
      </c>
      <c r="B285" s="137" t="s">
        <v>50</v>
      </c>
      <c r="C285" s="138">
        <v>866.8</v>
      </c>
      <c r="D285" s="137">
        <v>2010391</v>
      </c>
      <c r="E285" s="139">
        <v>40536</v>
      </c>
    </row>
    <row r="286" spans="1:5" ht="15" x14ac:dyDescent="0.25">
      <c r="A286" s="137" t="s">
        <v>313</v>
      </c>
      <c r="B286" s="137" t="s">
        <v>52</v>
      </c>
      <c r="C286" s="138">
        <v>1010.02</v>
      </c>
      <c r="D286" s="137">
        <v>2010113</v>
      </c>
      <c r="E286" s="139">
        <v>40269</v>
      </c>
    </row>
    <row r="287" spans="1:5" ht="15" x14ac:dyDescent="0.25">
      <c r="A287" s="137" t="s">
        <v>311</v>
      </c>
      <c r="B287" s="137" t="s">
        <v>54</v>
      </c>
      <c r="C287" s="138">
        <v>120</v>
      </c>
      <c r="D287" s="137">
        <v>2010143</v>
      </c>
      <c r="E287" s="139">
        <v>40296</v>
      </c>
    </row>
    <row r="288" spans="1:5" ht="15" x14ac:dyDescent="0.25">
      <c r="A288" s="137" t="s">
        <v>313</v>
      </c>
      <c r="B288" s="137" t="s">
        <v>52</v>
      </c>
      <c r="C288" s="138">
        <v>226.95</v>
      </c>
      <c r="D288" s="137">
        <v>2010351</v>
      </c>
      <c r="E288" s="139">
        <v>40493</v>
      </c>
    </row>
    <row r="289" spans="1:5" ht="15" x14ac:dyDescent="0.25">
      <c r="A289" s="137" t="s">
        <v>313</v>
      </c>
      <c r="B289" s="137" t="s">
        <v>52</v>
      </c>
      <c r="C289" s="138">
        <v>843.23</v>
      </c>
      <c r="D289" s="137">
        <v>2010243</v>
      </c>
      <c r="E289" s="139">
        <v>40388</v>
      </c>
    </row>
    <row r="290" spans="1:5" ht="15" x14ac:dyDescent="0.25">
      <c r="A290" s="137" t="s">
        <v>313</v>
      </c>
      <c r="B290" s="137" t="s">
        <v>49</v>
      </c>
      <c r="C290" s="138">
        <v>252.6</v>
      </c>
      <c r="D290" s="137">
        <v>2010375</v>
      </c>
      <c r="E290" s="139">
        <v>40520</v>
      </c>
    </row>
    <row r="291" spans="1:5" ht="15" x14ac:dyDescent="0.25">
      <c r="A291" s="137" t="s">
        <v>313</v>
      </c>
      <c r="B291" s="137" t="s">
        <v>49</v>
      </c>
      <c r="C291" s="138">
        <v>1029.01</v>
      </c>
      <c r="D291" s="137">
        <v>2010324</v>
      </c>
      <c r="E291" s="139">
        <v>40469</v>
      </c>
    </row>
    <row r="292" spans="1:5" ht="15" x14ac:dyDescent="0.25">
      <c r="A292" s="137" t="s">
        <v>313</v>
      </c>
      <c r="B292" s="137" t="s">
        <v>53</v>
      </c>
      <c r="C292" s="138">
        <v>1142.55</v>
      </c>
      <c r="D292" s="137">
        <v>2010258</v>
      </c>
      <c r="E292" s="139">
        <v>40402</v>
      </c>
    </row>
    <row r="293" spans="1:5" ht="15" x14ac:dyDescent="0.25">
      <c r="A293" s="137" t="s">
        <v>311</v>
      </c>
      <c r="B293" s="137" t="s">
        <v>27</v>
      </c>
      <c r="C293" s="138">
        <v>500.88</v>
      </c>
      <c r="D293" s="137">
        <v>2010386</v>
      </c>
      <c r="E293" s="139">
        <v>40531</v>
      </c>
    </row>
    <row r="294" spans="1:5" ht="15" x14ac:dyDescent="0.25">
      <c r="A294" s="137" t="s">
        <v>313</v>
      </c>
      <c r="B294" s="137" t="s">
        <v>52</v>
      </c>
      <c r="C294" s="138">
        <v>831.89</v>
      </c>
      <c r="D294" s="137">
        <v>2010342</v>
      </c>
      <c r="E294" s="139">
        <v>40484</v>
      </c>
    </row>
    <row r="295" spans="1:5" ht="15" x14ac:dyDescent="0.25">
      <c r="A295" s="137" t="s">
        <v>313</v>
      </c>
      <c r="B295" s="137" t="s">
        <v>50</v>
      </c>
      <c r="C295" s="138">
        <v>721.23</v>
      </c>
      <c r="D295" s="137">
        <v>2010060</v>
      </c>
      <c r="E295" s="139">
        <v>40224</v>
      </c>
    </row>
    <row r="296" spans="1:5" ht="15" x14ac:dyDescent="0.25">
      <c r="A296" s="137" t="s">
        <v>311</v>
      </c>
      <c r="B296" s="137" t="s">
        <v>27</v>
      </c>
      <c r="C296" s="138">
        <v>1112.55</v>
      </c>
      <c r="D296" s="137">
        <v>2010062</v>
      </c>
      <c r="E296" s="139">
        <v>40224</v>
      </c>
    </row>
    <row r="297" spans="1:5" ht="15" x14ac:dyDescent="0.25">
      <c r="A297" s="137" t="s">
        <v>313</v>
      </c>
      <c r="B297" s="137" t="s">
        <v>49</v>
      </c>
      <c r="C297" s="138">
        <v>633.49</v>
      </c>
      <c r="D297" s="137">
        <v>2010360</v>
      </c>
      <c r="E297" s="139">
        <v>40504</v>
      </c>
    </row>
    <row r="298" spans="1:5" ht="15" x14ac:dyDescent="0.25">
      <c r="A298" s="137" t="s">
        <v>313</v>
      </c>
      <c r="B298" s="137" t="s">
        <v>50</v>
      </c>
      <c r="C298" s="138">
        <v>364.76</v>
      </c>
      <c r="D298" s="137">
        <v>2010088</v>
      </c>
      <c r="E298" s="139">
        <v>40248</v>
      </c>
    </row>
    <row r="299" spans="1:5" ht="15" x14ac:dyDescent="0.25">
      <c r="A299" s="137" t="s">
        <v>313</v>
      </c>
      <c r="B299" s="137" t="s">
        <v>53</v>
      </c>
      <c r="C299" s="138">
        <v>955.86</v>
      </c>
      <c r="D299" s="137">
        <v>2010393</v>
      </c>
      <c r="E299" s="139">
        <v>40538</v>
      </c>
    </row>
    <row r="300" spans="1:5" ht="15" x14ac:dyDescent="0.25">
      <c r="A300" s="137" t="s">
        <v>311</v>
      </c>
      <c r="B300" s="137" t="s">
        <v>51</v>
      </c>
      <c r="C300" s="138">
        <v>838.84</v>
      </c>
      <c r="D300" s="137">
        <v>2010044</v>
      </c>
      <c r="E300" s="139">
        <v>40212</v>
      </c>
    </row>
    <row r="301" spans="1:5" ht="15" x14ac:dyDescent="0.25">
      <c r="A301" s="137" t="s">
        <v>313</v>
      </c>
      <c r="B301" s="137" t="s">
        <v>28</v>
      </c>
      <c r="C301" s="138">
        <v>981.37</v>
      </c>
      <c r="D301" s="137">
        <v>2010105</v>
      </c>
      <c r="E301" s="139">
        <v>40266</v>
      </c>
    </row>
    <row r="302" spans="1:5" ht="15" x14ac:dyDescent="0.25">
      <c r="A302" s="137" t="s">
        <v>313</v>
      </c>
      <c r="B302" s="137" t="s">
        <v>49</v>
      </c>
      <c r="C302" s="138">
        <v>687.09</v>
      </c>
      <c r="D302" s="137">
        <v>2010256</v>
      </c>
      <c r="E302" s="139">
        <v>40400</v>
      </c>
    </row>
    <row r="303" spans="1:5" ht="15" x14ac:dyDescent="0.25">
      <c r="A303" s="137" t="s">
        <v>311</v>
      </c>
      <c r="B303" s="137" t="s">
        <v>27</v>
      </c>
      <c r="C303" s="138">
        <v>848.5</v>
      </c>
      <c r="D303" s="137">
        <v>2010281</v>
      </c>
      <c r="E303" s="139">
        <v>40423</v>
      </c>
    </row>
    <row r="304" spans="1:5" ht="15" x14ac:dyDescent="0.25">
      <c r="A304" s="137" t="s">
        <v>313</v>
      </c>
      <c r="B304" s="137" t="s">
        <v>28</v>
      </c>
      <c r="C304" s="138">
        <v>495.24</v>
      </c>
      <c r="D304" s="137">
        <v>2010248</v>
      </c>
      <c r="E304" s="139">
        <v>40392</v>
      </c>
    </row>
    <row r="305" spans="1:5" ht="15" x14ac:dyDescent="0.25">
      <c r="A305" s="137" t="s">
        <v>313</v>
      </c>
      <c r="B305" s="137" t="s">
        <v>49</v>
      </c>
      <c r="C305" s="138">
        <v>667.55</v>
      </c>
      <c r="D305" s="137">
        <v>2010040</v>
      </c>
      <c r="E305" s="139">
        <v>40210</v>
      </c>
    </row>
    <row r="306" spans="1:5" ht="15" x14ac:dyDescent="0.25">
      <c r="A306" s="137" t="s">
        <v>313</v>
      </c>
      <c r="B306" s="137" t="s">
        <v>50</v>
      </c>
      <c r="C306" s="138">
        <v>100.27</v>
      </c>
      <c r="D306" s="137">
        <v>2010037</v>
      </c>
      <c r="E306" s="139">
        <v>40208</v>
      </c>
    </row>
    <row r="307" spans="1:5" ht="15" x14ac:dyDescent="0.25">
      <c r="A307" s="137" t="s">
        <v>311</v>
      </c>
      <c r="B307" s="137" t="s">
        <v>27</v>
      </c>
      <c r="C307" s="138">
        <v>1097.6500000000001</v>
      </c>
      <c r="D307" s="137">
        <v>2010167</v>
      </c>
      <c r="E307" s="139">
        <v>40315</v>
      </c>
    </row>
    <row r="308" spans="1:5" ht="15" x14ac:dyDescent="0.25">
      <c r="A308" s="137" t="s">
        <v>313</v>
      </c>
      <c r="B308" s="137" t="s">
        <v>52</v>
      </c>
      <c r="C308" s="138">
        <v>986.49</v>
      </c>
      <c r="D308" s="137">
        <v>2010357</v>
      </c>
      <c r="E308" s="139">
        <v>40500</v>
      </c>
    </row>
    <row r="309" spans="1:5" ht="15" x14ac:dyDescent="0.25">
      <c r="A309" s="137" t="s">
        <v>313</v>
      </c>
      <c r="B309" s="137" t="s">
        <v>50</v>
      </c>
      <c r="C309" s="138">
        <v>566.30999999999995</v>
      </c>
      <c r="D309" s="137">
        <v>2010343</v>
      </c>
      <c r="E309" s="139">
        <v>40485</v>
      </c>
    </row>
    <row r="310" spans="1:5" ht="15" x14ac:dyDescent="0.25">
      <c r="A310" s="137" t="s">
        <v>313</v>
      </c>
      <c r="B310" s="137" t="s">
        <v>53</v>
      </c>
      <c r="C310" s="138">
        <v>204.71</v>
      </c>
      <c r="D310" s="137">
        <v>2010019</v>
      </c>
      <c r="E310" s="139">
        <v>40194</v>
      </c>
    </row>
    <row r="311" spans="1:5" ht="15" x14ac:dyDescent="0.25">
      <c r="A311" s="137" t="s">
        <v>311</v>
      </c>
      <c r="B311" s="137" t="s">
        <v>51</v>
      </c>
      <c r="C311" s="138">
        <v>420.3</v>
      </c>
      <c r="D311" s="137">
        <v>2010291</v>
      </c>
      <c r="E311" s="139">
        <v>40435</v>
      </c>
    </row>
    <row r="312" spans="1:5" ht="15" x14ac:dyDescent="0.25">
      <c r="A312" s="137" t="s">
        <v>313</v>
      </c>
      <c r="B312" s="137" t="s">
        <v>49</v>
      </c>
      <c r="C312" s="138">
        <v>1003.39</v>
      </c>
      <c r="D312" s="137">
        <v>2010153</v>
      </c>
      <c r="E312" s="139">
        <v>40302</v>
      </c>
    </row>
    <row r="313" spans="1:5" ht="15" x14ac:dyDescent="0.25">
      <c r="A313" s="137" t="s">
        <v>313</v>
      </c>
      <c r="B313" s="137" t="s">
        <v>52</v>
      </c>
      <c r="C313" s="138">
        <v>296.62</v>
      </c>
      <c r="D313" s="137">
        <v>2010100</v>
      </c>
      <c r="E313" s="139">
        <v>40259</v>
      </c>
    </row>
    <row r="314" spans="1:5" ht="15" x14ac:dyDescent="0.25">
      <c r="A314" s="137" t="s">
        <v>311</v>
      </c>
      <c r="B314" s="137" t="s">
        <v>27</v>
      </c>
      <c r="C314" s="138">
        <v>80.400000000000006</v>
      </c>
      <c r="D314" s="137">
        <v>2010222</v>
      </c>
      <c r="E314" s="139">
        <v>40370</v>
      </c>
    </row>
    <row r="315" spans="1:5" ht="15" x14ac:dyDescent="0.25">
      <c r="A315" s="137" t="s">
        <v>313</v>
      </c>
      <c r="B315" s="137" t="s">
        <v>49</v>
      </c>
      <c r="C315" s="138">
        <v>1169.26</v>
      </c>
      <c r="D315" s="137">
        <v>2010368</v>
      </c>
      <c r="E315" s="139">
        <v>40514</v>
      </c>
    </row>
    <row r="316" spans="1:5" ht="15" x14ac:dyDescent="0.25">
      <c r="A316" s="137" t="s">
        <v>311</v>
      </c>
      <c r="B316" s="137" t="s">
        <v>51</v>
      </c>
      <c r="C316" s="138">
        <v>103.75</v>
      </c>
      <c r="D316" s="137">
        <v>2010396</v>
      </c>
      <c r="E316" s="139">
        <v>40541</v>
      </c>
    </row>
    <row r="317" spans="1:5" ht="15" x14ac:dyDescent="0.25">
      <c r="A317" s="137" t="s">
        <v>313</v>
      </c>
      <c r="B317" s="137" t="s">
        <v>52</v>
      </c>
      <c r="C317" s="138">
        <v>1120.23</v>
      </c>
      <c r="D317" s="137">
        <v>2010381</v>
      </c>
      <c r="E317" s="139">
        <v>40528</v>
      </c>
    </row>
    <row r="318" spans="1:5" ht="15" x14ac:dyDescent="0.25">
      <c r="A318" s="137" t="s">
        <v>313</v>
      </c>
      <c r="B318" s="137" t="s">
        <v>53</v>
      </c>
      <c r="C318" s="138">
        <v>334.06</v>
      </c>
      <c r="D318" s="137">
        <v>2010232</v>
      </c>
      <c r="E318" s="139">
        <v>40380</v>
      </c>
    </row>
    <row r="319" spans="1:5" ht="15" x14ac:dyDescent="0.25">
      <c r="A319" s="137" t="s">
        <v>311</v>
      </c>
      <c r="B319" s="137" t="s">
        <v>54</v>
      </c>
      <c r="C319" s="138">
        <v>939.65</v>
      </c>
      <c r="D319" s="137">
        <v>2010216</v>
      </c>
      <c r="E319" s="139">
        <v>40360</v>
      </c>
    </row>
    <row r="320" spans="1:5" ht="15" x14ac:dyDescent="0.25">
      <c r="A320" s="137" t="s">
        <v>313</v>
      </c>
      <c r="B320" s="137" t="s">
        <v>52</v>
      </c>
      <c r="C320" s="138">
        <v>662.07</v>
      </c>
      <c r="D320" s="137">
        <v>2010038</v>
      </c>
      <c r="E320" s="139">
        <v>40210</v>
      </c>
    </row>
    <row r="321" spans="1:5" ht="15" x14ac:dyDescent="0.25">
      <c r="A321" s="137" t="s">
        <v>311</v>
      </c>
      <c r="B321" s="137" t="s">
        <v>54</v>
      </c>
      <c r="C321" s="138">
        <v>241.88</v>
      </c>
      <c r="D321" s="137">
        <v>2010081</v>
      </c>
      <c r="E321" s="139">
        <v>40242</v>
      </c>
    </row>
    <row r="322" spans="1:5" ht="15" x14ac:dyDescent="0.25">
      <c r="A322" s="137" t="s">
        <v>313</v>
      </c>
      <c r="B322" s="137" t="s">
        <v>50</v>
      </c>
      <c r="C322" s="138">
        <v>562.83000000000004</v>
      </c>
      <c r="D322" s="137">
        <v>2010255</v>
      </c>
      <c r="E322" s="139">
        <v>40399</v>
      </c>
    </row>
    <row r="323" spans="1:5" ht="15" x14ac:dyDescent="0.25">
      <c r="A323" s="137" t="s">
        <v>313</v>
      </c>
      <c r="B323" s="137" t="s">
        <v>28</v>
      </c>
      <c r="C323" s="138">
        <v>327.11</v>
      </c>
      <c r="D323" s="137">
        <v>2010211</v>
      </c>
      <c r="E323" s="139">
        <v>40357</v>
      </c>
    </row>
    <row r="324" spans="1:5" ht="15" x14ac:dyDescent="0.25">
      <c r="A324" s="137" t="s">
        <v>311</v>
      </c>
      <c r="B324" s="137" t="s">
        <v>27</v>
      </c>
      <c r="C324" s="138">
        <v>931.97</v>
      </c>
      <c r="D324" s="137">
        <v>2010190</v>
      </c>
      <c r="E324" s="139">
        <v>40339</v>
      </c>
    </row>
    <row r="325" spans="1:5" ht="15" x14ac:dyDescent="0.25">
      <c r="A325" s="137" t="s">
        <v>311</v>
      </c>
      <c r="B325" s="137" t="s">
        <v>51</v>
      </c>
      <c r="C325" s="138">
        <v>981.04</v>
      </c>
      <c r="D325" s="137">
        <v>2010032</v>
      </c>
      <c r="E325" s="139">
        <v>40202</v>
      </c>
    </row>
    <row r="326" spans="1:5" ht="15" x14ac:dyDescent="0.25">
      <c r="A326" s="137" t="s">
        <v>313</v>
      </c>
      <c r="B326" s="137" t="s">
        <v>49</v>
      </c>
      <c r="C326" s="138">
        <v>764.27</v>
      </c>
      <c r="D326" s="137">
        <v>2010128</v>
      </c>
      <c r="E326" s="139">
        <v>40281</v>
      </c>
    </row>
    <row r="327" spans="1:5" ht="15" x14ac:dyDescent="0.25">
      <c r="A327" s="137" t="s">
        <v>313</v>
      </c>
      <c r="B327" s="137" t="s">
        <v>49</v>
      </c>
      <c r="C327" s="138">
        <v>46.7</v>
      </c>
      <c r="D327" s="137">
        <v>2010029</v>
      </c>
      <c r="E327" s="139">
        <v>40201</v>
      </c>
    </row>
    <row r="328" spans="1:5" ht="15" x14ac:dyDescent="0.25">
      <c r="A328" s="137" t="s">
        <v>313</v>
      </c>
      <c r="B328" s="137" t="s">
        <v>53</v>
      </c>
      <c r="C328" s="138">
        <v>841.22</v>
      </c>
      <c r="D328" s="137">
        <v>2010052</v>
      </c>
      <c r="E328" s="139">
        <v>40217</v>
      </c>
    </row>
    <row r="329" spans="1:5" ht="15" x14ac:dyDescent="0.25">
      <c r="A329" s="137" t="s">
        <v>311</v>
      </c>
      <c r="B329" s="137" t="s">
        <v>51</v>
      </c>
      <c r="C329" s="138">
        <v>332.48</v>
      </c>
      <c r="D329" s="137">
        <v>2010275</v>
      </c>
      <c r="E329" s="139">
        <v>40420</v>
      </c>
    </row>
    <row r="330" spans="1:5" ht="15" x14ac:dyDescent="0.25">
      <c r="A330" s="137" t="s">
        <v>313</v>
      </c>
      <c r="B330" s="137" t="s">
        <v>49</v>
      </c>
      <c r="C330" s="138">
        <v>1034.42</v>
      </c>
      <c r="D330" s="137">
        <v>2010270</v>
      </c>
      <c r="E330" s="139">
        <v>40415</v>
      </c>
    </row>
    <row r="331" spans="1:5" ht="15" x14ac:dyDescent="0.25">
      <c r="A331" s="137" t="s">
        <v>313</v>
      </c>
      <c r="B331" s="137" t="s">
        <v>28</v>
      </c>
      <c r="C331" s="138">
        <v>789.81</v>
      </c>
      <c r="D331" s="137">
        <v>2010274</v>
      </c>
      <c r="E331" s="139">
        <v>40420</v>
      </c>
    </row>
    <row r="332" spans="1:5" ht="15" x14ac:dyDescent="0.25">
      <c r="A332" s="137" t="s">
        <v>313</v>
      </c>
      <c r="B332" s="137" t="s">
        <v>53</v>
      </c>
      <c r="C332" s="138">
        <v>773.05</v>
      </c>
      <c r="D332" s="137">
        <v>2010195</v>
      </c>
      <c r="E332" s="139">
        <v>40343</v>
      </c>
    </row>
    <row r="333" spans="1:5" ht="15" x14ac:dyDescent="0.25">
      <c r="A333" s="137" t="s">
        <v>311</v>
      </c>
      <c r="B333" s="137" t="s">
        <v>27</v>
      </c>
      <c r="C333" s="138">
        <v>1165.8599999999999</v>
      </c>
      <c r="D333" s="137">
        <v>2010245</v>
      </c>
      <c r="E333" s="139">
        <v>40391</v>
      </c>
    </row>
    <row r="334" spans="1:5" ht="15" x14ac:dyDescent="0.25">
      <c r="A334" s="137" t="s">
        <v>313</v>
      </c>
      <c r="B334" s="137" t="s">
        <v>52</v>
      </c>
      <c r="C334" s="138">
        <v>490.71</v>
      </c>
      <c r="D334" s="137">
        <v>2010223</v>
      </c>
      <c r="E334" s="139">
        <v>40371</v>
      </c>
    </row>
    <row r="335" spans="1:5" ht="15" x14ac:dyDescent="0.25">
      <c r="A335" s="137" t="s">
        <v>313</v>
      </c>
      <c r="B335" s="137" t="s">
        <v>28</v>
      </c>
      <c r="C335" s="138">
        <v>610</v>
      </c>
      <c r="D335" s="137">
        <v>2010389</v>
      </c>
      <c r="E335" s="139">
        <v>40535</v>
      </c>
    </row>
    <row r="336" spans="1:5" ht="15" x14ac:dyDescent="0.25">
      <c r="A336" s="137" t="s">
        <v>313</v>
      </c>
      <c r="B336" s="137" t="s">
        <v>53</v>
      </c>
      <c r="C336" s="138">
        <v>565.02</v>
      </c>
      <c r="D336" s="137">
        <v>2010322</v>
      </c>
      <c r="E336" s="139">
        <v>40469</v>
      </c>
    </row>
    <row r="337" spans="1:5" ht="15" x14ac:dyDescent="0.25">
      <c r="A337" s="137" t="s">
        <v>313</v>
      </c>
      <c r="B337" s="137" t="s">
        <v>53</v>
      </c>
      <c r="C337" s="138">
        <v>990.18</v>
      </c>
      <c r="D337" s="137">
        <v>2010226</v>
      </c>
      <c r="E337" s="139">
        <v>40373</v>
      </c>
    </row>
    <row r="338" spans="1:5" ht="15" x14ac:dyDescent="0.25">
      <c r="A338" s="137" t="s">
        <v>311</v>
      </c>
      <c r="B338" s="137" t="s">
        <v>51</v>
      </c>
      <c r="C338" s="138">
        <v>553.02</v>
      </c>
      <c r="D338" s="137">
        <v>2010089</v>
      </c>
      <c r="E338" s="139">
        <v>40249</v>
      </c>
    </row>
    <row r="339" spans="1:5" ht="15" x14ac:dyDescent="0.25">
      <c r="A339" s="137" t="s">
        <v>313</v>
      </c>
      <c r="B339" s="137" t="s">
        <v>49</v>
      </c>
      <c r="C339" s="138">
        <v>817.21</v>
      </c>
      <c r="D339" s="137">
        <v>2010286</v>
      </c>
      <c r="E339" s="139">
        <v>40430</v>
      </c>
    </row>
    <row r="340" spans="1:5" ht="15" x14ac:dyDescent="0.25">
      <c r="A340" s="137" t="s">
        <v>313</v>
      </c>
      <c r="B340" s="137" t="s">
        <v>53</v>
      </c>
      <c r="C340" s="138">
        <v>561.88</v>
      </c>
      <c r="D340" s="137">
        <v>2010394</v>
      </c>
      <c r="E340" s="139">
        <v>40541</v>
      </c>
    </row>
    <row r="341" spans="1:5" ht="15" x14ac:dyDescent="0.25">
      <c r="A341" s="137" t="s">
        <v>313</v>
      </c>
      <c r="B341" s="137" t="s">
        <v>28</v>
      </c>
      <c r="C341" s="138">
        <v>935.59</v>
      </c>
      <c r="D341" s="137">
        <v>2010005</v>
      </c>
      <c r="E341" s="139">
        <v>40184</v>
      </c>
    </row>
    <row r="342" spans="1:5" ht="15" x14ac:dyDescent="0.25">
      <c r="A342" s="137" t="s">
        <v>313</v>
      </c>
      <c r="B342" s="137" t="s">
        <v>50</v>
      </c>
      <c r="C342" s="138">
        <v>330.36</v>
      </c>
      <c r="D342" s="137">
        <v>2010336</v>
      </c>
      <c r="E342" s="139">
        <v>40480</v>
      </c>
    </row>
    <row r="343" spans="1:5" ht="15" x14ac:dyDescent="0.25">
      <c r="A343" s="137" t="s">
        <v>313</v>
      </c>
      <c r="B343" s="137" t="s">
        <v>53</v>
      </c>
      <c r="C343" s="138">
        <v>782.93</v>
      </c>
      <c r="D343" s="137">
        <v>2010173</v>
      </c>
      <c r="E343" s="139">
        <v>40320</v>
      </c>
    </row>
    <row r="344" spans="1:5" ht="15" x14ac:dyDescent="0.25">
      <c r="A344" s="137" t="s">
        <v>313</v>
      </c>
      <c r="B344" s="137" t="s">
        <v>50</v>
      </c>
      <c r="C344" s="138">
        <v>1162.68</v>
      </c>
      <c r="D344" s="137">
        <v>2010388</v>
      </c>
      <c r="E344" s="139">
        <v>40534</v>
      </c>
    </row>
    <row r="345" spans="1:5" ht="15" x14ac:dyDescent="0.25">
      <c r="A345" s="137" t="s">
        <v>313</v>
      </c>
      <c r="B345" s="137" t="s">
        <v>52</v>
      </c>
      <c r="C345" s="138">
        <v>67.930000000000007</v>
      </c>
      <c r="D345" s="137">
        <v>2010146</v>
      </c>
      <c r="E345" s="139">
        <v>40298</v>
      </c>
    </row>
    <row r="346" spans="1:5" ht="15" x14ac:dyDescent="0.25">
      <c r="A346" s="137" t="s">
        <v>311</v>
      </c>
      <c r="B346" s="137" t="s">
        <v>51</v>
      </c>
      <c r="C346" s="138">
        <v>37.81</v>
      </c>
      <c r="D346" s="137">
        <v>2010152</v>
      </c>
      <c r="E346" s="139">
        <v>40302</v>
      </c>
    </row>
    <row r="347" spans="1:5" ht="15" x14ac:dyDescent="0.25">
      <c r="A347" s="137" t="s">
        <v>313</v>
      </c>
      <c r="B347" s="137" t="s">
        <v>49</v>
      </c>
      <c r="C347" s="138">
        <v>1028.75</v>
      </c>
      <c r="D347" s="137">
        <v>2010159</v>
      </c>
      <c r="E347" s="139">
        <v>40308</v>
      </c>
    </row>
    <row r="348" spans="1:5" ht="15" x14ac:dyDescent="0.25">
      <c r="A348" s="137" t="s">
        <v>313</v>
      </c>
      <c r="B348" s="137" t="s">
        <v>53</v>
      </c>
      <c r="C348" s="138">
        <v>299.7</v>
      </c>
      <c r="D348" s="137">
        <v>2010249</v>
      </c>
      <c r="E348" s="139">
        <v>40394</v>
      </c>
    </row>
    <row r="349" spans="1:5" ht="15" x14ac:dyDescent="0.25">
      <c r="A349" s="137" t="s">
        <v>313</v>
      </c>
      <c r="B349" s="137" t="s">
        <v>53</v>
      </c>
      <c r="C349" s="138">
        <v>703.38</v>
      </c>
      <c r="D349" s="137">
        <v>2010083</v>
      </c>
      <c r="E349" s="139">
        <v>40245</v>
      </c>
    </row>
    <row r="350" spans="1:5" ht="15" x14ac:dyDescent="0.25">
      <c r="A350" s="137" t="s">
        <v>313</v>
      </c>
      <c r="B350" s="137" t="s">
        <v>28</v>
      </c>
      <c r="C350" s="138">
        <v>191.06</v>
      </c>
      <c r="D350" s="137">
        <v>2010234</v>
      </c>
      <c r="E350" s="139">
        <v>40381</v>
      </c>
    </row>
    <row r="351" spans="1:5" ht="15" x14ac:dyDescent="0.25">
      <c r="A351" s="137" t="s">
        <v>311</v>
      </c>
      <c r="B351" s="137" t="s">
        <v>51</v>
      </c>
      <c r="C351" s="138">
        <v>996.44</v>
      </c>
      <c r="D351" s="137">
        <v>2010094</v>
      </c>
      <c r="E351" s="139">
        <v>40254</v>
      </c>
    </row>
    <row r="352" spans="1:5" ht="15" x14ac:dyDescent="0.25">
      <c r="A352" s="137" t="s">
        <v>313</v>
      </c>
      <c r="B352" s="137" t="s">
        <v>49</v>
      </c>
      <c r="C352" s="138">
        <v>877.66</v>
      </c>
      <c r="D352" s="137">
        <v>2010026</v>
      </c>
      <c r="E352" s="139">
        <v>40200</v>
      </c>
    </row>
    <row r="353" spans="1:5" ht="15" x14ac:dyDescent="0.25">
      <c r="A353" s="137" t="s">
        <v>311</v>
      </c>
      <c r="B353" s="137" t="s">
        <v>51</v>
      </c>
      <c r="C353" s="138">
        <v>629.39</v>
      </c>
      <c r="D353" s="137">
        <v>2010241</v>
      </c>
      <c r="E353" s="139">
        <v>40386</v>
      </c>
    </row>
    <row r="354" spans="1:5" ht="15" x14ac:dyDescent="0.25">
      <c r="A354" s="137" t="s">
        <v>313</v>
      </c>
      <c r="B354" s="137" t="s">
        <v>49</v>
      </c>
      <c r="C354" s="138">
        <v>512.91999999999996</v>
      </c>
      <c r="D354" s="137">
        <v>2010003</v>
      </c>
      <c r="E354" s="139">
        <v>40179</v>
      </c>
    </row>
    <row r="355" spans="1:5" ht="15" x14ac:dyDescent="0.25">
      <c r="A355" s="137" t="s">
        <v>313</v>
      </c>
      <c r="B355" s="137" t="s">
        <v>53</v>
      </c>
      <c r="C355" s="138">
        <v>80.290000000000006</v>
      </c>
      <c r="D355" s="137">
        <v>2010380</v>
      </c>
      <c r="E355" s="139">
        <v>40528</v>
      </c>
    </row>
    <row r="356" spans="1:5" ht="15" x14ac:dyDescent="0.25">
      <c r="A356" s="137" t="s">
        <v>311</v>
      </c>
      <c r="B356" s="137" t="s">
        <v>51</v>
      </c>
      <c r="C356" s="138">
        <v>32.909999999999997</v>
      </c>
      <c r="D356" s="137">
        <v>2010020</v>
      </c>
      <c r="E356" s="139">
        <v>40195</v>
      </c>
    </row>
    <row r="357" spans="1:5" ht="15" x14ac:dyDescent="0.25">
      <c r="A357" s="137" t="s">
        <v>313</v>
      </c>
      <c r="B357" s="137" t="s">
        <v>52</v>
      </c>
      <c r="C357" s="138">
        <v>297.20999999999998</v>
      </c>
      <c r="D357" s="137">
        <v>2010058</v>
      </c>
      <c r="E357" s="139">
        <v>40220</v>
      </c>
    </row>
    <row r="358" spans="1:5" ht="15" x14ac:dyDescent="0.25">
      <c r="A358" s="137" t="s">
        <v>313</v>
      </c>
      <c r="B358" s="137" t="s">
        <v>28</v>
      </c>
      <c r="C358" s="138">
        <v>687.53</v>
      </c>
      <c r="D358" s="137">
        <v>2010205</v>
      </c>
      <c r="E358" s="139">
        <v>40351</v>
      </c>
    </row>
    <row r="359" spans="1:5" ht="15" x14ac:dyDescent="0.25">
      <c r="A359" s="137" t="s">
        <v>313</v>
      </c>
      <c r="B359" s="137" t="s">
        <v>49</v>
      </c>
      <c r="C359" s="138">
        <v>310.45999999999998</v>
      </c>
      <c r="D359" s="137">
        <v>2010103</v>
      </c>
      <c r="E359" s="139">
        <v>40262</v>
      </c>
    </row>
    <row r="360" spans="1:5" ht="15" x14ac:dyDescent="0.25">
      <c r="A360" s="137" t="s">
        <v>311</v>
      </c>
      <c r="B360" s="137" t="s">
        <v>27</v>
      </c>
      <c r="C360" s="138">
        <v>1017.26</v>
      </c>
      <c r="D360" s="137">
        <v>2010303</v>
      </c>
      <c r="E360" s="139">
        <v>40448</v>
      </c>
    </row>
    <row r="361" spans="1:5" ht="15" x14ac:dyDescent="0.25">
      <c r="A361" s="137" t="s">
        <v>313</v>
      </c>
      <c r="B361" s="137" t="s">
        <v>53</v>
      </c>
      <c r="C361" s="138">
        <v>893.07</v>
      </c>
      <c r="D361" s="137">
        <v>2010268</v>
      </c>
      <c r="E361" s="139">
        <v>40414</v>
      </c>
    </row>
    <row r="362" spans="1:5" ht="15" x14ac:dyDescent="0.25">
      <c r="A362" s="137" t="s">
        <v>313</v>
      </c>
      <c r="B362" s="137" t="s">
        <v>53</v>
      </c>
      <c r="C362" s="138">
        <v>901.41</v>
      </c>
      <c r="D362" s="137">
        <v>2010053</v>
      </c>
      <c r="E362" s="139">
        <v>40218</v>
      </c>
    </row>
    <row r="363" spans="1:5" ht="15" x14ac:dyDescent="0.25">
      <c r="A363" s="137" t="s">
        <v>313</v>
      </c>
      <c r="B363" s="137" t="s">
        <v>49</v>
      </c>
      <c r="C363" s="138">
        <v>83.3</v>
      </c>
      <c r="D363" s="137">
        <v>2010090</v>
      </c>
      <c r="E363" s="139">
        <v>40252</v>
      </c>
    </row>
    <row r="364" spans="1:5" ht="15" x14ac:dyDescent="0.25">
      <c r="A364" s="137" t="s">
        <v>313</v>
      </c>
      <c r="B364" s="137" t="s">
        <v>53</v>
      </c>
      <c r="C364" s="138">
        <v>382.43</v>
      </c>
      <c r="D364" s="137">
        <v>2010080</v>
      </c>
      <c r="E364" s="139">
        <v>40240</v>
      </c>
    </row>
    <row r="365" spans="1:5" ht="15" x14ac:dyDescent="0.25">
      <c r="A365" s="137" t="s">
        <v>311</v>
      </c>
      <c r="B365" s="137" t="s">
        <v>54</v>
      </c>
      <c r="C365" s="138">
        <v>968.92</v>
      </c>
      <c r="D365" s="137">
        <v>2010247</v>
      </c>
      <c r="E365" s="139">
        <v>40391</v>
      </c>
    </row>
    <row r="366" spans="1:5" ht="15" x14ac:dyDescent="0.25">
      <c r="A366" s="137" t="s">
        <v>313</v>
      </c>
      <c r="B366" s="137" t="s">
        <v>52</v>
      </c>
      <c r="C366" s="138">
        <v>710.33</v>
      </c>
      <c r="D366" s="137">
        <v>2010014</v>
      </c>
      <c r="E366" s="139">
        <v>40191</v>
      </c>
    </row>
    <row r="367" spans="1:5" ht="15" x14ac:dyDescent="0.25">
      <c r="A367" s="137" t="s">
        <v>313</v>
      </c>
      <c r="B367" s="137" t="s">
        <v>53</v>
      </c>
      <c r="C367" s="138">
        <v>109.39</v>
      </c>
      <c r="D367" s="137">
        <v>2010001</v>
      </c>
      <c r="E367" s="139">
        <v>40179</v>
      </c>
    </row>
    <row r="368" spans="1:5" ht="15" x14ac:dyDescent="0.25">
      <c r="A368" s="137" t="s">
        <v>311</v>
      </c>
      <c r="B368" s="137" t="s">
        <v>48</v>
      </c>
      <c r="C368" s="138">
        <v>861.49</v>
      </c>
      <c r="D368" s="137">
        <v>2010115</v>
      </c>
      <c r="E368" s="139">
        <v>40273</v>
      </c>
    </row>
    <row r="369" spans="1:5" ht="15" x14ac:dyDescent="0.25">
      <c r="A369" s="137" t="s">
        <v>313</v>
      </c>
      <c r="B369" s="137" t="s">
        <v>49</v>
      </c>
      <c r="C369" s="138">
        <v>1112.73</v>
      </c>
      <c r="D369" s="137">
        <v>2010326</v>
      </c>
      <c r="E369" s="139">
        <v>40471</v>
      </c>
    </row>
    <row r="370" spans="1:5" ht="15" x14ac:dyDescent="0.25">
      <c r="A370" s="137" t="s">
        <v>313</v>
      </c>
      <c r="B370" s="137" t="s">
        <v>53</v>
      </c>
      <c r="C370" s="138">
        <v>165.66</v>
      </c>
      <c r="D370" s="137">
        <v>2010387</v>
      </c>
      <c r="E370" s="139">
        <v>40534</v>
      </c>
    </row>
    <row r="371" spans="1:5" ht="15" x14ac:dyDescent="0.25">
      <c r="A371" s="137" t="s">
        <v>311</v>
      </c>
      <c r="B371" s="137" t="s">
        <v>27</v>
      </c>
      <c r="C371" s="138">
        <v>183.45</v>
      </c>
      <c r="D371" s="137">
        <v>2010334</v>
      </c>
      <c r="E371" s="139">
        <v>40479</v>
      </c>
    </row>
    <row r="372" spans="1:5" ht="15" x14ac:dyDescent="0.25">
      <c r="A372" s="137" t="s">
        <v>313</v>
      </c>
      <c r="B372" s="137" t="s">
        <v>53</v>
      </c>
      <c r="C372" s="138">
        <v>225.27</v>
      </c>
      <c r="D372" s="137">
        <v>2010187</v>
      </c>
      <c r="E372" s="139">
        <v>40332</v>
      </c>
    </row>
    <row r="373" spans="1:5" ht="15" x14ac:dyDescent="0.25">
      <c r="A373" s="137" t="s">
        <v>313</v>
      </c>
      <c r="B373" s="137" t="s">
        <v>49</v>
      </c>
      <c r="C373" s="138">
        <v>359.38</v>
      </c>
      <c r="D373" s="137">
        <v>2010271</v>
      </c>
      <c r="E373" s="139">
        <v>40416</v>
      </c>
    </row>
    <row r="374" spans="1:5" ht="15" x14ac:dyDescent="0.25">
      <c r="A374" s="137" t="s">
        <v>313</v>
      </c>
      <c r="B374" s="137" t="s">
        <v>52</v>
      </c>
      <c r="C374" s="138">
        <v>540.73</v>
      </c>
      <c r="D374" s="137">
        <v>2010264</v>
      </c>
      <c r="E374" s="139">
        <v>40409</v>
      </c>
    </row>
    <row r="375" spans="1:5" ht="15" x14ac:dyDescent="0.25">
      <c r="A375" s="137" t="s">
        <v>313</v>
      </c>
      <c r="B375" s="137" t="s">
        <v>52</v>
      </c>
      <c r="C375" s="138">
        <v>753.22</v>
      </c>
      <c r="D375" s="137">
        <v>2010027</v>
      </c>
      <c r="E375" s="139">
        <v>40201</v>
      </c>
    </row>
    <row r="376" spans="1:5" ht="15" x14ac:dyDescent="0.25">
      <c r="A376" s="137" t="s">
        <v>313</v>
      </c>
      <c r="B376" s="137" t="s">
        <v>28</v>
      </c>
      <c r="C376" s="138">
        <v>515.41</v>
      </c>
      <c r="D376" s="137">
        <v>2010130</v>
      </c>
      <c r="E376" s="139">
        <v>40284</v>
      </c>
    </row>
    <row r="377" spans="1:5" ht="15" x14ac:dyDescent="0.25">
      <c r="A377" s="137" t="s">
        <v>311</v>
      </c>
      <c r="B377" s="137" t="s">
        <v>54</v>
      </c>
      <c r="C377" s="138">
        <v>1015.4</v>
      </c>
      <c r="D377" s="137">
        <v>2010077</v>
      </c>
      <c r="E377" s="139">
        <v>40240</v>
      </c>
    </row>
    <row r="378" spans="1:5" ht="15" x14ac:dyDescent="0.25">
      <c r="A378" s="137" t="s">
        <v>313</v>
      </c>
      <c r="B378" s="137" t="s">
        <v>49</v>
      </c>
      <c r="C378" s="138">
        <v>197.35</v>
      </c>
      <c r="D378" s="137">
        <v>2010139</v>
      </c>
      <c r="E378" s="139">
        <v>40291</v>
      </c>
    </row>
    <row r="379" spans="1:5" ht="15" x14ac:dyDescent="0.25">
      <c r="A379" s="137" t="s">
        <v>311</v>
      </c>
      <c r="B379" s="137" t="s">
        <v>48</v>
      </c>
      <c r="C379" s="138">
        <v>1080.3800000000001</v>
      </c>
      <c r="D379" s="137">
        <v>2010041</v>
      </c>
      <c r="E379" s="139">
        <v>40211</v>
      </c>
    </row>
    <row r="380" spans="1:5" ht="15" x14ac:dyDescent="0.25">
      <c r="A380" s="137" t="s">
        <v>311</v>
      </c>
      <c r="B380" s="137" t="s">
        <v>27</v>
      </c>
      <c r="C380" s="138">
        <v>1120.56</v>
      </c>
      <c r="D380" s="137">
        <v>2010121</v>
      </c>
      <c r="E380" s="139">
        <v>40277</v>
      </c>
    </row>
    <row r="381" spans="1:5" ht="15" x14ac:dyDescent="0.25">
      <c r="A381" s="137" t="s">
        <v>311</v>
      </c>
      <c r="B381" s="137" t="s">
        <v>51</v>
      </c>
      <c r="C381" s="138">
        <v>802.8</v>
      </c>
      <c r="D381" s="137">
        <v>2010280</v>
      </c>
      <c r="E381" s="139">
        <v>40423</v>
      </c>
    </row>
    <row r="382" spans="1:5" ht="15" x14ac:dyDescent="0.25">
      <c r="A382" s="137" t="s">
        <v>313</v>
      </c>
      <c r="B382" s="137" t="s">
        <v>28</v>
      </c>
      <c r="C382" s="138">
        <v>918.57</v>
      </c>
      <c r="D382" s="137">
        <v>2010202</v>
      </c>
      <c r="E382" s="139">
        <v>40347</v>
      </c>
    </row>
    <row r="383" spans="1:5" ht="15" x14ac:dyDescent="0.25">
      <c r="A383" s="137" t="s">
        <v>313</v>
      </c>
      <c r="B383" s="137" t="s">
        <v>53</v>
      </c>
      <c r="C383" s="138">
        <v>776.56</v>
      </c>
      <c r="D383" s="137">
        <v>2010177</v>
      </c>
      <c r="E383" s="139">
        <v>40323</v>
      </c>
    </row>
    <row r="384" spans="1:5" ht="15" x14ac:dyDescent="0.25">
      <c r="A384" s="137" t="s">
        <v>313</v>
      </c>
      <c r="B384" s="137" t="s">
        <v>50</v>
      </c>
      <c r="C384" s="138">
        <v>913.78</v>
      </c>
      <c r="D384" s="137">
        <v>2010101</v>
      </c>
      <c r="E384" s="139">
        <v>40260</v>
      </c>
    </row>
    <row r="385" spans="1:5" ht="15" x14ac:dyDescent="0.25">
      <c r="A385" s="137" t="s">
        <v>313</v>
      </c>
      <c r="B385" s="137" t="s">
        <v>49</v>
      </c>
      <c r="C385" s="138">
        <v>986.16</v>
      </c>
      <c r="D385" s="137">
        <v>2010365</v>
      </c>
      <c r="E385" s="139">
        <v>40508</v>
      </c>
    </row>
    <row r="386" spans="1:5" ht="15" x14ac:dyDescent="0.25">
      <c r="A386" s="137" t="s">
        <v>313</v>
      </c>
      <c r="B386" s="137" t="s">
        <v>49</v>
      </c>
      <c r="C386" s="138">
        <v>1063.3699999999999</v>
      </c>
      <c r="D386" s="137">
        <v>2010339</v>
      </c>
      <c r="E386" s="139">
        <v>40483</v>
      </c>
    </row>
    <row r="387" spans="1:5" ht="15" x14ac:dyDescent="0.25">
      <c r="A387" s="137" t="s">
        <v>311</v>
      </c>
      <c r="B387" s="137" t="s">
        <v>48</v>
      </c>
      <c r="C387" s="138">
        <v>105.03</v>
      </c>
      <c r="D387" s="137">
        <v>2010076</v>
      </c>
      <c r="E387" s="139">
        <v>40239</v>
      </c>
    </row>
    <row r="388" spans="1:5" ht="15" x14ac:dyDescent="0.25">
      <c r="A388" s="137" t="s">
        <v>313</v>
      </c>
      <c r="B388" s="137" t="s">
        <v>49</v>
      </c>
      <c r="C388" s="138">
        <v>494.77</v>
      </c>
      <c r="D388" s="137">
        <v>2010155</v>
      </c>
      <c r="E388" s="139">
        <v>40307</v>
      </c>
    </row>
    <row r="389" spans="1:5" ht="15" x14ac:dyDescent="0.25">
      <c r="A389" s="137" t="s">
        <v>311</v>
      </c>
      <c r="B389" s="137" t="s">
        <v>27</v>
      </c>
      <c r="C389" s="138">
        <v>994.1</v>
      </c>
      <c r="D389" s="137">
        <v>2010091</v>
      </c>
      <c r="E389" s="139">
        <v>40253</v>
      </c>
    </row>
    <row r="390" spans="1:5" ht="15" x14ac:dyDescent="0.25">
      <c r="A390" s="137" t="s">
        <v>311</v>
      </c>
      <c r="B390" s="137" t="s">
        <v>27</v>
      </c>
      <c r="C390" s="138">
        <v>461.47</v>
      </c>
      <c r="D390" s="137">
        <v>2010163</v>
      </c>
      <c r="E390" s="139">
        <v>40310</v>
      </c>
    </row>
    <row r="391" spans="1:5" ht="15" x14ac:dyDescent="0.25">
      <c r="A391" s="137" t="s">
        <v>313</v>
      </c>
      <c r="B391" s="137" t="s">
        <v>53</v>
      </c>
      <c r="C391" s="138">
        <v>1033.8699999999999</v>
      </c>
      <c r="D391" s="137">
        <v>2010181</v>
      </c>
      <c r="E391" s="139">
        <v>40327</v>
      </c>
    </row>
    <row r="392" spans="1:5" ht="15" x14ac:dyDescent="0.25">
      <c r="A392" s="137" t="s">
        <v>311</v>
      </c>
      <c r="B392" s="137" t="s">
        <v>54</v>
      </c>
      <c r="C392" s="138">
        <v>978.22</v>
      </c>
      <c r="D392" s="137">
        <v>2010189</v>
      </c>
      <c r="E392" s="139">
        <v>40336</v>
      </c>
    </row>
    <row r="393" spans="1:5" ht="15" x14ac:dyDescent="0.25">
      <c r="A393" s="137" t="s">
        <v>313</v>
      </c>
      <c r="B393" s="137" t="s">
        <v>53</v>
      </c>
      <c r="C393" s="138">
        <v>1005.3</v>
      </c>
      <c r="D393" s="137">
        <v>2010017</v>
      </c>
      <c r="E393" s="139">
        <v>40192</v>
      </c>
    </row>
    <row r="394" spans="1:5" ht="15" x14ac:dyDescent="0.25">
      <c r="A394" s="137" t="s">
        <v>313</v>
      </c>
      <c r="B394" s="137" t="s">
        <v>52</v>
      </c>
      <c r="C394" s="138">
        <v>598.36</v>
      </c>
      <c r="D394" s="137">
        <v>2010259</v>
      </c>
      <c r="E394" s="139">
        <v>40405</v>
      </c>
    </row>
    <row r="395" spans="1:5" ht="15" x14ac:dyDescent="0.25">
      <c r="A395" s="137" t="s">
        <v>311</v>
      </c>
      <c r="B395" s="137" t="s">
        <v>27</v>
      </c>
      <c r="C395" s="138">
        <v>835.47</v>
      </c>
      <c r="D395" s="137">
        <v>2010373</v>
      </c>
      <c r="E395" s="139">
        <v>40517</v>
      </c>
    </row>
    <row r="396" spans="1:5" ht="15" x14ac:dyDescent="0.25">
      <c r="A396" s="137" t="s">
        <v>313</v>
      </c>
      <c r="B396" s="137" t="s">
        <v>28</v>
      </c>
      <c r="C396" s="138">
        <v>1163.74</v>
      </c>
      <c r="D396" s="137">
        <v>2010251</v>
      </c>
      <c r="E396" s="139">
        <v>40398</v>
      </c>
    </row>
    <row r="397" spans="1:5" ht="15" x14ac:dyDescent="0.25">
      <c r="A397" s="137" t="s">
        <v>313</v>
      </c>
      <c r="B397" s="137" t="s">
        <v>28</v>
      </c>
      <c r="C397" s="138">
        <v>996.18</v>
      </c>
      <c r="D397" s="137">
        <v>2010086</v>
      </c>
      <c r="E397" s="139">
        <v>40247</v>
      </c>
    </row>
    <row r="398" spans="1:5" ht="15" x14ac:dyDescent="0.25">
      <c r="A398" s="137" t="s">
        <v>313</v>
      </c>
      <c r="B398" s="137" t="s">
        <v>52</v>
      </c>
      <c r="C398" s="138">
        <v>1027.76</v>
      </c>
      <c r="D398" s="137">
        <v>2010228</v>
      </c>
      <c r="E398" s="139">
        <v>40377</v>
      </c>
    </row>
    <row r="399" spans="1:5" ht="15" x14ac:dyDescent="0.25">
      <c r="A399" s="137" t="s">
        <v>313</v>
      </c>
      <c r="B399" s="137" t="s">
        <v>52</v>
      </c>
      <c r="C399" s="138">
        <v>600.99</v>
      </c>
      <c r="D399" s="137">
        <v>2010316</v>
      </c>
      <c r="E399" s="139">
        <v>40462</v>
      </c>
    </row>
    <row r="400" spans="1:5" ht="15" x14ac:dyDescent="0.25">
      <c r="A400" s="137" t="s">
        <v>313</v>
      </c>
      <c r="B400" s="137" t="s">
        <v>49</v>
      </c>
      <c r="C400" s="138">
        <v>319.42</v>
      </c>
      <c r="D400" s="137">
        <v>2010369</v>
      </c>
      <c r="E400" s="139">
        <v>40516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8" customWidth="1"/>
    <col min="2" max="5" width="8.7109375" style="58" customWidth="1"/>
    <col min="6" max="16384" width="9.140625" style="58"/>
  </cols>
  <sheetData>
    <row r="1" spans="1:5" x14ac:dyDescent="0.2">
      <c r="B1" s="61" t="s">
        <v>128</v>
      </c>
      <c r="C1" s="61" t="s">
        <v>129</v>
      </c>
      <c r="D1" s="61" t="s">
        <v>130</v>
      </c>
      <c r="E1" s="61" t="s">
        <v>131</v>
      </c>
    </row>
    <row r="2" spans="1:5" x14ac:dyDescent="0.2">
      <c r="A2" s="58" t="s">
        <v>62</v>
      </c>
      <c r="B2" s="58">
        <v>152</v>
      </c>
      <c r="C2" s="58">
        <v>36</v>
      </c>
      <c r="D2" s="58">
        <v>123</v>
      </c>
      <c r="E2" s="58">
        <v>67</v>
      </c>
    </row>
    <row r="3" spans="1:5" x14ac:dyDescent="0.2">
      <c r="A3" s="58" t="s">
        <v>63</v>
      </c>
      <c r="B3" s="58">
        <v>160</v>
      </c>
      <c r="C3" s="58">
        <v>46</v>
      </c>
      <c r="D3" s="58">
        <v>133</v>
      </c>
      <c r="E3" s="58">
        <v>75</v>
      </c>
    </row>
    <row r="4" spans="1:5" x14ac:dyDescent="0.2">
      <c r="A4" s="68" t="s">
        <v>253</v>
      </c>
      <c r="B4" s="58">
        <v>148</v>
      </c>
      <c r="C4" s="58">
        <v>46</v>
      </c>
      <c r="D4" s="58">
        <v>137</v>
      </c>
      <c r="E4" s="58">
        <v>78</v>
      </c>
    </row>
    <row r="5" spans="1:5" x14ac:dyDescent="0.2">
      <c r="A5" s="58" t="s">
        <v>65</v>
      </c>
      <c r="B5" s="58">
        <v>155</v>
      </c>
      <c r="C5" s="58">
        <v>42</v>
      </c>
      <c r="D5" s="58">
        <v>124</v>
      </c>
      <c r="E5" s="58">
        <v>83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20" bestFit="1" customWidth="1"/>
    <col min="2" max="2" width="13.42578125" style="120" bestFit="1" customWidth="1"/>
    <col min="3" max="3" width="13.85546875" style="120" bestFit="1" customWidth="1"/>
    <col min="4" max="4" width="7.28515625" style="120" bestFit="1" customWidth="1"/>
    <col min="5" max="5" width="8.7109375" style="120" bestFit="1" customWidth="1"/>
    <col min="6" max="6" width="8.5703125" style="120" bestFit="1" customWidth="1"/>
    <col min="7" max="7" width="7.5703125" style="120" bestFit="1" customWidth="1"/>
    <col min="8" max="8" width="8.5703125" style="120" bestFit="1" customWidth="1"/>
    <col min="9" max="9" width="13.42578125" style="120" bestFit="1" customWidth="1"/>
    <col min="10" max="16384" width="9.140625" style="120"/>
  </cols>
  <sheetData>
    <row r="1" spans="1:8" x14ac:dyDescent="0.2">
      <c r="A1" s="119" t="s">
        <v>226</v>
      </c>
      <c r="B1" s="119" t="s">
        <v>227</v>
      </c>
      <c r="C1" s="119" t="s">
        <v>228</v>
      </c>
      <c r="D1" s="119" t="s">
        <v>216</v>
      </c>
      <c r="E1" s="119" t="s">
        <v>229</v>
      </c>
      <c r="F1" s="119" t="s">
        <v>230</v>
      </c>
      <c r="G1" s="119" t="s">
        <v>231</v>
      </c>
      <c r="H1" s="119" t="s">
        <v>232</v>
      </c>
    </row>
    <row r="2" spans="1:8" x14ac:dyDescent="0.2">
      <c r="A2" s="121">
        <v>40588</v>
      </c>
      <c r="B2" s="120" t="s">
        <v>115</v>
      </c>
      <c r="C2" s="120" t="s">
        <v>116</v>
      </c>
      <c r="D2" s="120">
        <v>2</v>
      </c>
      <c r="E2" s="122">
        <v>44.5</v>
      </c>
      <c r="F2" s="123">
        <f>D2*E2</f>
        <v>89</v>
      </c>
      <c r="G2" s="123">
        <f>21%*F2</f>
        <v>18.689999999999998</v>
      </c>
      <c r="H2" s="123">
        <f>F2+G2</f>
        <v>107.69</v>
      </c>
    </row>
    <row r="3" spans="1:8" x14ac:dyDescent="0.2">
      <c r="A3" s="121">
        <v>40589</v>
      </c>
      <c r="B3" s="120" t="s">
        <v>117</v>
      </c>
      <c r="C3" s="120" t="s">
        <v>118</v>
      </c>
      <c r="D3" s="120">
        <v>3</v>
      </c>
      <c r="E3" s="122">
        <v>82.7</v>
      </c>
      <c r="F3" s="123">
        <f>D3*E3</f>
        <v>248.10000000000002</v>
      </c>
      <c r="G3" s="123">
        <f t="shared" ref="G3:G4" si="0">21%*F3</f>
        <v>52.101000000000006</v>
      </c>
      <c r="H3" s="123">
        <f>F3+G3</f>
        <v>300.20100000000002</v>
      </c>
    </row>
    <row r="4" spans="1:8" x14ac:dyDescent="0.2">
      <c r="A4" s="121">
        <v>40589</v>
      </c>
      <c r="B4" s="120" t="s">
        <v>119</v>
      </c>
      <c r="C4" s="120" t="s">
        <v>120</v>
      </c>
      <c r="D4" s="120">
        <v>2</v>
      </c>
      <c r="E4" s="122">
        <v>98.4</v>
      </c>
      <c r="F4" s="123">
        <f>D4*E4</f>
        <v>196.8</v>
      </c>
      <c r="G4" s="123">
        <f t="shared" si="0"/>
        <v>41.328000000000003</v>
      </c>
      <c r="H4" s="123">
        <f>F4+G4</f>
        <v>238.12800000000001</v>
      </c>
    </row>
    <row r="11" spans="1:8" x14ac:dyDescent="0.2">
      <c r="B11" s="124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57</v>
      </c>
      <c r="B1" s="20" t="s">
        <v>58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59</v>
      </c>
      <c r="C19">
        <f>SLOPE(B2:B11,A2:A11)</f>
        <v>2.9550321199143461</v>
      </c>
    </row>
    <row r="20" spans="2:3" x14ac:dyDescent="0.25">
      <c r="B20" t="s">
        <v>60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183</v>
      </c>
      <c r="B1" s="5" t="s">
        <v>6</v>
      </c>
      <c r="C1" s="5" t="s">
        <v>322</v>
      </c>
      <c r="D1" s="5" t="s">
        <v>246</v>
      </c>
      <c r="E1" s="5" t="s">
        <v>308</v>
      </c>
    </row>
    <row r="2" spans="1:10" x14ac:dyDescent="0.25">
      <c r="A2" s="6" t="s">
        <v>315</v>
      </c>
      <c r="B2" s="6" t="s">
        <v>324</v>
      </c>
      <c r="C2" s="6" t="s">
        <v>9</v>
      </c>
      <c r="D2" s="134">
        <v>5477</v>
      </c>
      <c r="E2" s="6" t="s">
        <v>10</v>
      </c>
    </row>
    <row r="3" spans="1:10" x14ac:dyDescent="0.25">
      <c r="A3" s="6" t="s">
        <v>315</v>
      </c>
      <c r="B3" s="6" t="s">
        <v>325</v>
      </c>
      <c r="C3" s="6" t="s">
        <v>12</v>
      </c>
      <c r="D3" s="134">
        <v>8012</v>
      </c>
      <c r="E3" s="6" t="s">
        <v>312</v>
      </c>
      <c r="G3" s="7" t="s">
        <v>323</v>
      </c>
      <c r="H3" s="7" t="s">
        <v>6</v>
      </c>
    </row>
    <row r="4" spans="1:10" x14ac:dyDescent="0.25">
      <c r="A4" s="6" t="s">
        <v>315</v>
      </c>
      <c r="B4" s="6" t="s">
        <v>324</v>
      </c>
      <c r="C4" s="6" t="s">
        <v>9</v>
      </c>
      <c r="D4" s="134">
        <v>9411</v>
      </c>
      <c r="E4" s="6" t="s">
        <v>10</v>
      </c>
      <c r="G4" s="7" t="s">
        <v>183</v>
      </c>
      <c r="H4" t="s">
        <v>324</v>
      </c>
      <c r="I4" t="s">
        <v>325</v>
      </c>
      <c r="J4" t="s">
        <v>249</v>
      </c>
    </row>
    <row r="5" spans="1:10" x14ac:dyDescent="0.25">
      <c r="A5" s="6" t="s">
        <v>315</v>
      </c>
      <c r="B5" s="6" t="s">
        <v>324</v>
      </c>
      <c r="C5" s="6" t="s">
        <v>9</v>
      </c>
      <c r="D5" s="134">
        <v>8089</v>
      </c>
      <c r="E5" s="6" t="s">
        <v>313</v>
      </c>
      <c r="G5" t="s">
        <v>315</v>
      </c>
      <c r="H5" s="135">
        <v>22977</v>
      </c>
      <c r="I5" s="135">
        <v>17578</v>
      </c>
      <c r="J5" s="135">
        <v>40555</v>
      </c>
    </row>
    <row r="6" spans="1:10" x14ac:dyDescent="0.25">
      <c r="A6" s="6" t="s">
        <v>315</v>
      </c>
      <c r="B6" s="6" t="s">
        <v>325</v>
      </c>
      <c r="C6" s="6" t="s">
        <v>12</v>
      </c>
      <c r="D6" s="134">
        <v>9566</v>
      </c>
      <c r="E6" s="6" t="s">
        <v>313</v>
      </c>
      <c r="G6" t="s">
        <v>316</v>
      </c>
      <c r="H6" s="135">
        <v>16822</v>
      </c>
      <c r="I6" s="135">
        <v>13286</v>
      </c>
      <c r="J6" s="135">
        <v>30108</v>
      </c>
    </row>
    <row r="7" spans="1:10" x14ac:dyDescent="0.25">
      <c r="A7" s="6" t="s">
        <v>316</v>
      </c>
      <c r="B7" s="6" t="s">
        <v>324</v>
      </c>
      <c r="C7" s="6" t="s">
        <v>9</v>
      </c>
      <c r="D7" s="134">
        <v>6805</v>
      </c>
      <c r="E7" s="6" t="s">
        <v>312</v>
      </c>
      <c r="G7" t="s">
        <v>249</v>
      </c>
      <c r="H7" s="135">
        <v>39799</v>
      </c>
      <c r="I7" s="135">
        <v>30864</v>
      </c>
      <c r="J7" s="135">
        <v>70663</v>
      </c>
    </row>
    <row r="8" spans="1:10" x14ac:dyDescent="0.25">
      <c r="A8" s="6" t="s">
        <v>316</v>
      </c>
      <c r="B8" s="6" t="s">
        <v>325</v>
      </c>
      <c r="C8" s="6" t="s">
        <v>12</v>
      </c>
      <c r="D8" s="134">
        <v>6085</v>
      </c>
      <c r="E8" s="6" t="s">
        <v>313</v>
      </c>
    </row>
    <row r="9" spans="1:10" x14ac:dyDescent="0.25">
      <c r="A9" s="6" t="s">
        <v>316</v>
      </c>
      <c r="B9" s="6" t="s">
        <v>325</v>
      </c>
      <c r="C9" s="6" t="s">
        <v>12</v>
      </c>
      <c r="D9" s="134">
        <v>265</v>
      </c>
      <c r="E9" s="6" t="s">
        <v>312</v>
      </c>
    </row>
    <row r="10" spans="1:10" x14ac:dyDescent="0.25">
      <c r="A10" s="6" t="s">
        <v>316</v>
      </c>
      <c r="B10" s="6" t="s">
        <v>325</v>
      </c>
      <c r="C10" s="6" t="s">
        <v>9</v>
      </c>
      <c r="D10" s="134">
        <v>5575</v>
      </c>
      <c r="E10" s="6" t="s">
        <v>313</v>
      </c>
    </row>
    <row r="11" spans="1:10" x14ac:dyDescent="0.25">
      <c r="A11" s="6" t="s">
        <v>316</v>
      </c>
      <c r="B11" s="6" t="s">
        <v>324</v>
      </c>
      <c r="C11" s="6" t="s">
        <v>12</v>
      </c>
      <c r="D11" s="134">
        <v>5971</v>
      </c>
      <c r="E11" s="6" t="s">
        <v>311</v>
      </c>
    </row>
    <row r="12" spans="1:10" x14ac:dyDescent="0.25">
      <c r="A12" s="6" t="s">
        <v>316</v>
      </c>
      <c r="B12" s="6" t="s">
        <v>324</v>
      </c>
      <c r="C12" s="6" t="s">
        <v>12</v>
      </c>
      <c r="D12" s="134">
        <v>4046</v>
      </c>
      <c r="E12" s="6" t="s">
        <v>10</v>
      </c>
    </row>
    <row r="13" spans="1:10" x14ac:dyDescent="0.25">
      <c r="A13" s="6" t="s">
        <v>316</v>
      </c>
      <c r="B13" s="6" t="s">
        <v>325</v>
      </c>
      <c r="C13" s="6" t="s">
        <v>12</v>
      </c>
      <c r="D13" s="134">
        <v>1361</v>
      </c>
      <c r="E13" s="6" t="s">
        <v>311</v>
      </c>
    </row>
  </sheetData>
  <pageMargins left="0.7" right="0.7" top="0.75" bottom="0.75" header="0.3" footer="0.3"/>
  <pageSetup paperSize="9"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245</v>
      </c>
      <c r="C1" s="1" t="s">
        <v>246</v>
      </c>
    </row>
    <row r="2" spans="1:8" x14ac:dyDescent="0.25">
      <c r="A2" t="s">
        <v>2</v>
      </c>
      <c r="B2" t="s">
        <v>248</v>
      </c>
      <c r="C2" s="131">
        <v>1500</v>
      </c>
    </row>
    <row r="3" spans="1:8" x14ac:dyDescent="0.25">
      <c r="A3" t="s">
        <v>2</v>
      </c>
      <c r="B3" t="s">
        <v>247</v>
      </c>
      <c r="C3" s="132">
        <v>2000</v>
      </c>
      <c r="E3" s="3" t="s">
        <v>250</v>
      </c>
      <c r="F3" s="3"/>
      <c r="G3" s="3"/>
      <c r="H3" s="3"/>
    </row>
    <row r="4" spans="1:8" x14ac:dyDescent="0.25">
      <c r="A4" t="s">
        <v>3</v>
      </c>
      <c r="B4" t="s">
        <v>248</v>
      </c>
      <c r="C4" s="132">
        <v>600</v>
      </c>
      <c r="E4" s="3"/>
      <c r="F4" s="67" t="s">
        <v>248</v>
      </c>
      <c r="G4" s="67" t="s">
        <v>247</v>
      </c>
      <c r="H4" s="3" t="s">
        <v>249</v>
      </c>
    </row>
    <row r="5" spans="1:8" x14ac:dyDescent="0.25">
      <c r="A5" t="s">
        <v>3</v>
      </c>
      <c r="B5" t="s">
        <v>247</v>
      </c>
      <c r="C5" s="132">
        <v>1500</v>
      </c>
      <c r="E5" s="2" t="s">
        <v>2</v>
      </c>
      <c r="F5" s="131">
        <v>7930</v>
      </c>
      <c r="G5" s="132">
        <v>2000</v>
      </c>
      <c r="H5" s="132">
        <v>9930</v>
      </c>
    </row>
    <row r="6" spans="1:8" x14ac:dyDescent="0.25">
      <c r="A6" t="s">
        <v>3</v>
      </c>
      <c r="B6" t="s">
        <v>248</v>
      </c>
      <c r="C6" s="132">
        <v>4070</v>
      </c>
      <c r="E6" s="2" t="s">
        <v>3</v>
      </c>
      <c r="F6" s="132">
        <v>4670</v>
      </c>
      <c r="G6" s="132">
        <v>6500</v>
      </c>
      <c r="H6" s="132">
        <v>11170</v>
      </c>
    </row>
    <row r="7" spans="1:8" x14ac:dyDescent="0.25">
      <c r="A7" t="s">
        <v>3</v>
      </c>
      <c r="B7" t="s">
        <v>247</v>
      </c>
      <c r="C7" s="132">
        <v>5000</v>
      </c>
      <c r="E7" s="4" t="s">
        <v>249</v>
      </c>
      <c r="F7" s="133">
        <v>12600</v>
      </c>
      <c r="G7" s="133">
        <v>8500</v>
      </c>
      <c r="H7" s="133">
        <v>21100</v>
      </c>
    </row>
    <row r="8" spans="1:8" x14ac:dyDescent="0.25">
      <c r="A8" t="s">
        <v>2</v>
      </c>
      <c r="B8" t="s">
        <v>248</v>
      </c>
      <c r="C8" s="131">
        <v>6430</v>
      </c>
    </row>
  </sheetData>
  <pageMargins left="0.7" right="0.7" top="0.75" bottom="0.75" header="0.3" footer="0.3"/>
  <pageSetup paperSize="9"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8.7109375" bestFit="1" customWidth="1"/>
  </cols>
  <sheetData>
    <row r="1" spans="1:4" x14ac:dyDescent="0.25">
      <c r="A1" t="s">
        <v>265</v>
      </c>
      <c r="B1" s="95">
        <v>1000</v>
      </c>
      <c r="C1" t="s">
        <v>266</v>
      </c>
      <c r="D1" s="95">
        <v>45</v>
      </c>
    </row>
    <row r="4" spans="1:4" x14ac:dyDescent="0.25">
      <c r="A4" t="s">
        <v>169</v>
      </c>
      <c r="B4" t="s">
        <v>170</v>
      </c>
    </row>
    <row r="5" spans="1:4" x14ac:dyDescent="0.25">
      <c r="A5" s="95">
        <v>10000</v>
      </c>
      <c r="B5" s="95">
        <v>675</v>
      </c>
    </row>
    <row r="6" spans="1:4" x14ac:dyDescent="0.25">
      <c r="A6" s="95">
        <f t="shared" ref="A6:A20" si="0">A5+$B$1</f>
        <v>11000</v>
      </c>
      <c r="B6" s="95">
        <f t="shared" ref="B6:B20" si="1">B5+$D$1</f>
        <v>720</v>
      </c>
    </row>
    <row r="7" spans="1:4" x14ac:dyDescent="0.25">
      <c r="A7" s="95">
        <f t="shared" si="0"/>
        <v>12000</v>
      </c>
      <c r="B7" s="95">
        <f t="shared" si="1"/>
        <v>765</v>
      </c>
    </row>
    <row r="8" spans="1:4" x14ac:dyDescent="0.25">
      <c r="A8" s="95">
        <f t="shared" si="0"/>
        <v>13000</v>
      </c>
      <c r="B8" s="95">
        <f t="shared" si="1"/>
        <v>810</v>
      </c>
    </row>
    <row r="9" spans="1:4" x14ac:dyDescent="0.25">
      <c r="A9" s="95">
        <f t="shared" si="0"/>
        <v>14000</v>
      </c>
      <c r="B9" s="95">
        <f t="shared" si="1"/>
        <v>855</v>
      </c>
    </row>
    <row r="10" spans="1:4" x14ac:dyDescent="0.25">
      <c r="A10" s="95">
        <f t="shared" si="0"/>
        <v>15000</v>
      </c>
      <c r="B10" s="95">
        <f t="shared" si="1"/>
        <v>900</v>
      </c>
    </row>
    <row r="11" spans="1:4" x14ac:dyDescent="0.25">
      <c r="A11" s="95">
        <f t="shared" si="0"/>
        <v>16000</v>
      </c>
      <c r="B11" s="95">
        <f t="shared" si="1"/>
        <v>945</v>
      </c>
    </row>
    <row r="12" spans="1:4" x14ac:dyDescent="0.25">
      <c r="A12" s="95">
        <f t="shared" si="0"/>
        <v>17000</v>
      </c>
      <c r="B12" s="95">
        <f t="shared" si="1"/>
        <v>990</v>
      </c>
    </row>
    <row r="13" spans="1:4" x14ac:dyDescent="0.25">
      <c r="A13" s="95">
        <f t="shared" si="0"/>
        <v>18000</v>
      </c>
      <c r="B13" s="95">
        <f t="shared" si="1"/>
        <v>1035</v>
      </c>
    </row>
    <row r="14" spans="1:4" x14ac:dyDescent="0.25">
      <c r="A14" s="95">
        <f t="shared" si="0"/>
        <v>19000</v>
      </c>
      <c r="B14" s="95">
        <f t="shared" si="1"/>
        <v>1080</v>
      </c>
    </row>
    <row r="15" spans="1:4" x14ac:dyDescent="0.25">
      <c r="A15" s="95">
        <f t="shared" si="0"/>
        <v>20000</v>
      </c>
      <c r="B15" s="95">
        <f t="shared" si="1"/>
        <v>1125</v>
      </c>
    </row>
    <row r="16" spans="1:4" x14ac:dyDescent="0.25">
      <c r="A16" s="95">
        <f t="shared" si="0"/>
        <v>21000</v>
      </c>
      <c r="B16" s="95">
        <f t="shared" si="1"/>
        <v>1170</v>
      </c>
    </row>
    <row r="17" spans="1:2" x14ac:dyDescent="0.25">
      <c r="A17" s="95">
        <f t="shared" si="0"/>
        <v>22000</v>
      </c>
      <c r="B17" s="95">
        <f t="shared" si="1"/>
        <v>1215</v>
      </c>
    </row>
    <row r="18" spans="1:2" x14ac:dyDescent="0.25">
      <c r="A18" s="95">
        <f t="shared" si="0"/>
        <v>23000</v>
      </c>
      <c r="B18" s="95">
        <f t="shared" si="1"/>
        <v>1260</v>
      </c>
    </row>
    <row r="19" spans="1:2" x14ac:dyDescent="0.25">
      <c r="A19" s="95">
        <f t="shared" si="0"/>
        <v>24000</v>
      </c>
      <c r="B19" s="95">
        <f t="shared" si="1"/>
        <v>1305</v>
      </c>
    </row>
    <row r="20" spans="1:2" x14ac:dyDescent="0.25">
      <c r="A20" s="95">
        <f t="shared" si="0"/>
        <v>25000</v>
      </c>
      <c r="B20" s="95">
        <f t="shared" si="1"/>
        <v>1350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78" bestFit="1" customWidth="1"/>
    <col min="2" max="2" width="11.42578125" style="78" bestFit="1" customWidth="1"/>
    <col min="3" max="3" width="11.5703125" style="78" bestFit="1" customWidth="1"/>
    <col min="4" max="4" width="8.5703125" style="78" bestFit="1" customWidth="1"/>
    <col min="5" max="5" width="12.7109375" style="78" bestFit="1" customWidth="1"/>
    <col min="6" max="16384" width="9.140625" style="78"/>
  </cols>
  <sheetData>
    <row r="1" spans="1:8" x14ac:dyDescent="0.2">
      <c r="A1" s="111" t="s">
        <v>171</v>
      </c>
      <c r="B1" s="78">
        <v>0.70379999999999998</v>
      </c>
    </row>
    <row r="2" spans="1:8" x14ac:dyDescent="0.2">
      <c r="A2" s="111" t="s">
        <v>165</v>
      </c>
      <c r="B2" s="26">
        <v>0.21</v>
      </c>
    </row>
    <row r="5" spans="1:8" x14ac:dyDescent="0.2">
      <c r="A5" s="112" t="s">
        <v>172</v>
      </c>
      <c r="B5" s="112" t="s">
        <v>173</v>
      </c>
      <c r="C5" s="112" t="s">
        <v>173</v>
      </c>
      <c r="D5" s="112" t="s">
        <v>165</v>
      </c>
      <c r="E5" s="112" t="s">
        <v>174</v>
      </c>
    </row>
    <row r="6" spans="1:8" ht="15" x14ac:dyDescent="0.25">
      <c r="A6" s="78" t="s">
        <v>85</v>
      </c>
      <c r="B6" s="113">
        <v>120</v>
      </c>
      <c r="C6" s="114">
        <f t="shared" ref="C6:C20" si="0">$B$1*B6</f>
        <v>84.456000000000003</v>
      </c>
      <c r="D6" s="115">
        <f t="shared" ref="D6:D20" si="1">$B$2*C6</f>
        <v>17.735759999999999</v>
      </c>
      <c r="E6" s="115">
        <f t="shared" ref="E6:E20" si="2">C6+D6</f>
        <v>102.19176</v>
      </c>
      <c r="H6"/>
    </row>
    <row r="7" spans="1:8" ht="15" x14ac:dyDescent="0.25">
      <c r="A7" s="78" t="s">
        <v>84</v>
      </c>
      <c r="B7" s="113">
        <v>122.5</v>
      </c>
      <c r="C7" s="114">
        <f t="shared" si="0"/>
        <v>86.215499999999992</v>
      </c>
      <c r="D7" s="115">
        <f t="shared" si="1"/>
        <v>18.105254999999996</v>
      </c>
      <c r="E7" s="115">
        <f t="shared" si="2"/>
        <v>104.32075499999999</v>
      </c>
    </row>
    <row r="8" spans="1:8" ht="15" x14ac:dyDescent="0.25">
      <c r="A8" s="78" t="s">
        <v>83</v>
      </c>
      <c r="B8" s="113">
        <v>125</v>
      </c>
      <c r="C8" s="114">
        <f t="shared" si="0"/>
        <v>87.974999999999994</v>
      </c>
      <c r="D8" s="115">
        <f t="shared" si="1"/>
        <v>18.474749999999997</v>
      </c>
      <c r="E8" s="115">
        <f t="shared" si="2"/>
        <v>106.44974999999999</v>
      </c>
    </row>
    <row r="9" spans="1:8" ht="15" x14ac:dyDescent="0.25">
      <c r="A9" s="78" t="s">
        <v>82</v>
      </c>
      <c r="B9" s="113">
        <v>127.5</v>
      </c>
      <c r="C9" s="114">
        <f t="shared" si="0"/>
        <v>89.734499999999997</v>
      </c>
      <c r="D9" s="115">
        <f t="shared" si="1"/>
        <v>18.844244999999997</v>
      </c>
      <c r="E9" s="115">
        <f t="shared" si="2"/>
        <v>108.578745</v>
      </c>
    </row>
    <row r="10" spans="1:8" ht="15" x14ac:dyDescent="0.25">
      <c r="A10" s="78" t="s">
        <v>81</v>
      </c>
      <c r="B10" s="113">
        <v>130</v>
      </c>
      <c r="C10" s="114">
        <f t="shared" si="0"/>
        <v>91.494</v>
      </c>
      <c r="D10" s="115">
        <f t="shared" si="1"/>
        <v>19.213739999999998</v>
      </c>
      <c r="E10" s="115">
        <f t="shared" si="2"/>
        <v>110.70774</v>
      </c>
    </row>
    <row r="11" spans="1:8" ht="15" x14ac:dyDescent="0.25">
      <c r="A11" s="78" t="s">
        <v>80</v>
      </c>
      <c r="B11" s="113">
        <v>132.5</v>
      </c>
      <c r="C11" s="114">
        <f t="shared" si="0"/>
        <v>93.253500000000003</v>
      </c>
      <c r="D11" s="115">
        <f t="shared" si="1"/>
        <v>19.583234999999998</v>
      </c>
      <c r="E11" s="115">
        <f t="shared" si="2"/>
        <v>112.836735</v>
      </c>
    </row>
    <row r="12" spans="1:8" ht="15" x14ac:dyDescent="0.25">
      <c r="A12" s="78" t="s">
        <v>79</v>
      </c>
      <c r="B12" s="113">
        <v>135</v>
      </c>
      <c r="C12" s="114">
        <f t="shared" si="0"/>
        <v>95.012999999999991</v>
      </c>
      <c r="D12" s="115">
        <f t="shared" si="1"/>
        <v>19.952729999999999</v>
      </c>
      <c r="E12" s="115">
        <f t="shared" si="2"/>
        <v>114.96572999999999</v>
      </c>
    </row>
    <row r="13" spans="1:8" ht="15" x14ac:dyDescent="0.25">
      <c r="A13" s="78" t="s">
        <v>78</v>
      </c>
      <c r="B13" s="113">
        <v>137.5</v>
      </c>
      <c r="C13" s="114">
        <f t="shared" si="0"/>
        <v>96.772499999999994</v>
      </c>
      <c r="D13" s="115">
        <f t="shared" si="1"/>
        <v>20.322225</v>
      </c>
      <c r="E13" s="115">
        <f t="shared" si="2"/>
        <v>117.094725</v>
      </c>
    </row>
    <row r="14" spans="1:8" ht="15" x14ac:dyDescent="0.25">
      <c r="A14" s="78" t="s">
        <v>77</v>
      </c>
      <c r="B14" s="113">
        <v>140</v>
      </c>
      <c r="C14" s="114">
        <f t="shared" si="0"/>
        <v>98.531999999999996</v>
      </c>
      <c r="D14" s="115">
        <f t="shared" si="1"/>
        <v>20.69172</v>
      </c>
      <c r="E14" s="115">
        <f t="shared" si="2"/>
        <v>119.22372</v>
      </c>
    </row>
    <row r="15" spans="1:8" ht="15" x14ac:dyDescent="0.25">
      <c r="A15" s="78" t="s">
        <v>76</v>
      </c>
      <c r="B15" s="113">
        <v>142.5</v>
      </c>
      <c r="C15" s="114">
        <f t="shared" si="0"/>
        <v>100.2915</v>
      </c>
      <c r="D15" s="115">
        <f t="shared" si="1"/>
        <v>21.061215000000001</v>
      </c>
      <c r="E15" s="115">
        <f t="shared" si="2"/>
        <v>121.352715</v>
      </c>
    </row>
    <row r="16" spans="1:8" ht="15" x14ac:dyDescent="0.25">
      <c r="A16" s="78" t="s">
        <v>75</v>
      </c>
      <c r="B16" s="113">
        <v>145</v>
      </c>
      <c r="C16" s="114">
        <f t="shared" si="0"/>
        <v>102.051</v>
      </c>
      <c r="D16" s="115">
        <f t="shared" si="1"/>
        <v>21.430710000000001</v>
      </c>
      <c r="E16" s="115">
        <f t="shared" si="2"/>
        <v>123.48171000000001</v>
      </c>
    </row>
    <row r="17" spans="1:5" ht="15" x14ac:dyDescent="0.25">
      <c r="A17" s="78" t="s">
        <v>74</v>
      </c>
      <c r="B17" s="113">
        <v>147.5</v>
      </c>
      <c r="C17" s="114">
        <f t="shared" si="0"/>
        <v>103.81049999999999</v>
      </c>
      <c r="D17" s="115">
        <f t="shared" si="1"/>
        <v>21.800204999999998</v>
      </c>
      <c r="E17" s="115">
        <f t="shared" si="2"/>
        <v>125.610705</v>
      </c>
    </row>
    <row r="18" spans="1:5" ht="15" x14ac:dyDescent="0.25">
      <c r="A18" s="78" t="s">
        <v>73</v>
      </c>
      <c r="B18" s="113">
        <v>150</v>
      </c>
      <c r="C18" s="114">
        <f t="shared" si="0"/>
        <v>105.57</v>
      </c>
      <c r="D18" s="115">
        <f t="shared" si="1"/>
        <v>22.169699999999999</v>
      </c>
      <c r="E18" s="115">
        <f t="shared" si="2"/>
        <v>127.7397</v>
      </c>
    </row>
    <row r="19" spans="1:5" ht="15" x14ac:dyDescent="0.25">
      <c r="A19" s="78" t="s">
        <v>72</v>
      </c>
      <c r="B19" s="113">
        <v>152.5</v>
      </c>
      <c r="C19" s="114">
        <f t="shared" si="0"/>
        <v>107.3295</v>
      </c>
      <c r="D19" s="115">
        <f t="shared" si="1"/>
        <v>22.539194999999999</v>
      </c>
      <c r="E19" s="115">
        <f t="shared" si="2"/>
        <v>129.868695</v>
      </c>
    </row>
    <row r="20" spans="1:5" ht="15" x14ac:dyDescent="0.25">
      <c r="A20" s="78" t="s">
        <v>71</v>
      </c>
      <c r="B20" s="113">
        <v>155</v>
      </c>
      <c r="C20" s="114">
        <f t="shared" si="0"/>
        <v>109.089</v>
      </c>
      <c r="D20" s="115">
        <f t="shared" si="1"/>
        <v>22.90869</v>
      </c>
      <c r="E20" s="115">
        <f t="shared" si="2"/>
        <v>131.99769000000001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00" t="s">
        <v>409</v>
      </c>
      <c r="C2" s="200"/>
    </row>
    <row r="4" spans="2:3" ht="39.950000000000003" customHeight="1" x14ac:dyDescent="0.25">
      <c r="B4" s="70" t="s">
        <v>267</v>
      </c>
      <c r="C4" s="70" t="s">
        <v>410</v>
      </c>
    </row>
    <row r="5" spans="2:3" ht="39.950000000000003" customHeight="1" x14ac:dyDescent="0.25">
      <c r="B5" s="70" t="s">
        <v>319</v>
      </c>
      <c r="C5" s="69" t="s">
        <v>254</v>
      </c>
    </row>
    <row r="6" spans="2:3" ht="39.950000000000003" customHeight="1" x14ac:dyDescent="0.25">
      <c r="B6" s="70" t="s">
        <v>320</v>
      </c>
      <c r="C6" s="69" t="s">
        <v>255</v>
      </c>
    </row>
    <row r="7" spans="2:3" ht="39.950000000000003" customHeight="1" x14ac:dyDescent="0.25">
      <c r="B7" s="70" t="s">
        <v>321</v>
      </c>
      <c r="C7" s="69" t="s">
        <v>256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customWidth="1"/>
    <col min="2" max="3" width="14.42578125" customWidth="1"/>
  </cols>
  <sheetData>
    <row r="1" spans="1:3" ht="18" x14ac:dyDescent="0.25">
      <c r="A1" s="201" t="s">
        <v>268</v>
      </c>
      <c r="B1" s="201"/>
      <c r="C1" s="201"/>
    </row>
    <row r="3" spans="1:3" x14ac:dyDescent="0.25">
      <c r="A3" s="79" t="s">
        <v>269</v>
      </c>
      <c r="B3" s="79"/>
    </row>
    <row r="4" spans="1:3" x14ac:dyDescent="0.25">
      <c r="A4" t="s">
        <v>270</v>
      </c>
      <c r="B4" s="125">
        <v>2.5</v>
      </c>
    </row>
    <row r="5" spans="1:3" x14ac:dyDescent="0.25">
      <c r="A5" t="s">
        <v>271</v>
      </c>
      <c r="B5" s="125">
        <v>1.7</v>
      </c>
    </row>
    <row r="6" spans="1:3" x14ac:dyDescent="0.25">
      <c r="A6" t="s">
        <v>272</v>
      </c>
      <c r="B6" s="80">
        <v>30000</v>
      </c>
    </row>
    <row r="8" spans="1:3" x14ac:dyDescent="0.25">
      <c r="A8" s="81" t="s">
        <v>273</v>
      </c>
      <c r="B8" s="66"/>
      <c r="C8" s="126">
        <f>52*Number_of_Orders*(Yield_per_Order-Cost_per_Order)</f>
        <v>1248000</v>
      </c>
    </row>
    <row r="9" spans="1:3" x14ac:dyDescent="0.25">
      <c r="A9" s="79"/>
      <c r="B9" s="66"/>
      <c r="C9" s="65"/>
    </row>
    <row r="10" spans="1:3" x14ac:dyDescent="0.25">
      <c r="A10" s="79" t="s">
        <v>274</v>
      </c>
      <c r="B10" s="66"/>
    </row>
    <row r="11" spans="1:3" x14ac:dyDescent="0.25">
      <c r="A11" t="s">
        <v>275</v>
      </c>
      <c r="B11" s="125">
        <v>300000</v>
      </c>
    </row>
    <row r="12" spans="1:3" x14ac:dyDescent="0.25">
      <c r="A12" t="s">
        <v>276</v>
      </c>
      <c r="B12" s="125">
        <v>72000</v>
      </c>
    </row>
    <row r="13" spans="1:3" x14ac:dyDescent="0.25">
      <c r="A13" t="s">
        <v>277</v>
      </c>
      <c r="B13" s="125">
        <v>20000</v>
      </c>
    </row>
    <row r="14" spans="1:3" x14ac:dyDescent="0.25">
      <c r="A14" t="s">
        <v>278</v>
      </c>
      <c r="B14" s="125">
        <v>200000</v>
      </c>
    </row>
    <row r="15" spans="1:3" x14ac:dyDescent="0.25">
      <c r="A15" s="81" t="s">
        <v>279</v>
      </c>
      <c r="C15" s="127">
        <f>SUM(B11:B14)</f>
        <v>592000</v>
      </c>
    </row>
    <row r="17" spans="1:3" x14ac:dyDescent="0.25">
      <c r="A17" s="81" t="s">
        <v>280</v>
      </c>
      <c r="C17" s="12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5"/>
      <inputCells r="B5" val="1.7" numFmtId="5"/>
      <inputCells r="B6" val="30000" numFmtId="7"/>
      <inputCells r="B11" val="300000" numFmtId="5"/>
      <inputCells r="B12" val="72000" numFmtId="5"/>
      <inputCells r="B13" val="20000" numFmtId="5"/>
      <inputCells r="B14" val="200000" numFmtId="5"/>
    </scenario>
    <scenario name="Higher prices, less salary and advertising" locked="1" count="7" user="Ben Welman" comment="Higher prices, less salary and advertising">
      <inputCells r="B4" val="2.75" numFmtId="44"/>
      <inputCells r="B5" val="1.7" numFmtId="44"/>
      <inputCells r="B6" val="30000" numFmtId="171"/>
      <inputCells r="B11" val="270000" numFmtId="44"/>
      <inputCells r="B12" val="72000" numFmtId="44"/>
      <inputCells r="B13" val="15000" numFmtId="44"/>
      <inputCells r="B14" val="200000" numFmtId="44"/>
    </scenario>
    <scenario name="Higher prices, less order costs and more advertising" locked="1" count="7" user="engels" comment="5% higher prices, 5% less order costs and $ 2000 more advertising">
      <inputCells r="B4" val="2.625" numFmtId="44"/>
      <inputCells r="B5" val="1.615" numFmtId="44"/>
      <inputCells r="B6" val="30000" numFmtId="171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83" t="s">
        <v>290</v>
      </c>
      <c r="C2" s="83"/>
      <c r="D2" s="88"/>
      <c r="E2" s="88"/>
      <c r="F2" s="88"/>
      <c r="G2" s="88"/>
    </row>
    <row r="3" spans="2:7" ht="60.75" customHeight="1" collapsed="1" x14ac:dyDescent="0.25">
      <c r="B3" s="82"/>
      <c r="C3" s="82"/>
      <c r="D3" s="90" t="s">
        <v>292</v>
      </c>
      <c r="E3" s="90" t="s">
        <v>285</v>
      </c>
      <c r="F3" s="90" t="s">
        <v>287</v>
      </c>
      <c r="G3" s="90" t="s">
        <v>288</v>
      </c>
    </row>
    <row r="4" spans="2:7" ht="33.75" hidden="1" outlineLevel="1" x14ac:dyDescent="0.25">
      <c r="B4" s="85"/>
      <c r="C4" s="85"/>
      <c r="E4" s="89" t="s">
        <v>286</v>
      </c>
      <c r="F4" s="89" t="s">
        <v>287</v>
      </c>
      <c r="G4" s="89" t="s">
        <v>289</v>
      </c>
    </row>
    <row r="5" spans="2:7" x14ac:dyDescent="0.25">
      <c r="B5" s="86" t="s">
        <v>291</v>
      </c>
      <c r="C5" s="86"/>
      <c r="D5" s="84"/>
      <c r="E5" s="84"/>
      <c r="F5" s="84"/>
      <c r="G5" s="84"/>
    </row>
    <row r="6" spans="2:7" outlineLevel="1" x14ac:dyDescent="0.25">
      <c r="B6" s="85"/>
      <c r="C6" s="85" t="s">
        <v>281</v>
      </c>
      <c r="D6" s="129">
        <v>2.5</v>
      </c>
      <c r="E6" s="130">
        <v>2.5</v>
      </c>
      <c r="F6" s="130">
        <v>2.75</v>
      </c>
      <c r="G6" s="130">
        <v>2.625</v>
      </c>
    </row>
    <row r="7" spans="2:7" outlineLevel="1" x14ac:dyDescent="0.25">
      <c r="B7" s="85"/>
      <c r="C7" s="85" t="s">
        <v>282</v>
      </c>
      <c r="D7" s="129">
        <v>1.7</v>
      </c>
      <c r="E7" s="130">
        <v>1.7</v>
      </c>
      <c r="F7" s="130">
        <v>1.7</v>
      </c>
      <c r="G7" s="130">
        <v>1.615</v>
      </c>
    </row>
    <row r="8" spans="2:7" outlineLevel="1" x14ac:dyDescent="0.25">
      <c r="B8" s="85"/>
      <c r="C8" s="85" t="s">
        <v>283</v>
      </c>
      <c r="D8" s="129">
        <v>30000</v>
      </c>
      <c r="E8" s="130">
        <v>30000</v>
      </c>
      <c r="F8" s="130">
        <v>30000</v>
      </c>
      <c r="G8" s="130">
        <v>30000</v>
      </c>
    </row>
    <row r="9" spans="2:7" outlineLevel="1" x14ac:dyDescent="0.25">
      <c r="B9" s="85"/>
      <c r="C9" s="85" t="s">
        <v>275</v>
      </c>
      <c r="D9" s="129">
        <v>300000</v>
      </c>
      <c r="E9" s="130">
        <v>300000</v>
      </c>
      <c r="F9" s="130">
        <v>270000</v>
      </c>
      <c r="G9" s="130">
        <v>300000</v>
      </c>
    </row>
    <row r="10" spans="2:7" outlineLevel="1" x14ac:dyDescent="0.25">
      <c r="B10" s="85"/>
      <c r="C10" s="85" t="s">
        <v>276</v>
      </c>
      <c r="D10" s="129">
        <v>72000</v>
      </c>
      <c r="E10" s="130">
        <v>72000</v>
      </c>
      <c r="F10" s="130">
        <v>72000</v>
      </c>
      <c r="G10" s="130">
        <v>72000</v>
      </c>
    </row>
    <row r="11" spans="2:7" outlineLevel="1" x14ac:dyDescent="0.25">
      <c r="B11" s="85"/>
      <c r="C11" s="85" t="s">
        <v>277</v>
      </c>
      <c r="D11" s="129">
        <v>20000</v>
      </c>
      <c r="E11" s="130">
        <v>20000</v>
      </c>
      <c r="F11" s="130">
        <v>15000</v>
      </c>
      <c r="G11" s="130">
        <v>22000</v>
      </c>
    </row>
    <row r="12" spans="2:7" outlineLevel="1" x14ac:dyDescent="0.25">
      <c r="B12" s="85"/>
      <c r="C12" s="85" t="s">
        <v>278</v>
      </c>
      <c r="D12" s="129">
        <v>200000</v>
      </c>
      <c r="E12" s="130">
        <v>200000</v>
      </c>
      <c r="F12" s="130">
        <v>200000</v>
      </c>
      <c r="G12" s="130">
        <v>200000</v>
      </c>
    </row>
    <row r="13" spans="2:7" x14ac:dyDescent="0.25">
      <c r="B13" s="86" t="s">
        <v>293</v>
      </c>
      <c r="C13" s="86"/>
      <c r="D13" s="84"/>
      <c r="E13" s="84"/>
      <c r="F13" s="84"/>
      <c r="G13" s="84"/>
    </row>
    <row r="14" spans="2:7" ht="15.75" outlineLevel="1" thickBot="1" x14ac:dyDescent="0.3">
      <c r="B14" s="87"/>
      <c r="C14" s="87" t="s">
        <v>284</v>
      </c>
      <c r="D14" s="128">
        <v>656000</v>
      </c>
      <c r="E14" s="128">
        <v>656000</v>
      </c>
      <c r="F14" s="128">
        <v>1081000</v>
      </c>
      <c r="G14" s="128">
        <v>981600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BA9-2477-40A5-BBC8-70070C9418B0}">
  <dimension ref="A1:C6"/>
  <sheetViews>
    <sheetView workbookViewId="0">
      <selection activeCell="H13" sqref="H13"/>
    </sheetView>
  </sheetViews>
  <sheetFormatPr defaultRowHeight="15" x14ac:dyDescent="0.25"/>
  <cols>
    <col min="1" max="1" width="7.85546875" style="168" customWidth="1"/>
    <col min="2" max="2" width="7" style="168" customWidth="1"/>
    <col min="3" max="3" width="8.7109375" style="168" customWidth="1"/>
    <col min="4" max="16384" width="9.140625" style="168"/>
  </cols>
  <sheetData>
    <row r="1" spans="1:3" x14ac:dyDescent="0.25">
      <c r="A1" s="168" t="s">
        <v>411</v>
      </c>
      <c r="B1" s="168" t="s">
        <v>440</v>
      </c>
      <c r="C1" s="168" t="s">
        <v>441</v>
      </c>
    </row>
    <row r="2" spans="1:3" x14ac:dyDescent="0.25">
      <c r="A2" s="168" t="s">
        <v>435</v>
      </c>
      <c r="B2" s="168">
        <v>5</v>
      </c>
      <c r="C2" s="168">
        <v>3</v>
      </c>
    </row>
    <row r="3" spans="1:3" x14ac:dyDescent="0.25">
      <c r="A3" s="168" t="s">
        <v>436</v>
      </c>
      <c r="B3" s="168">
        <v>10</v>
      </c>
      <c r="C3" s="168">
        <v>5</v>
      </c>
    </row>
    <row r="4" spans="1:3" x14ac:dyDescent="0.25">
      <c r="A4" s="168" t="s">
        <v>437</v>
      </c>
      <c r="B4" s="168">
        <v>9</v>
      </c>
      <c r="C4" s="168">
        <v>9</v>
      </c>
    </row>
    <row r="5" spans="1:3" x14ac:dyDescent="0.25">
      <c r="A5" s="168" t="s">
        <v>438</v>
      </c>
      <c r="B5" s="168">
        <v>6</v>
      </c>
      <c r="C5" s="168">
        <v>5</v>
      </c>
    </row>
    <row r="6" spans="1:3" x14ac:dyDescent="0.25">
      <c r="A6" s="168" t="s">
        <v>439</v>
      </c>
      <c r="B6" s="168">
        <v>1</v>
      </c>
      <c r="C6" s="168">
        <v>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2" max="2" width="4" customWidth="1"/>
    <col min="3" max="3" width="2.7109375" customWidth="1"/>
    <col min="4" max="4" width="2.140625" bestFit="1" customWidth="1"/>
    <col min="5" max="5" width="4" customWidth="1"/>
    <col min="6" max="6" width="2.7109375" customWidth="1"/>
    <col min="7" max="7" width="2.140625" bestFit="1" customWidth="1"/>
    <col min="8" max="8" width="4" customWidth="1"/>
    <col min="9" max="9" width="2.7109375" customWidth="1"/>
    <col min="10" max="10" width="2.140625" bestFit="1" customWidth="1"/>
    <col min="11" max="11" width="4" customWidth="1"/>
    <col min="12" max="12" width="2.7109375" customWidth="1"/>
    <col min="13" max="13" width="2.140625" bestFit="1" customWidth="1"/>
    <col min="14" max="14" width="4" customWidth="1"/>
    <col min="15" max="15" width="2.7109375" customWidth="1"/>
    <col min="16" max="16" width="3.7109375" customWidth="1"/>
    <col min="17" max="17" width="4.28515625" style="11" bestFit="1" customWidth="1"/>
  </cols>
  <sheetData>
    <row r="3" spans="2:17" x14ac:dyDescent="0.25">
      <c r="B3" s="71">
        <v>6.1</v>
      </c>
      <c r="C3" s="72" t="s">
        <v>257</v>
      </c>
      <c r="D3" s="73" t="s">
        <v>258</v>
      </c>
      <c r="E3" s="74">
        <v>4.5</v>
      </c>
      <c r="F3" s="72" t="s">
        <v>259</v>
      </c>
      <c r="G3" s="73"/>
      <c r="H3" s="74"/>
      <c r="I3" s="72"/>
      <c r="J3" s="73" t="s">
        <v>258</v>
      </c>
      <c r="K3" s="74">
        <v>5.7</v>
      </c>
      <c r="L3" s="72" t="s">
        <v>261</v>
      </c>
      <c r="M3" s="73" t="s">
        <v>258</v>
      </c>
      <c r="N3" s="74">
        <v>7.5</v>
      </c>
      <c r="O3" s="72" t="s">
        <v>262</v>
      </c>
      <c r="P3" s="73" t="s">
        <v>200</v>
      </c>
      <c r="Q3" s="71">
        <v>5.7</v>
      </c>
    </row>
    <row r="4" spans="2:17" x14ac:dyDescent="0.25">
      <c r="B4" s="71">
        <v>2.4</v>
      </c>
      <c r="C4" s="72" t="s">
        <v>257</v>
      </c>
      <c r="D4" s="73" t="s">
        <v>258</v>
      </c>
      <c r="E4" s="74">
        <v>5.5</v>
      </c>
      <c r="F4" s="72" t="s">
        <v>259</v>
      </c>
      <c r="G4" s="73" t="s">
        <v>263</v>
      </c>
      <c r="H4" s="74">
        <v>5.7</v>
      </c>
      <c r="I4" s="72" t="s">
        <v>260</v>
      </c>
      <c r="J4" s="73" t="s">
        <v>258</v>
      </c>
      <c r="K4" s="74">
        <v>4.7</v>
      </c>
      <c r="L4" s="72" t="s">
        <v>261</v>
      </c>
      <c r="M4" s="73" t="s">
        <v>258</v>
      </c>
      <c r="N4" s="74">
        <v>5.6</v>
      </c>
      <c r="O4" s="72" t="s">
        <v>262</v>
      </c>
      <c r="P4" s="73" t="s">
        <v>200</v>
      </c>
      <c r="Q4" s="71">
        <v>5.6</v>
      </c>
    </row>
    <row r="5" spans="2:17" x14ac:dyDescent="0.25">
      <c r="B5" s="71">
        <v>2.4</v>
      </c>
      <c r="C5" s="72" t="s">
        <v>257</v>
      </c>
      <c r="D5" s="73" t="s">
        <v>263</v>
      </c>
      <c r="E5" s="76">
        <v>5</v>
      </c>
      <c r="F5" s="72" t="s">
        <v>259</v>
      </c>
      <c r="G5" s="73" t="s">
        <v>263</v>
      </c>
      <c r="H5" s="74">
        <v>4.5999999999999996</v>
      </c>
      <c r="I5" s="72" t="s">
        <v>260</v>
      </c>
      <c r="J5" s="73" t="s">
        <v>258</v>
      </c>
      <c r="K5" s="74">
        <v>3.6</v>
      </c>
      <c r="L5" s="72" t="s">
        <v>261</v>
      </c>
      <c r="M5" s="73" t="s">
        <v>258</v>
      </c>
      <c r="N5" s="74">
        <v>9.6999999999999993</v>
      </c>
      <c r="O5" s="72" t="s">
        <v>262</v>
      </c>
      <c r="P5" s="73" t="s">
        <v>200</v>
      </c>
      <c r="Q5" s="71">
        <v>9.6999999999999993</v>
      </c>
    </row>
    <row r="6" spans="2:17" x14ac:dyDescent="0.25">
      <c r="B6" s="71">
        <v>4.3</v>
      </c>
      <c r="C6" s="72" t="s">
        <v>257</v>
      </c>
      <c r="D6" s="73" t="s">
        <v>263</v>
      </c>
      <c r="E6" s="74">
        <v>5.3</v>
      </c>
      <c r="F6" s="72" t="s">
        <v>259</v>
      </c>
      <c r="G6" s="73" t="s">
        <v>258</v>
      </c>
      <c r="H6" s="74">
        <v>3.4</v>
      </c>
      <c r="I6" s="72" t="s">
        <v>260</v>
      </c>
      <c r="J6" s="73" t="s">
        <v>263</v>
      </c>
      <c r="K6" s="74">
        <v>8.4</v>
      </c>
      <c r="L6" s="72" t="s">
        <v>261</v>
      </c>
      <c r="M6" s="73" t="s">
        <v>263</v>
      </c>
      <c r="N6" s="74">
        <v>5.6</v>
      </c>
      <c r="O6" s="72" t="s">
        <v>262</v>
      </c>
      <c r="P6" s="73" t="s">
        <v>200</v>
      </c>
      <c r="Q6" s="75">
        <v>-5.6</v>
      </c>
    </row>
    <row r="7" spans="2:17" x14ac:dyDescent="0.25">
      <c r="B7" s="71">
        <v>1.1000000000000001</v>
      </c>
      <c r="C7" s="72" t="s">
        <v>257</v>
      </c>
      <c r="D7" s="73" t="s">
        <v>263</v>
      </c>
      <c r="E7" s="76">
        <v>3</v>
      </c>
      <c r="F7" s="72" t="s">
        <v>259</v>
      </c>
      <c r="G7" s="73" t="s">
        <v>258</v>
      </c>
      <c r="H7" s="74">
        <v>2.4</v>
      </c>
      <c r="I7" s="72" t="s">
        <v>260</v>
      </c>
      <c r="J7" s="73" t="s">
        <v>263</v>
      </c>
      <c r="K7" s="74">
        <v>13</v>
      </c>
      <c r="L7" s="72" t="s">
        <v>261</v>
      </c>
      <c r="M7" s="73" t="s">
        <v>258</v>
      </c>
      <c r="N7" s="74">
        <v>3.5</v>
      </c>
      <c r="O7" s="72" t="s">
        <v>262</v>
      </c>
      <c r="P7" s="73" t="s">
        <v>200</v>
      </c>
      <c r="Q7" s="71">
        <v>3.5</v>
      </c>
    </row>
  </sheetData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35</v>
      </c>
      <c r="B1" s="12" t="s">
        <v>36</v>
      </c>
      <c r="C1" s="12" t="s">
        <v>37</v>
      </c>
      <c r="D1" s="12" t="s">
        <v>47</v>
      </c>
      <c r="E1" s="12" t="s">
        <v>1</v>
      </c>
    </row>
    <row r="2" spans="1:12" ht="15" x14ac:dyDescent="0.25">
      <c r="A2" s="15">
        <v>40544</v>
      </c>
      <c r="B2" s="13" t="s">
        <v>38</v>
      </c>
      <c r="C2" s="13" t="s">
        <v>39</v>
      </c>
      <c r="D2" s="13" t="s">
        <v>40</v>
      </c>
      <c r="E2" s="14">
        <v>3392.26</v>
      </c>
    </row>
    <row r="3" spans="1:12" ht="15" x14ac:dyDescent="0.25">
      <c r="A3" s="15">
        <v>40544</v>
      </c>
      <c r="B3" s="13" t="s">
        <v>38</v>
      </c>
      <c r="C3" s="13" t="s">
        <v>41</v>
      </c>
      <c r="D3" s="13" t="s">
        <v>40</v>
      </c>
      <c r="E3" s="14">
        <v>4113.37</v>
      </c>
    </row>
    <row r="4" spans="1:12" ht="15" x14ac:dyDescent="0.25">
      <c r="A4" s="15">
        <v>40544</v>
      </c>
      <c r="B4" s="13" t="s">
        <v>38</v>
      </c>
      <c r="C4" s="13" t="s">
        <v>42</v>
      </c>
      <c r="D4" s="13" t="s">
        <v>40</v>
      </c>
      <c r="E4" s="14">
        <v>2573.6</v>
      </c>
      <c r="H4" s="7" t="s">
        <v>36</v>
      </c>
      <c r="I4" t="s">
        <v>38</v>
      </c>
    </row>
    <row r="5" spans="1:12" ht="15" x14ac:dyDescent="0.25">
      <c r="A5" s="15">
        <v>40544</v>
      </c>
      <c r="B5" s="13" t="s">
        <v>38</v>
      </c>
      <c r="C5" s="13" t="s">
        <v>43</v>
      </c>
      <c r="D5" s="13" t="s">
        <v>40</v>
      </c>
      <c r="E5" s="14">
        <v>2986.38</v>
      </c>
    </row>
    <row r="6" spans="1:12" ht="15" x14ac:dyDescent="0.25">
      <c r="A6" s="15">
        <v>40544</v>
      </c>
      <c r="B6" s="13" t="s">
        <v>38</v>
      </c>
      <c r="C6" s="13" t="s">
        <v>39</v>
      </c>
      <c r="D6" s="13" t="s">
        <v>8</v>
      </c>
      <c r="E6" s="14">
        <v>5141.87</v>
      </c>
      <c r="H6" s="7" t="s">
        <v>4</v>
      </c>
      <c r="I6" s="7" t="s">
        <v>55</v>
      </c>
      <c r="J6"/>
      <c r="K6"/>
      <c r="L6"/>
    </row>
    <row r="7" spans="1:12" ht="15" x14ac:dyDescent="0.25">
      <c r="A7" s="15">
        <v>40544</v>
      </c>
      <c r="B7" s="13" t="s">
        <v>38</v>
      </c>
      <c r="C7" s="13" t="s">
        <v>41</v>
      </c>
      <c r="D7" s="13" t="s">
        <v>8</v>
      </c>
      <c r="E7" s="14">
        <v>3393.57</v>
      </c>
      <c r="H7" s="7" t="s">
        <v>46</v>
      </c>
      <c r="I7" t="s">
        <v>40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38</v>
      </c>
      <c r="C8" s="13" t="s">
        <v>42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38</v>
      </c>
      <c r="C9" s="13" t="s">
        <v>43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38</v>
      </c>
      <c r="C10" s="13" t="s">
        <v>39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38</v>
      </c>
      <c r="C11" s="13" t="s">
        <v>41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38</v>
      </c>
      <c r="C12" s="13" t="s">
        <v>42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38</v>
      </c>
      <c r="C13" s="13" t="s">
        <v>43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44</v>
      </c>
      <c r="C14" s="13" t="s">
        <v>39</v>
      </c>
      <c r="D14" s="13" t="s">
        <v>40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44</v>
      </c>
      <c r="C15" s="13" t="s">
        <v>41</v>
      </c>
      <c r="D15" s="13" t="s">
        <v>40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44</v>
      </c>
      <c r="C16" s="13" t="s">
        <v>42</v>
      </c>
      <c r="D16" s="13" t="s">
        <v>40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44</v>
      </c>
      <c r="C17" s="13" t="s">
        <v>43</v>
      </c>
      <c r="D17" s="13" t="s">
        <v>40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44</v>
      </c>
      <c r="C18" s="13" t="s">
        <v>39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44</v>
      </c>
      <c r="C19" s="13" t="s">
        <v>41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44</v>
      </c>
      <c r="C20" s="13" t="s">
        <v>42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44</v>
      </c>
      <c r="C21" s="13" t="s">
        <v>43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44</v>
      </c>
      <c r="C22" s="13" t="s">
        <v>39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44</v>
      </c>
      <c r="C23" s="13" t="s">
        <v>41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44</v>
      </c>
      <c r="C24" s="13" t="s">
        <v>42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44</v>
      </c>
      <c r="C25" s="13" t="s">
        <v>43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45</v>
      </c>
      <c r="C26" s="13" t="s">
        <v>39</v>
      </c>
      <c r="D26" s="13" t="s">
        <v>40</v>
      </c>
      <c r="E26" s="14">
        <v>4240.09</v>
      </c>
    </row>
    <row r="27" spans="1:12" ht="15" x14ac:dyDescent="0.25">
      <c r="A27" s="15">
        <v>40544</v>
      </c>
      <c r="B27" s="13" t="s">
        <v>45</v>
      </c>
      <c r="C27" s="13" t="s">
        <v>41</v>
      </c>
      <c r="D27" s="13" t="s">
        <v>40</v>
      </c>
      <c r="E27" s="14">
        <v>3869.57</v>
      </c>
    </row>
    <row r="28" spans="1:12" ht="15" x14ac:dyDescent="0.25">
      <c r="A28" s="15">
        <v>40544</v>
      </c>
      <c r="B28" s="13" t="s">
        <v>45</v>
      </c>
      <c r="C28" s="13" t="s">
        <v>42</v>
      </c>
      <c r="D28" s="13" t="s">
        <v>40</v>
      </c>
      <c r="E28" s="14">
        <v>3406.4</v>
      </c>
    </row>
    <row r="29" spans="1:12" ht="15" x14ac:dyDescent="0.25">
      <c r="A29" s="15">
        <v>40544</v>
      </c>
      <c r="B29" s="13" t="s">
        <v>45</v>
      </c>
      <c r="C29" s="13" t="s">
        <v>43</v>
      </c>
      <c r="D29" s="13" t="s">
        <v>40</v>
      </c>
      <c r="E29" s="14">
        <v>3144.96</v>
      </c>
    </row>
    <row r="30" spans="1:12" ht="15" x14ac:dyDescent="0.25">
      <c r="A30" s="15">
        <v>40544</v>
      </c>
      <c r="B30" s="13" t="s">
        <v>45</v>
      </c>
      <c r="C30" s="13" t="s">
        <v>39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45</v>
      </c>
      <c r="C31" s="13" t="s">
        <v>41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45</v>
      </c>
      <c r="C32" s="13" t="s">
        <v>42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45</v>
      </c>
      <c r="C33" s="13" t="s">
        <v>43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45</v>
      </c>
      <c r="C34" s="13" t="s">
        <v>39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45</v>
      </c>
      <c r="C35" s="13" t="s">
        <v>41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45</v>
      </c>
      <c r="C36" s="13" t="s">
        <v>42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45</v>
      </c>
      <c r="C37" s="13" t="s">
        <v>43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38</v>
      </c>
      <c r="C38" s="13" t="s">
        <v>39</v>
      </c>
      <c r="D38" s="13" t="s">
        <v>40</v>
      </c>
      <c r="E38" s="14">
        <v>1896</v>
      </c>
    </row>
    <row r="39" spans="1:5" ht="15" x14ac:dyDescent="0.25">
      <c r="A39" s="15">
        <v>40575</v>
      </c>
      <c r="B39" s="13" t="s">
        <v>38</v>
      </c>
      <c r="C39" s="13" t="s">
        <v>41</v>
      </c>
      <c r="D39" s="13" t="s">
        <v>40</v>
      </c>
      <c r="E39" s="14">
        <v>2539.4499999999998</v>
      </c>
    </row>
    <row r="40" spans="1:5" ht="15" x14ac:dyDescent="0.25">
      <c r="A40" s="15">
        <v>40575</v>
      </c>
      <c r="B40" s="13" t="s">
        <v>38</v>
      </c>
      <c r="C40" s="13" t="s">
        <v>42</v>
      </c>
      <c r="D40" s="13" t="s">
        <v>40</v>
      </c>
      <c r="E40" s="14">
        <v>3403.83</v>
      </c>
    </row>
    <row r="41" spans="1:5" ht="15" x14ac:dyDescent="0.25">
      <c r="A41" s="15">
        <v>40575</v>
      </c>
      <c r="B41" s="13" t="s">
        <v>38</v>
      </c>
      <c r="C41" s="13" t="s">
        <v>43</v>
      </c>
      <c r="D41" s="13" t="s">
        <v>40</v>
      </c>
      <c r="E41" s="14">
        <v>793.49</v>
      </c>
    </row>
    <row r="42" spans="1:5" ht="15" x14ac:dyDescent="0.25">
      <c r="A42" s="15">
        <v>40575</v>
      </c>
      <c r="B42" s="13" t="s">
        <v>38</v>
      </c>
      <c r="C42" s="13" t="s">
        <v>39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38</v>
      </c>
      <c r="C43" s="13" t="s">
        <v>41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38</v>
      </c>
      <c r="C44" s="13" t="s">
        <v>42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38</v>
      </c>
      <c r="C45" s="13" t="s">
        <v>43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38</v>
      </c>
      <c r="C46" s="13" t="s">
        <v>39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38</v>
      </c>
      <c r="C47" s="13" t="s">
        <v>41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38</v>
      </c>
      <c r="C48" s="13" t="s">
        <v>42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38</v>
      </c>
      <c r="C49" s="13" t="s">
        <v>43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44</v>
      </c>
      <c r="C50" s="13" t="s">
        <v>39</v>
      </c>
      <c r="D50" s="13" t="s">
        <v>40</v>
      </c>
      <c r="E50" s="14">
        <v>2028.48</v>
      </c>
    </row>
    <row r="51" spans="1:5" ht="15" x14ac:dyDescent="0.25">
      <c r="A51" s="15">
        <v>40575</v>
      </c>
      <c r="B51" s="13" t="s">
        <v>44</v>
      </c>
      <c r="C51" s="13" t="s">
        <v>41</v>
      </c>
      <c r="D51" s="13" t="s">
        <v>40</v>
      </c>
      <c r="E51" s="14">
        <v>3677.12</v>
      </c>
    </row>
    <row r="52" spans="1:5" ht="15" x14ac:dyDescent="0.25">
      <c r="A52" s="15">
        <v>40575</v>
      </c>
      <c r="B52" s="13" t="s">
        <v>44</v>
      </c>
      <c r="C52" s="13" t="s">
        <v>42</v>
      </c>
      <c r="D52" s="13" t="s">
        <v>40</v>
      </c>
      <c r="E52" s="14">
        <v>3723.72</v>
      </c>
    </row>
    <row r="53" spans="1:5" ht="15" x14ac:dyDescent="0.25">
      <c r="A53" s="15">
        <v>40575</v>
      </c>
      <c r="B53" s="13" t="s">
        <v>44</v>
      </c>
      <c r="C53" s="13" t="s">
        <v>43</v>
      </c>
      <c r="D53" s="13" t="s">
        <v>40</v>
      </c>
      <c r="E53" s="14">
        <v>3605.07</v>
      </c>
    </row>
    <row r="54" spans="1:5" ht="15" x14ac:dyDescent="0.25">
      <c r="A54" s="15">
        <v>40575</v>
      </c>
      <c r="B54" s="13" t="s">
        <v>44</v>
      </c>
      <c r="C54" s="13" t="s">
        <v>39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44</v>
      </c>
      <c r="C55" s="13" t="s">
        <v>41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44</v>
      </c>
      <c r="C56" s="13" t="s">
        <v>42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44</v>
      </c>
      <c r="C57" s="13" t="s">
        <v>43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44</v>
      </c>
      <c r="C58" s="13" t="s">
        <v>39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44</v>
      </c>
      <c r="C59" s="13" t="s">
        <v>41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44</v>
      </c>
      <c r="C60" s="13" t="s">
        <v>42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44</v>
      </c>
      <c r="C61" s="13" t="s">
        <v>43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45</v>
      </c>
      <c r="C62" s="13" t="s">
        <v>39</v>
      </c>
      <c r="D62" s="13" t="s">
        <v>40</v>
      </c>
      <c r="E62" s="14">
        <v>872.14</v>
      </c>
    </row>
    <row r="63" spans="1:5" ht="15" x14ac:dyDescent="0.25">
      <c r="A63" s="15">
        <v>40575</v>
      </c>
      <c r="B63" s="13" t="s">
        <v>45</v>
      </c>
      <c r="C63" s="13" t="s">
        <v>41</v>
      </c>
      <c r="D63" s="13" t="s">
        <v>40</v>
      </c>
      <c r="E63" s="14">
        <v>764.92</v>
      </c>
    </row>
    <row r="64" spans="1:5" ht="15" x14ac:dyDescent="0.25">
      <c r="A64" s="15">
        <v>40575</v>
      </c>
      <c r="B64" s="13" t="s">
        <v>45</v>
      </c>
      <c r="C64" s="13" t="s">
        <v>42</v>
      </c>
      <c r="D64" s="13" t="s">
        <v>40</v>
      </c>
      <c r="E64" s="14">
        <v>1050.94</v>
      </c>
    </row>
    <row r="65" spans="1:5" ht="15" x14ac:dyDescent="0.25">
      <c r="A65" s="15">
        <v>40575</v>
      </c>
      <c r="B65" s="13" t="s">
        <v>45</v>
      </c>
      <c r="C65" s="13" t="s">
        <v>43</v>
      </c>
      <c r="D65" s="13" t="s">
        <v>40</v>
      </c>
      <c r="E65" s="14">
        <v>3077.07</v>
      </c>
    </row>
    <row r="66" spans="1:5" ht="15" x14ac:dyDescent="0.25">
      <c r="A66" s="15">
        <v>40575</v>
      </c>
      <c r="B66" s="13" t="s">
        <v>45</v>
      </c>
      <c r="C66" s="13" t="s">
        <v>39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45</v>
      </c>
      <c r="C67" s="13" t="s">
        <v>41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45</v>
      </c>
      <c r="C68" s="13" t="s">
        <v>42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45</v>
      </c>
      <c r="C69" s="13" t="s">
        <v>43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45</v>
      </c>
      <c r="C70" s="13" t="s">
        <v>39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45</v>
      </c>
      <c r="C71" s="13" t="s">
        <v>41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45</v>
      </c>
      <c r="C72" s="13" t="s">
        <v>42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45</v>
      </c>
      <c r="C73" s="13" t="s">
        <v>43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38</v>
      </c>
      <c r="C74" s="13" t="s">
        <v>39</v>
      </c>
      <c r="D74" s="13" t="s">
        <v>40</v>
      </c>
      <c r="E74" s="14">
        <v>4134.03</v>
      </c>
    </row>
    <row r="75" spans="1:5" ht="15" x14ac:dyDescent="0.25">
      <c r="A75" s="15">
        <v>40603</v>
      </c>
      <c r="B75" s="13" t="s">
        <v>38</v>
      </c>
      <c r="C75" s="13" t="s">
        <v>41</v>
      </c>
      <c r="D75" s="13" t="s">
        <v>40</v>
      </c>
      <c r="E75" s="14">
        <v>3835.03</v>
      </c>
    </row>
    <row r="76" spans="1:5" ht="15" x14ac:dyDescent="0.25">
      <c r="A76" s="15">
        <v>40603</v>
      </c>
      <c r="B76" s="13" t="s">
        <v>38</v>
      </c>
      <c r="C76" s="13" t="s">
        <v>42</v>
      </c>
      <c r="D76" s="13" t="s">
        <v>40</v>
      </c>
      <c r="E76" s="14">
        <v>2355.4899999999998</v>
      </c>
    </row>
    <row r="77" spans="1:5" ht="15" x14ac:dyDescent="0.25">
      <c r="A77" s="15">
        <v>40603</v>
      </c>
      <c r="B77" s="13" t="s">
        <v>38</v>
      </c>
      <c r="C77" s="13" t="s">
        <v>43</v>
      </c>
      <c r="D77" s="13" t="s">
        <v>40</v>
      </c>
      <c r="E77" s="14">
        <v>1363.86</v>
      </c>
    </row>
    <row r="78" spans="1:5" ht="15" x14ac:dyDescent="0.25">
      <c r="A78" s="15">
        <v>40603</v>
      </c>
      <c r="B78" s="13" t="s">
        <v>38</v>
      </c>
      <c r="C78" s="13" t="s">
        <v>39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38</v>
      </c>
      <c r="C79" s="13" t="s">
        <v>41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38</v>
      </c>
      <c r="C80" s="13" t="s">
        <v>42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38</v>
      </c>
      <c r="C81" s="13" t="s">
        <v>43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38</v>
      </c>
      <c r="C82" s="13" t="s">
        <v>39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38</v>
      </c>
      <c r="C83" s="13" t="s">
        <v>41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38</v>
      </c>
      <c r="C84" s="13" t="s">
        <v>42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38</v>
      </c>
      <c r="C85" s="13" t="s">
        <v>43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44</v>
      </c>
      <c r="C86" s="13" t="s">
        <v>39</v>
      </c>
      <c r="D86" s="13" t="s">
        <v>40</v>
      </c>
      <c r="E86" s="14">
        <v>1840.73</v>
      </c>
    </row>
    <row r="87" spans="1:5" ht="15" x14ac:dyDescent="0.25">
      <c r="A87" s="15">
        <v>40603</v>
      </c>
      <c r="B87" s="13" t="s">
        <v>44</v>
      </c>
      <c r="C87" s="13" t="s">
        <v>41</v>
      </c>
      <c r="D87" s="13" t="s">
        <v>40</v>
      </c>
      <c r="E87" s="14">
        <v>4356.72</v>
      </c>
    </row>
    <row r="88" spans="1:5" ht="15" x14ac:dyDescent="0.25">
      <c r="A88" s="15">
        <v>40603</v>
      </c>
      <c r="B88" s="13" t="s">
        <v>44</v>
      </c>
      <c r="C88" s="13" t="s">
        <v>42</v>
      </c>
      <c r="D88" s="13" t="s">
        <v>40</v>
      </c>
      <c r="E88" s="14">
        <v>4434.2700000000004</v>
      </c>
    </row>
    <row r="89" spans="1:5" ht="15" x14ac:dyDescent="0.25">
      <c r="A89" s="15">
        <v>40603</v>
      </c>
      <c r="B89" s="13" t="s">
        <v>44</v>
      </c>
      <c r="C89" s="13" t="s">
        <v>43</v>
      </c>
      <c r="D89" s="13" t="s">
        <v>40</v>
      </c>
      <c r="E89" s="14">
        <v>3268.53</v>
      </c>
    </row>
    <row r="90" spans="1:5" ht="15" x14ac:dyDescent="0.25">
      <c r="A90" s="15">
        <v>40603</v>
      </c>
      <c r="B90" s="13" t="s">
        <v>44</v>
      </c>
      <c r="C90" s="13" t="s">
        <v>39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44</v>
      </c>
      <c r="C91" s="13" t="s">
        <v>41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44</v>
      </c>
      <c r="C92" s="13" t="s">
        <v>42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44</v>
      </c>
      <c r="C93" s="13" t="s">
        <v>43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44</v>
      </c>
      <c r="C94" s="13" t="s">
        <v>39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44</v>
      </c>
      <c r="C95" s="13" t="s">
        <v>41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44</v>
      </c>
      <c r="C96" s="13" t="s">
        <v>42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44</v>
      </c>
      <c r="C97" s="13" t="s">
        <v>43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45</v>
      </c>
      <c r="C98" s="13" t="s">
        <v>39</v>
      </c>
      <c r="D98" s="13" t="s">
        <v>40</v>
      </c>
      <c r="E98" s="14">
        <v>4813.82</v>
      </c>
    </row>
    <row r="99" spans="1:5" ht="15" x14ac:dyDescent="0.25">
      <c r="A99" s="15">
        <v>40603</v>
      </c>
      <c r="B99" s="13" t="s">
        <v>45</v>
      </c>
      <c r="C99" s="13" t="s">
        <v>41</v>
      </c>
      <c r="D99" s="13" t="s">
        <v>40</v>
      </c>
      <c r="E99" s="14">
        <v>2384.3200000000002</v>
      </c>
    </row>
    <row r="100" spans="1:5" ht="15" x14ac:dyDescent="0.25">
      <c r="A100" s="15">
        <v>40603</v>
      </c>
      <c r="B100" s="13" t="s">
        <v>45</v>
      </c>
      <c r="C100" s="13" t="s">
        <v>42</v>
      </c>
      <c r="D100" s="13" t="s">
        <v>40</v>
      </c>
      <c r="E100" s="14">
        <v>3327.39</v>
      </c>
    </row>
    <row r="101" spans="1:5" ht="15" x14ac:dyDescent="0.25">
      <c r="A101" s="15">
        <v>40603</v>
      </c>
      <c r="B101" s="13" t="s">
        <v>45</v>
      </c>
      <c r="C101" s="13" t="s">
        <v>43</v>
      </c>
      <c r="D101" s="13" t="s">
        <v>40</v>
      </c>
      <c r="E101" s="14">
        <v>3711.23</v>
      </c>
    </row>
    <row r="102" spans="1:5" ht="15" x14ac:dyDescent="0.25">
      <c r="A102" s="15">
        <v>40603</v>
      </c>
      <c r="B102" s="13" t="s">
        <v>45</v>
      </c>
      <c r="C102" s="13" t="s">
        <v>39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45</v>
      </c>
      <c r="C103" s="13" t="s">
        <v>41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45</v>
      </c>
      <c r="C104" s="13" t="s">
        <v>42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45</v>
      </c>
      <c r="C105" s="13" t="s">
        <v>43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45</v>
      </c>
      <c r="C106" s="13" t="s">
        <v>39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45</v>
      </c>
      <c r="C107" s="13" t="s">
        <v>41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45</v>
      </c>
      <c r="C108" s="13" t="s">
        <v>42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45</v>
      </c>
      <c r="C109" s="13" t="s">
        <v>43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00" customWidth="1"/>
    <col min="2" max="2" width="8.85546875" style="100" customWidth="1"/>
    <col min="3" max="16384" width="9.140625" style="100"/>
  </cols>
  <sheetData>
    <row r="1" spans="1:2" x14ac:dyDescent="0.15">
      <c r="A1" s="100" t="s">
        <v>299</v>
      </c>
      <c r="B1" s="103">
        <v>4000</v>
      </c>
    </row>
    <row r="2" spans="1:2" x14ac:dyDescent="0.15">
      <c r="A2" s="100" t="s">
        <v>303</v>
      </c>
      <c r="B2" s="10">
        <v>0.06</v>
      </c>
    </row>
    <row r="3" spans="1:2" x14ac:dyDescent="0.15">
      <c r="A3" s="100" t="s">
        <v>304</v>
      </c>
      <c r="B3" s="103">
        <v>-125</v>
      </c>
    </row>
    <row r="4" spans="1:2" x14ac:dyDescent="0.15">
      <c r="A4" s="101" t="s">
        <v>305</v>
      </c>
      <c r="B4" s="100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customWidth="1"/>
    <col min="13" max="13" width="13.140625" bestFit="1" customWidth="1"/>
    <col min="14" max="14" width="10.5703125" bestFit="1" customWidth="1"/>
    <col min="16" max="16" width="47.5703125" bestFit="1" customWidth="1"/>
  </cols>
  <sheetData>
    <row r="1" spans="1:16" x14ac:dyDescent="0.25">
      <c r="A1" t="s">
        <v>386</v>
      </c>
      <c r="B1" t="s">
        <v>216</v>
      </c>
    </row>
    <row r="2" spans="1:16" x14ac:dyDescent="0.25">
      <c r="A2">
        <v>1</v>
      </c>
      <c r="B2">
        <v>64</v>
      </c>
      <c r="M2" s="1" t="s">
        <v>387</v>
      </c>
      <c r="P2" s="1" t="s">
        <v>367</v>
      </c>
    </row>
    <row r="3" spans="1:16" x14ac:dyDescent="0.25">
      <c r="A3">
        <v>2</v>
      </c>
      <c r="B3">
        <v>32</v>
      </c>
      <c r="M3" t="s">
        <v>368</v>
      </c>
      <c r="N3">
        <f>EXP(INDEX(LINEST(LN($B$2:$B$7),$A$2:$A$7),1,2))</f>
        <v>127.99999999999997</v>
      </c>
      <c r="P3" s="162" t="str">
        <f ca="1">_xlfn.FORMULATEXT(N3)</f>
        <v>=EXP(INDEX(LIJNSCH(LN($B$2:$B$7);$A$2:$A$7);1;2))</v>
      </c>
    </row>
    <row r="4" spans="1:16" x14ac:dyDescent="0.25">
      <c r="A4">
        <v>3</v>
      </c>
      <c r="B4">
        <v>16</v>
      </c>
      <c r="M4" t="s">
        <v>369</v>
      </c>
      <c r="N4" s="160">
        <f>INDEX(LINEST(LN($B$2:$B$7),$A$2:$A$7),1)</f>
        <v>-0.69314718055994529</v>
      </c>
      <c r="P4" s="162" t="str">
        <f ca="1">_xlfn.FORMULATEXT(N4)</f>
        <v>=@INDEX(LIJNSCH(LN($B$2:$B$7);$A$2:$A$7);1)</v>
      </c>
    </row>
    <row r="5" spans="1:16" x14ac:dyDescent="0.25">
      <c r="A5">
        <v>4</v>
      </c>
      <c r="B5">
        <v>8</v>
      </c>
    </row>
    <row r="6" spans="1:16" x14ac:dyDescent="0.25">
      <c r="A6">
        <v>5</v>
      </c>
      <c r="B6">
        <v>4</v>
      </c>
    </row>
    <row r="7" spans="1:16" x14ac:dyDescent="0.25">
      <c r="A7">
        <v>6</v>
      </c>
      <c r="B7">
        <v>2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157" customWidth="1"/>
    <col min="3" max="12" width="9.140625" style="157"/>
    <col min="13" max="13" width="19.42578125" style="157" bestFit="1" customWidth="1"/>
    <col min="14" max="14" width="11.42578125" style="157" bestFit="1" customWidth="1"/>
    <col min="15" max="15" width="11.28515625" style="157" bestFit="1" customWidth="1"/>
    <col min="16" max="16" width="38.85546875" style="157" bestFit="1" customWidth="1"/>
    <col min="17" max="16384" width="9.140625" style="157"/>
  </cols>
  <sheetData>
    <row r="1" spans="1:16" x14ac:dyDescent="0.25">
      <c r="A1" s="157" t="s">
        <v>365</v>
      </c>
      <c r="B1" s="157" t="s">
        <v>216</v>
      </c>
    </row>
    <row r="2" spans="1:16" x14ac:dyDescent="0.25">
      <c r="A2" s="157">
        <v>2008</v>
      </c>
      <c r="B2" s="157">
        <v>173</v>
      </c>
      <c r="M2" s="1" t="s">
        <v>366</v>
      </c>
      <c r="P2" s="1" t="s">
        <v>367</v>
      </c>
    </row>
    <row r="3" spans="1:16" x14ac:dyDescent="0.25">
      <c r="A3" s="157">
        <v>2009</v>
      </c>
      <c r="B3" s="157">
        <v>220</v>
      </c>
      <c r="M3" s="157" t="s">
        <v>368</v>
      </c>
      <c r="N3" s="158">
        <f>SLOPE($B$2:$B$9,$A$2:$A$9)</f>
        <v>52.88095238095238</v>
      </c>
      <c r="P3" s="157" t="str">
        <f ca="1">_xlfn.FORMULATEXT(N3)</f>
        <v>=RICHTING($B$2:$B$9;$A$2:$A$9)</v>
      </c>
    </row>
    <row r="4" spans="1:16" x14ac:dyDescent="0.25">
      <c r="A4" s="157">
        <v>2010</v>
      </c>
      <c r="B4" s="157">
        <v>315</v>
      </c>
      <c r="M4" s="157" t="s">
        <v>369</v>
      </c>
      <c r="N4" s="158">
        <f>INTERCEPT($B$2:$B$9,$A$2:$A$9)</f>
        <v>-105999.53571428571</v>
      </c>
      <c r="P4" s="157" t="str">
        <f ca="1">_xlfn.FORMULATEXT(N4)</f>
        <v>=SNIJPUNT($B$2:$B$9;$A$2:$A$9)</v>
      </c>
    </row>
    <row r="5" spans="1:16" x14ac:dyDescent="0.25">
      <c r="A5" s="157">
        <v>2011</v>
      </c>
      <c r="B5" s="157">
        <v>374</v>
      </c>
    </row>
    <row r="6" spans="1:16" x14ac:dyDescent="0.25">
      <c r="A6" s="157">
        <v>2012</v>
      </c>
      <c r="B6" s="157">
        <v>405</v>
      </c>
      <c r="M6" s="157" t="s">
        <v>368</v>
      </c>
      <c r="N6" s="158">
        <f>INDEX(LINEST($B$2:$B$9,$A$2:$A$9),1,1)</f>
        <v>52.88095238095238</v>
      </c>
      <c r="P6" s="157" t="str">
        <f t="shared" ref="P6:P7" ca="1" si="0">_xlfn.FORMULATEXT(N6)</f>
        <v>=INDEX(LIJNSCH($B$2:$B$9;$A$2:$A$9);1;1)</v>
      </c>
    </row>
    <row r="7" spans="1:16" x14ac:dyDescent="0.25">
      <c r="A7" s="157">
        <v>2013</v>
      </c>
      <c r="B7" s="157">
        <v>428</v>
      </c>
      <c r="M7" s="157" t="s">
        <v>369</v>
      </c>
      <c r="N7" s="158">
        <f>INDEX(LINEST($B$2:$B$9,$A$2:$A$9),1,2)</f>
        <v>-105999.53571428571</v>
      </c>
      <c r="P7" s="157" t="str">
        <f t="shared" ca="1" si="0"/>
        <v>=INDEX(LIJNSCH($B$2:$B$9;$A$2:$A$9);1;2)</v>
      </c>
    </row>
    <row r="8" spans="1:16" x14ac:dyDescent="0.25">
      <c r="A8" s="157">
        <v>2014</v>
      </c>
      <c r="B8" s="157">
        <v>480</v>
      </c>
    </row>
    <row r="9" spans="1:16" x14ac:dyDescent="0.25">
      <c r="A9" s="157">
        <v>2015</v>
      </c>
      <c r="B9" s="157">
        <v>569</v>
      </c>
      <c r="N9" s="159" t="s">
        <v>368</v>
      </c>
      <c r="O9" s="159" t="s">
        <v>369</v>
      </c>
    </row>
    <row r="10" spans="1:16" x14ac:dyDescent="0.25">
      <c r="M10" s="157" t="s">
        <v>370</v>
      </c>
      <c r="N10" s="158">
        <f t="array" ref="N10:O10">LINEST(B2:B9,A2:A9,TRUE,FALSE)</f>
        <v>52.88095238095238</v>
      </c>
      <c r="O10" s="158">
        <v>-105999.53571428571</v>
      </c>
      <c r="P10" s="157" t="str">
        <f t="shared" ref="P10:P18" ca="1" si="1">_xlfn.FORMULATEXT(N10)</f>
        <v>{=LIJNSCH(B2:B9;A2:A9;WAAR;ONWAAR)}</v>
      </c>
    </row>
    <row r="11" spans="1:16" x14ac:dyDescent="0.25">
      <c r="N11" s="157" t="s">
        <v>371</v>
      </c>
      <c r="O11" s="157" t="s">
        <v>372</v>
      </c>
    </row>
    <row r="12" spans="1:16" x14ac:dyDescent="0.25">
      <c r="M12" s="157" t="s">
        <v>373</v>
      </c>
      <c r="N12" s="157">
        <f>CORREL(B2:B9,A2:A9)</f>
        <v>0.98669254989476463</v>
      </c>
      <c r="O12" s="157">
        <f>N12^2</f>
        <v>0.97356218801783256</v>
      </c>
      <c r="P12" s="157" t="str">
        <f t="shared" ca="1" si="1"/>
        <v>=CORRELATIE(B2:B9;A2:A9)</v>
      </c>
    </row>
    <row r="18" spans="14:16" x14ac:dyDescent="0.25">
      <c r="N18" s="158">
        <f>INDEX(LINEST($B$2:$B$9,$A$2:$A$9),1,1)</f>
        <v>52.88095238095238</v>
      </c>
      <c r="P18" s="157" t="str">
        <f t="shared" ca="1" si="1"/>
        <v>=INDEX(LIJNSCH($B$2:$B$9;$A$2:$A$9);1;1)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customWidth="1"/>
    <col min="13" max="13" width="13.7109375" bestFit="1" customWidth="1"/>
    <col min="14" max="14" width="10.5703125" bestFit="1" customWidth="1"/>
    <col min="16" max="16" width="42.7109375" bestFit="1" customWidth="1"/>
  </cols>
  <sheetData>
    <row r="1" spans="1:16" x14ac:dyDescent="0.25">
      <c r="A1" t="s">
        <v>374</v>
      </c>
      <c r="B1" t="s">
        <v>216</v>
      </c>
    </row>
    <row r="2" spans="1:16" x14ac:dyDescent="0.25">
      <c r="A2">
        <v>1</v>
      </c>
      <c r="B2">
        <v>6</v>
      </c>
      <c r="M2" s="1" t="s">
        <v>375</v>
      </c>
      <c r="P2" s="1" t="s">
        <v>367</v>
      </c>
    </row>
    <row r="3" spans="1:16" x14ac:dyDescent="0.25">
      <c r="A3">
        <v>2</v>
      </c>
      <c r="B3">
        <v>12</v>
      </c>
      <c r="M3" t="s">
        <v>368</v>
      </c>
      <c r="N3" s="160">
        <f>INDEX(LINEST($B$2:$B$9,LN($A$2:$A$9)),1,1)</f>
        <v>12.846032835695151</v>
      </c>
      <c r="P3" t="str">
        <f ca="1">_xlfn.FORMULATEXT(N3)</f>
        <v>=INDEX(LIJNSCH($B$2:$B$9;LN($A$2:$A$9));1;1)</v>
      </c>
    </row>
    <row r="4" spans="1:16" x14ac:dyDescent="0.25">
      <c r="A4">
        <v>3</v>
      </c>
      <c r="B4">
        <v>22</v>
      </c>
      <c r="M4" t="s">
        <v>369</v>
      </c>
      <c r="N4" s="160">
        <f>INDEX(LINEST($B$2:$B$9,LN($A$2:$A$9)),1,2)</f>
        <v>5.9716153627283006</v>
      </c>
      <c r="P4" t="str">
        <f ca="1">_xlfn.FORMULATEXT(N4)</f>
        <v>=INDEX(LIJNSCH($B$2:$B$9;LN($A$2:$A$9));1;2)</v>
      </c>
    </row>
    <row r="5" spans="1:16" x14ac:dyDescent="0.25">
      <c r="A5">
        <v>4</v>
      </c>
      <c r="B5">
        <v>26</v>
      </c>
    </row>
    <row r="6" spans="1:16" x14ac:dyDescent="0.25">
      <c r="A6">
        <v>5</v>
      </c>
      <c r="B6">
        <v>28</v>
      </c>
    </row>
    <row r="7" spans="1:16" x14ac:dyDescent="0.25">
      <c r="A7">
        <v>6</v>
      </c>
      <c r="B7">
        <v>29</v>
      </c>
      <c r="N7" s="160"/>
    </row>
    <row r="8" spans="1:16" x14ac:dyDescent="0.25">
      <c r="A8">
        <v>7</v>
      </c>
      <c r="B8">
        <v>30</v>
      </c>
    </row>
    <row r="9" spans="1:16" x14ac:dyDescent="0.25">
      <c r="A9">
        <v>8</v>
      </c>
      <c r="B9">
        <v>31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163" customWidth="1"/>
    <col min="3" max="16384" width="9.140625" style="163"/>
  </cols>
  <sheetData>
    <row r="1" spans="1:2" x14ac:dyDescent="0.25">
      <c r="A1" s="163" t="s">
        <v>184</v>
      </c>
      <c r="B1" s="163" t="s">
        <v>155</v>
      </c>
    </row>
    <row r="2" spans="1:2" x14ac:dyDescent="0.25">
      <c r="A2" s="163">
        <v>1</v>
      </c>
      <c r="B2" s="163">
        <v>10</v>
      </c>
    </row>
    <row r="3" spans="1:2" x14ac:dyDescent="0.25">
      <c r="A3" s="163">
        <v>2</v>
      </c>
      <c r="B3" s="163">
        <v>11</v>
      </c>
    </row>
    <row r="4" spans="1:2" x14ac:dyDescent="0.25">
      <c r="A4" s="163">
        <v>3</v>
      </c>
      <c r="B4" s="163">
        <v>15</v>
      </c>
    </row>
    <row r="5" spans="1:2" x14ac:dyDescent="0.25">
      <c r="A5" s="163">
        <v>4</v>
      </c>
      <c r="B5" s="163">
        <v>7</v>
      </c>
    </row>
    <row r="6" spans="1:2" x14ac:dyDescent="0.25">
      <c r="A6" s="163">
        <v>5</v>
      </c>
      <c r="B6" s="163">
        <v>9</v>
      </c>
    </row>
    <row r="7" spans="1:2" x14ac:dyDescent="0.25">
      <c r="A7" s="163">
        <v>6</v>
      </c>
      <c r="B7" s="163">
        <v>6</v>
      </c>
    </row>
    <row r="8" spans="1:2" x14ac:dyDescent="0.25">
      <c r="A8" s="163">
        <v>7</v>
      </c>
      <c r="B8" s="163">
        <v>7</v>
      </c>
    </row>
    <row r="9" spans="1:2" x14ac:dyDescent="0.25">
      <c r="A9" s="163">
        <v>8</v>
      </c>
      <c r="B9" s="163">
        <v>8</v>
      </c>
    </row>
    <row r="10" spans="1:2" x14ac:dyDescent="0.25">
      <c r="A10" s="163">
        <v>9</v>
      </c>
      <c r="B10" s="163">
        <v>17</v>
      </c>
    </row>
    <row r="11" spans="1:2" x14ac:dyDescent="0.25">
      <c r="A11" s="163">
        <v>10</v>
      </c>
      <c r="B11" s="163">
        <v>20</v>
      </c>
    </row>
    <row r="12" spans="1:2" x14ac:dyDescent="0.25">
      <c r="A12" s="163">
        <v>11</v>
      </c>
      <c r="B12" s="163">
        <v>14</v>
      </c>
    </row>
    <row r="13" spans="1:2" x14ac:dyDescent="0.25">
      <c r="A13" s="163">
        <v>12</v>
      </c>
      <c r="B13" s="163">
        <v>12</v>
      </c>
    </row>
    <row r="14" spans="1:2" x14ac:dyDescent="0.25">
      <c r="A14" s="163">
        <v>13</v>
      </c>
      <c r="B14" s="163">
        <v>15</v>
      </c>
    </row>
    <row r="15" spans="1:2" x14ac:dyDescent="0.25">
      <c r="A15" s="163">
        <v>14</v>
      </c>
      <c r="B15" s="163">
        <v>11</v>
      </c>
    </row>
    <row r="16" spans="1:2" x14ac:dyDescent="0.25">
      <c r="A16" s="163">
        <v>15</v>
      </c>
      <c r="B16" s="163">
        <v>10</v>
      </c>
    </row>
    <row r="17" spans="1:2" x14ac:dyDescent="0.25">
      <c r="A17" s="163">
        <v>16</v>
      </c>
      <c r="B17" s="163">
        <v>13</v>
      </c>
    </row>
    <row r="18" spans="1:2" x14ac:dyDescent="0.25">
      <c r="A18" s="163">
        <v>17</v>
      </c>
      <c r="B18" s="163">
        <v>16</v>
      </c>
    </row>
    <row r="19" spans="1:2" x14ac:dyDescent="0.25">
      <c r="A19" s="163">
        <v>18</v>
      </c>
      <c r="B19" s="163">
        <v>18</v>
      </c>
    </row>
    <row r="20" spans="1:2" x14ac:dyDescent="0.25">
      <c r="A20" s="163">
        <v>19</v>
      </c>
      <c r="B20" s="163">
        <v>14</v>
      </c>
    </row>
    <row r="21" spans="1:2" x14ac:dyDescent="0.25">
      <c r="A21" s="163">
        <v>20</v>
      </c>
      <c r="B21" s="163">
        <v>12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bestFit="1" customWidth="1"/>
    <col min="2" max="2" width="12.42578125" bestFit="1" customWidth="1"/>
    <col min="13" max="13" width="16.7109375" bestFit="1" customWidth="1"/>
    <col min="14" max="14" width="10.5703125" bestFit="1" customWidth="1"/>
    <col min="16" max="16" width="44" bestFit="1" customWidth="1"/>
  </cols>
  <sheetData>
    <row r="1" spans="1:16" x14ac:dyDescent="0.25">
      <c r="A1" t="s">
        <v>376</v>
      </c>
      <c r="B1" t="s">
        <v>377</v>
      </c>
    </row>
    <row r="2" spans="1:16" x14ac:dyDescent="0.25">
      <c r="A2" t="s">
        <v>378</v>
      </c>
      <c r="B2" t="s">
        <v>379</v>
      </c>
      <c r="M2" s="1" t="s">
        <v>380</v>
      </c>
      <c r="P2" s="1" t="s">
        <v>367</v>
      </c>
    </row>
    <row r="3" spans="1:16" x14ac:dyDescent="0.25">
      <c r="A3">
        <v>30</v>
      </c>
      <c r="B3">
        <v>7.4</v>
      </c>
      <c r="M3" t="s">
        <v>368</v>
      </c>
      <c r="N3" s="161">
        <f>INDEX(LINEST($B$3:$B$9,$A$3:$A$9^{1,2}),1,1)</f>
        <v>-7.4880952380952407E-3</v>
      </c>
      <c r="P3" t="str">
        <f ca="1">_xlfn.FORMULATEXT(N3)</f>
        <v>=INDEX(LIJNSCH($B$3:$B$9;$A$3:$A$9^{1\2});1;1)</v>
      </c>
    </row>
    <row r="4" spans="1:16" x14ac:dyDescent="0.25">
      <c r="A4">
        <v>40</v>
      </c>
      <c r="B4">
        <v>11.049999999999999</v>
      </c>
      <c r="M4" t="s">
        <v>369</v>
      </c>
      <c r="N4" s="161">
        <f>INDEX(LINEST($B$3:$B$9,$A$3:$A$9^{1,2}),1,2)</f>
        <v>1.0662500000000004</v>
      </c>
      <c r="P4" t="str">
        <f t="shared" ref="P4:P5" ca="1" si="0">_xlfn.FORMULATEXT(N4)</f>
        <v>=INDEX(LIJNSCH($B$3:$B$9;$A$3:$A$9^{1\2});1;2)</v>
      </c>
    </row>
    <row r="5" spans="1:16" x14ac:dyDescent="0.25">
      <c r="A5">
        <v>50</v>
      </c>
      <c r="B5">
        <v>15.1</v>
      </c>
      <c r="M5" t="s">
        <v>381</v>
      </c>
      <c r="N5" s="161">
        <f>INDEX(LINEST($B$3:$B$9,$A$3:$A$9^{1,2}),1,3)</f>
        <v>-18.661904761904772</v>
      </c>
      <c r="P5" t="str">
        <f t="shared" ca="1" si="0"/>
        <v>=INDEX(LIJNSCH($B$3:$B$9;$A$3:$A$9^{1\2});1;3)</v>
      </c>
    </row>
    <row r="6" spans="1:16" x14ac:dyDescent="0.25">
      <c r="A6">
        <v>60</v>
      </c>
      <c r="B6">
        <v>18.7</v>
      </c>
      <c r="N6" s="161"/>
    </row>
    <row r="7" spans="1:16" x14ac:dyDescent="0.25">
      <c r="A7">
        <v>70</v>
      </c>
      <c r="B7">
        <v>20.6</v>
      </c>
    </row>
    <row r="8" spans="1:16" x14ac:dyDescent="0.25">
      <c r="A8">
        <v>80</v>
      </c>
      <c r="B8">
        <v>18.274999999999999</v>
      </c>
    </row>
    <row r="9" spans="1:16" x14ac:dyDescent="0.25">
      <c r="A9">
        <v>90</v>
      </c>
      <c r="B9">
        <v>16.399999999999999</v>
      </c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customWidth="1"/>
    <col min="14" max="14" width="10.5703125" bestFit="1" customWidth="1"/>
    <col min="16" max="16" width="52" bestFit="1" customWidth="1"/>
  </cols>
  <sheetData>
    <row r="1" spans="1:16" x14ac:dyDescent="0.25">
      <c r="A1" t="s">
        <v>189</v>
      </c>
      <c r="B1" t="s">
        <v>382</v>
      </c>
    </row>
    <row r="2" spans="1:16" x14ac:dyDescent="0.25">
      <c r="A2" t="s">
        <v>383</v>
      </c>
      <c r="B2" t="s">
        <v>384</v>
      </c>
      <c r="M2" s="1" t="s">
        <v>385</v>
      </c>
      <c r="P2" s="1" t="s">
        <v>367</v>
      </c>
    </row>
    <row r="3" spans="1:16" x14ac:dyDescent="0.25">
      <c r="A3">
        <v>1</v>
      </c>
      <c r="B3">
        <v>5</v>
      </c>
      <c r="M3" t="s">
        <v>368</v>
      </c>
      <c r="N3" s="160">
        <f>EXP(INDEX(LINEST(LN($B$3:$B$12),LN($A$3:$A$12)),2))</f>
        <v>5.0256080561355931</v>
      </c>
      <c r="P3" s="162" t="str">
        <f ca="1">_xlfn.FORMULATEXT(N3)</f>
        <v>=EXP(@INDEX(LIJNSCH(LN($B$3:$B$12);LN($A$3:$A$12));2))</v>
      </c>
    </row>
    <row r="4" spans="1:16" x14ac:dyDescent="0.25">
      <c r="A4">
        <v>2</v>
      </c>
      <c r="B4">
        <v>21</v>
      </c>
      <c r="M4" t="s">
        <v>369</v>
      </c>
      <c r="N4" s="160">
        <f>INDEX(LINEST(LN($B$3:$B$12),LN($A$3:$A$12)),1)</f>
        <v>2.0902097668655144</v>
      </c>
      <c r="P4" s="162" t="str">
        <f ca="1">_xlfn.FORMULATEXT(N4)</f>
        <v>=@INDEX(LIJNSCH(LN($B$3:$B$12);LN($A$3:$A$12));1)</v>
      </c>
    </row>
    <row r="5" spans="1:16" x14ac:dyDescent="0.25">
      <c r="A5">
        <v>3</v>
      </c>
      <c r="B5">
        <v>54</v>
      </c>
    </row>
    <row r="6" spans="1:16" x14ac:dyDescent="0.25">
      <c r="A6">
        <v>4</v>
      </c>
      <c r="B6">
        <v>94</v>
      </c>
    </row>
    <row r="7" spans="1:16" x14ac:dyDescent="0.25">
      <c r="A7">
        <v>5</v>
      </c>
      <c r="B7">
        <v>141</v>
      </c>
    </row>
    <row r="8" spans="1:16" x14ac:dyDescent="0.25">
      <c r="A8">
        <v>6</v>
      </c>
      <c r="B8">
        <v>200</v>
      </c>
    </row>
    <row r="9" spans="1:16" x14ac:dyDescent="0.25">
      <c r="A9">
        <v>7</v>
      </c>
      <c r="B9">
        <v>280</v>
      </c>
    </row>
    <row r="10" spans="1:16" x14ac:dyDescent="0.25">
      <c r="A10">
        <v>8</v>
      </c>
      <c r="B10">
        <v>364</v>
      </c>
    </row>
    <row r="11" spans="1:16" x14ac:dyDescent="0.25">
      <c r="A11">
        <v>9</v>
      </c>
      <c r="B11">
        <v>509</v>
      </c>
    </row>
    <row r="12" spans="1:16" x14ac:dyDescent="0.25">
      <c r="A12">
        <v>10</v>
      </c>
      <c r="B12">
        <v>678</v>
      </c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140</v>
      </c>
    </row>
    <row r="2" spans="1:6" ht="30" customHeight="1" x14ac:dyDescent="0.15">
      <c r="A2" s="32" t="s">
        <v>139</v>
      </c>
    </row>
    <row r="3" spans="1:6" ht="30" customHeight="1" x14ac:dyDescent="0.15">
      <c r="A3" s="31" t="s">
        <v>138</v>
      </c>
      <c r="D3" s="33" t="s">
        <v>146</v>
      </c>
      <c r="E3" s="33" t="s">
        <v>147</v>
      </c>
      <c r="F3" s="33" t="s">
        <v>148</v>
      </c>
    </row>
    <row r="4" spans="1:6" x14ac:dyDescent="0.15">
      <c r="C4" s="31" t="s">
        <v>98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137</v>
      </c>
      <c r="C5" s="31" t="s">
        <v>143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135</v>
      </c>
      <c r="C6" s="31" t="s">
        <v>145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136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141</v>
      </c>
    </row>
    <row r="10" spans="1:6" x14ac:dyDescent="0.15">
      <c r="A10" s="41" t="s">
        <v>142</v>
      </c>
    </row>
    <row r="11" spans="1:6" x14ac:dyDescent="0.15">
      <c r="A11" s="41" t="s">
        <v>96</v>
      </c>
    </row>
    <row r="12" spans="1:6" x14ac:dyDescent="0.15">
      <c r="A12" s="41" t="s">
        <v>97</v>
      </c>
    </row>
    <row r="13" spans="1:6" ht="30" customHeight="1" x14ac:dyDescent="0.15">
      <c r="C13" s="38"/>
      <c r="D13" s="39" t="s">
        <v>149</v>
      </c>
      <c r="E13" s="39" t="s">
        <v>150</v>
      </c>
      <c r="F13" s="39" t="s">
        <v>151</v>
      </c>
    </row>
    <row r="14" spans="1:6" ht="10.5" customHeight="1" x14ac:dyDescent="0.15">
      <c r="B14" s="202" t="s">
        <v>144</v>
      </c>
      <c r="C14" s="40" t="s">
        <v>152</v>
      </c>
      <c r="D14" s="40"/>
      <c r="E14" s="40"/>
      <c r="F14" s="40"/>
    </row>
    <row r="15" spans="1:6" x14ac:dyDescent="0.15">
      <c r="B15" s="203"/>
      <c r="C15" s="40" t="s">
        <v>153</v>
      </c>
      <c r="D15" s="40"/>
      <c r="E15" s="40"/>
      <c r="F15" s="40"/>
    </row>
    <row r="16" spans="1:6" x14ac:dyDescent="0.15">
      <c r="B16" s="204"/>
      <c r="C16" s="40" t="s">
        <v>154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2" bestFit="1" customWidth="1"/>
    <col min="2" max="2" width="16.7109375" style="52" bestFit="1" customWidth="1"/>
    <col min="3" max="3" width="12.85546875" style="52" bestFit="1" customWidth="1"/>
    <col min="4" max="16384" width="9.140625" style="52"/>
  </cols>
  <sheetData>
    <row r="1" spans="1:3" x14ac:dyDescent="0.2">
      <c r="A1" s="50" t="s">
        <v>7</v>
      </c>
      <c r="B1" s="51" t="s">
        <v>99</v>
      </c>
      <c r="C1" s="51" t="s">
        <v>100</v>
      </c>
    </row>
    <row r="2" spans="1:3" ht="15" x14ac:dyDescent="0.25">
      <c r="A2" s="52" t="s">
        <v>101</v>
      </c>
      <c r="B2" s="53">
        <v>115000</v>
      </c>
      <c r="C2" s="53">
        <v>182598</v>
      </c>
    </row>
    <row r="3" spans="1:3" ht="15" x14ac:dyDescent="0.25">
      <c r="A3" s="52" t="s">
        <v>102</v>
      </c>
      <c r="B3" s="53">
        <v>75000</v>
      </c>
      <c r="C3" s="53">
        <v>108870</v>
      </c>
    </row>
    <row r="4" spans="1:3" ht="15" x14ac:dyDescent="0.25">
      <c r="A4" s="52" t="s">
        <v>103</v>
      </c>
      <c r="B4" s="53">
        <v>145000</v>
      </c>
      <c r="C4" s="53">
        <v>127046</v>
      </c>
    </row>
    <row r="5" spans="1:3" ht="15" x14ac:dyDescent="0.25">
      <c r="A5" s="52" t="s">
        <v>104</v>
      </c>
      <c r="B5" s="53">
        <v>185000</v>
      </c>
      <c r="C5" s="53">
        <v>119017</v>
      </c>
    </row>
    <row r="6" spans="1:3" ht="15" x14ac:dyDescent="0.25">
      <c r="A6" s="52" t="s">
        <v>105</v>
      </c>
      <c r="B6" s="53">
        <v>180000</v>
      </c>
      <c r="C6" s="53">
        <v>81166</v>
      </c>
    </row>
    <row r="7" spans="1:3" ht="15" x14ac:dyDescent="0.25">
      <c r="A7" s="52" t="s">
        <v>106</v>
      </c>
      <c r="B7" s="53">
        <v>195000</v>
      </c>
      <c r="C7" s="53">
        <v>157240</v>
      </c>
    </row>
    <row r="8" spans="1:3" ht="15" x14ac:dyDescent="0.25">
      <c r="A8" s="52" t="s">
        <v>107</v>
      </c>
      <c r="B8" s="53">
        <v>60000</v>
      </c>
      <c r="C8" s="53">
        <v>77744</v>
      </c>
    </row>
    <row r="9" spans="1:3" ht="15" x14ac:dyDescent="0.25">
      <c r="A9" s="52" t="s">
        <v>108</v>
      </c>
      <c r="B9" s="53">
        <v>120000</v>
      </c>
      <c r="C9" s="53">
        <v>66225</v>
      </c>
    </row>
    <row r="10" spans="1:3" ht="15" x14ac:dyDescent="0.25">
      <c r="A10" s="52" t="s">
        <v>109</v>
      </c>
      <c r="B10" s="53">
        <v>180000</v>
      </c>
      <c r="C10" s="53">
        <v>161478</v>
      </c>
    </row>
    <row r="11" spans="1:3" ht="15" x14ac:dyDescent="0.25">
      <c r="A11" s="52" t="s">
        <v>110</v>
      </c>
      <c r="B11" s="53">
        <v>80000</v>
      </c>
      <c r="C11" s="53">
        <v>105217</v>
      </c>
    </row>
    <row r="12" spans="1:3" ht="15" x14ac:dyDescent="0.25">
      <c r="A12" s="52" t="s">
        <v>111</v>
      </c>
      <c r="B12" s="53">
        <v>95000</v>
      </c>
      <c r="C12" s="53">
        <v>147097</v>
      </c>
    </row>
    <row r="13" spans="1:3" ht="15" x14ac:dyDescent="0.25">
      <c r="A13" s="52" t="s">
        <v>112</v>
      </c>
      <c r="B13" s="53">
        <v>75000</v>
      </c>
      <c r="C13" s="53">
        <v>142653</v>
      </c>
    </row>
    <row r="14" spans="1:3" ht="15" x14ac:dyDescent="0.25">
      <c r="A14" s="52" t="s">
        <v>113</v>
      </c>
      <c r="B14" s="53">
        <v>65000</v>
      </c>
      <c r="C14" s="53">
        <v>187439</v>
      </c>
    </row>
    <row r="15" spans="1:3" ht="15" x14ac:dyDescent="0.25">
      <c r="A15" s="52" t="s">
        <v>114</v>
      </c>
      <c r="B15" s="53">
        <v>80000</v>
      </c>
      <c r="C15" s="53">
        <v>75821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62</v>
      </c>
      <c r="C1" s="23" t="s">
        <v>63</v>
      </c>
      <c r="D1" s="23" t="s">
        <v>64</v>
      </c>
      <c r="E1" s="23" t="s">
        <v>65</v>
      </c>
      <c r="F1" s="23" t="s">
        <v>66</v>
      </c>
      <c r="G1" s="23" t="s">
        <v>67</v>
      </c>
    </row>
    <row r="2" spans="1:7" x14ac:dyDescent="0.2">
      <c r="A2" s="22" t="s">
        <v>68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69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70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175</v>
      </c>
      <c r="B1" s="95">
        <v>3.5</v>
      </c>
    </row>
    <row r="2" spans="1:2" x14ac:dyDescent="0.25">
      <c r="A2" t="s">
        <v>176</v>
      </c>
      <c r="B2" s="95">
        <v>25</v>
      </c>
    </row>
    <row r="4" spans="1:2" x14ac:dyDescent="0.25">
      <c r="A4" s="1" t="s">
        <v>157</v>
      </c>
    </row>
    <row r="5" spans="1:2" x14ac:dyDescent="0.25">
      <c r="A5" t="s">
        <v>177</v>
      </c>
      <c r="B5" s="95">
        <v>20</v>
      </c>
    </row>
    <row r="6" spans="1:2" x14ac:dyDescent="0.25">
      <c r="A6" t="s">
        <v>175</v>
      </c>
      <c r="B6" s="95">
        <f>(B5&lt;$B$2)*$B$1</f>
        <v>3.5</v>
      </c>
    </row>
    <row r="7" spans="1:2" x14ac:dyDescent="0.25">
      <c r="A7" s="84" t="s">
        <v>166</v>
      </c>
      <c r="B7" s="96">
        <f>B5+B6</f>
        <v>23.5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bestFit="1" customWidth="1"/>
    <col min="4" max="4" width="13.28515625" bestFit="1" customWidth="1"/>
    <col min="5" max="5" width="11.5703125" bestFit="1" customWidth="1"/>
  </cols>
  <sheetData>
    <row r="1" spans="1:5" ht="18.75" x14ac:dyDescent="0.3">
      <c r="A1" s="205" t="s">
        <v>56</v>
      </c>
      <c r="B1" s="206"/>
      <c r="C1" s="206"/>
      <c r="D1" s="206"/>
      <c r="E1" s="206"/>
    </row>
    <row r="3" spans="1:5" x14ac:dyDescent="0.25">
      <c r="A3" s="1" t="s">
        <v>233</v>
      </c>
      <c r="B3" s="94" t="s">
        <v>234</v>
      </c>
      <c r="C3" s="94" t="s">
        <v>235</v>
      </c>
    </row>
    <row r="4" spans="1:5" ht="15.75" thickBot="1" x14ac:dyDescent="0.3">
      <c r="A4" t="s">
        <v>236</v>
      </c>
      <c r="B4" s="93">
        <v>1</v>
      </c>
      <c r="C4" s="93">
        <v>1</v>
      </c>
      <c r="D4" s="94" t="s">
        <v>242</v>
      </c>
    </row>
    <row r="5" spans="1:5" ht="15.75" thickBot="1" x14ac:dyDescent="0.3">
      <c r="A5" t="s">
        <v>237</v>
      </c>
      <c r="B5" s="141">
        <v>90</v>
      </c>
      <c r="C5" s="141">
        <v>144</v>
      </c>
      <c r="D5" s="142">
        <f>B5*B4+C5*C4</f>
        <v>234</v>
      </c>
    </row>
    <row r="6" spans="1:5" x14ac:dyDescent="0.25">
      <c r="D6" s="1"/>
    </row>
    <row r="7" spans="1:5" x14ac:dyDescent="0.25">
      <c r="A7" s="1" t="s">
        <v>238</v>
      </c>
      <c r="D7" s="94" t="s">
        <v>243</v>
      </c>
      <c r="E7" s="94" t="s">
        <v>244</v>
      </c>
    </row>
    <row r="8" spans="1:5" x14ac:dyDescent="0.25">
      <c r="A8" t="s">
        <v>239</v>
      </c>
      <c r="B8" s="19">
        <v>1</v>
      </c>
      <c r="C8" s="19">
        <v>2</v>
      </c>
      <c r="D8" s="19">
        <f>B8*B4+C8*C4</f>
        <v>3</v>
      </c>
      <c r="E8" s="19">
        <v>32</v>
      </c>
    </row>
    <row r="9" spans="1:5" x14ac:dyDescent="0.25">
      <c r="A9" t="s">
        <v>240</v>
      </c>
      <c r="B9" s="19">
        <v>3</v>
      </c>
      <c r="C9" s="19">
        <v>4</v>
      </c>
      <c r="D9" s="19">
        <f>B9*B4+C9*C4</f>
        <v>7</v>
      </c>
      <c r="E9" s="19">
        <v>84</v>
      </c>
    </row>
    <row r="10" spans="1:5" x14ac:dyDescent="0.25">
      <c r="A10" t="s">
        <v>241</v>
      </c>
      <c r="D10" s="19">
        <f>C4</f>
        <v>1</v>
      </c>
      <c r="E10" s="19">
        <v>12</v>
      </c>
    </row>
  </sheetData>
  <mergeCells count="1">
    <mergeCell ref="A1:E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customWidth="1"/>
    <col min="2" max="2" width="9.7109375" customWidth="1"/>
    <col min="3" max="3" width="15.85546875" bestFit="1" customWidth="1"/>
    <col min="4" max="4" width="22.7109375" customWidth="1"/>
    <col min="5" max="5" width="9.7109375" customWidth="1"/>
  </cols>
  <sheetData>
    <row r="2" spans="2:5" x14ac:dyDescent="0.25">
      <c r="C2" t="s">
        <v>306</v>
      </c>
      <c r="D2" s="108">
        <v>208</v>
      </c>
    </row>
    <row r="4" spans="2:5" x14ac:dyDescent="0.25">
      <c r="C4" t="s">
        <v>172</v>
      </c>
      <c r="D4">
        <f>VLOOKUP($D$2,$B$11:$E$22,1,FALSE)</f>
        <v>208</v>
      </c>
    </row>
    <row r="5" spans="2:5" x14ac:dyDescent="0.25">
      <c r="C5" t="s">
        <v>307</v>
      </c>
      <c r="D5">
        <f>VLOOKUP($D$2,$B$11:$E$22,2,FALSE)</f>
        <v>250</v>
      </c>
    </row>
    <row r="6" spans="2:5" x14ac:dyDescent="0.25">
      <c r="C6" t="s">
        <v>14</v>
      </c>
      <c r="D6" t="str">
        <f>VLOOKUP($D$2,$B$11:$E$22,3,FALSE)</f>
        <v>Hitachi Travelstar 7K500</v>
      </c>
    </row>
    <row r="7" spans="2:5" x14ac:dyDescent="0.25">
      <c r="C7" t="s">
        <v>155</v>
      </c>
      <c r="D7">
        <f>VLOOKUP($D$2,$B$11:$E$22,4,FALSE)</f>
        <v>47.49</v>
      </c>
    </row>
    <row r="10" spans="2:5" x14ac:dyDescent="0.25">
      <c r="B10" s="1" t="s">
        <v>172</v>
      </c>
      <c r="C10" s="1" t="s">
        <v>307</v>
      </c>
      <c r="D10" s="1" t="s">
        <v>14</v>
      </c>
      <c r="E10" s="1" t="s">
        <v>155</v>
      </c>
    </row>
    <row r="11" spans="2:5" x14ac:dyDescent="0.25">
      <c r="B11" s="2">
        <v>121</v>
      </c>
      <c r="C11" s="2">
        <v>120</v>
      </c>
      <c r="D11" t="s">
        <v>17</v>
      </c>
      <c r="E11" s="109">
        <v>46</v>
      </c>
    </row>
    <row r="12" spans="2:5" x14ac:dyDescent="0.25">
      <c r="B12" s="2">
        <v>143</v>
      </c>
      <c r="C12" s="2">
        <v>120</v>
      </c>
      <c r="D12" t="s">
        <v>15</v>
      </c>
      <c r="E12" s="109">
        <v>56.36</v>
      </c>
    </row>
    <row r="13" spans="2:5" x14ac:dyDescent="0.25">
      <c r="B13" s="2">
        <v>164</v>
      </c>
      <c r="C13" s="2">
        <v>147</v>
      </c>
      <c r="D13" t="s">
        <v>18</v>
      </c>
      <c r="E13" s="109">
        <v>216</v>
      </c>
    </row>
    <row r="14" spans="2:5" x14ac:dyDescent="0.25">
      <c r="B14" s="2">
        <v>191</v>
      </c>
      <c r="C14" s="2">
        <v>160</v>
      </c>
      <c r="D14" t="s">
        <v>16</v>
      </c>
      <c r="E14" s="109">
        <v>104.85</v>
      </c>
    </row>
    <row r="15" spans="2:5" x14ac:dyDescent="0.25">
      <c r="B15" s="2">
        <v>208</v>
      </c>
      <c r="C15" s="2">
        <v>250</v>
      </c>
      <c r="D15" t="s">
        <v>19</v>
      </c>
      <c r="E15" s="109">
        <v>47.49</v>
      </c>
    </row>
    <row r="16" spans="2:5" x14ac:dyDescent="0.25">
      <c r="B16" s="2">
        <v>220</v>
      </c>
      <c r="C16" s="2">
        <v>250</v>
      </c>
      <c r="D16" t="s">
        <v>21</v>
      </c>
      <c r="E16" s="109">
        <v>35.130000000000003</v>
      </c>
    </row>
    <row r="17" spans="2:5" x14ac:dyDescent="0.25">
      <c r="B17" s="2">
        <v>232</v>
      </c>
      <c r="C17" s="2">
        <v>250</v>
      </c>
      <c r="D17" t="s">
        <v>20</v>
      </c>
      <c r="E17" s="109">
        <v>59.18</v>
      </c>
    </row>
    <row r="18" spans="2:5" x14ac:dyDescent="0.25">
      <c r="B18" s="2">
        <v>343</v>
      </c>
      <c r="C18" s="2">
        <v>300</v>
      </c>
      <c r="D18" t="s">
        <v>22</v>
      </c>
      <c r="E18" s="109">
        <v>133.97999999999999</v>
      </c>
    </row>
    <row r="19" spans="2:5" x14ac:dyDescent="0.25">
      <c r="B19" s="2">
        <v>405</v>
      </c>
      <c r="C19" s="2">
        <v>400</v>
      </c>
      <c r="D19" t="s">
        <v>25</v>
      </c>
      <c r="E19" s="109">
        <v>459.35</v>
      </c>
    </row>
    <row r="20" spans="2:5" x14ac:dyDescent="0.25">
      <c r="B20" s="2">
        <v>417</v>
      </c>
      <c r="C20" s="2">
        <v>450</v>
      </c>
      <c r="D20" t="s">
        <v>23</v>
      </c>
      <c r="E20" s="109">
        <v>226.83</v>
      </c>
    </row>
    <row r="21" spans="2:5" x14ac:dyDescent="0.25">
      <c r="B21" s="2">
        <v>423</v>
      </c>
      <c r="C21" s="2">
        <v>450</v>
      </c>
      <c r="D21" t="s">
        <v>26</v>
      </c>
      <c r="E21" s="109">
        <v>379</v>
      </c>
    </row>
    <row r="22" spans="2:5" x14ac:dyDescent="0.25">
      <c r="B22" s="2">
        <v>436</v>
      </c>
      <c r="C22" s="2">
        <v>450</v>
      </c>
      <c r="D22" t="s">
        <v>24</v>
      </c>
      <c r="E22" s="109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974CD-8B39-4BDF-91F5-488A6125C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81</vt:i4>
      </vt:variant>
      <vt:variant>
        <vt:lpstr>Benoemde bereiken</vt:lpstr>
      </vt:variant>
      <vt:variant>
        <vt:i4>18</vt:i4>
      </vt:variant>
    </vt:vector>
  </HeadingPairs>
  <TitlesOfParts>
    <vt:vector size="99" baseType="lpstr">
      <vt:lpstr>invoices-2</vt:lpstr>
      <vt:lpstr>TOC</vt:lpstr>
      <vt:lpstr>array-01</vt:lpstr>
      <vt:lpstr>array-04</vt:lpstr>
      <vt:lpstr>array-05</vt:lpstr>
      <vt:lpstr>array-06</vt:lpstr>
      <vt:lpstr>array-07</vt:lpstr>
      <vt:lpstr>array-08</vt:lpstr>
      <vt:lpstr>array-09</vt:lpstr>
      <vt:lpstr>array-dyn</vt:lpstr>
      <vt:lpstr>array-dyn-filter</vt:lpstr>
      <vt:lpstr>array-dyn-sequence</vt:lpstr>
      <vt:lpstr>array-dyn-sort</vt:lpstr>
      <vt:lpstr>array-dyn-sortby1</vt:lpstr>
      <vt:lpstr>array-dyn-sortby2</vt:lpstr>
      <vt:lpstr>array-dyn-unique</vt:lpstr>
      <vt:lpstr>array-examples</vt:lpstr>
      <vt:lpstr>array-frequency</vt:lpstr>
      <vt:lpstr>array-xlookup-2way</vt:lpstr>
      <vt:lpstr>array-xlookup-multiplevalues</vt:lpstr>
      <vt:lpstr>ausbeer-1</vt:lpstr>
      <vt:lpstr>ausbeer-2</vt:lpstr>
      <vt:lpstr>ausbeer-3</vt:lpstr>
      <vt:lpstr>ausbeer56-73</vt:lpstr>
      <vt:lpstr>banket</vt:lpstr>
      <vt:lpstr>Benelux</vt:lpstr>
      <vt:lpstr>Benelux-2</vt:lpstr>
      <vt:lpstr>calc-01</vt:lpstr>
      <vt:lpstr>calc-02</vt:lpstr>
      <vt:lpstr>calc-coffee</vt:lpstr>
      <vt:lpstr>calc-nper</vt:lpstr>
      <vt:lpstr>charttype-control</vt:lpstr>
      <vt:lpstr>charttype-line</vt:lpstr>
      <vt:lpstr>charttype-line-scatter</vt:lpstr>
      <vt:lpstr>charttype-pareto</vt:lpstr>
      <vt:lpstr>Components</vt:lpstr>
      <vt:lpstr>data</vt:lpstr>
      <vt:lpstr>datatable1a</vt:lpstr>
      <vt:lpstr>datatable1b</vt:lpstr>
      <vt:lpstr>datatable2a</vt:lpstr>
      <vt:lpstr>datatable2b</vt:lpstr>
      <vt:lpstr>datatablelayout</vt:lpstr>
      <vt:lpstr>Doelzoeken</vt:lpstr>
      <vt:lpstr>example-annuity</vt:lpstr>
      <vt:lpstr>example-rounding</vt:lpstr>
      <vt:lpstr>fcast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scores1</vt:lpstr>
      <vt:lpstr>solv009</vt:lpstr>
      <vt:lpstr>supermarkt</vt:lpstr>
      <vt:lpstr>termijnen</vt:lpstr>
      <vt:lpstr>Trendline-Exponential</vt:lpstr>
      <vt:lpstr>Trendline-Lineair</vt:lpstr>
      <vt:lpstr>Trendline-Logarithmic</vt:lpstr>
      <vt:lpstr>Trendline-MA</vt:lpstr>
      <vt:lpstr>Trendline-Polynomial</vt:lpstr>
      <vt:lpstr>Trendline-Power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2010-11-26T16:01:28Z</dcterms:created>
  <dcterms:modified xsi:type="dcterms:W3CDTF">2025-05-05T15:58:19Z</dcterms:modified>
</cp:coreProperties>
</file>