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ml.chartshapes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9.xml" ContentType="application/vnd.openxmlformats-officedocument.drawing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5.xml" ContentType="application/vnd.openxmlformats-officedocument.spreadsheetml.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tables/table6.xml" ContentType="application/vnd.openxmlformats-officedocument.spreadsheetml.table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9.xml" ContentType="application/vnd.openxmlformats-officedocument.drawing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1.xml" ContentType="application/vnd.openxmlformats-officedocument.drawing+xml"/>
  <Override PartName="/xl/charts/chartEx1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5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5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harts/chart26.xml" ContentType="application/vnd.openxmlformats-officedocument.drawingml.chart+xml"/>
  <Override PartName="/xl/pivotTables/pivotTable5.xml" ContentType="application/vnd.openxmlformats-officedocument.spreadsheetml.pivotTable+xml"/>
  <Override PartName="/xl/drawings/drawing28.xml" ContentType="application/vnd.openxmlformats-officedocument.drawing+xml"/>
  <Override PartName="/xl/charts/chart2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6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9.xml" ContentType="application/vnd.openxmlformats-officedocument.drawing+xml"/>
  <Override PartName="/xl/charts/chart2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2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3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9.xml" ContentType="application/vnd.openxmlformats-officedocument.spreadsheetml.pivotTable+xml"/>
  <Override PartName="/xl/drawings/drawing30.xml" ContentType="application/vnd.openxmlformats-officedocument.drawing+xml"/>
  <Override PartName="/xl/timelines/timeline1.xml" ContentType="application/vnd.ms-excel.timelin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tables/table15.xml" ContentType="application/vnd.openxmlformats-officedocument.spreadsheetml.table+xml"/>
  <Override PartName="/xl/drawings/drawing31.xml" ContentType="application/vnd.openxmlformats-officedocument.drawing+xml"/>
  <Override PartName="/xl/charts/chart2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32.xml" ContentType="application/vnd.openxmlformats-officedocument.drawing+xml"/>
  <Override PartName="/xl/charts/chart3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33.xml" ContentType="application/vnd.openxmlformats-officedocument.drawing+xml"/>
  <Override PartName="/xl/charts/chart3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4.xml" ContentType="application/vnd.openxmlformats-officedocument.drawing+xml"/>
  <Override PartName="/xl/charts/chart3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5.xml" ContentType="application/vnd.openxmlformats-officedocument.drawing+xml"/>
  <Override PartName="/xl/charts/chart3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6.xml" ContentType="application/vnd.openxmlformats-officedocument.drawing+xml"/>
  <Override PartName="/xl/charts/chart3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7.xml" ContentType="application/vnd.openxmlformats-officedocument.drawing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studieboeken\leerexcel\resources\"/>
    </mc:Choice>
  </mc:AlternateContent>
  <xr:revisionPtr revIDLastSave="0" documentId="13_ncr:1_{574AFDE1-86A8-4B05-A94A-B79CD8F88E42}" xr6:coauthVersionLast="47" xr6:coauthVersionMax="47" xr10:uidLastSave="{00000000-0000-0000-0000-000000000000}"/>
  <bookViews>
    <workbookView xWindow="-120" yWindow="-120" windowWidth="29040" windowHeight="15840" tabRatio="901" firstSheet="23" activeTab="34" xr2:uid="{00000000-000D-0000-FFFF-FFFF00000000}"/>
  </bookViews>
  <sheets>
    <sheet name="TOC" sheetId="130" r:id="rId1"/>
    <sheet name="advertising-model" sheetId="13" r:id="rId2"/>
    <sheet name="afschrijvingen" sheetId="4" r:id="rId3"/>
    <sheet name="array-dyn" sheetId="83" r:id="rId4"/>
    <sheet name="array-dyn-filter" sheetId="92" r:id="rId5"/>
    <sheet name="array-dyn-sequence" sheetId="96" r:id="rId6"/>
    <sheet name="array-dyn-sort" sheetId="93" r:id="rId7"/>
    <sheet name="array-dyn-sortby1" sheetId="94" r:id="rId8"/>
    <sheet name="array-dyn-sortby2" sheetId="95" r:id="rId9"/>
    <sheet name="array-dyn-unique" sheetId="86" r:id="rId10"/>
    <sheet name="array-dyn-xlookup" sheetId="88" r:id="rId11"/>
    <sheet name="array-dyn-xmatch" sheetId="97" r:id="rId12"/>
    <sheet name="array-examples" sheetId="41" r:id="rId13"/>
    <sheet name="array-frequency" sheetId="84" r:id="rId14"/>
    <sheet name="array-xlookup-2way" sheetId="90" r:id="rId15"/>
    <sheet name="array-xlookup-multiplevalues" sheetId="89" r:id="rId16"/>
    <sheet name="ausbeer-1" sheetId="71" r:id="rId17"/>
    <sheet name="ausbeer-2" sheetId="72" r:id="rId18"/>
    <sheet name="ausbeer-3" sheetId="73" r:id="rId19"/>
    <sheet name="ausbeer56-73" sheetId="69" r:id="rId20"/>
    <sheet name="bakery" sheetId="108" r:id="rId21"/>
    <sheet name="bakery-2011" sheetId="109" r:id="rId22"/>
    <sheet name="banket" sheetId="36" r:id="rId23"/>
    <sheet name="Benelux" sheetId="49" r:id="rId24"/>
    <sheet name="Benelux-populatie" sheetId="81" r:id="rId25"/>
    <sheet name="Benelux-populatie-oplossing" sheetId="82" r:id="rId26"/>
    <sheet name="candybox-table" sheetId="105" r:id="rId27"/>
    <sheet name="case" sheetId="38" r:id="rId28"/>
    <sheet name="cashflows" sheetId="55" r:id="rId29"/>
    <sheet name="cell-alignment-example" sheetId="30" r:id="rId30"/>
    <sheet name="charttype-area" sheetId="115" r:id="rId31"/>
    <sheet name="charttype-bar" sheetId="111" r:id="rId32"/>
    <sheet name="charttype-bubble" sheetId="118" r:id="rId33"/>
    <sheet name="charttype-column" sheetId="110" r:id="rId34"/>
    <sheet name="charttype-control" sheetId="131" r:id="rId35"/>
    <sheet name="charttype-doughnut" sheetId="116" r:id="rId36"/>
    <sheet name="charttype-line" sheetId="113" r:id="rId37"/>
    <sheet name="charttype-line-scatter" sheetId="119" r:id="rId38"/>
    <sheet name="charttype-pareto" sheetId="128" r:id="rId39"/>
    <sheet name="charttype-pie" sheetId="112" r:id="rId40"/>
    <sheet name="charttype-radar" sheetId="117" r:id="rId41"/>
    <sheet name="charttype-scatter" sheetId="114" r:id="rId42"/>
    <sheet name="coffeebar-model" sheetId="52" r:id="rId43"/>
    <sheet name="coffeebar-scen-summary" sheetId="51" r:id="rId44"/>
    <sheet name="Componenten" sheetId="68" r:id="rId45"/>
    <sheet name="cottage-rental-fixed" sheetId="9" r:id="rId46"/>
    <sheet name="cottage-rental-variable" sheetId="12" r:id="rId47"/>
    <sheet name="data-entry-example" sheetId="98" r:id="rId48"/>
    <sheet name="datatable-formulas4" sheetId="10" r:id="rId49"/>
    <sheet name="datatable-layout" sheetId="57" r:id="rId50"/>
    <sheet name="Doelzoeken" sheetId="35" r:id="rId51"/>
    <sheet name="example-annuity" sheetId="5" r:id="rId52"/>
    <sheet name="example-autosum" sheetId="104" r:id="rId53"/>
    <sheet name="example-boolean" sheetId="33" r:id="rId54"/>
    <sheet name="example-datetime" sheetId="26" r:id="rId55"/>
    <sheet name="example-dim1" sheetId="43" r:id="rId56"/>
    <sheet name="example-dim2" sheetId="44" r:id="rId57"/>
    <sheet name="example-expenses" sheetId="103" r:id="rId58"/>
    <sheet name="example-hlookup" sheetId="8" r:id="rId59"/>
    <sheet name="example-insurance" sheetId="22" r:id="rId60"/>
    <sheet name="example-logical-result" sheetId="29" r:id="rId61"/>
    <sheet name="example-marks" sheetId="46" r:id="rId62"/>
    <sheet name="example-nesting" sheetId="40" r:id="rId63"/>
    <sheet name="example-nper" sheetId="6" r:id="rId64"/>
    <sheet name="example-numbers" sheetId="42" r:id="rId65"/>
    <sheet name="example-prices" sheetId="23" r:id="rId66"/>
    <sheet name="example-rounding" sheetId="91" r:id="rId67"/>
    <sheet name="example-sellings" sheetId="20" r:id="rId68"/>
    <sheet name="example-shares" sheetId="45" r:id="rId69"/>
    <sheet name="example-statistical" sheetId="24" r:id="rId70"/>
    <sheet name="example-studentlength" sheetId="47" r:id="rId71"/>
    <sheet name="example-text-result" sheetId="28" r:id="rId72"/>
    <sheet name="example-vlookup" sheetId="7" r:id="rId73"/>
    <sheet name="example-wages" sheetId="21" r:id="rId74"/>
    <sheet name="facturen-nl" sheetId="15" r:id="rId75"/>
    <sheet name="fcast" sheetId="58" r:id="rId76"/>
    <sheet name="formula-copy" sheetId="101" r:id="rId77"/>
    <sheet name="formula-example" sheetId="121" r:id="rId78"/>
    <sheet name="invoices" sheetId="124" r:id="rId79"/>
    <sheet name="months-names-long" sheetId="99" r:id="rId80"/>
    <sheet name="name-box" sheetId="102" r:id="rId81"/>
    <sheet name="number-format-example" sheetId="31" r:id="rId82"/>
    <sheet name="Personeelstabel" sheetId="87" r:id="rId83"/>
    <sheet name="pivot" sheetId="3" r:id="rId84"/>
    <sheet name="pivot-example" sheetId="1" r:id="rId85"/>
    <sheet name="prodtime-chart" sheetId="17" r:id="rId86"/>
    <sheet name="purchase-record" sheetId="34" r:id="rId87"/>
    <sheet name="rko-1" sheetId="54" r:id="rId88"/>
    <sheet name="rko-2" sheetId="50" r:id="rId89"/>
    <sheet name="scores1" sheetId="74" r:id="rId90"/>
    <sheet name="scores1-oplossing" sheetId="75" r:id="rId91"/>
    <sheet name="scores2" sheetId="77" r:id="rId92"/>
    <sheet name="scores2-oplossing" sheetId="78" r:id="rId93"/>
    <sheet name="scores3" sheetId="79" r:id="rId94"/>
    <sheet name="scores3-oplossing" sheetId="80" r:id="rId95"/>
    <sheet name="stadiumcoffee" sheetId="127" r:id="rId96"/>
    <sheet name="supermarket-filter" sheetId="126" r:id="rId97"/>
    <sheet name="supermarket-pivotreport" sheetId="122" r:id="rId98"/>
    <sheet name="tablestyle-result" sheetId="100" r:id="rId99"/>
    <sheet name="Trendlijn-Exponentieel" sheetId="63" r:id="rId100"/>
    <sheet name="Trendlijn-Lineair" sheetId="59" r:id="rId101"/>
    <sheet name="Trendlijn-Logaritmisch" sheetId="60" r:id="rId102"/>
    <sheet name="Trendlijn-Macht" sheetId="62" r:id="rId103"/>
    <sheet name="Trendlijn-Polynoom" sheetId="61" r:id="rId104"/>
    <sheet name="Trendlijn-ZWG" sheetId="64" r:id="rId105"/>
    <sheet name="verkopen_kw1" sheetId="32" r:id="rId106"/>
    <sheet name="vlak" sheetId="19" r:id="rId107"/>
    <sheet name="WeatherLeather" sheetId="16" r:id="rId108"/>
  </sheets>
  <externalReferences>
    <externalReference r:id="rId109"/>
    <externalReference r:id="rId110"/>
    <externalReference r:id="rId111"/>
    <externalReference r:id="rId112"/>
    <externalReference r:id="rId113"/>
    <externalReference r:id="rId114"/>
    <externalReference r:id="rId115"/>
  </externalReferences>
  <definedNames>
    <definedName name="_xlchart.v1.0" hidden="1">'charttype-pareto'!$A$2:$A$7</definedName>
    <definedName name="_xlchart.v1.1" hidden="1">'charttype-pareto'!$B$1</definedName>
    <definedName name="_xlchart.v1.2" hidden="1">'charttype-pareto'!$B$2:$B$7</definedName>
    <definedName name="aantal_hazelnoot" localSheetId="49">[1]solv001!$H$11</definedName>
    <definedName name="aantal_hazelnoot" localSheetId="87">[2]solv001!$H$11</definedName>
    <definedName name="aantal_hazelnoot">[3]solv001!$H$11</definedName>
    <definedName name="Aantal_jacks_Kort" localSheetId="30">#REF!</definedName>
    <definedName name="Aantal_jacks_Kort" localSheetId="32">#REF!</definedName>
    <definedName name="Aantal_jacks_Kort" localSheetId="35">#REF!</definedName>
    <definedName name="Aantal_jacks_Kort" localSheetId="37">#REF!</definedName>
    <definedName name="Aantal_jacks_Kort" localSheetId="40">#REF!</definedName>
    <definedName name="Aantal_jacks_Kort">#REF!</definedName>
    <definedName name="Aantal_jacks_Lang" localSheetId="30">#REF!</definedName>
    <definedName name="Aantal_jacks_Lang" localSheetId="32">#REF!</definedName>
    <definedName name="Aantal_jacks_Lang" localSheetId="35">#REF!</definedName>
    <definedName name="Aantal_jacks_Lang" localSheetId="37">#REF!</definedName>
    <definedName name="Aantal_jacks_Lang" localSheetId="40">#REF!</definedName>
    <definedName name="Aantal_jacks_Lang">#REF!</definedName>
    <definedName name="aantal_kers" localSheetId="49">[1]solv001!$H$10</definedName>
    <definedName name="aantal_kers" localSheetId="87">[2]solv001!$H$10</definedName>
    <definedName name="aantal_kers">[3]solv001!$H$10</definedName>
    <definedName name="Aantal_Orders">'coffeebar-model'!$B$6</definedName>
    <definedName name="Annual_Costs" localSheetId="49">[4]scen!$C$15</definedName>
    <definedName name="Annual_Costs">[5]scen!$C$15</definedName>
    <definedName name="Annual_Incomes" localSheetId="49">[4]scen!$C$8</definedName>
    <definedName name="Annual_Incomes">[5]scen!$C$8</definedName>
    <definedName name="AOW_Datum" localSheetId="49">[1]form003!$E$12</definedName>
    <definedName name="AOW_Datum" localSheetId="87">[2]form003!$E$12</definedName>
    <definedName name="AOW_Datum">[3]form003!$E$12</definedName>
    <definedName name="AOW_Leeftijd" localSheetId="49">[1]form003!$E$9</definedName>
    <definedName name="AOW_Leeftijd" localSheetId="87">[2]form003!$E$9</definedName>
    <definedName name="AOW_Leeftijd">[3]form003!$E$9</definedName>
    <definedName name="CommissieHoog" localSheetId="49">[1]form004!$E$9</definedName>
    <definedName name="CommissieHoog" localSheetId="87">[2]form004!$E$9</definedName>
    <definedName name="CommissieHoog">[3]form004!$E$9</definedName>
    <definedName name="CommissieLaag" localSheetId="49">[1]form004!$E$8</definedName>
    <definedName name="CommissieLaag" localSheetId="87">[2]form004!$E$8</definedName>
    <definedName name="CommissieLaag">[3]form004!$E$8</definedName>
    <definedName name="Cost_per_Order" localSheetId="49">[4]scen!$B$5</definedName>
    <definedName name="Cost_per_Order">[5]scen!$B$5</definedName>
    <definedName name="Duur" localSheetId="23">#REF!</definedName>
    <definedName name="Duur" localSheetId="49">#REF!</definedName>
    <definedName name="Duur" localSheetId="87">#REF!</definedName>
    <definedName name="Duur">afschrijvingen!$B$3</definedName>
    <definedName name="ExterneGegevens_1" localSheetId="25" hidden="1">'Benelux-populatie-oplossing'!$A$1:$D$25</definedName>
    <definedName name="ExterneGegevens_1" localSheetId="90" hidden="1">'scores1-oplossing'!$A$1:$C$11</definedName>
    <definedName name="ExterneGegevens_1" localSheetId="92" hidden="1">'scores2-oplossing'!$A$1:$D$21</definedName>
    <definedName name="ExterneGegevens_1" localSheetId="94" hidden="1">'scores3-oplossing'!$A$1:$D$11</definedName>
    <definedName name="geboortedatum" localSheetId="49">[1]form003!$E$8</definedName>
    <definedName name="geboortedatum" localSheetId="87">[2]form003!$E$8</definedName>
    <definedName name="geboortedatum">[3]form003!$E$8</definedName>
    <definedName name="Huur">'coffeebar-model'!$B$12</definedName>
    <definedName name="Inkopen">'name-box'!$A$1</definedName>
    <definedName name="inleg" localSheetId="23">[6]Doelzoeken!$B$1</definedName>
    <definedName name="inleg" localSheetId="49">[4]Doelzoeken!$B$1</definedName>
    <definedName name="inleg" localSheetId="87">[5]Doelzoeken!$B$1</definedName>
    <definedName name="inleg">Doelzoeken!$B$1</definedName>
    <definedName name="Inventaris">'example-expenses'!$B$2</definedName>
    <definedName name="Jaarlijkse_Kosten">'coffeebar-model'!$C$15</definedName>
    <definedName name="Jaarlijkse_Opbrengsten">'coffeebar-model'!$C$8</definedName>
    <definedName name="Jaarlijkse_Winst">'coffeebar-model'!$C$17</definedName>
    <definedName name="jaarrente" localSheetId="23">[6]Doelzoeken!$B$2</definedName>
    <definedName name="jaarrente" localSheetId="49">[4]Doelzoeken!$B$2</definedName>
    <definedName name="jaarrente" localSheetId="87">[5]Doelzoeken!$B$2</definedName>
    <definedName name="jaarrente">Doelzoeken!$B$2</definedName>
    <definedName name="Kantoorkosten">'example-expenses'!$B$4</definedName>
    <definedName name="kolom_def_matrix" localSheetId="30">{"Kledingsoort",0,"Auto","Auto",""}</definedName>
    <definedName name="kolom_def_matrix" localSheetId="32">{"Kledingsoort",0,"Auto","Auto",""}</definedName>
    <definedName name="kolom_def_matrix" localSheetId="35">{"Kledingsoort",0,"Auto","Auto",""}</definedName>
    <definedName name="kolom_def_matrix" localSheetId="37">{"Kledingsoort",0,"Auto","Auto",""}</definedName>
    <definedName name="kolom_def_matrix" localSheetId="40">{"Kledingsoort",0,"Auto","Auto",""}</definedName>
    <definedName name="kolom_def_matrix" localSheetId="49">{"Kledingsoort",0,"Auto","Auto",""}</definedName>
    <definedName name="kolom_def_matrix" localSheetId="87">{"Kledingsoort",0,"Auto","Auto",""}</definedName>
    <definedName name="kolom_def_matrix">{"Kledingsoort",0,"Auto","Auto",""}</definedName>
    <definedName name="Kosten" localSheetId="23">#REF!</definedName>
    <definedName name="Kosten" localSheetId="49">#REF!</definedName>
    <definedName name="Kosten" localSheetId="87">#REF!</definedName>
    <definedName name="Kosten">afschrijvingen!$B$1</definedName>
    <definedName name="Kosten_per_Order">'coffeebar-model'!$B$5</definedName>
    <definedName name="Marktafzet_Lang_per_week" localSheetId="30">#REF!</definedName>
    <definedName name="Marktafzet_Lang_per_week" localSheetId="32">#REF!</definedName>
    <definedName name="Marktafzet_Lang_per_week" localSheetId="35">#REF!</definedName>
    <definedName name="Marktafzet_Lang_per_week" localSheetId="37">#REF!</definedName>
    <definedName name="Marktafzet_Lang_per_week" localSheetId="40">#REF!</definedName>
    <definedName name="Marktafzet_Lang_per_week">#REF!</definedName>
    <definedName name="Naaitijd_per_week" localSheetId="30">#REF!</definedName>
    <definedName name="Naaitijd_per_week" localSheetId="32">#REF!</definedName>
    <definedName name="Naaitijd_per_week" localSheetId="35">#REF!</definedName>
    <definedName name="Naaitijd_per_week" localSheetId="37">#REF!</definedName>
    <definedName name="Naaitijd_per_week" localSheetId="40">#REF!</definedName>
    <definedName name="Naaitijd_per_week">#REF!</definedName>
    <definedName name="Number_of_Orders" localSheetId="49">[4]scen!$B$6</definedName>
    <definedName name="Number_of_Orders">[5]scen!$B$6</definedName>
    <definedName name="OorspronkelijkeTijdlijn_datum">#N/A</definedName>
    <definedName name="Opbrengst_per_Order">'coffeebar-model'!$B$4</definedName>
    <definedName name="RapportDatum" localSheetId="49">[1]form005!$E$10</definedName>
    <definedName name="RapportDatum" localSheetId="87">[2]form005!$E$10</definedName>
    <definedName name="RapportDatum">[3]form005!$E$10</definedName>
    <definedName name="Reclame" localSheetId="57">'example-expenses'!$B$3</definedName>
    <definedName name="Reclame">'coffeebar-model'!$B$13</definedName>
    <definedName name="Restwaarde" localSheetId="23">#REF!</definedName>
    <definedName name="Restwaarde" localSheetId="49">#REF!</definedName>
    <definedName name="Restwaarde" localSheetId="87">#REF!</definedName>
    <definedName name="Restwaarde">afschrijvingen!$B$2</definedName>
    <definedName name="rij_def_matrix" localSheetId="30">{"Jaar",0,"Auto","Auto","";"Vertegenwoordiger",0,"Auto","Auto",""}</definedName>
    <definedName name="rij_def_matrix" localSheetId="32">{"Jaar",0,"Auto","Auto","";"Vertegenwoordiger",0,"Auto","Auto",""}</definedName>
    <definedName name="rij_def_matrix" localSheetId="35">{"Jaar",0,"Auto","Auto","";"Vertegenwoordiger",0,"Auto","Auto",""}</definedName>
    <definedName name="rij_def_matrix" localSheetId="37">{"Jaar",0,"Auto","Auto","";"Vertegenwoordiger",0,"Auto","Auto",""}</definedName>
    <definedName name="rij_def_matrix" localSheetId="40">{"Jaar",0,"Auto","Auto","";"Vertegenwoordiger",0,"Auto","Auto",""}</definedName>
    <definedName name="rij_def_matrix" localSheetId="49">{"Jaar",0,"Auto","Auto","";"Vertegenwoordiger",0,"Auto","Auto",""}</definedName>
    <definedName name="rij_def_matrix" localSheetId="87">{"Jaar",0,"Auto","Auto","";"Vertegenwoordiger",0,"Auto","Auto",""}</definedName>
    <definedName name="rij_def_matrix">{"Jaar",0,"Auto","Auto","";"Vertegenwoordiger",0,"Auto","Auto",""}</definedName>
    <definedName name="Salarissen">'coffeebar-model'!$B$11</definedName>
    <definedName name="Snijtijd_per_week" localSheetId="30">#REF!</definedName>
    <definedName name="Snijtijd_per_week" localSheetId="32">#REF!</definedName>
    <definedName name="Snijtijd_per_week" localSheetId="35">#REF!</definedName>
    <definedName name="Snijtijd_per_week" localSheetId="37">#REF!</definedName>
    <definedName name="Snijtijd_per_week" localSheetId="40">#REF!</definedName>
    <definedName name="Snijtijd_per_week">#REF!</definedName>
    <definedName name="VerkoopDoelstelling" localSheetId="49">[1]form004!$E$7</definedName>
    <definedName name="VerkoopDoelstelling" localSheetId="87">[2]form004!$E$7</definedName>
    <definedName name="VerkoopDoelstelling">[3]form004!$E$7</definedName>
    <definedName name="Verkopen">'name-box'!$A$2</definedName>
    <definedName name="Voorzieningen">'coffeebar-model'!$B$14</definedName>
    <definedName name="waarde_def_matrix" localSheetId="30">{"Verkopen","SOM(Verkopen)","JNNNN",FALSE}</definedName>
    <definedName name="waarde_def_matrix" localSheetId="32">{"Verkopen","SOM(Verkopen)","JNNNN",FALSE}</definedName>
    <definedName name="waarde_def_matrix" localSheetId="35">{"Verkopen","SOM(Verkopen)","JNNNN",FALSE}</definedName>
    <definedName name="waarde_def_matrix" localSheetId="37">{"Verkopen","SOM(Verkopen)","JNNNN",FALSE}</definedName>
    <definedName name="waarde_def_matrix" localSheetId="40">{"Verkopen","SOM(Verkopen)","JNNNN",FALSE}</definedName>
    <definedName name="waarde_def_matrix" localSheetId="49">{"Verkopen","SOM(Verkopen)","JNNNN",FALSE}</definedName>
    <definedName name="waarde_def_matrix" localSheetId="87">{"Verkopen","SOM(Verkopen)","JNNNN",FALSE}</definedName>
    <definedName name="waarde_def_matrix">{"Verkopen","SOM(Verkopen)","JNNNN",FALSE}</definedName>
    <definedName name="Winst_per_week">#REF!</definedName>
    <definedName name="Yield_per_Order" localSheetId="49">[4]scen!$B$4</definedName>
    <definedName name="Yield_per_Order">[5]scen!$B$4</definedName>
    <definedName name="Zoeklijst" localSheetId="23">#REF!</definedName>
    <definedName name="Zoeklijst" localSheetId="30">#REF!</definedName>
    <definedName name="Zoeklijst" localSheetId="32">#REF!</definedName>
    <definedName name="Zoeklijst" localSheetId="35">#REF!</definedName>
    <definedName name="Zoeklijst" localSheetId="37">#REF!</definedName>
    <definedName name="Zoeklijst" localSheetId="40">#REF!</definedName>
    <definedName name="Zoeklijst" localSheetId="49">#REF!</definedName>
    <definedName name="Zoeklijst" localSheetId="87">#REF!</definedName>
    <definedName name="Zoeklijst">'example-vlookup'!$B$11:$E$22</definedName>
    <definedName name="Zoeknr" localSheetId="23">#REF!</definedName>
    <definedName name="Zoeknr" localSheetId="30">#REF!</definedName>
    <definedName name="Zoeknr" localSheetId="32">#REF!</definedName>
    <definedName name="Zoeknr" localSheetId="35">#REF!</definedName>
    <definedName name="Zoeknr" localSheetId="37">#REF!</definedName>
    <definedName name="Zoeknr" localSheetId="40">#REF!</definedName>
    <definedName name="Zoeknr" localSheetId="49">#REF!</definedName>
    <definedName name="Zoeknr" localSheetId="87">#REF!</definedName>
    <definedName name="Zoeknr">'example-vlookup'!$D$2</definedName>
  </definedNames>
  <calcPr calcId="191029"/>
  <pivotCaches>
    <pivotCache cacheId="0" r:id="rId116"/>
    <pivotCache cacheId="1" r:id="rId117"/>
    <pivotCache cacheId="2" r:id="rId118"/>
    <pivotCache cacheId="3" r:id="rId119"/>
    <pivotCache cacheId="4" r:id="rId120"/>
    <pivotCache cacheId="5" r:id="rId121"/>
    <pivotCache cacheId="6" r:id="rId122"/>
    <pivotCache cacheId="7" r:id="rId12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4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31" l="1"/>
  <c r="H1" i="131"/>
  <c r="E25" i="131" s="1"/>
  <c r="B7" i="127"/>
  <c r="B18" i="127" s="1"/>
  <c r="B3" i="121"/>
  <c r="B4" i="121"/>
  <c r="B5" i="121"/>
  <c r="B6" i="121"/>
  <c r="B2" i="121"/>
  <c r="E1" i="83" a="1"/>
  <c r="E1" i="83" s="1"/>
  <c r="A7" i="104"/>
  <c r="B5" i="103"/>
  <c r="A3" i="102"/>
  <c r="B3" i="101"/>
  <c r="C3" i="101"/>
  <c r="D3" i="101"/>
  <c r="A3" i="101"/>
  <c r="A7" i="98"/>
  <c r="E2" i="97"/>
  <c r="B2" i="96" a="1"/>
  <c r="B2" i="96" s="1"/>
  <c r="E2" i="95" a="1"/>
  <c r="E2" i="95" s="1"/>
  <c r="E2" i="94" a="1"/>
  <c r="E2" i="94" s="1"/>
  <c r="E2" i="93" a="1"/>
  <c r="E2" i="93" s="1"/>
  <c r="I2" i="92" a="1"/>
  <c r="I2" i="92" s="1"/>
  <c r="E2" i="92" a="1"/>
  <c r="E2" i="92" s="1"/>
  <c r="B9" i="91"/>
  <c r="B8" i="91"/>
  <c r="B7" i="91"/>
  <c r="B6" i="91"/>
  <c r="B5" i="91"/>
  <c r="B4" i="91"/>
  <c r="B3" i="91"/>
  <c r="F4" i="46" a="1"/>
  <c r="F4" i="46" s="1"/>
  <c r="F5" i="46" a="1"/>
  <c r="F5" i="46" s="1"/>
  <c r="F3" i="46" a="1"/>
  <c r="F3" i="46" s="1"/>
  <c r="C5" i="91"/>
  <c r="C3" i="91"/>
  <c r="C4" i="91"/>
  <c r="C11" i="24"/>
  <c r="C7" i="91"/>
  <c r="C6" i="91"/>
  <c r="C9" i="24"/>
  <c r="C12" i="24"/>
  <c r="C8" i="91"/>
  <c r="C9" i="91"/>
  <c r="C10" i="24"/>
  <c r="E7" i="131" l="1"/>
  <c r="C4" i="131"/>
  <c r="D17" i="131"/>
  <c r="D2" i="131"/>
  <c r="E4" i="131"/>
  <c r="D7" i="131"/>
  <c r="C10" i="131"/>
  <c r="E12" i="131"/>
  <c r="D15" i="131"/>
  <c r="C18" i="131"/>
  <c r="E20" i="131"/>
  <c r="D23" i="131"/>
  <c r="D5" i="131"/>
  <c r="C8" i="131"/>
  <c r="E10" i="131"/>
  <c r="D13" i="131"/>
  <c r="C16" i="131"/>
  <c r="E18" i="131"/>
  <c r="D21" i="131"/>
  <c r="C24" i="131"/>
  <c r="C5" i="131"/>
  <c r="D10" i="131"/>
  <c r="C13" i="131"/>
  <c r="E15" i="131"/>
  <c r="D18" i="131"/>
  <c r="C21" i="131"/>
  <c r="E23" i="131"/>
  <c r="C3" i="131"/>
  <c r="E5" i="131"/>
  <c r="D8" i="131"/>
  <c r="C11" i="131"/>
  <c r="E13" i="131"/>
  <c r="D16" i="131"/>
  <c r="C19" i="131"/>
  <c r="E21" i="131"/>
  <c r="D24" i="131"/>
  <c r="D3" i="131"/>
  <c r="C6" i="131"/>
  <c r="E8" i="131"/>
  <c r="D11" i="131"/>
  <c r="C14" i="131"/>
  <c r="E16" i="131"/>
  <c r="D19" i="131"/>
  <c r="C22" i="131"/>
  <c r="E24" i="131"/>
  <c r="E3" i="131"/>
  <c r="D6" i="131"/>
  <c r="C9" i="131"/>
  <c r="E11" i="131"/>
  <c r="D14" i="131"/>
  <c r="C17" i="131"/>
  <c r="E19" i="131"/>
  <c r="D22" i="131"/>
  <c r="C25" i="131"/>
  <c r="E6" i="131"/>
  <c r="D9" i="131"/>
  <c r="C12" i="131"/>
  <c r="C20" i="131"/>
  <c r="E22" i="131"/>
  <c r="D25" i="131"/>
  <c r="E2" i="131"/>
  <c r="E14" i="131"/>
  <c r="C2" i="131"/>
  <c r="D4" i="131"/>
  <c r="C7" i="131"/>
  <c r="E9" i="131"/>
  <c r="D12" i="131"/>
  <c r="C15" i="131"/>
  <c r="E17" i="131"/>
  <c r="D20" i="131"/>
  <c r="C23" i="131"/>
  <c r="G3" i="90" a="1"/>
  <c r="G3" i="90" s="1"/>
  <c r="E88" i="89" l="1"/>
  <c r="E87" i="89"/>
  <c r="E86" i="89"/>
  <c r="E85" i="89"/>
  <c r="E84" i="89"/>
  <c r="E83" i="89"/>
  <c r="E82" i="89"/>
  <c r="E81" i="89"/>
  <c r="E80" i="89"/>
  <c r="E79" i="89"/>
  <c r="E78" i="89"/>
  <c r="E77" i="89"/>
  <c r="E76" i="89"/>
  <c r="E75" i="89"/>
  <c r="E74" i="89"/>
  <c r="E73" i="89"/>
  <c r="E72" i="89"/>
  <c r="E71" i="89"/>
  <c r="E70" i="89"/>
  <c r="E69" i="89"/>
  <c r="E68" i="89"/>
  <c r="E67" i="89"/>
  <c r="E66" i="89"/>
  <c r="E65" i="89"/>
  <c r="E64" i="89"/>
  <c r="E6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H2" i="89" a="1"/>
  <c r="H2" i="89" s="1"/>
  <c r="E2" i="89"/>
  <c r="E2" i="88" l="1"/>
  <c r="L4" i="87" l="1" a="1"/>
  <c r="L4" i="87" s="1"/>
  <c r="K4" i="87" a="1"/>
  <c r="K4" i="87" s="1"/>
  <c r="B1" i="86" l="1" a="1"/>
  <c r="B1" i="86" s="1"/>
  <c r="C2" i="84" l="1" a="1"/>
  <c r="C2" i="84" s="1"/>
  <c r="A1" i="83" a="1"/>
  <c r="A1" i="83" s="1"/>
  <c r="C12" i="47" l="1" a="1"/>
  <c r="C12" i="47" s="1"/>
  <c r="C11" i="47" a="1"/>
  <c r="C11" i="47" s="1"/>
  <c r="D6" i="45" a="1"/>
  <c r="D6" i="45" s="1"/>
  <c r="C6" i="45" a="1"/>
  <c r="C6" i="45" s="1"/>
  <c r="G1" i="44" a="1"/>
  <c r="G1" i="44" s="1"/>
  <c r="G1" i="43" a="1"/>
  <c r="G1" i="43" s="1"/>
  <c r="E2" i="42" a="1"/>
  <c r="E2" i="42" s="1"/>
  <c r="D2" i="42" a="1"/>
  <c r="D2" i="42" s="1"/>
  <c r="Z2" i="41" l="1" a="1"/>
  <c r="Z2" i="41" s="1"/>
  <c r="X2" i="41" a="1"/>
  <c r="X2" i="41" s="1"/>
  <c r="R2" i="41" a="1"/>
  <c r="R2" i="41" s="1"/>
  <c r="J2" i="41" a="1"/>
  <c r="J2" i="41" s="1"/>
  <c r="H2" i="41" a="1"/>
  <c r="H2" i="41" s="1"/>
  <c r="B2" i="41" a="1"/>
  <c r="B2" i="41" s="1"/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l="1"/>
  <c r="B2" i="29"/>
  <c r="B3" i="29"/>
  <c r="B4" i="29"/>
  <c r="B5" i="29"/>
  <c r="B6" i="29"/>
  <c r="B11" i="50" l="1"/>
  <c r="B12" i="50"/>
  <c r="B13" i="50"/>
  <c r="B14" i="50" s="1"/>
  <c r="A15" i="50" l="1"/>
  <c r="B15" i="50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A696D-745E-455C-BB02-E03E81D0CAF9}" keepAlive="1" name="Query - q_benelux" description="Verbinding maken met de query q_benelux in de werkmap." type="5" refreshedVersion="6" background="1" saveData="1">
    <dbPr connection="Provider=Microsoft.Mashup.OleDb.1;Data Source=$Workbook$;Location=q_benelux;Extended Properties=&quot;&quot;" command="SELECT * FROM [q_benelux]"/>
  </connection>
  <connection id="2" xr16:uid="{EBB22339-49A5-4FF5-8B97-E56CE6D696B2}" keepAlive="1" name="Query - q_scores1" description="Verbinding maken met de query q_scores1 in de werkmap." type="5" refreshedVersion="6" background="1" saveData="1">
    <dbPr connection="Provider=Microsoft.Mashup.OleDb.1;Data Source=$Workbook$;Location=q_scores1;Extended Properties=&quot;&quot;" command="SELECT * FROM [q_scores1]"/>
  </connection>
  <connection id="3" xr16:uid="{E004CE26-4647-4EC3-BA41-10815F74133A}" keepAlive="1" name="Query - q_scores2" description="Verbinding maken met de query q_scores2 in de werkmap." type="5" refreshedVersion="6" background="1" saveData="1">
    <dbPr connection="Provider=Microsoft.Mashup.OleDb.1;Data Source=$Workbook$;Location=q_scores2;Extended Properties=&quot;&quot;" command="SELECT * FROM [q_scores2]"/>
  </connection>
  <connection id="4" xr16:uid="{BD07C0D7-6A74-4089-A5B5-5FE565679720}" keepAlive="1" name="Query - q_scores3" description="Verbinding maken met de query q_scores3 in de werkmap." type="5" refreshedVersion="6" background="1" saveData="1">
    <dbPr connection="Provider=Microsoft.Mashup.OleDb.1;Data Source=$Workbook$;Location=q_scores3;Extended Properties=&quot;&quot;" command="SELECT * FROM [q_scores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<sst xmlns="http://schemas.openxmlformats.org/spreadsheetml/2006/main" count="9077" uniqueCount="1105">
  <si>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</si>
  <si>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</si>
  <si>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</si>
  <si>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</si>
  <si>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</si>
  <si>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</si>
  <si>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</si>
  <si>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</si>
  <si>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</si>
  <si>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</si>
  <si>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</si>
  <si>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</si>
  <si>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</si>
  <si>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</si>
  <si>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</si>
  <si>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</si>
  <si>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</si>
  <si>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</si>
  <si>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</si>
  <si>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</si>
  <si>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</si>
  <si>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</si>
  <si>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</si>
  <si>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</si>
  <si>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</si>
  <si>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</si>
  <si>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</si>
  <si>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</si>
  <si>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</si>
  <si>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</si>
  <si>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</si>
  <si>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</si>
  <si>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</si>
  <si>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</si>
  <si>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</si>
  <si>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</si>
  <si>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</si>
  <si>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</si>
  <si>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</si>
  <si>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</si>
  <si>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</si>
  <si>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</si>
  <si>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</si>
  <si>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</si>
  <si>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</si>
  <si>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</si>
  <si>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</si>
  <si>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</si>
  <si>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</si>
  <si>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</si>
  <si>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</si>
  <si>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</si>
  <si>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</si>
  <si>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</si>
  <si>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</si>
  <si>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</si>
  <si>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</si>
  <si>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</si>
  <si>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</si>
  <si>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</si>
  <si>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</si>
  <si>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</si>
  <si>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</si>
  <si>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</si>
  <si>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</si>
  <si>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</si>
  <si>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</si>
  <si>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</si>
  <si>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</si>
  <si>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</si>
  <si>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</si>
  <si>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</si>
  <si>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</si>
  <si>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</si>
  <si>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</si>
  <si>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</si>
  <si>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</si>
  <si>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</si>
  <si>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</si>
  <si>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</si>
  <si>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</si>
  <si>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</si>
  <si>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</si>
  <si>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</si>
  <si>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</si>
  <si>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</si>
  <si>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Rijlabels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</si>
  <si>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</si>
  <si>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</si>
  <si>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</si>
  <si>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</si>
  <si>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</si>
  <si>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</si>
  <si>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</si>
  <si>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</si>
  <si>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</si>
  <si>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</si>
  <si>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</si>
  <si>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</si>
  <si>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</si>
  <si>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</si>
  <si>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</si>
  <si>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</si>
  <si>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</si>
  <si>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</si>
  <si>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</si>
  <si>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</si>
  <si>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</si>
  <si>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</si>
  <si>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</si>
  <si>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</si>
  <si>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</si>
  <si>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</si>
  <si>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</si>
  <si>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</si>
  <si>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</si>
  <si>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</si>
  <si>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</si>
  <si>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</si>
  <si>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</si>
  <si>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</si>
  <si>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</si>
  <si>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</si>
  <si>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</si>
  <si>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</si>
  <si>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</si>
  <si>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</si>
  <si>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</si>
  <si>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</si>
  <si>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</si>
  <si>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</si>
  <si>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</si>
  <si>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</si>
  <si>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</si>
  <si>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</si>
  <si>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</si>
  <si>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</si>
  <si>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</si>
  <si>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</si>
  <si>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</si>
  <si>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</si>
  <si>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</si>
  <si>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</si>
  <si>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</si>
  <si>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</si>
  <si>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</si>
  <si>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</si>
  <si>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</si>
  <si>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</si>
  <si>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</si>
  <si>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</si>
  <si>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</si>
  <si>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</si>
  <si>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</si>
  <si>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</si>
  <si>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</si>
  <si>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</si>
  <si>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</si>
  <si>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</si>
  <si>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</si>
  <si>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</si>
  <si>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</si>
  <si>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</si>
  <si>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</si>
  <si>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</si>
  <si>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</si>
  <si>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</si>
  <si>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</si>
  <si>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</si>
  <si>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</si>
  <si>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</si>
  <si>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</si>
  <si>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</si>
  <si>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</si>
  <si>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</si>
  <si>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</si>
  <si>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</si>
  <si>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</si>
  <si>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</si>
  <si>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</si>
  <si>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</si>
  <si>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</si>
  <si>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</si>
  <si>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</si>
  <si>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</si>
  <si>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</si>
  <si>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</si>
  <si>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</si>
  <si>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</si>
  <si>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</si>
  <si>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</si>
  <si>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</si>
  <si>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</si>
  <si>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</si>
  <si>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</si>
  <si>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</si>
  <si>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</si>
  <si>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</si>
  <si>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</si>
  <si>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</si>
  <si>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</si>
  <si>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</si>
  <si>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</si>
  <si>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</si>
  <si>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</si>
  <si>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</si>
  <si>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</si>
  <si>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</si>
  <si>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</si>
  <si>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</si>
  <si>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</si>
  <si>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</si>
  <si>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</si>
  <si>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</si>
  <si>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</si>
  <si>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</si>
  <si>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</si>
  <si>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</si>
  <si>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</si>
  <si>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</si>
  <si>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</si>
  <si>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</si>
  <si>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</si>
  <si>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</si>
  <si>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</si>
  <si>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</si>
  <si>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</si>
  <si>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</si>
  <si>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</si>
  <si>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</si>
  <si>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</si>
  <si>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</si>
  <si>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</si>
  <si>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</si>
  <si>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</si>
  <si>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</si>
  <si>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</si>
  <si>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</si>
  <si>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</si>
  <si>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</si>
  <si>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</si>
  <si>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</si>
  <si>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</si>
  <si>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</si>
  <si>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</si>
  <si>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</si>
  <si>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</si>
  <si>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</si>
  <si>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</si>
  <si>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</si>
  <si>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</si>
  <si>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</si>
  <si>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</si>
  <si>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</si>
  <si>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</si>
  <si>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</si>
  <si>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</si>
  <si>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</si>
  <si>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</si>
  <si>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</si>
  <si>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</si>
  <si>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</si>
  <si>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</si>
  <si>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</si>
  <si>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</si>
  <si>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</si>
  <si>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</si>
  <si>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</si>
  <si>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</si>
  <si>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</si>
  <si>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</si>
  <si>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</si>
  <si>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</si>
  <si>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</si>
  <si>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</si>
  <si>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</si>
  <si>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</si>
  <si>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</si>
  <si>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</si>
  <si>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</si>
  <si>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</si>
  <si>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</si>
  <si>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</si>
  <si>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</si>
  <si>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</si>
  <si>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</si>
  <si>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</si>
  <si>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</si>
  <si>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</si>
  <si>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</si>
  <si>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</si>
  <si>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</si>
  <si>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</si>
  <si>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</si>
  <si>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</si>
  <si>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</si>
  <si>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</si>
  <si>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</si>
  <si>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</si>
  <si>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</si>
  <si>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</si>
  <si>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</si>
  <si>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</si>
  <si>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</si>
  <si>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</si>
  <si>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</si>
  <si>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</si>
  <si>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</si>
  <si>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</si>
  <si>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</si>
  <si>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</si>
  <si>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</si>
  <si>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</si>
  <si>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</si>
  <si>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</si>
  <si>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</si>
  <si>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</si>
  <si>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</si>
  <si>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</si>
  <si>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</si>
  <si>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</si>
  <si>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</si>
  <si>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</si>
  <si>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</si>
  <si>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</si>
  <si>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</si>
  <si>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</si>
  <si>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</si>
  <si>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</si>
  <si>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</si>
  <si>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</si>
  <si>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</si>
  <si>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</si>
  <si>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</si>
  <si>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</si>
  <si>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</si>
  <si>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</si>
  <si>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</si>
  <si>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</si>
  <si>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</si>
  <si>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</si>
  <si>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</si>
  <si>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</si>
  <si>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</si>
  <si>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</si>
  <si>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</si>
  <si>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</si>
  <si>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</si>
  <si>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</si>
  <si>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</si>
  <si>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</si>
  <si>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</si>
  <si>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</si>
  <si>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</si>
  <si>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</si>
  <si>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</si>
  <si>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</si>
  <si>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</si>
  <si>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</si>
  <si>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</si>
  <si>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</si>
  <si>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</si>
  <si>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</si>
  <si>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</si>
  <si>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</si>
  <si>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</si>
  <si>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</si>
  <si>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</si>
  <si>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</si>
  <si>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</si>
  <si>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</si>
  <si>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</si>
  <si>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</si>
  <si>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</si>
  <si>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</si>
  <si>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</si>
  <si>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</si>
  <si>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</si>
  <si>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</si>
  <si>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</si>
  <si>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</si>
  <si>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</si>
  <si>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</si>
  <si>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</si>
  <si>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</si>
  <si>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</si>
  <si>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</si>
  <si>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</si>
  <si>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</si>
  <si>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</si>
  <si>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</si>
  <si>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</si>
  <si>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</si>
  <si>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</si>
  <si>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</si>
  <si>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</si>
  <si>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</si>
  <si>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</si>
  <si>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</si>
  <si>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</si>
  <si>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</si>
  <si>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</si>
  <si>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</si>
  <si>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</si>
  <si>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</si>
  <si>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</si>
  <si>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</si>
  <si>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</si>
  <si>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</si>
  <si>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</si>
  <si>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</si>
  <si>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</si>
  <si>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</si>
  <si>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</si>
  <si>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</si>
  <si>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</si>
  <si>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</si>
  <si>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</si>
  <si>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</si>
  <si>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</si>
  <si>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</si>
  <si>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</si>
  <si>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</si>
  <si>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</si>
  <si>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</si>
  <si>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</si>
  <si>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</si>
  <si>
    <t>score</t>
  </si>
  <si>
    <t>man</t>
  </si>
  <si>
    <t>vrouw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</si>
  <si>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</si>
  <si>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</si>
  <si>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</si>
  <si>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</si>
  <si>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</si>
  <si>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</si>
  <si>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</si>
  <si>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</si>
  <si>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</si>
  <si>
    <t>klas</t>
  </si>
  <si>
    <t>klas1</t>
  </si>
  <si>
    <t>klas2</t>
  </si>
  <si>
    <t>naam</t>
  </si>
  <si>
    <t>toets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</si>
  <si>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</si>
  <si>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</si>
  <si>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</si>
  <si>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</si>
  <si>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</si>
  <si>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</si>
  <si>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</si>
  <si>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</si>
  <si>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</si>
  <si>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</si>
  <si>
    <t>Land</t>
  </si>
  <si>
    <t>Geslacht</t>
  </si>
  <si>
    <t>België</t>
  </si>
  <si>
    <t>Vrouw</t>
  </si>
  <si>
    <t>Man</t>
  </si>
  <si>
    <t>Luxemburg</t>
  </si>
  <si>
    <t>Nederland</t>
  </si>
  <si>
    <t>2000</t>
  </si>
  <si>
    <t>2005</t>
  </si>
  <si>
    <t>2010</t>
  </si>
  <si>
    <t>2015</t>
  </si>
  <si>
    <t>Populatie</t>
  </si>
  <si>
    <t>(Alle)</t>
  </si>
  <si>
    <t>Som van Populatie</t>
  </si>
  <si>
    <t>interval</t>
  </si>
  <si>
    <t>frequentie</t>
  </si>
  <si>
    <t>aantal kleiner dan of gelijk aan 70</t>
  </si>
  <si>
    <t>aantal in interval 71-80</t>
  </si>
  <si>
    <t>aantal in interval 81-90</t>
  </si>
  <si>
    <t>aantal in interval 91-100</t>
  </si>
  <si>
    <t>aantal groter dan 100</t>
  </si>
  <si>
    <t>Appel</t>
  </si>
  <si>
    <t>Druif</t>
  </si>
  <si>
    <t>Banaan</t>
  </si>
  <si>
    <t>Citroen</t>
  </si>
  <si>
    <t>Peer</t>
  </si>
  <si>
    <t>An</t>
  </si>
  <si>
    <t>Chris</t>
  </si>
  <si>
    <t>Ivo</t>
  </si>
  <si>
    <t>Mari</t>
  </si>
  <si>
    <t>Otto</t>
  </si>
  <si>
    <t>Peter</t>
  </si>
  <si>
    <t>Stan</t>
  </si>
  <si>
    <t>Trudy</t>
  </si>
  <si>
    <t>Naam</t>
  </si>
  <si>
    <t>Persnr</t>
  </si>
  <si>
    <t>Achternaam</t>
  </si>
  <si>
    <t>Voornaam</t>
  </si>
  <si>
    <t>Functie</t>
  </si>
  <si>
    <t>Afdeling</t>
  </si>
  <si>
    <t>Divisie</t>
  </si>
  <si>
    <t>Salaris</t>
  </si>
  <si>
    <t>Jong de</t>
  </si>
  <si>
    <t>Klaas</t>
  </si>
  <si>
    <t>Assist. accountant</t>
  </si>
  <si>
    <t>Accounting</t>
  </si>
  <si>
    <t>Kopieerapp.</t>
  </si>
  <si>
    <t>Lijst afdelingen</t>
  </si>
  <si>
    <t>Lijst Functies</t>
  </si>
  <si>
    <t>Peters</t>
  </si>
  <si>
    <t>Robin</t>
  </si>
  <si>
    <t>Admin. medew. groep</t>
  </si>
  <si>
    <t>Ontwerpafdeling</t>
  </si>
  <si>
    <t>Printers</t>
  </si>
  <si>
    <t>Kerstholt</t>
  </si>
  <si>
    <t>Tonia</t>
  </si>
  <si>
    <t>Faxapp.</t>
  </si>
  <si>
    <t>Bosma</t>
  </si>
  <si>
    <t>Software-ontwikkelaar</t>
  </si>
  <si>
    <t>Nieborg</t>
  </si>
  <si>
    <t>Judith</t>
  </si>
  <si>
    <t>Vertegenwoordiger</t>
  </si>
  <si>
    <t>Marketing</t>
  </si>
  <si>
    <t>Dantuma</t>
  </si>
  <si>
    <t>Desiree</t>
  </si>
  <si>
    <t>Accountant</t>
  </si>
  <si>
    <t>Mulder</t>
  </si>
  <si>
    <t>Elsbeth</t>
  </si>
  <si>
    <t>Admin. medew.</t>
  </si>
  <si>
    <t>Administratie</t>
  </si>
  <si>
    <t>Schutter</t>
  </si>
  <si>
    <t>Aletta</t>
  </si>
  <si>
    <t>Essen van</t>
  </si>
  <si>
    <t>Bert</t>
  </si>
  <si>
    <t>Assist. vormgeving</t>
  </si>
  <si>
    <t>Vormgeving</t>
  </si>
  <si>
    <t>Geerling</t>
  </si>
  <si>
    <t>Rob</t>
  </si>
  <si>
    <t>Damhof</t>
  </si>
  <si>
    <t>Michael</t>
  </si>
  <si>
    <t>Al-Sabah</t>
  </si>
  <si>
    <t>Daoud</t>
  </si>
  <si>
    <t>Assist. technicus</t>
  </si>
  <si>
    <t>Willekes</t>
  </si>
  <si>
    <t>Sara</t>
  </si>
  <si>
    <t>Produkt-marketer</t>
  </si>
  <si>
    <t>Molenaar</t>
  </si>
  <si>
    <t>Janet</t>
  </si>
  <si>
    <t>Algra</t>
  </si>
  <si>
    <t>Erik</t>
  </si>
  <si>
    <t>Wetensch. onderzoeker</t>
  </si>
  <si>
    <t>Onderz. &amp; ontwik.</t>
  </si>
  <si>
    <t>Zandstra</t>
  </si>
  <si>
    <t>Aaron</t>
  </si>
  <si>
    <t>Stroo</t>
  </si>
  <si>
    <t>Heleen</t>
  </si>
  <si>
    <t>Specialist vormgeving</t>
  </si>
  <si>
    <t>Sauter</t>
  </si>
  <si>
    <t>Karel</t>
  </si>
  <si>
    <t>Vosman</t>
  </si>
  <si>
    <t>Overmars</t>
  </si>
  <si>
    <t>Willlem</t>
  </si>
  <si>
    <t>Smit</t>
  </si>
  <si>
    <t>Howard</t>
  </si>
  <si>
    <t>Eikelenboom</t>
  </si>
  <si>
    <t>Mirjam</t>
  </si>
  <si>
    <t>Kellerman</t>
  </si>
  <si>
    <t>Tommie</t>
  </si>
  <si>
    <t>Roelfsema</t>
  </si>
  <si>
    <t>Leidinggev. ontwerpafd.</t>
  </si>
  <si>
    <t>Alberts</t>
  </si>
  <si>
    <t>Esther</t>
  </si>
  <si>
    <t>Lempert</t>
  </si>
  <si>
    <t>Alexandra</t>
  </si>
  <si>
    <t>Kuiper</t>
  </si>
  <si>
    <t>Linda</t>
  </si>
  <si>
    <t>Boersma</t>
  </si>
  <si>
    <t>Phillip</t>
  </si>
  <si>
    <t>Henders</t>
  </si>
  <si>
    <t>Mark</t>
  </si>
  <si>
    <t>Fontaine</t>
  </si>
  <si>
    <t>Jean</t>
  </si>
  <si>
    <t>Plant</t>
  </si>
  <si>
    <t>Alex</t>
  </si>
  <si>
    <t>Kramer</t>
  </si>
  <si>
    <t>Maaike</t>
  </si>
  <si>
    <t>Einstein</t>
  </si>
  <si>
    <t>Isolde</t>
  </si>
  <si>
    <t>Technicus</t>
  </si>
  <si>
    <t>Davids</t>
  </si>
  <si>
    <t>Karin</t>
  </si>
  <si>
    <t>Faber</t>
  </si>
  <si>
    <t>Wijbenga</t>
  </si>
  <si>
    <t>Sandra</t>
  </si>
  <si>
    <t>Wijnen</t>
  </si>
  <si>
    <t>Floris</t>
  </si>
  <si>
    <t>Mans</t>
  </si>
  <si>
    <t>Steven</t>
  </si>
  <si>
    <t>Maathuis</t>
  </si>
  <si>
    <t>Evelien</t>
  </si>
  <si>
    <t>Herder</t>
  </si>
  <si>
    <t>Robert</t>
  </si>
  <si>
    <t>Groothuis</t>
  </si>
  <si>
    <t>Theo</t>
  </si>
  <si>
    <t>Beerda</t>
  </si>
  <si>
    <t>Anna</t>
  </si>
  <si>
    <t>Kwant</t>
  </si>
  <si>
    <t>Frank</t>
  </si>
  <si>
    <t>Geertsema</t>
  </si>
  <si>
    <t>Antonie</t>
  </si>
  <si>
    <t>Makken</t>
  </si>
  <si>
    <t>Jose</t>
  </si>
  <si>
    <t>Paping</t>
  </si>
  <si>
    <t>Ronald</t>
  </si>
  <si>
    <t>Machinetechnicus</t>
  </si>
  <si>
    <t>Vergeer</t>
  </si>
  <si>
    <t>Maria</t>
  </si>
  <si>
    <t>Ellen</t>
  </si>
  <si>
    <t>Schaafsma</t>
  </si>
  <si>
    <t>Toine</t>
  </si>
  <si>
    <t>Kanis</t>
  </si>
  <si>
    <t>Nico</t>
  </si>
  <si>
    <t>Wegenbree</t>
  </si>
  <si>
    <t>Roos</t>
  </si>
  <si>
    <t>Bel</t>
  </si>
  <si>
    <t>Tom</t>
  </si>
  <si>
    <t>Ruiter</t>
  </si>
  <si>
    <t>Manager ontwerpafd.</t>
  </si>
  <si>
    <t>Mosselman</t>
  </si>
  <si>
    <t>Dennis</t>
  </si>
  <si>
    <t>Lange de</t>
  </si>
  <si>
    <t>Leslie</t>
  </si>
  <si>
    <t>Kourios</t>
  </si>
  <si>
    <t>Holtrop</t>
  </si>
  <si>
    <t>Bruinenberg</t>
  </si>
  <si>
    <t>Melia</t>
  </si>
  <si>
    <t>Kromhout</t>
  </si>
  <si>
    <t>Kegler</t>
  </si>
  <si>
    <t>Pamela</t>
  </si>
  <si>
    <t>Jager</t>
  </si>
  <si>
    <t>Stephanie</t>
  </si>
  <si>
    <t>Wit</t>
  </si>
  <si>
    <t>Jessica</t>
  </si>
  <si>
    <t>Handelman</t>
  </si>
  <si>
    <t>Kees</t>
  </si>
  <si>
    <t>Verkade</t>
  </si>
  <si>
    <t>Eduard</t>
  </si>
  <si>
    <t>Groepmanager</t>
  </si>
  <si>
    <t>Burger</t>
  </si>
  <si>
    <t>Dave</t>
  </si>
  <si>
    <t>Thiecke</t>
  </si>
  <si>
    <t>Herman</t>
  </si>
  <si>
    <t>Riksten</t>
  </si>
  <si>
    <t>Janette</t>
  </si>
  <si>
    <t>Barbara</t>
  </si>
  <si>
    <t>Kleine</t>
  </si>
  <si>
    <t>Bob</t>
  </si>
  <si>
    <t>Nelson</t>
  </si>
  <si>
    <t>Maris</t>
  </si>
  <si>
    <t>Ellis</t>
  </si>
  <si>
    <t>Westra</t>
  </si>
  <si>
    <t>Sam</t>
  </si>
  <si>
    <t>Senior medew. ontwerpafd.</t>
  </si>
  <si>
    <t>Renkema</t>
  </si>
  <si>
    <t>Wouter</t>
  </si>
  <si>
    <t>Ridderbos</t>
  </si>
  <si>
    <t>Lise-Anne</t>
  </si>
  <si>
    <t>Bankler</t>
  </si>
  <si>
    <t>Rowena</t>
  </si>
  <si>
    <t>Huisman</t>
  </si>
  <si>
    <t>Hester</t>
  </si>
  <si>
    <t>Mortel</t>
  </si>
  <si>
    <t>Steen</t>
  </si>
  <si>
    <t>Cindy</t>
  </si>
  <si>
    <t>Marinez</t>
  </si>
  <si>
    <t>Gustavo</t>
  </si>
  <si>
    <t>Fijn</t>
  </si>
  <si>
    <t>Caroline</t>
  </si>
  <si>
    <t>Bartels</t>
  </si>
  <si>
    <t>Onderzoeker</t>
  </si>
  <si>
    <t>Stadtman</t>
  </si>
  <si>
    <t>Jan-Theo</t>
  </si>
  <si>
    <t>Ritsma</t>
  </si>
  <si>
    <t>Unitmanager</t>
  </si>
  <si>
    <t>Vreeman</t>
  </si>
  <si>
    <t>Jules</t>
  </si>
  <si>
    <t>Zwaving</t>
  </si>
  <si>
    <t>Lisa</t>
  </si>
  <si>
    <t>Helder</t>
  </si>
  <si>
    <t>Willem</t>
  </si>
  <si>
    <t>Bijkerk</t>
  </si>
  <si>
    <t>David</t>
  </si>
  <si>
    <t>Oosten</t>
  </si>
  <si>
    <t>Bart</t>
  </si>
  <si>
    <t>Mekel</t>
  </si>
  <si>
    <t>Menno</t>
  </si>
  <si>
    <t>Kruit</t>
  </si>
  <si>
    <t>Berg</t>
  </si>
  <si>
    <t>Jonge de</t>
  </si>
  <si>
    <t>Arend</t>
  </si>
  <si>
    <t>Geluk</t>
  </si>
  <si>
    <t>Betsie</t>
  </si>
  <si>
    <t>Emmerink</t>
  </si>
  <si>
    <t>Donald</t>
  </si>
  <si>
    <t>Kroon</t>
  </si>
  <si>
    <t>Brenda</t>
  </si>
  <si>
    <t>Bloemendaal</t>
  </si>
  <si>
    <t>Boerhof</t>
  </si>
  <si>
    <t>Vossen</t>
  </si>
  <si>
    <t>Felix</t>
  </si>
  <si>
    <t>Larssen</t>
  </si>
  <si>
    <t>Erika</t>
  </si>
  <si>
    <t>Bureaumanager</t>
  </si>
  <si>
    <t>Smidt</t>
  </si>
  <si>
    <t>Rik</t>
  </si>
  <si>
    <t>Wolthuis</t>
  </si>
  <si>
    <t>Carla</t>
  </si>
  <si>
    <t>Kortlandt</t>
  </si>
  <si>
    <t>Mien</t>
  </si>
  <si>
    <t>Helpman</t>
  </si>
  <si>
    <t>Grootte</t>
  </si>
  <si>
    <t>Kanon</t>
  </si>
  <si>
    <t>Susan</t>
  </si>
  <si>
    <t>Wolf</t>
  </si>
  <si>
    <t>Hilda</t>
  </si>
  <si>
    <t>Hulzenbos</t>
  </si>
  <si>
    <t>Johan</t>
  </si>
  <si>
    <t>Marja</t>
  </si>
  <si>
    <t>Ottevanger</t>
  </si>
  <si>
    <t>Lourens</t>
  </si>
  <si>
    <t>Hoeveelheid</t>
  </si>
  <si>
    <t>Goud</t>
  </si>
  <si>
    <t>Zilver</t>
  </si>
  <si>
    <t>Brons</t>
  </si>
  <si>
    <t>Verenigde Staten</t>
  </si>
  <si>
    <t>Verenigd Koninkrijk</t>
  </si>
  <si>
    <t>China</t>
  </si>
  <si>
    <t>Rusland</t>
  </si>
  <si>
    <t>Duitsland</t>
  </si>
  <si>
    <t>Japan</t>
  </si>
  <si>
    <t>Frankrijk</t>
  </si>
  <si>
    <t>Zuid-Korea</t>
  </si>
  <si>
    <t>Italië</t>
  </si>
  <si>
    <t>Australië</t>
  </si>
  <si>
    <t>Hongarije</t>
  </si>
  <si>
    <t>Brazilië</t>
  </si>
  <si>
    <t>Spanje</t>
  </si>
  <si>
    <t>Kenia</t>
  </si>
  <si>
    <t>Jamaica</t>
  </si>
  <si>
    <t>Kroatië</t>
  </si>
  <si>
    <t>Cuba</t>
  </si>
  <si>
    <t>Nieuw-Zeeland</t>
  </si>
  <si>
    <t>Canada</t>
  </si>
  <si>
    <t>Oezbekistan</t>
  </si>
  <si>
    <t>Kazachstan</t>
  </si>
  <si>
    <t>Colombia</t>
  </si>
  <si>
    <t>Zwitserland</t>
  </si>
  <si>
    <t>Iran</t>
  </si>
  <si>
    <t>Griekenland</t>
  </si>
  <si>
    <t>Argentinië</t>
  </si>
  <si>
    <t>Denemarken</t>
  </si>
  <si>
    <t>Zweden</t>
  </si>
  <si>
    <t>Zuid-Afrika</t>
  </si>
  <si>
    <t>Oekraïne</t>
  </si>
  <si>
    <t>Servië</t>
  </si>
  <si>
    <t>Polen</t>
  </si>
  <si>
    <t>Noord-Korea</t>
  </si>
  <si>
    <t>Thailand</t>
  </si>
  <si>
    <t>Slowakije</t>
  </si>
  <si>
    <t>Georgië</t>
  </si>
  <si>
    <t>Azerbeidzjan</t>
  </si>
  <si>
    <t>Wit-Rusland</t>
  </si>
  <si>
    <t>Turkije</t>
  </si>
  <si>
    <t>Armenië</t>
  </si>
  <si>
    <t>Tsjechië</t>
  </si>
  <si>
    <t>Ethiopië</t>
  </si>
  <si>
    <t>Slovenië</t>
  </si>
  <si>
    <t>Indonesië</t>
  </si>
  <si>
    <t>Roemenië</t>
  </si>
  <si>
    <t>Bahrein</t>
  </si>
  <si>
    <t>Vietnam</t>
  </si>
  <si>
    <t>Chinees Taipei</t>
  </si>
  <si>
    <t>Bahama's</t>
  </si>
  <si>
    <t>Individuele Olympische Atleten</t>
  </si>
  <si>
    <t>Ivoorkust</t>
  </si>
  <si>
    <t>Fiji</t>
  </si>
  <si>
    <t>Jordanië</t>
  </si>
  <si>
    <t>Kosovo</t>
  </si>
  <si>
    <t>Puerto Rico</t>
  </si>
  <si>
    <t>Singapore</t>
  </si>
  <si>
    <t>Tadzjikistan</t>
  </si>
  <si>
    <t>Maleisië</t>
  </si>
  <si>
    <t>Mexico</t>
  </si>
  <si>
    <t>Algerije</t>
  </si>
  <si>
    <t>Ierland</t>
  </si>
  <si>
    <t>Litouwen</t>
  </si>
  <si>
    <t>Bulgarije</t>
  </si>
  <si>
    <t>Venezuela</t>
  </si>
  <si>
    <t>India</t>
  </si>
  <si>
    <t>Mongolië</t>
  </si>
  <si>
    <t>Burundi</t>
  </si>
  <si>
    <t>Filipijnen</t>
  </si>
  <si>
    <t>Grenada</t>
  </si>
  <si>
    <t>Niger</t>
  </si>
  <si>
    <t>Qatar</t>
  </si>
  <si>
    <t>Noorwegen</t>
  </si>
  <si>
    <t>Egypte</t>
  </si>
  <si>
    <t>Tunesië</t>
  </si>
  <si>
    <t>Israël</t>
  </si>
  <si>
    <t>Dominicaanse</t>
  </si>
  <si>
    <t>Estland</t>
  </si>
  <si>
    <t>Finland</t>
  </si>
  <si>
    <t>Marokko</t>
  </si>
  <si>
    <t>Moldavië</t>
  </si>
  <si>
    <t>Nigeria</t>
  </si>
  <si>
    <t>Oostenrijk</t>
  </si>
  <si>
    <t>Portugal</t>
  </si>
  <si>
    <t>Trinidad en Tobago</t>
  </si>
  <si>
    <t>Verenigde Arabische Emiraten</t>
  </si>
  <si>
    <t>Tall</t>
  </si>
  <si>
    <t>Grande</t>
  </si>
  <si>
    <t>Venti</t>
  </si>
  <si>
    <t>Cappuccino</t>
  </si>
  <si>
    <t>Caffè Latte</t>
  </si>
  <si>
    <t>Espresso</t>
  </si>
  <si>
    <t>Caramel Maccchiato</t>
  </si>
  <si>
    <t>White Caffè Mocha</t>
  </si>
  <si>
    <t>Caffè Mocha</t>
  </si>
  <si>
    <t>Vanilla Latte</t>
  </si>
  <si>
    <t>Caffè Americano</t>
  </si>
  <si>
    <t>Filter Coffee</t>
  </si>
  <si>
    <t>Getal</t>
  </si>
  <si>
    <t>Afronden:</t>
  </si>
  <si>
    <t>op 0 dec</t>
  </si>
  <si>
    <t>op 1 dec</t>
  </si>
  <si>
    <t>op 2 dec</t>
  </si>
  <si>
    <t>naar beneden op 1 dec</t>
  </si>
  <si>
    <t>naar boven op 2 dec</t>
  </si>
  <si>
    <t>naar veelvoud van 5</t>
  </si>
  <si>
    <t>naar veelvoud van 10</t>
  </si>
  <si>
    <t>Medailles</t>
  </si>
  <si>
    <t>Positie</t>
  </si>
  <si>
    <t>huis</t>
  </si>
  <si>
    <t>Omzet 1e kwartaal</t>
  </si>
  <si>
    <t>5.6</t>
  </si>
  <si>
    <t>april</t>
  </si>
  <si>
    <t>juni</t>
  </si>
  <si>
    <t>juli</t>
  </si>
  <si>
    <t>augustus</t>
  </si>
  <si>
    <t>september</t>
  </si>
  <si>
    <t>oktober</t>
  </si>
  <si>
    <t>november</t>
  </si>
  <si>
    <t>december</t>
  </si>
  <si>
    <t>Uitgaven</t>
  </si>
  <si>
    <t>Inventaris</t>
  </si>
  <si>
    <t>Kantoorkosten</t>
  </si>
  <si>
    <t>Dooscode</t>
  </si>
  <si>
    <t>Doosnaam</t>
  </si>
  <si>
    <t>Gewicht</t>
  </si>
  <si>
    <t>Doosprijs</t>
  </si>
  <si>
    <t>Magazijnvoorraad</t>
  </si>
  <si>
    <t>ALLS</t>
  </si>
  <si>
    <t>Alle Seizoenen</t>
  </si>
  <si>
    <t>BERG</t>
  </si>
  <si>
    <t>Bergassortiment</t>
  </si>
  <si>
    <t>BUTT</t>
  </si>
  <si>
    <t>Butterscotch</t>
  </si>
  <si>
    <t>EILA</t>
  </si>
  <si>
    <t>Eilandassortiment</t>
  </si>
  <si>
    <t>HEME</t>
  </si>
  <si>
    <t>Hemelse Hazelnoten</t>
  </si>
  <si>
    <t>INTE</t>
  </si>
  <si>
    <t>Internationaal</t>
  </si>
  <si>
    <t>KERS</t>
  </si>
  <si>
    <t>Kers Klassiek</t>
  </si>
  <si>
    <t>MARS</t>
  </si>
  <si>
    <t>Marsepeinverrassing</t>
  </si>
  <si>
    <t>NAJR</t>
  </si>
  <si>
    <t>Herfstverrassing</t>
  </si>
  <si>
    <t>NORT</t>
  </si>
  <si>
    <t>Noordenwind-assortiment</t>
  </si>
  <si>
    <t>PERF</t>
  </si>
  <si>
    <t>Perfects</t>
  </si>
  <si>
    <t>PIND</t>
  </si>
  <si>
    <t>Pindabonbons</t>
  </si>
  <si>
    <t>ROMA</t>
  </si>
  <si>
    <t>Romantiek</t>
  </si>
  <si>
    <t>TOFF</t>
  </si>
  <si>
    <t>Toffee Mokka Fantasie</t>
  </si>
  <si>
    <t>TROP</t>
  </si>
  <si>
    <t>Tropische verrassing</t>
  </si>
  <si>
    <t>VERL</t>
  </si>
  <si>
    <t>Verliefde Harten</t>
  </si>
  <si>
    <t>ZOE2</t>
  </si>
  <si>
    <t>Zoete crème-bonbons</t>
  </si>
  <si>
    <t>ZOET</t>
  </si>
  <si>
    <t>Zoet en Bitter</t>
  </si>
  <si>
    <t>Inhoudsopgave</t>
  </si>
  <si>
    <t>afschrijvingen</t>
  </si>
  <si>
    <t>array-dyn</t>
  </si>
  <si>
    <t>array-dyn-filter</t>
  </si>
  <si>
    <t>array-dyn-sequence</t>
  </si>
  <si>
    <t>array-dyn-sort</t>
  </si>
  <si>
    <t>array-dyn-sortby1</t>
  </si>
  <si>
    <t>array-dyn-sortby2</t>
  </si>
  <si>
    <t>array-dyn-unique</t>
  </si>
  <si>
    <t>array-dyn-xlookup</t>
  </si>
  <si>
    <t>array-dyn-xmatch</t>
  </si>
  <si>
    <t>array-examples</t>
  </si>
  <si>
    <t>array-frequency</t>
  </si>
  <si>
    <t>array-xlookup-2way</t>
  </si>
  <si>
    <t>array-xlookup-multiplevalues</t>
  </si>
  <si>
    <t>ausbeer-1</t>
  </si>
  <si>
    <t>ausbeer-2</t>
  </si>
  <si>
    <t>ausbeer-3</t>
  </si>
  <si>
    <t>ausbeer56-73</t>
  </si>
  <si>
    <t>banket</t>
  </si>
  <si>
    <t>Benelux</t>
  </si>
  <si>
    <t>Benelux-populatie</t>
  </si>
  <si>
    <t>Benelux-populatie-oplossing</t>
  </si>
  <si>
    <t>candybox-table</t>
  </si>
  <si>
    <t>cashflows</t>
  </si>
  <si>
    <t>cell-alignment-example</t>
  </si>
  <si>
    <t>Componenten</t>
  </si>
  <si>
    <t>data-entry-example</t>
  </si>
  <si>
    <t>Doelzoeken</t>
  </si>
  <si>
    <t>example-annuity</t>
  </si>
  <si>
    <t>example-autosum</t>
  </si>
  <si>
    <t>example-boolean</t>
  </si>
  <si>
    <t>example-datetime</t>
  </si>
  <si>
    <t>example-dim1</t>
  </si>
  <si>
    <t>example-dim2</t>
  </si>
  <si>
    <t>example-expenses</t>
  </si>
  <si>
    <t>example-hlookup</t>
  </si>
  <si>
    <t>example-insurance</t>
  </si>
  <si>
    <t>example-logical-result</t>
  </si>
  <si>
    <t>example-marks</t>
  </si>
  <si>
    <t>example-nesting</t>
  </si>
  <si>
    <t>example-nper</t>
  </si>
  <si>
    <t>example-numbers</t>
  </si>
  <si>
    <t>example-prices</t>
  </si>
  <si>
    <t>example-rounding</t>
  </si>
  <si>
    <t>example-sellings</t>
  </si>
  <si>
    <t>example-shares</t>
  </si>
  <si>
    <t>example-statistical</t>
  </si>
  <si>
    <t>example-studentlength</t>
  </si>
  <si>
    <t>example-text-result</t>
  </si>
  <si>
    <t>example-vlookup</t>
  </si>
  <si>
    <t>example-wages</t>
  </si>
  <si>
    <t>fcast</t>
  </si>
  <si>
    <t>formula-copy</t>
  </si>
  <si>
    <t>months-names-long</t>
  </si>
  <si>
    <t>name-box</t>
  </si>
  <si>
    <t>number-format-example</t>
  </si>
  <si>
    <t>Personeelstabel</t>
  </si>
  <si>
    <t>pivot</t>
  </si>
  <si>
    <t>pivot-example</t>
  </si>
  <si>
    <t>purchase-record</t>
  </si>
  <si>
    <t>rko-1</t>
  </si>
  <si>
    <t>rko-2</t>
  </si>
  <si>
    <t>scores1</t>
  </si>
  <si>
    <t>scores1-oplossing</t>
  </si>
  <si>
    <t>scores2</t>
  </si>
  <si>
    <t>scores2-oplossing</t>
  </si>
  <si>
    <t>scores3</t>
  </si>
  <si>
    <t>scores3-oplossing</t>
  </si>
  <si>
    <t>tablestyle-result</t>
  </si>
  <si>
    <t>Trendlijn-Exponentieel</t>
  </si>
  <si>
    <t>Trendlijn-Lineair</t>
  </si>
  <si>
    <t>Trendlijn-Logaritmisch</t>
  </si>
  <si>
    <t>Trendlijn-Macht</t>
  </si>
  <si>
    <t>Trendlijn-Polynoom</t>
  </si>
  <si>
    <t>Trendlijn-ZWG</t>
  </si>
  <si>
    <t>verkopen_kw1</t>
  </si>
  <si>
    <t>vlak</t>
  </si>
  <si>
    <t>Albert Heijn</t>
  </si>
  <si>
    <t>Jumbo</t>
  </si>
  <si>
    <t>Plus</t>
  </si>
  <si>
    <t>Aldi</t>
  </si>
  <si>
    <t>Lidl</t>
  </si>
  <si>
    <t>Perc. Rokers</t>
  </si>
  <si>
    <t>0 tot 15 jaar</t>
  </si>
  <si>
    <t>15 tot 25 jaar</t>
  </si>
  <si>
    <t>25 tot 45 jaar</t>
  </si>
  <si>
    <t>45 tot 65 jaar</t>
  </si>
  <si>
    <t>65 jaar of ouder</t>
  </si>
  <si>
    <t>Huisdier</t>
  </si>
  <si>
    <t>Frequentie</t>
  </si>
  <si>
    <t>Katten</t>
  </si>
  <si>
    <t>Honden</t>
  </si>
  <si>
    <t>Vogels</t>
  </si>
  <si>
    <t>Vissen</t>
  </si>
  <si>
    <t>Anders</t>
  </si>
  <si>
    <t>T</t>
  </si>
  <si>
    <t>Tmax</t>
  </si>
  <si>
    <t>Tmin</t>
  </si>
  <si>
    <t>lengte (cm)</t>
  </si>
  <si>
    <t>gewicht (kg)</t>
  </si>
  <si>
    <t>kwartaal 1</t>
  </si>
  <si>
    <t>kwartaal 2</t>
  </si>
  <si>
    <t>kwartaal 3</t>
  </si>
  <si>
    <t>kwartaal 4</t>
  </si>
  <si>
    <t>kenmerk</t>
  </si>
  <si>
    <t>respectvol</t>
  </si>
  <si>
    <t>punctueel</t>
  </si>
  <si>
    <t>collegiaal</t>
  </si>
  <si>
    <t>verantwoordelijk</t>
  </si>
  <si>
    <t>samenwerken</t>
  </si>
  <si>
    <t>behulpzaam</t>
  </si>
  <si>
    <t>actief</t>
  </si>
  <si>
    <t>zelfstandig</t>
  </si>
  <si>
    <t>concentratie vermogen</t>
  </si>
  <si>
    <t>inlevings vermogen</t>
  </si>
  <si>
    <t>aantal producten</t>
  </si>
  <si>
    <t>omzet</t>
  </si>
  <si>
    <t>marktaandeel</t>
  </si>
  <si>
    <t>Omzet (K€)</t>
  </si>
  <si>
    <t>bakery</t>
  </si>
  <si>
    <t>bakery-2011</t>
  </si>
  <si>
    <t>case</t>
  </si>
  <si>
    <t>charttype-area</t>
  </si>
  <si>
    <t>charttype-bar</t>
  </si>
  <si>
    <t>charttype-bubble</t>
  </si>
  <si>
    <t>charttype-column</t>
  </si>
  <si>
    <t>charttype-doughnut</t>
  </si>
  <si>
    <t>charttype-line</t>
  </si>
  <si>
    <t>charttype-line-scatter</t>
  </si>
  <si>
    <t>charttype-pie</t>
  </si>
  <si>
    <t>charttype-radar</t>
  </si>
  <si>
    <t>charttype-scatter</t>
  </si>
  <si>
    <t>y</t>
  </si>
  <si>
    <t>plaats</t>
  </si>
  <si>
    <t>product</t>
  </si>
  <si>
    <t>productcategorie</t>
  </si>
  <si>
    <t>Amsterdam</t>
  </si>
  <si>
    <t>rundvlees</t>
  </si>
  <si>
    <t>vlees</t>
  </si>
  <si>
    <t>boter</t>
  </si>
  <si>
    <t>zuivel</t>
  </si>
  <si>
    <t>cheese</t>
  </si>
  <si>
    <t>kip</t>
  </si>
  <si>
    <t>eieren</t>
  </si>
  <si>
    <t>fruit</t>
  </si>
  <si>
    <t>agf</t>
  </si>
  <si>
    <t>lamsvlees</t>
  </si>
  <si>
    <t>melk</t>
  </si>
  <si>
    <t>varkensvlees</t>
  </si>
  <si>
    <t>aardappelen</t>
  </si>
  <si>
    <t>groenten</t>
  </si>
  <si>
    <t>yoghurt</t>
  </si>
  <si>
    <t>Rotterdam</t>
  </si>
  <si>
    <t>Utrecht</t>
  </si>
  <si>
    <t>Som van omzet</t>
  </si>
  <si>
    <t>advertising-model</t>
  </si>
  <si>
    <t>coffeebar-model</t>
  </si>
  <si>
    <t>coffeebar-scen-summary</t>
  </si>
  <si>
    <t>cottage-rental-fixed</t>
  </si>
  <si>
    <t>cottage-rental-variable</t>
  </si>
  <si>
    <t>datatable-formulas4</t>
  </si>
  <si>
    <t>datatable-layout</t>
  </si>
  <si>
    <t>formula-example</t>
  </si>
  <si>
    <t>prodtime-chart</t>
  </si>
  <si>
    <t>supermarket-pivotreport</t>
  </si>
  <si>
    <t>Productcategorie</t>
  </si>
  <si>
    <t>King</t>
  </si>
  <si>
    <t>software</t>
  </si>
  <si>
    <t>hardware</t>
  </si>
  <si>
    <t>Anderson</t>
  </si>
  <si>
    <t>Johnson</t>
  </si>
  <si>
    <t>Phillips</t>
  </si>
  <si>
    <t>Smith</t>
  </si>
  <si>
    <t>Lewis</t>
  </si>
  <si>
    <t>Gonzalez</t>
  </si>
  <si>
    <t>Hernandez</t>
  </si>
  <si>
    <t>Williams</t>
  </si>
  <si>
    <t>Miller</t>
  </si>
  <si>
    <t>Brown</t>
  </si>
  <si>
    <t>facturen-nl</t>
  </si>
  <si>
    <t>jul</t>
  </si>
  <si>
    <t>aug</t>
  </si>
  <si>
    <t>sep</t>
  </si>
  <si>
    <t>okt</t>
  </si>
  <si>
    <t>nov</t>
  </si>
  <si>
    <t>dec</t>
  </si>
  <si>
    <t>Koffiebar Stadion</t>
  </si>
  <si>
    <t>Vaste kosten per maand</t>
  </si>
  <si>
    <t>Diversen</t>
  </si>
  <si>
    <t>Totaal vaste kosten</t>
  </si>
  <si>
    <t>Variabele kosten</t>
  </si>
  <si>
    <t>Koffie per kop</t>
  </si>
  <si>
    <t>Opbrengst</t>
  </si>
  <si>
    <t>Verkoopprognose</t>
  </si>
  <si>
    <t>Koppen koffie per maand</t>
  </si>
  <si>
    <t>Maandresultaat</t>
  </si>
  <si>
    <t>oorzaak</t>
  </si>
  <si>
    <t>ademhaling</t>
  </si>
  <si>
    <t>hart- en vaat</t>
  </si>
  <si>
    <t>tumoren</t>
  </si>
  <si>
    <t>wegverkeer</t>
  </si>
  <si>
    <t>zenuwstelsel</t>
  </si>
  <si>
    <t>overige</t>
  </si>
  <si>
    <t>charttype-pareto</t>
  </si>
  <si>
    <t>invoices</t>
  </si>
  <si>
    <t>stadiumcoffee</t>
  </si>
  <si>
    <t>supermarket-filter</t>
  </si>
  <si>
    <t>uur</t>
  </si>
  <si>
    <t>temp</t>
  </si>
  <si>
    <t>CL</t>
  </si>
  <si>
    <t>UCL</t>
  </si>
  <si>
    <t>LCL</t>
  </si>
  <si>
    <t>standaardafw.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</si>
</sst>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  <numFmt numFmtId="179" formatCode="&quot;€&quot;\ #,##0.00"/>
    <numFmt numFmtId="180" formatCode="\€\ #,##0.00;\€\ #,##0.00\-"/>
  </numFmts>
  <fonts count="4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i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465926084170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40" fillId="0" borderId="0"/>
    <xf numFmtId="0" fontId="44" fillId="0" borderId="0"/>
    <xf numFmtId="0" fontId="47" fillId="0" borderId="0" applyNumberFormat="0" applyFill="0" applyBorder="0" applyAlignment="0" applyProtection="0"/>
    <xf numFmtId="0" fontId="1" fillId="0" borderId="0"/>
    <xf numFmtId="172" fontId="11" fillId="0" borderId="0"/>
  </cellStyleXfs>
  <cellXfs count="267">
    <xf numFmtId="0" fontId="0" fillId="0" borderId="0" xfId="0"/>
    <xf numFmtId="0" fontId="12" fillId="0" borderId="0" xfId="0" applyFont="1"/>
    <xf numFmtId="164" fontId="0" fillId="0" borderId="0" xfId="1" applyNumberFormat="1" applyFont="1"/>
    <xf numFmtId="0" fontId="0" fillId="0" borderId="0" xfId="0" applyAlignment="1">
      <alignment horizontal="left"/>
    </xf>
    <xf numFmtId="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0" fontId="13" fillId="0" borderId="0" xfId="0" applyFont="1"/>
    <xf numFmtId="0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0" fontId="16" fillId="0" borderId="0" xfId="0" applyFont="1"/>
    <xf numFmtId="0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/>
    <xf numFmtId="172" fontId="7" fillId="0" borderId="0" xfId="8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8" xfId="0" applyFont="1" applyBorder="1"/>
    <xf numFmtId="0" fontId="10" fillId="0" borderId="7" xfId="0" applyFont="1" applyBorder="1" applyAlignment="1">
      <alignment textRotation="44"/>
    </xf>
    <xf numFmtId="0" fontId="10" fillId="0" borderId="6" xfId="0" applyFont="1" applyBorder="1"/>
    <xf numFmtId="0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0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9" fontId="0" fillId="0" borderId="0" xfId="24" applyFont="1"/>
    <xf numFmtId="0" fontId="6" fillId="0" borderId="0" xfId="9" applyNumberFormat="1"/>
    <xf numFmtId="0" fontId="10" fillId="0" borderId="0" xfId="2" applyNumberFormat="1"/>
    <xf numFmtId="0" fontId="1" fillId="0" borderId="0" xfId="25"/>
    <xf numFmtId="164" fontId="22" fillId="0" borderId="0" xfId="26" applyNumberFormat="1" applyFont="1" applyFill="1"/>
    <xf numFmtId="0" fontId="22" fillId="0" borderId="0" xfId="25" applyFont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10" fillId="0" borderId="0" xfId="2" applyNumberFormat="1" applyAlignment="1">
      <alignment horizontal="center"/>
    </xf>
    <xf numFmtId="0" fontId="8" fillId="0" borderId="0" xfId="6" applyNumberFormat="1"/>
    <xf numFmtId="0" fontId="3" fillId="0" borderId="0" xfId="18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Font="1"/>
    <xf numFmtId="0" fontId="10" fillId="0" borderId="5" xfId="0" applyFont="1" applyBorder="1"/>
    <xf numFmtId="0" fontId="7" fillId="0" borderId="0" xfId="8" applyNumberFormat="1" applyAlignment="1">
      <alignment horizontal="right"/>
    </xf>
    <xf numFmtId="0" fontId="0" fillId="4" borderId="0" xfId="0" applyFill="1" applyAlignment="1">
      <alignment horizontal="center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18" xfId="33" applyFont="1" applyFill="1" applyBorder="1" applyAlignment="1">
      <alignment horizontal="left"/>
    </xf>
    <xf numFmtId="0" fontId="28" fillId="6" borderId="18" xfId="33" applyFont="1" applyFill="1" applyBorder="1" applyAlignment="1">
      <alignment horizontal="right" wrapText="1"/>
    </xf>
    <xf numFmtId="0" fontId="29" fillId="7" borderId="0" xfId="33" applyFont="1" applyFill="1" applyAlignment="1">
      <alignment horizontal="left"/>
    </xf>
    <xf numFmtId="0" fontId="10" fillId="0" borderId="0" xfId="33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Border="1"/>
    <xf numFmtId="44" fontId="10" fillId="0" borderId="0" xfId="33" applyNumberFormat="1"/>
    <xf numFmtId="44" fontId="10" fillId="8" borderId="0" xfId="33" applyNumberFormat="1" applyFill="1"/>
    <xf numFmtId="170" fontId="10" fillId="0" borderId="0" xfId="33" applyNumberFormat="1"/>
    <xf numFmtId="170" fontId="10" fillId="8" borderId="0" xfId="33" applyNumberFormat="1" applyFill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Border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0" fontId="32" fillId="0" borderId="0" xfId="0" applyFont="1"/>
    <xf numFmtId="3" fontId="32" fillId="4" borderId="0" xfId="0" applyNumberFormat="1" applyFont="1" applyFill="1"/>
    <xf numFmtId="0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0" fontId="38" fillId="0" borderId="0" xfId="0" applyFont="1"/>
    <xf numFmtId="14" fontId="11" fillId="0" borderId="0" xfId="35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40" fillId="0" borderId="0" xfId="40" applyAlignment="1">
      <alignment horizontal="left" wrapText="1"/>
    </xf>
    <xf numFmtId="0" fontId="40" fillId="0" borderId="0" xfId="40" applyAlignment="1">
      <alignment horizontal="center" wrapText="1"/>
    </xf>
    <xf numFmtId="0" fontId="40" fillId="0" borderId="0" xfId="40" applyAlignment="1">
      <alignment horizontal="right" wrapText="1"/>
    </xf>
    <xf numFmtId="0" fontId="40" fillId="0" borderId="0" xfId="40"/>
    <xf numFmtId="1" fontId="40" fillId="0" borderId="0" xfId="40" applyNumberFormat="1" applyAlignment="1">
      <alignment horizontal="right" wrapText="1"/>
    </xf>
    <xf numFmtId="3" fontId="0" fillId="0" borderId="0" xfId="0" applyNumberFormat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0" xfId="2" applyNumberFormat="1" applyFont="1"/>
    <xf numFmtId="0" fontId="15" fillId="0" borderId="0" xfId="2" applyNumberFormat="1" applyFont="1" applyAlignment="1">
      <alignment horizontal="right"/>
    </xf>
    <xf numFmtId="44" fontId="15" fillId="0" borderId="0" xfId="1" applyFont="1"/>
    <xf numFmtId="0" fontId="41" fillId="0" borderId="0" xfId="2" applyNumberFormat="1" applyFont="1"/>
    <xf numFmtId="0" fontId="42" fillId="0" borderId="0" xfId="2" applyNumberFormat="1" applyFont="1"/>
    <xf numFmtId="49" fontId="15" fillId="0" borderId="0" xfId="33" applyNumberFormat="1" applyFont="1"/>
    <xf numFmtId="179" fontId="15" fillId="0" borderId="0" xfId="33" applyNumberFormat="1" applyFont="1"/>
    <xf numFmtId="14" fontId="15" fillId="0" borderId="0" xfId="33" applyNumberFormat="1" applyFont="1"/>
    <xf numFmtId="49" fontId="10" fillId="0" borderId="0" xfId="33" applyNumberFormat="1"/>
    <xf numFmtId="179" fontId="0" fillId="0" borderId="0" xfId="3" applyNumberFormat="1" applyFont="1"/>
    <xf numFmtId="14" fontId="10" fillId="0" borderId="0" xfId="33" applyNumberFormat="1"/>
    <xf numFmtId="179" fontId="10" fillId="0" borderId="0" xfId="33" applyNumberFormat="1"/>
    <xf numFmtId="9" fontId="0" fillId="0" borderId="0" xfId="0" applyNumberFormat="1" applyAlignment="1">
      <alignment horizontal="center"/>
    </xf>
    <xf numFmtId="9" fontId="0" fillId="0" borderId="0" xfId="24" applyFont="1" applyAlignment="1">
      <alignment horizontal="center"/>
    </xf>
    <xf numFmtId="43" fontId="0" fillId="0" borderId="0" xfId="32" applyFont="1" applyAlignment="1">
      <alignment horizontal="center"/>
    </xf>
    <xf numFmtId="0" fontId="41" fillId="0" borderId="0" xfId="2" applyNumberFormat="1" applyFont="1" applyAlignment="1">
      <alignment horizontal="center"/>
    </xf>
    <xf numFmtId="0" fontId="43" fillId="0" borderId="0" xfId="2" applyNumberFormat="1" applyFont="1" applyAlignment="1">
      <alignment horizontal="center"/>
    </xf>
    <xf numFmtId="168" fontId="41" fillId="0" borderId="0" xfId="2" applyNumberFormat="1" applyFont="1" applyAlignment="1">
      <alignment horizontal="center"/>
    </xf>
    <xf numFmtId="164" fontId="0" fillId="0" borderId="0" xfId="26" applyNumberFormat="1" applyFont="1"/>
    <xf numFmtId="164" fontId="22" fillId="0" borderId="0" xfId="26" applyNumberFormat="1" applyFont="1"/>
    <xf numFmtId="7" fontId="0" fillId="0" borderId="0" xfId="1" applyNumberFormat="1" applyFont="1" applyAlignment="1">
      <alignment horizontal="left"/>
    </xf>
    <xf numFmtId="49" fontId="0" fillId="0" borderId="0" xfId="0" applyNumberFormat="1"/>
    <xf numFmtId="49" fontId="45" fillId="0" borderId="24" xfId="41" applyNumberFormat="1" applyFont="1" applyBorder="1" applyAlignment="1">
      <alignment wrapText="1"/>
    </xf>
    <xf numFmtId="1" fontId="45" fillId="0" borderId="24" xfId="41" applyNumberFormat="1" applyFont="1" applyBorder="1" applyAlignment="1">
      <alignment horizontal="right" wrapText="1"/>
    </xf>
    <xf numFmtId="180" fontId="45" fillId="0" borderId="24" xfId="41" applyNumberFormat="1" applyFont="1" applyBorder="1" applyAlignment="1">
      <alignment horizontal="right" wrapText="1"/>
    </xf>
    <xf numFmtId="0" fontId="45" fillId="0" borderId="24" xfId="41" applyFont="1" applyBorder="1" applyAlignment="1">
      <alignment horizontal="right" wrapText="1"/>
    </xf>
    <xf numFmtId="49" fontId="45" fillId="0" borderId="25" xfId="41" applyNumberFormat="1" applyFont="1" applyBorder="1" applyAlignment="1">
      <alignment wrapText="1"/>
    </xf>
    <xf numFmtId="1" fontId="45" fillId="0" borderId="25" xfId="41" applyNumberFormat="1" applyFont="1" applyBorder="1" applyAlignment="1">
      <alignment horizontal="right" wrapText="1"/>
    </xf>
    <xf numFmtId="180" fontId="45" fillId="0" borderId="25" xfId="41" applyNumberFormat="1" applyFont="1" applyBorder="1" applyAlignment="1">
      <alignment horizontal="right" wrapText="1"/>
    </xf>
    <xf numFmtId="0" fontId="45" fillId="0" borderId="25" xfId="41" applyFont="1" applyBorder="1" applyAlignment="1">
      <alignment horizontal="right" wrapText="1"/>
    </xf>
    <xf numFmtId="0" fontId="46" fillId="0" borderId="0" xfId="0" applyFont="1"/>
    <xf numFmtId="0" fontId="47" fillId="0" borderId="0" xfId="42"/>
    <xf numFmtId="1" fontId="1" fillId="0" borderId="0" xfId="25" applyNumberFormat="1"/>
    <xf numFmtId="168" fontId="1" fillId="0" borderId="0" xfId="25" applyNumberFormat="1"/>
    <xf numFmtId="0" fontId="12" fillId="0" borderId="0" xfId="25" applyFont="1"/>
    <xf numFmtId="0" fontId="22" fillId="0" borderId="0" xfId="25" applyFont="1" applyAlignment="1">
      <alignment horizontal="right"/>
    </xf>
    <xf numFmtId="49" fontId="1" fillId="0" borderId="0" xfId="25" applyNumberFormat="1"/>
    <xf numFmtId="0" fontId="1" fillId="0" borderId="0" xfId="43"/>
    <xf numFmtId="0" fontId="1" fillId="0" borderId="0" xfId="43" applyAlignment="1">
      <alignment horizontal="right"/>
    </xf>
    <xf numFmtId="164" fontId="1" fillId="0" borderId="0" xfId="1" applyNumberFormat="1" applyFont="1"/>
    <xf numFmtId="9" fontId="1" fillId="0" borderId="0" xfId="24" applyFont="1"/>
    <xf numFmtId="172" fontId="12" fillId="0" borderId="0" xfId="44" applyFont="1"/>
    <xf numFmtId="172" fontId="11" fillId="0" borderId="0" xfId="44"/>
    <xf numFmtId="0" fontId="11" fillId="0" borderId="0" xfId="44" applyNumberFormat="1" applyAlignment="1">
      <alignment horizontal="center"/>
    </xf>
    <xf numFmtId="1" fontId="11" fillId="0" borderId="0" xfId="44" applyNumberFormat="1"/>
    <xf numFmtId="172" fontId="0" fillId="0" borderId="0" xfId="44" applyFont="1"/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7" fontId="1" fillId="0" borderId="0" xfId="25" applyNumberFormat="1"/>
    <xf numFmtId="0" fontId="20" fillId="0" borderId="0" xfId="25" applyFont="1"/>
    <xf numFmtId="14" fontId="1" fillId="0" borderId="0" xfId="25" applyNumberFormat="1"/>
    <xf numFmtId="166" fontId="0" fillId="0" borderId="0" xfId="26" applyNumberFormat="1" applyFont="1"/>
    <xf numFmtId="179" fontId="0" fillId="0" borderId="0" xfId="0" applyNumberFormat="1"/>
    <xf numFmtId="14" fontId="0" fillId="0" borderId="0" xfId="0" applyNumberFormat="1" applyAlignment="1">
      <alignment horizontal="left" indent="1"/>
    </xf>
    <xf numFmtId="0" fontId="10" fillId="13" borderId="0" xfId="33" applyFill="1"/>
    <xf numFmtId="0" fontId="10" fillId="0" borderId="9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31" fillId="9" borderId="0" xfId="33" applyFont="1" applyFill="1" applyAlignment="1">
      <alignment horizontal="center" vertical="center"/>
    </xf>
    <xf numFmtId="0" fontId="12" fillId="0" borderId="0" xfId="35" applyFont="1"/>
    <xf numFmtId="0" fontId="25" fillId="12" borderId="0" xfId="33" applyFont="1" applyFill="1" applyAlignment="1">
      <alignment horizontal="center" vertical="center"/>
    </xf>
    <xf numFmtId="0" fontId="48" fillId="12" borderId="0" xfId="33" applyFont="1" applyFill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2" fontId="0" fillId="0" borderId="0" xfId="0" applyNumberFormat="1"/>
  </cellXfs>
  <cellStyles count="45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" xfId="42" builtinId="8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 customBuiltin="1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14" xfId="40" xr:uid="{CB95D60E-84D0-475D-B417-20F608AC2BFA}"/>
    <cellStyle name="Standaard 2" xfId="2" xr:uid="{00000000-0005-0000-0000-000018000000}"/>
    <cellStyle name="Standaard 2 2" xfId="43" xr:uid="{2F5F116F-FE27-461F-9935-5C540A2263D0}"/>
    <cellStyle name="Standaard 3" xfId="4" xr:uid="{00000000-0005-0000-0000-000019000000}"/>
    <cellStyle name="Standaard 3 2" xfId="44" xr:uid="{DE2EF07F-1107-497A-A01F-0D9D756E237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Standaard_Blad1" xfId="41" xr:uid="{9DF94EBD-9443-468C-B254-6137F720F89E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65"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179" formatCode="&quot;€&quot;\ 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179" formatCode="&quot;€&quot;\ 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6" formatCode="_-&quot;€&quot;\ * #,##0.00_-;_-&quot;€&quot;\ * #,##0.00\-;_-&quot;€&quot;\ * &quot;-&quot;??_-;_-@_-"/>
    </dxf>
    <dxf>
      <numFmt numFmtId="19" formatCode="d/m/yyyy"/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80" formatCode="\€\ #,##0.00;\€\ #,##0.00\-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pivotCacheDefinition" Target="pivotCache/pivotCacheDefinition2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externalLink" Target="externalLinks/externalLink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pivotCacheDefinition" Target="pivotCache/pivotCacheDefinition8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externalLink" Target="externalLinks/externalLink5.xml"/><Relationship Id="rId118" Type="http://schemas.openxmlformats.org/officeDocument/2006/relationships/pivotCacheDefinition" Target="pivotCache/pivotCacheDefinition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microsoft.com/office/2011/relationships/timelineCache" Target="timelineCaches/timelineCache1.xml"/><Relationship Id="rId129" Type="http://schemas.openxmlformats.org/officeDocument/2006/relationships/sheetMetadata" Target="metadata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externalLink" Target="externalLinks/externalLink6.xml"/><Relationship Id="rId119" Type="http://schemas.openxmlformats.org/officeDocument/2006/relationships/pivotCacheDefinition" Target="pivotCache/pivotCacheDefinition4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calcChain" Target="calcChain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externalLink" Target="externalLinks/externalLink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pivotCacheDefinition" Target="pivotCache/pivotCacheDefinition5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externalLink" Target="externalLinks/externalLink2.xml"/><Relationship Id="rId115" Type="http://schemas.openxmlformats.org/officeDocument/2006/relationships/externalLink" Target="externalLinks/externalLink7.xml"/><Relationship Id="rId131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pivotCacheDefinition" Target="pivotCache/pivotCacheDefinition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externalLink" Target="externalLinks/externalLink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bakery!$B$1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9-4AF7-AAF9-5C8D91049426}"/>
            </c:ext>
          </c:extLst>
        </c:ser>
        <c:ser>
          <c:idx val="1"/>
          <c:order val="1"/>
          <c:tx>
            <c:strRef>
              <c:f>bakery!$C$1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D9-4AF7-AAF9-5C8D91049426}"/>
            </c:ext>
          </c:extLst>
        </c:ser>
        <c:ser>
          <c:idx val="2"/>
          <c:order val="2"/>
          <c:tx>
            <c:strRef>
              <c:f>bakery!$D$1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D9-4AF7-AAF9-5C8D91049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601504"/>
        <c:axId val="696276928"/>
      </c:barChart>
      <c:catAx>
        <c:axId val="77960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6276928"/>
        <c:crosses val="autoZero"/>
        <c:auto val="1"/>
        <c:lblAlgn val="ctr"/>
        <c:lblOffset val="100"/>
        <c:noMultiLvlLbl val="0"/>
      </c:catAx>
      <c:valAx>
        <c:axId val="6962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960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Omzet bakkerij per jaar en per kwartaal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bakery!$B$1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A-4B98-9797-1E211D97D1D8}"/>
            </c:ext>
          </c:extLst>
        </c:ser>
        <c:ser>
          <c:idx val="1"/>
          <c:order val="1"/>
          <c:tx>
            <c:strRef>
              <c:f>bakery!$C$1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FA-4B98-9797-1E211D97D1D8}"/>
            </c:ext>
          </c:extLst>
        </c:ser>
        <c:ser>
          <c:idx val="2"/>
          <c:order val="2"/>
          <c:tx>
            <c:strRef>
              <c:f>bakery!$D$1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FA-4B98-9797-1E211D97D1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9601504"/>
        <c:axId val="696276928"/>
      </c:barChart>
      <c:catAx>
        <c:axId val="77960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6276928"/>
        <c:crosses val="autoZero"/>
        <c:auto val="1"/>
        <c:lblAlgn val="ctr"/>
        <c:lblOffset val="100"/>
        <c:noMultiLvlLbl val="0"/>
      </c:catAx>
      <c:valAx>
        <c:axId val="6962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960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Omzet bakkerij per jaar en per kwartaal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bakery!$B$1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8-4753-BE62-C82C87E4C1C7}"/>
            </c:ext>
          </c:extLst>
        </c:ser>
        <c:ser>
          <c:idx val="1"/>
          <c:order val="1"/>
          <c:tx>
            <c:strRef>
              <c:f>bakery!$C$1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28-4753-BE62-C82C87E4C1C7}"/>
            </c:ext>
          </c:extLst>
        </c:ser>
        <c:ser>
          <c:idx val="2"/>
          <c:order val="2"/>
          <c:tx>
            <c:strRef>
              <c:f>bakery!$D$1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28-4753-BE62-C82C87E4C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601504"/>
        <c:axId val="696276928"/>
      </c:barChart>
      <c:catAx>
        <c:axId val="77960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6276928"/>
        <c:crosses val="autoZero"/>
        <c:auto val="1"/>
        <c:lblAlgn val="ctr"/>
        <c:lblOffset val="100"/>
        <c:noMultiLvlLbl val="0"/>
      </c:catAx>
      <c:valAx>
        <c:axId val="6962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9601504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'bakery-2011'!$B$1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'bakery-2011'!$A$2:$A$5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'bakery-2011'!$B$2:$B$5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3-4D75-BF65-CF2AED61CB22}"/>
            </c:ext>
          </c:extLst>
        </c:ser>
        <c:ser>
          <c:idx val="1"/>
          <c:order val="1"/>
          <c:tx>
            <c:strRef>
              <c:f>'bakery-2011'!$C$1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'bakery-2011'!$A$2:$A$5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'bakery-2011'!$C$2:$C$5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73-4D75-BF65-CF2AED61CB22}"/>
            </c:ext>
          </c:extLst>
        </c:ser>
        <c:ser>
          <c:idx val="2"/>
          <c:order val="2"/>
          <c:tx>
            <c:strRef>
              <c:f>'bakery-2011'!$D$1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'bakery-2011'!$A$2:$A$5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'bakery-2011'!$D$2:$D$5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73-4D75-BF65-CF2AED61C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601504"/>
        <c:axId val="696276928"/>
      </c:barChart>
      <c:catAx>
        <c:axId val="77960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6276928"/>
        <c:crosses val="autoZero"/>
        <c:auto val="1"/>
        <c:lblAlgn val="ctr"/>
        <c:lblOffset val="100"/>
        <c:noMultiLvlLbl val="0"/>
      </c:catAx>
      <c:valAx>
        <c:axId val="6962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960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[Excel_Screendumps_NL.xlsx]Benelux-populatie-oplossing!Draaitabel1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Populatie Benelux</a:t>
            </a:r>
          </a:p>
        </c:rich>
      </c:tx>
      <c:layout>
        <c:manualLayout>
          <c:xMode val="edge"/>
          <c:yMode val="edge"/>
          <c:x val="0.16114507590356814"/>
          <c:y val="3.8781332679566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69346269154931"/>
          <c:y val="0.19744932925051031"/>
          <c:w val="0.76837819469747826"/>
          <c:h val="0.59800051035287249"/>
        </c:manualLayout>
      </c:layout>
      <c:lineChart>
        <c:grouping val="standard"/>
        <c:varyColors val="0"/>
        <c:ser>
          <c:idx val="0"/>
          <c:order val="0"/>
          <c:tx>
            <c:strRef>
              <c:f>'Benelux-populatie-oplossing'!$I$27:$I$28</c:f>
              <c:strCache>
                <c:ptCount val="1"/>
                <c:pt idx="0">
                  <c:v>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'Benelux-populatie-oplossing'!$I$29:$I$33</c:f>
              <c:numCache>
                <c:formatCode>#,##0</c:formatCode>
                <c:ptCount val="4"/>
                <c:pt idx="0">
                  <c:v>13138347</c:v>
                </c:pt>
                <c:pt idx="1">
                  <c:v>13516245</c:v>
                </c:pt>
                <c:pt idx="2">
                  <c:v>13908662</c:v>
                </c:pt>
                <c:pt idx="3">
                  <c:v>14253462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B-4ECD-9E43-DE95B75D5BAA}"/>
            </c:ext>
          </c:extLst>
        </c:ser>
        <c:ser>
          <c:idx val="1"/>
          <c:order val="1"/>
          <c:tx>
            <c:strRef>
              <c:f>'Benelux-populatie-oplossing'!$J$27:$J$28</c:f>
              <c:strCache>
                <c:ptCount val="1"/>
                <c:pt idx="0">
                  <c:v>Vrouw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'Benelux-populatie-oplossing'!$J$29:$J$33</c:f>
              <c:numCache>
                <c:formatCode>#,##0</c:formatCode>
                <c:ptCount val="4"/>
                <c:pt idx="0">
                  <c:v>13505993</c:v>
                </c:pt>
                <c:pt idx="1">
                  <c:v>13855641</c:v>
                </c:pt>
                <c:pt idx="2">
                  <c:v>14220890</c:v>
                </c:pt>
                <c:pt idx="3">
                  <c:v>14539702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B-4ECD-9E43-DE95B75D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347791"/>
        <c:axId val="643814063"/>
      </c:lineChart>
      <c:catAx>
        <c:axId val="63534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3814063"/>
        <c:crosses val="autoZero"/>
        <c:auto val="1"/>
        <c:lblAlgn val="ctr"/>
        <c:lblOffset val="100"/>
        <c:noMultiLvlLbl val="0"/>
      </c:catAx>
      <c:valAx>
        <c:axId val="6438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Populatie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53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80184845365631"/>
          <c:y val="4.9301181102362215E-2"/>
          <c:w val="0.32770564969701366"/>
          <c:h val="9.18373381167333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case!$B$1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case!$A$2:$A$5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case!$B$2:$B$5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case!$C$1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case!$A$2:$A$5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case!$C$2:$C$5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case!$D$1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case!$A$2:$A$5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case!$D$2:$D$5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case!$E$1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case!$A$2:$A$5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case!$E$2:$E$5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Aantal artikelen verkocht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'charttype-area'!$A$2</c:f>
              <c:strCache>
                <c:ptCount val="1"/>
                <c:pt idx="0">
                  <c:v>Produkt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'charttype-area'!$B$1:$G$1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'charttype-area'!$B$2:$G$2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E-4255-A2A8-EE5E954B0BD3}"/>
            </c:ext>
          </c:extLst>
        </c:ser>
        <c:ser>
          <c:idx val="1"/>
          <c:order val="1"/>
          <c:tx>
            <c:strRef>
              <c:f>'charttype-area'!$A$3</c:f>
              <c:strCache>
                <c:ptCount val="1"/>
                <c:pt idx="0">
                  <c:v>Produkt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'charttype-area'!$B$1:$G$1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'charttype-area'!$B$3:$G$3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8E-4255-A2A8-EE5E954B0BD3}"/>
            </c:ext>
          </c:extLst>
        </c:ser>
        <c:ser>
          <c:idx val="2"/>
          <c:order val="2"/>
          <c:tx>
            <c:strRef>
              <c:f>'charttype-area'!$A$4</c:f>
              <c:strCache>
                <c:ptCount val="1"/>
                <c:pt idx="0">
                  <c:v>Produkt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'charttype-area'!$B$1:$G$1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'charttype-area'!$B$4:$G$4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8E-4255-A2A8-EE5E954B0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315472"/>
        <c:axId val="1187006144"/>
      </c:areaChart>
      <c:catAx>
        <c:axId val="118831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7006144"/>
        <c:crosses val="autoZero"/>
        <c:auto val="1"/>
        <c:lblAlgn val="ctr"/>
        <c:lblOffset val="100"/>
        <c:noMultiLvlLbl val="0"/>
      </c:catAx>
      <c:valAx>
        <c:axId val="11870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831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rokers in 2009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'charttype-bar'!$B$1</c:f>
              <c:strCache>
                <c:ptCount val="1"/>
                <c:pt idx="0">
                  <c:v>Perc. Rokers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'charttype-bar'!$A$2:$A$6</c:f>
              <c:strCache>
                <c:ptCount val="5"/>
                <c:pt idx="0">
                  <c:v>25 tot 45 jaar</c:v>
                </c:pt>
                <c:pt idx="1">
                  <c:v>45 tot 65 jaar</c:v>
                </c:pt>
                <c:pt idx="2">
                  <c:v>15 tot 25 jaar</c:v>
                </c:pt>
                <c:pt idx="3">
                  <c:v>65 jaar of ouder</c:v>
                </c:pt>
                <c:pt idx="4">
                  <c:v>0 tot 15 jaar</c:v>
                </c:pt>
              </c:strCache>
            </c:strRef>
          </c:cat>
          <c:val>
            <c:numRef>
              <c:f>'charttype-bar'!$B$2:$B$6</c:f>
              <c:numCache>
                <c:formatCode>General</c:formatCode>
                <c:ptCount val="5"/>
                <c:pt idx="0">
                  <c:v>33.299999999999997</c:v>
                </c:pt>
                <c:pt idx="1">
                  <c:v>29.2</c:v>
                </c:pt>
                <c:pt idx="2">
                  <c:v>29.1</c:v>
                </c:pt>
                <c:pt idx="3">
                  <c:v>15</c:v>
                </c:pt>
                <c:pt idx="4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8-49BA-8D10-6683B3476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0299456"/>
        <c:axId val="510307776"/>
      </c:barChart>
      <c:catAx>
        <c:axId val="5102994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307776"/>
        <c:crosses val="autoZero"/>
        <c:auto val="1"/>
        <c:lblAlgn val="ctr"/>
        <c:lblOffset val="100"/>
        <c:noMultiLvlLbl val="0"/>
      </c:catAx>
      <c:valAx>
        <c:axId val="5103077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29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Marktaandelen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'charttype-bubble'!$B$1</c:f>
              <c:strCache>
                <c:ptCount val="1"/>
                <c:pt idx="0">
                  <c:v>omzet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'charttype-bubble'!$A$2:$A$6</c:f>
              <c:numCache>
                <c:formatCode>General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</c:numCache>
            </c:numRef>
          </c:xVal>
          <c:yVal>
            <c:numRef>
              <c:f>'charttype-bubble'!$B$2:$B$6</c:f>
              <c:numCache>
                <c:formatCode>_ "€"\ * #,##0_ ;_ "€"\ * \-#,##0_ ;_ "€"\ * "-"??_ ;_ @_ </c:formatCode>
                <c:ptCount val="5"/>
                <c:pt idx="0">
                  <c:v>5500</c:v>
                </c:pt>
                <c:pt idx="1">
                  <c:v>12200</c:v>
                </c:pt>
                <c:pt idx="2">
                  <c:v>60000</c:v>
                </c:pt>
                <c:pt idx="3">
                  <c:v>24400</c:v>
                </c:pt>
                <c:pt idx="4">
                  <c:v>32000</c:v>
                </c:pt>
              </c:numCache>
            </c:numRef>
          </c:yVal>
          <c:bubbleSize>
            <c:numRef>
              <c:f>'charttype-bubble'!$C$2:$C$6</c:f>
              <c:numCache>
                <c:formatCode>0%</c:formatCode>
                <c:ptCount val="5"/>
                <c:pt idx="0">
                  <c:v>0.03</c:v>
                </c:pt>
                <c:pt idx="1">
                  <c:v>0.12</c:v>
                </c:pt>
                <c:pt idx="2">
                  <c:v>0.33</c:v>
                </c:pt>
                <c:pt idx="3">
                  <c:v>0.1</c:v>
                </c:pt>
                <c:pt idx="4">
                  <c:v>0.42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03EF-4E01-893F-7D4B22D2F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218870416"/>
        <c:axId val="1218871248"/>
      </c:bubbleChart>
      <c:valAx>
        <c:axId val="121887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producten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8871248"/>
        <c:crosses val="autoZero"/>
        <c:crossBetween val="midCat"/>
      </c:valAx>
      <c:valAx>
        <c:axId val="1218871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Omzet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_ &quot;€&quot;\ * #,##0_ ;_ &quot;€&quot;\ * \-#,##0_ ;_ &quot;€&quot;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88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Marktaandelen supermarktketens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'charttype-column'!$A$2</c:f>
              <c:strCache>
                <c:ptCount val="1"/>
                <c:pt idx="0">
                  <c:v>Albert Heijn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'charttype-column'!$B$1:$F$1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'charttype-column'!$B$2:$F$2</c:f>
              <c:numCache>
                <c:formatCode>0.0</c:formatCode>
                <c:ptCount val="5"/>
                <c:pt idx="0">
                  <c:v>33.700000000000003</c:v>
                </c:pt>
                <c:pt idx="1">
                  <c:v>34</c:v>
                </c:pt>
                <c:pt idx="2">
                  <c:v>34.1</c:v>
                </c:pt>
                <c:pt idx="3">
                  <c:v>35</c:v>
                </c:pt>
                <c:pt idx="4">
                  <c:v>35.200000000000003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F-441D-B8B4-FA4F1F6D227D}"/>
            </c:ext>
          </c:extLst>
        </c:ser>
        <c:ser>
          <c:idx val="1"/>
          <c:order val="1"/>
          <c:tx>
            <c:strRef>
              <c:f>'charttype-column'!$A$3</c:f>
              <c:strCache>
                <c:ptCount val="1"/>
                <c:pt idx="0">
                  <c:v>Jumbo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'charttype-column'!$B$1:$F$1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'charttype-column'!$B$3:$F$3</c:f>
              <c:numCache>
                <c:formatCode>0.0</c:formatCode>
                <c:ptCount val="5"/>
                <c:pt idx="0">
                  <c:v>9.6</c:v>
                </c:pt>
                <c:pt idx="1">
                  <c:v>11.2</c:v>
                </c:pt>
                <c:pt idx="2">
                  <c:v>14</c:v>
                </c:pt>
                <c:pt idx="3">
                  <c:v>17.399999999999999</c:v>
                </c:pt>
                <c:pt idx="4">
                  <c:v>18.399999999999999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0F-441D-B8B4-FA4F1F6D227D}"/>
            </c:ext>
          </c:extLst>
        </c:ser>
        <c:ser>
          <c:idx val="2"/>
          <c:order val="2"/>
          <c:tx>
            <c:strRef>
              <c:f>'charttype-column'!$A$4</c:f>
              <c:strCache>
                <c:ptCount val="1"/>
                <c:pt idx="0">
                  <c:v>Plus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'charttype-column'!$B$1:$F$1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'charttype-column'!$B$4:$F$4</c:f>
              <c:numCache>
                <c:formatCode>0.0</c:formatCode>
                <c:ptCount val="5"/>
                <c:pt idx="0">
                  <c:v>5.8</c:v>
                </c:pt>
                <c:pt idx="1">
                  <c:v>5.8</c:v>
                </c:pt>
                <c:pt idx="2">
                  <c:v>5.9</c:v>
                </c:pt>
                <c:pt idx="3">
                  <c:v>6.2</c:v>
                </c:pt>
                <c:pt idx="4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0F-441D-B8B4-FA4F1F6D227D}"/>
            </c:ext>
          </c:extLst>
        </c:ser>
        <c:ser>
          <c:idx val="3"/>
          <c:order val="3"/>
          <c:tx>
            <c:strRef>
              <c:f>'charttype-column'!$A$5</c:f>
              <c:strCache>
                <c:ptCount val="1"/>
                <c:pt idx="0">
                  <c:v>Aldi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'charttype-column'!$B$1:$F$1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'charttype-column'!$B$5:$F$5</c:f>
              <c:numCache>
                <c:formatCode>0.0</c:formatCode>
                <c:ptCount val="5"/>
                <c:pt idx="0">
                  <c:v>7.6</c:v>
                </c:pt>
                <c:pt idx="1">
                  <c:v>7.4</c:v>
                </c:pt>
                <c:pt idx="2">
                  <c:v>7.4</c:v>
                </c:pt>
                <c:pt idx="3">
                  <c:v>7.3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0F-441D-B8B4-FA4F1F6D227D}"/>
            </c:ext>
          </c:extLst>
        </c:ser>
        <c:ser>
          <c:idx val="4"/>
          <c:order val="4"/>
          <c:tx>
            <c:strRef>
              <c:f>'charttype-column'!$A$6</c:f>
              <c:strCache>
                <c:ptCount val="1"/>
                <c:pt idx="0">
                  <c:v>Lidl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'charttype-column'!$B$1:$F$1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'charttype-column'!$B$6:$F$6</c:f>
              <c:numCache>
                <c:formatCode>0.0</c:formatCode>
                <c:ptCount val="5"/>
                <c:pt idx="0">
                  <c:v>7.5</c:v>
                </c:pt>
                <c:pt idx="1">
                  <c:v>9</c:v>
                </c:pt>
                <c:pt idx="2">
                  <c:v>9.6999999999999993</c:v>
                </c:pt>
                <c:pt idx="3">
                  <c:v>10</c:v>
                </c:pt>
                <c:pt idx="4">
                  <c:v>10.3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0F-441D-B8B4-FA4F1F6D2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624943"/>
        <c:axId val="1693644911"/>
      </c:barChart>
      <c:catAx>
        <c:axId val="16936249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93644911"/>
        <c:crosses val="autoZero"/>
        <c:auto val="1"/>
        <c:lblAlgn val="ctr"/>
        <c:lblOffset val="100"/>
        <c:noMultiLvlLbl val="0"/>
      </c:catAx>
      <c:valAx>
        <c:axId val="169364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Marktaandeel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9362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/>
              <a:t>Regelkaart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180707070707071"/>
          <c:y val="0.13522941176470588"/>
          <c:w val="0.83970808080808235"/>
          <c:h val="0.62813267973856213"/>
        </c:manualLayout>
      </c:layout>
      <c:lineChart>
        <c:grouping val="standard"/>
        <c:varyColors val="0"/>
        <c:ser>
          <c:idx val="0"/>
          <c:order val="0"/>
          <c:tx>
            <c:strRef>
              <c:f>'charttype-control'!$B$1</c:f>
              <c:strCache>
                <c:ptCount val="1"/>
                <c:pt idx="0">
                  <c:v>temp</c:v>
                </c:pt>
              </c:strCache>
            </c:strRef>
          </c:tx>
          <c:spPr>
            <a:ln w="2222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</c:spPr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'charttype-control'!$B$2:$B$25</c:f>
              <c:numCache>
                <c:formatCode>0.0</c:formatCode>
                <c:ptCount val="24"/>
                <c:pt idx="0">
                  <c:v>35.6</c:v>
                </c:pt>
                <c:pt idx="1">
                  <c:v>33.799999999999997</c:v>
                </c:pt>
                <c:pt idx="2">
                  <c:v>34.4</c:v>
                </c:pt>
                <c:pt idx="3">
                  <c:v>35</c:v>
                </c:pt>
                <c:pt idx="4">
                  <c:v>35.6</c:v>
                </c:pt>
                <c:pt idx="5">
                  <c:v>33.4</c:v>
                </c:pt>
                <c:pt idx="6">
                  <c:v>33</c:v>
                </c:pt>
                <c:pt idx="7">
                  <c:v>34.4</c:v>
                </c:pt>
                <c:pt idx="8">
                  <c:v>36</c:v>
                </c:pt>
                <c:pt idx="9">
                  <c:v>34</c:v>
                </c:pt>
                <c:pt idx="10">
                  <c:v>35</c:v>
                </c:pt>
                <c:pt idx="11">
                  <c:v>35.6</c:v>
                </c:pt>
                <c:pt idx="12">
                  <c:v>33.9</c:v>
                </c:pt>
                <c:pt idx="13">
                  <c:v>36.1</c:v>
                </c:pt>
                <c:pt idx="14">
                  <c:v>37.4</c:v>
                </c:pt>
                <c:pt idx="15">
                  <c:v>35.200000000000003</c:v>
                </c:pt>
                <c:pt idx="16">
                  <c:v>33.200000000000003</c:v>
                </c:pt>
                <c:pt idx="17">
                  <c:v>36.4</c:v>
                </c:pt>
                <c:pt idx="18">
                  <c:v>34.200000000000003</c:v>
                </c:pt>
                <c:pt idx="19">
                  <c:v>36</c:v>
                </c:pt>
                <c:pt idx="20">
                  <c:v>35.799999999999997</c:v>
                </c:pt>
                <c:pt idx="21">
                  <c:v>32.5</c:v>
                </c:pt>
                <c:pt idx="22">
                  <c:v>37</c:v>
                </c:pt>
                <c:pt idx="23">
                  <c:v>34.799999999999997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4-4F12-B4D6-F7690FBA68B6}"/>
            </c:ext>
          </c:extLst>
        </c:ser>
        <c:ser>
          <c:idx val="1"/>
          <c:order val="1"/>
          <c:tx>
            <c:strRef>
              <c:f>'charttype-control'!$C$1</c:f>
              <c:strCache>
                <c:ptCount val="1"/>
                <c:pt idx="0">
                  <c:v>CL</c:v>
                </c:pt>
              </c:strCache>
            </c:strRef>
          </c:tx>
          <c:spPr>
            <a:ln w="22225">
              <a:solidFill>
                <a:schemeClr val="accent6"/>
              </a:solidFill>
              <a:prstDash val="dash"/>
            </a:ln>
          </c:spPr>
          <c:marker>
            <c:symbol val="none"/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'charttype-control'!$C$2:$C$25</c:f>
              <c:numCache>
                <c:formatCode>0.0</c:formatCode>
                <c:ptCount val="24"/>
                <c:pt idx="0">
                  <c:v>34.929166666666667</c:v>
                </c:pt>
                <c:pt idx="1">
                  <c:v>34.929166666666667</c:v>
                </c:pt>
                <c:pt idx="2">
                  <c:v>34.929166666666667</c:v>
                </c:pt>
                <c:pt idx="3">
                  <c:v>34.929166666666667</c:v>
                </c:pt>
                <c:pt idx="4">
                  <c:v>34.929166666666667</c:v>
                </c:pt>
                <c:pt idx="5">
                  <c:v>34.929166666666667</c:v>
                </c:pt>
                <c:pt idx="6">
                  <c:v>34.929166666666667</c:v>
                </c:pt>
                <c:pt idx="7">
                  <c:v>34.929166666666667</c:v>
                </c:pt>
                <c:pt idx="8">
                  <c:v>34.929166666666667</c:v>
                </c:pt>
                <c:pt idx="9">
                  <c:v>34.929166666666667</c:v>
                </c:pt>
                <c:pt idx="10">
                  <c:v>34.929166666666667</c:v>
                </c:pt>
                <c:pt idx="11">
                  <c:v>34.929166666666667</c:v>
                </c:pt>
                <c:pt idx="12">
                  <c:v>34.929166666666667</c:v>
                </c:pt>
                <c:pt idx="13">
                  <c:v>34.929166666666667</c:v>
                </c:pt>
                <c:pt idx="14">
                  <c:v>34.929166666666667</c:v>
                </c:pt>
                <c:pt idx="15">
                  <c:v>34.929166666666667</c:v>
                </c:pt>
                <c:pt idx="16">
                  <c:v>34.929166666666667</c:v>
                </c:pt>
                <c:pt idx="17">
                  <c:v>34.929166666666667</c:v>
                </c:pt>
                <c:pt idx="18">
                  <c:v>34.929166666666667</c:v>
                </c:pt>
                <c:pt idx="19">
                  <c:v>34.929166666666667</c:v>
                </c:pt>
                <c:pt idx="20">
                  <c:v>34.929166666666667</c:v>
                </c:pt>
                <c:pt idx="21">
                  <c:v>34.929166666666667</c:v>
                </c:pt>
                <c:pt idx="22">
                  <c:v>34.929166666666667</c:v>
                </c:pt>
                <c:pt idx="23">
                  <c:v>34.929166666666667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4-4F12-B4D6-F7690FBA68B6}"/>
            </c:ext>
          </c:extLst>
        </c:ser>
        <c:ser>
          <c:idx val="2"/>
          <c:order val="2"/>
          <c:tx>
            <c:strRef>
              <c:f>'charttype-control'!$D$1</c:f>
              <c:strCache>
                <c:ptCount val="1"/>
                <c:pt idx="0">
                  <c:v>UCL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'charttype-control'!$D$2:$D$25</c:f>
              <c:numCache>
                <c:formatCode>0.0</c:formatCode>
                <c:ptCount val="24"/>
                <c:pt idx="0">
                  <c:v>37.48870410223153</c:v>
                </c:pt>
                <c:pt idx="1">
                  <c:v>37.48870410223153</c:v>
                </c:pt>
                <c:pt idx="2">
                  <c:v>37.48870410223153</c:v>
                </c:pt>
                <c:pt idx="3">
                  <c:v>37.48870410223153</c:v>
                </c:pt>
                <c:pt idx="4">
                  <c:v>37.48870410223153</c:v>
                </c:pt>
                <c:pt idx="5">
                  <c:v>37.48870410223153</c:v>
                </c:pt>
                <c:pt idx="6">
                  <c:v>37.48870410223153</c:v>
                </c:pt>
                <c:pt idx="7">
                  <c:v>37.48870410223153</c:v>
                </c:pt>
                <c:pt idx="8">
                  <c:v>37.48870410223153</c:v>
                </c:pt>
                <c:pt idx="9">
                  <c:v>37.48870410223153</c:v>
                </c:pt>
                <c:pt idx="10">
                  <c:v>37.48870410223153</c:v>
                </c:pt>
                <c:pt idx="11">
                  <c:v>37.48870410223153</c:v>
                </c:pt>
                <c:pt idx="12">
                  <c:v>37.48870410223153</c:v>
                </c:pt>
                <c:pt idx="13">
                  <c:v>37.48870410223153</c:v>
                </c:pt>
                <c:pt idx="14">
                  <c:v>37.48870410223153</c:v>
                </c:pt>
                <c:pt idx="15">
                  <c:v>37.48870410223153</c:v>
                </c:pt>
                <c:pt idx="16">
                  <c:v>37.48870410223153</c:v>
                </c:pt>
                <c:pt idx="17">
                  <c:v>37.48870410223153</c:v>
                </c:pt>
                <c:pt idx="18">
                  <c:v>37.48870410223153</c:v>
                </c:pt>
                <c:pt idx="19">
                  <c:v>37.48870410223153</c:v>
                </c:pt>
                <c:pt idx="20">
                  <c:v>37.48870410223153</c:v>
                </c:pt>
                <c:pt idx="21">
                  <c:v>37.48870410223153</c:v>
                </c:pt>
                <c:pt idx="22">
                  <c:v>37.48870410223153</c:v>
                </c:pt>
                <c:pt idx="23">
                  <c:v>37.48870410223153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D4-4F12-B4D6-F7690FBA68B6}"/>
            </c:ext>
          </c:extLst>
        </c:ser>
        <c:ser>
          <c:idx val="3"/>
          <c:order val="3"/>
          <c:tx>
            <c:strRef>
              <c:f>'charttype-control'!$E$1</c:f>
              <c:strCache>
                <c:ptCount val="1"/>
                <c:pt idx="0">
                  <c:v>LCL</c:v>
                </c:pt>
              </c:strCache>
            </c:strRef>
          </c:tx>
          <c:spPr>
            <a:ln w="254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'charttype-control'!$E$2:$E$25</c:f>
              <c:numCache>
                <c:formatCode>0.0</c:formatCode>
                <c:ptCount val="24"/>
                <c:pt idx="0">
                  <c:v>32.369629231101804</c:v>
                </c:pt>
                <c:pt idx="1">
                  <c:v>32.369629231101804</c:v>
                </c:pt>
                <c:pt idx="2">
                  <c:v>32.369629231101804</c:v>
                </c:pt>
                <c:pt idx="3">
                  <c:v>32.369629231101804</c:v>
                </c:pt>
                <c:pt idx="4">
                  <c:v>32.369629231101804</c:v>
                </c:pt>
                <c:pt idx="5">
                  <c:v>32.369629231101804</c:v>
                </c:pt>
                <c:pt idx="6">
                  <c:v>32.369629231101804</c:v>
                </c:pt>
                <c:pt idx="7">
                  <c:v>32.369629231101804</c:v>
                </c:pt>
                <c:pt idx="8">
                  <c:v>32.369629231101804</c:v>
                </c:pt>
                <c:pt idx="9">
                  <c:v>32.369629231101804</c:v>
                </c:pt>
                <c:pt idx="10">
                  <c:v>32.369629231101804</c:v>
                </c:pt>
                <c:pt idx="11">
                  <c:v>32.369629231101804</c:v>
                </c:pt>
                <c:pt idx="12">
                  <c:v>32.369629231101804</c:v>
                </c:pt>
                <c:pt idx="13">
                  <c:v>32.369629231101804</c:v>
                </c:pt>
                <c:pt idx="14">
                  <c:v>32.369629231101804</c:v>
                </c:pt>
                <c:pt idx="15">
                  <c:v>32.369629231101804</c:v>
                </c:pt>
                <c:pt idx="16">
                  <c:v>32.369629231101804</c:v>
                </c:pt>
                <c:pt idx="17">
                  <c:v>32.369629231101804</c:v>
                </c:pt>
                <c:pt idx="18">
                  <c:v>32.369629231101804</c:v>
                </c:pt>
                <c:pt idx="19">
                  <c:v>32.369629231101804</c:v>
                </c:pt>
                <c:pt idx="20">
                  <c:v>32.369629231101804</c:v>
                </c:pt>
                <c:pt idx="21">
                  <c:v>32.369629231101804</c:v>
                </c:pt>
                <c:pt idx="22">
                  <c:v>32.369629231101804</c:v>
                </c:pt>
                <c:pt idx="23">
                  <c:v>32.369629231101804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D4-4F12-B4D6-F7690FBA6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16160"/>
        <c:axId val="144718080"/>
      </c:lineChart>
      <c:catAx>
        <c:axId val="14471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uur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 baseline="0"/>
            </a:pPr>
            <a:endParaRPr lang="nl-NL"/>
          </a:p>
        </c:txPr>
        <c:crossAx val="144718080"/>
        <c:crosses val="autoZero"/>
        <c:auto val="1"/>
        <c:lblAlgn val="ctr"/>
        <c:lblOffset val="100"/>
        <c:noMultiLvlLbl val="0"/>
      </c:catAx>
      <c:valAx>
        <c:axId val="144718080"/>
        <c:scaling>
          <c:orientation val="minMax"/>
          <c:max val="38"/>
          <c:min val="3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temperatuur</a:t>
                </a:r>
                <a:r>
                  <a:rPr lang="nl-NL" baseline="0"/>
                  <a:t> (C)</a:t>
                </a:r>
                <a:endParaRPr lang="nl-NL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800" baseline="0"/>
            </a:pPr>
            <a:endParaRPr lang="nl-NL"/>
          </a:p>
        </c:txPr>
        <c:crossAx val="144716160"/>
        <c:crosses val="autoZero"/>
        <c:crossBetween val="midCat"/>
        <c:majorUnit val="1"/>
        <c:min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Verkopen 2008-2009 per kwartaal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'charttype-doughnut'!$B$1</c:f>
              <c:strCache>
                <c:ptCount val="1"/>
                <c:pt idx="0">
                  <c:v>2008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381-48E2-9761-177A68C9EB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381-48E2-9761-177A68C9EB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381-48E2-9761-177A68C9EB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381-48E2-9761-177A68C9EB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'charttype-doughnut'!$A$2:$A$5</c:f>
              <c:strCache>
                <c:ptCount val="4"/>
                <c:pt idx="0">
                  <c:v>kwartaal 1</c:v>
                </c:pt>
                <c:pt idx="1">
                  <c:v>kwartaal 2</c:v>
                </c:pt>
                <c:pt idx="2">
                  <c:v>kwartaal 3</c:v>
                </c:pt>
                <c:pt idx="3">
                  <c:v>kwartaal 4</c:v>
                </c:pt>
              </c:strCache>
            </c:strRef>
          </c:cat>
          <c:val>
            <c:numRef>
              <c:f>'charttype-doughnut'!$B$2:$B$5</c:f>
              <c:numCache>
                <c:formatCode>General</c:formatCode>
                <c:ptCount val="4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81-48E2-9761-177A68C9EB6F}"/>
            </c:ext>
          </c:extLst>
        </c:ser>
        <c:ser>
          <c:idx val="1"/>
          <c:order val="1"/>
          <c:tx>
            <c:strRef>
              <c:f>'charttype-doughnut'!$C$1</c:f>
              <c:strCache>
                <c:ptCount val="1"/>
                <c:pt idx="0">
                  <c:v>2009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381-48E2-9761-177A68C9EB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0381-48E2-9761-177A68C9EB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0381-48E2-9761-177A68C9EB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0381-48E2-9761-177A68C9EB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'charttype-doughnut'!$A$2:$A$5</c:f>
              <c:strCache>
                <c:ptCount val="4"/>
                <c:pt idx="0">
                  <c:v>kwartaal 1</c:v>
                </c:pt>
                <c:pt idx="1">
                  <c:v>kwartaal 2</c:v>
                </c:pt>
                <c:pt idx="2">
                  <c:v>kwartaal 3</c:v>
                </c:pt>
                <c:pt idx="3">
                  <c:v>kwartaal 4</c:v>
                </c:pt>
              </c:strCache>
            </c:strRef>
          </c:cat>
          <c:val>
            <c:numRef>
              <c:f>'charttype-doughnut'!$C$2:$C$5</c:f>
              <c:numCache>
                <c:formatCode>General</c:formatCode>
                <c:ptCount val="4"/>
                <c:pt idx="0">
                  <c:v>0.21</c:v>
                </c:pt>
                <c:pt idx="1">
                  <c:v>0.23</c:v>
                </c:pt>
                <c:pt idx="2">
                  <c:v>0.27</c:v>
                </c:pt>
                <c:pt idx="3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381-48E2-9761-177A68C9EB6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'charttype-line'!$B$1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'charttype-line'!$B$2:$B$16</c:f>
              <c:numCache>
                <c:formatCode>0.0</c:formatCode>
                <c:ptCount val="15"/>
                <c:pt idx="0">
                  <c:v>11.3</c:v>
                </c:pt>
                <c:pt idx="1">
                  <c:v>11.4</c:v>
                </c:pt>
                <c:pt idx="2">
                  <c:v>10.8</c:v>
                </c:pt>
                <c:pt idx="3">
                  <c:v>10.7</c:v>
                </c:pt>
                <c:pt idx="4">
                  <c:v>9.1999999999999993</c:v>
                </c:pt>
                <c:pt idx="5">
                  <c:v>11</c:v>
                </c:pt>
                <c:pt idx="6">
                  <c:v>10.4</c:v>
                </c:pt>
                <c:pt idx="7">
                  <c:v>10</c:v>
                </c:pt>
                <c:pt idx="8">
                  <c:v>11.9</c:v>
                </c:pt>
                <c:pt idx="9">
                  <c:v>11</c:v>
                </c:pt>
                <c:pt idx="10">
                  <c:v>11</c:v>
                </c:pt>
                <c:pt idx="11" formatCode="General">
                  <c:v>11.2</c:v>
                </c:pt>
                <c:pt idx="12" formatCode="General">
                  <c:v>11.7</c:v>
                </c:pt>
                <c:pt idx="13" formatCode="General">
                  <c:v>11.3</c:v>
                </c:pt>
                <c:pt idx="14" formatCode="General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0-402B-8CEC-1DD8C4F6F11F}"/>
            </c:ext>
          </c:extLst>
        </c:ser>
        <c:ser>
          <c:idx val="1"/>
          <c:order val="1"/>
          <c:tx>
            <c:strRef>
              <c:f>'charttype-line'!$C$1</c:f>
              <c:strCache>
                <c:ptCount val="1"/>
                <c:pt idx="0">
                  <c:v>Tmax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'charttype-line'!$C$2:$C$16</c:f>
              <c:numCache>
                <c:formatCode>0.0</c:formatCode>
                <c:ptCount val="15"/>
                <c:pt idx="0">
                  <c:v>15</c:v>
                </c:pt>
                <c:pt idx="1">
                  <c:v>15.1</c:v>
                </c:pt>
                <c:pt idx="2">
                  <c:v>14.4</c:v>
                </c:pt>
                <c:pt idx="3">
                  <c:v>14.6</c:v>
                </c:pt>
                <c:pt idx="4">
                  <c:v>12.9</c:v>
                </c:pt>
                <c:pt idx="5">
                  <c:v>14.9</c:v>
                </c:pt>
                <c:pt idx="6">
                  <c:v>14.1</c:v>
                </c:pt>
                <c:pt idx="7">
                  <c:v>13.6</c:v>
                </c:pt>
                <c:pt idx="8">
                  <c:v>15.6</c:v>
                </c:pt>
                <c:pt idx="9">
                  <c:v>14.7</c:v>
                </c:pt>
                <c:pt idx="10">
                  <c:v>14.7</c:v>
                </c:pt>
                <c:pt idx="11" formatCode="General">
                  <c:v>14.8</c:v>
                </c:pt>
                <c:pt idx="12" formatCode="General">
                  <c:v>15.7</c:v>
                </c:pt>
                <c:pt idx="13" formatCode="General">
                  <c:v>15.2</c:v>
                </c:pt>
                <c:pt idx="14" formatCode="General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0-402B-8CEC-1DD8C4F6F11F}"/>
            </c:ext>
          </c:extLst>
        </c:ser>
        <c:ser>
          <c:idx val="2"/>
          <c:order val="2"/>
          <c:tx>
            <c:strRef>
              <c:f>'charttype-line'!$D$1</c:f>
              <c:strCache>
                <c:ptCount val="1"/>
                <c:pt idx="0">
                  <c:v>Tmin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'charttype-line'!$D$2:$D$16</c:f>
              <c:numCache>
                <c:formatCode>0.0</c:formatCode>
                <c:ptCount val="15"/>
                <c:pt idx="0">
                  <c:v>7.4</c:v>
                </c:pt>
                <c:pt idx="1">
                  <c:v>7.7</c:v>
                </c:pt>
                <c:pt idx="2">
                  <c:v>6.9</c:v>
                </c:pt>
                <c:pt idx="3">
                  <c:v>6.6</c:v>
                </c:pt>
                <c:pt idx="4">
                  <c:v>5.2</c:v>
                </c:pt>
                <c:pt idx="5">
                  <c:v>7.1</c:v>
                </c:pt>
                <c:pt idx="6">
                  <c:v>6.6</c:v>
                </c:pt>
                <c:pt idx="7">
                  <c:v>6.1</c:v>
                </c:pt>
                <c:pt idx="8">
                  <c:v>8</c:v>
                </c:pt>
                <c:pt idx="9">
                  <c:v>7.1</c:v>
                </c:pt>
                <c:pt idx="10">
                  <c:v>7.1</c:v>
                </c:pt>
                <c:pt idx="11" formatCode="General">
                  <c:v>7.1</c:v>
                </c:pt>
                <c:pt idx="12" formatCode="General">
                  <c:v>7.4</c:v>
                </c:pt>
                <c:pt idx="13" formatCode="General">
                  <c:v>7.2</c:v>
                </c:pt>
                <c:pt idx="14" formatCode="General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0-402B-8CEC-1DD8C4F6F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358944"/>
        <c:axId val="510360192"/>
      </c:lineChart>
      <c:catAx>
        <c:axId val="51035894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360192"/>
        <c:crosses val="autoZero"/>
        <c:auto val="1"/>
        <c:lblAlgn val="ctr"/>
        <c:lblOffset val="100"/>
        <c:noMultiLvlLbl val="0"/>
      </c:catAx>
      <c:valAx>
        <c:axId val="5103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35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Jaarlijkse temperaturen Amsterdam</a:t>
            </a:r>
          </a:p>
          <a:p>
            <a:pPr>
              <a:defRPr/>
            </a:pPr>
            <a:r>
              <a:rPr lang="nl-NL"/>
              <a:t>Luchthaven Schiphol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'charttype-line'!$B$1</c:f>
              <c:strCache>
                <c:ptCount val="1"/>
                <c:pt idx="0">
                  <c:v>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'charttype-line'!$B$2:$B$16</c:f>
              <c:numCache>
                <c:formatCode>0.0</c:formatCode>
                <c:ptCount val="15"/>
                <c:pt idx="0">
                  <c:v>11.3</c:v>
                </c:pt>
                <c:pt idx="1">
                  <c:v>11.4</c:v>
                </c:pt>
                <c:pt idx="2">
                  <c:v>10.8</c:v>
                </c:pt>
                <c:pt idx="3">
                  <c:v>10.7</c:v>
                </c:pt>
                <c:pt idx="4">
                  <c:v>9.1999999999999993</c:v>
                </c:pt>
                <c:pt idx="5">
                  <c:v>11</c:v>
                </c:pt>
                <c:pt idx="6">
                  <c:v>10.4</c:v>
                </c:pt>
                <c:pt idx="7">
                  <c:v>10</c:v>
                </c:pt>
                <c:pt idx="8">
                  <c:v>11.9</c:v>
                </c:pt>
                <c:pt idx="9">
                  <c:v>11</c:v>
                </c:pt>
                <c:pt idx="10">
                  <c:v>11</c:v>
                </c:pt>
                <c:pt idx="11" formatCode="General">
                  <c:v>11.2</c:v>
                </c:pt>
                <c:pt idx="12" formatCode="General">
                  <c:v>11.7</c:v>
                </c:pt>
                <c:pt idx="13" formatCode="General">
                  <c:v>11.3</c:v>
                </c:pt>
                <c:pt idx="14" formatCode="General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4-4C3D-83EF-70379398A962}"/>
            </c:ext>
          </c:extLst>
        </c:ser>
        <c:ser>
          <c:idx val="1"/>
          <c:order val="1"/>
          <c:tx>
            <c:strRef>
              <c:f>'charttype-line'!$C$1</c:f>
              <c:strCache>
                <c:ptCount val="1"/>
                <c:pt idx="0">
                  <c:v>Tmax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'charttype-line'!$C$2:$C$16</c:f>
              <c:numCache>
                <c:formatCode>0.0</c:formatCode>
                <c:ptCount val="15"/>
                <c:pt idx="0">
                  <c:v>15</c:v>
                </c:pt>
                <c:pt idx="1">
                  <c:v>15.1</c:v>
                </c:pt>
                <c:pt idx="2">
                  <c:v>14.4</c:v>
                </c:pt>
                <c:pt idx="3">
                  <c:v>14.6</c:v>
                </c:pt>
                <c:pt idx="4">
                  <c:v>12.9</c:v>
                </c:pt>
                <c:pt idx="5">
                  <c:v>14.9</c:v>
                </c:pt>
                <c:pt idx="6">
                  <c:v>14.1</c:v>
                </c:pt>
                <c:pt idx="7">
                  <c:v>13.6</c:v>
                </c:pt>
                <c:pt idx="8">
                  <c:v>15.6</c:v>
                </c:pt>
                <c:pt idx="9">
                  <c:v>14.7</c:v>
                </c:pt>
                <c:pt idx="10">
                  <c:v>14.7</c:v>
                </c:pt>
                <c:pt idx="11" formatCode="General">
                  <c:v>14.8</c:v>
                </c:pt>
                <c:pt idx="12" formatCode="General">
                  <c:v>15.7</c:v>
                </c:pt>
                <c:pt idx="13" formatCode="General">
                  <c:v>15.2</c:v>
                </c:pt>
                <c:pt idx="14" formatCode="General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4-4C3D-83EF-70379398A962}"/>
            </c:ext>
          </c:extLst>
        </c:ser>
        <c:ser>
          <c:idx val="2"/>
          <c:order val="2"/>
          <c:tx>
            <c:strRef>
              <c:f>'charttype-line'!$D$1</c:f>
              <c:strCache>
                <c:ptCount val="1"/>
                <c:pt idx="0">
                  <c:v>Tmin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'charttype-line'!$D$2:$D$16</c:f>
              <c:numCache>
                <c:formatCode>0.0</c:formatCode>
                <c:ptCount val="15"/>
                <c:pt idx="0">
                  <c:v>7.4</c:v>
                </c:pt>
                <c:pt idx="1">
                  <c:v>7.7</c:v>
                </c:pt>
                <c:pt idx="2">
                  <c:v>6.9</c:v>
                </c:pt>
                <c:pt idx="3">
                  <c:v>6.6</c:v>
                </c:pt>
                <c:pt idx="4">
                  <c:v>5.2</c:v>
                </c:pt>
                <c:pt idx="5">
                  <c:v>7.1</c:v>
                </c:pt>
                <c:pt idx="6">
                  <c:v>6.6</c:v>
                </c:pt>
                <c:pt idx="7">
                  <c:v>6.1</c:v>
                </c:pt>
                <c:pt idx="8">
                  <c:v>8</c:v>
                </c:pt>
                <c:pt idx="9">
                  <c:v>7.1</c:v>
                </c:pt>
                <c:pt idx="10">
                  <c:v>7.1</c:v>
                </c:pt>
                <c:pt idx="11" formatCode="General">
                  <c:v>7.1</c:v>
                </c:pt>
                <c:pt idx="12" formatCode="General">
                  <c:v>7.4</c:v>
                </c:pt>
                <c:pt idx="13" formatCode="General">
                  <c:v>7.2</c:v>
                </c:pt>
                <c:pt idx="14" formatCode="General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4-4C3D-83EF-70379398A96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10358944"/>
        <c:axId val="510360192"/>
      </c:lineChart>
      <c:catAx>
        <c:axId val="51035894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360192"/>
        <c:crosses val="autoZero"/>
        <c:auto val="1"/>
        <c:lblAlgn val="ctr"/>
        <c:lblOffset val="100"/>
        <c:noMultiLvlLbl val="0"/>
      </c:catAx>
      <c:valAx>
        <c:axId val="510360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Temperatuur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3589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Lijndiagram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'charttype-line-scatter'!$B$1</c:f>
              <c:strCache>
                <c:ptCount val="1"/>
                <c:pt idx="0">
                  <c:v>Omzet (K€)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'charttype-line-scatter'!$A$2:$A$11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'charttype-line-scatter'!$B$2:$B$11</c:f>
              <c:numCache>
                <c:formatCode>0</c:formatCode>
                <c:ptCount val="10"/>
                <c:pt idx="0">
                  <c:v>79</c:v>
                </c:pt>
                <c:pt idx="1">
                  <c:v>125</c:v>
                </c:pt>
                <c:pt idx="2">
                  <c:v>189</c:v>
                </c:pt>
                <c:pt idx="3">
                  <c:v>255</c:v>
                </c:pt>
                <c:pt idx="4">
                  <c:v>294</c:v>
                </c:pt>
                <c:pt idx="5">
                  <c:v>302</c:v>
                </c:pt>
                <c:pt idx="6">
                  <c:v>320</c:v>
                </c:pt>
                <c:pt idx="7">
                  <c:v>328</c:v>
                </c:pt>
                <c:pt idx="8">
                  <c:v>341</c:v>
                </c:pt>
                <c:pt idx="9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9-43B6-9051-EBE440437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090752"/>
        <c:axId val="1133712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'charttype-line-scatter'!$A$1</c15:sqref>
                        </c15:formulaRef>
                      </c:ext>
                    </c:extLst>
                    <c:strCache>
                      <c:ptCount val="1"/>
                      <c:pt idx="0">
                        <c:v>Jaar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'charttype-line-scatter'!$A$2:$A$11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1970</c:v>
                      </c:pt>
                      <c:pt idx="1">
                        <c:v>1980</c:v>
                      </c:pt>
                      <c:pt idx="2">
                        <c:v>1990</c:v>
                      </c:pt>
                      <c:pt idx="3">
                        <c:v>1995</c:v>
                      </c:pt>
                      <c:pt idx="4">
                        <c:v>2000</c:v>
                      </c:pt>
                      <c:pt idx="5">
                        <c:v>2005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'charttype-line-scatter'!$A$2:$A$11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1970</c:v>
                      </c:pt>
                      <c:pt idx="1">
                        <c:v>1980</c:v>
                      </c:pt>
                      <c:pt idx="2">
                        <c:v>1990</c:v>
                      </c:pt>
                      <c:pt idx="3">
                        <c:v>1995</c:v>
                      </c:pt>
                      <c:pt idx="4">
                        <c:v>2000</c:v>
                      </c:pt>
                      <c:pt idx="5">
                        <c:v>2005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BC9-43B6-9051-EBE4404371EB}"/>
                  </c:ext>
                </c:extLst>
              </c15:ser>
            </c15:filteredLineSeries>
          </c:ext>
        </c:extLst>
      </c:lineChart>
      <c:catAx>
        <c:axId val="11380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33712320"/>
        <c:crosses val="autoZero"/>
        <c:auto val="1"/>
        <c:lblAlgn val="ctr"/>
        <c:lblOffset val="100"/>
        <c:noMultiLvlLbl val="0"/>
      </c:catAx>
      <c:valAx>
        <c:axId val="11337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Omzet (K€)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3809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Spreidingsdiagram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'charttype-line-scatter'!$B$1</c:f>
              <c:strCache>
                <c:ptCount val="1"/>
                <c:pt idx="0">
                  <c:v>Omzet (K€)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'charttype-line-scatter'!$A$2:$A$11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xVal>
          <c:yVal>
            <c:numRef>
              <c:f>'charttype-line-scatter'!$B$2:$B$11</c:f>
              <c:numCache>
                <c:formatCode>0</c:formatCode>
                <c:ptCount val="10"/>
                <c:pt idx="0">
                  <c:v>79</c:v>
                </c:pt>
                <c:pt idx="1">
                  <c:v>125</c:v>
                </c:pt>
                <c:pt idx="2">
                  <c:v>189</c:v>
                </c:pt>
                <c:pt idx="3">
                  <c:v>255</c:v>
                </c:pt>
                <c:pt idx="4">
                  <c:v>294</c:v>
                </c:pt>
                <c:pt idx="5">
                  <c:v>302</c:v>
                </c:pt>
                <c:pt idx="6">
                  <c:v>320</c:v>
                </c:pt>
                <c:pt idx="7">
                  <c:v>328</c:v>
                </c:pt>
                <c:pt idx="8">
                  <c:v>341</c:v>
                </c:pt>
                <c:pt idx="9">
                  <c:v>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8-4DF9-A9B1-A5CF4E489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136064"/>
        <c:axId val="1188175600"/>
      </c:scatterChart>
      <c:valAx>
        <c:axId val="1133136064"/>
        <c:scaling>
          <c:orientation val="minMax"/>
          <c:max val="2010"/>
          <c:min val="19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8175600"/>
        <c:crosses val="autoZero"/>
        <c:crossBetween val="midCat"/>
      </c:valAx>
      <c:valAx>
        <c:axId val="11881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Omzet (K€)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3313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Favoriete huisdier van 150 leerlingen.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'charttype-pie'!$B$1</c:f>
              <c:strCache>
                <c:ptCount val="1"/>
                <c:pt idx="0">
                  <c:v>Frequentie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2B-4AB0-BAEC-6896D10F6C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2B-4AB0-BAEC-6896D10F6C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2B-4AB0-BAEC-6896D10F6CB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2B-4AB0-BAEC-6896D10F6CB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B-4AB0-BAEC-6896D10F6C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'charttype-pie'!$A$2:$A$6</c:f>
              <c:strCache>
                <c:ptCount val="5"/>
                <c:pt idx="0">
                  <c:v>Katten</c:v>
                </c:pt>
                <c:pt idx="1">
                  <c:v>Honden</c:v>
                </c:pt>
                <c:pt idx="2">
                  <c:v>Vogels</c:v>
                </c:pt>
                <c:pt idx="3">
                  <c:v>Vissen</c:v>
                </c:pt>
                <c:pt idx="4">
                  <c:v>Anders</c:v>
                </c:pt>
              </c:strCache>
            </c:strRef>
          </c:cat>
          <c:val>
            <c:numRef>
              <c:f>'charttype-pie'!$B$2:$B$6</c:f>
              <c:numCache>
                <c:formatCode>General</c:formatCode>
                <c:ptCount val="5"/>
                <c:pt idx="0">
                  <c:v>70</c:v>
                </c:pt>
                <c:pt idx="1">
                  <c:v>38</c:v>
                </c:pt>
                <c:pt idx="2">
                  <c:v>22</c:v>
                </c:pt>
                <c:pt idx="3">
                  <c:v>13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1-4C06-9D77-7BB3A9A46C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Zelfevaluatie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'charttype-radar'!$B$1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'charttype-radar'!$A$2:$A$11</c:f>
              <c:strCache>
                <c:ptCount val="10"/>
                <c:pt idx="0">
                  <c:v>respectvol</c:v>
                </c:pt>
                <c:pt idx="1">
                  <c:v>punctueel</c:v>
                </c:pt>
                <c:pt idx="2">
                  <c:v>collegiaal</c:v>
                </c:pt>
                <c:pt idx="3">
                  <c:v>verantwoordelijk</c:v>
                </c:pt>
                <c:pt idx="4">
                  <c:v>samenwerken</c:v>
                </c:pt>
                <c:pt idx="5">
                  <c:v>behulpzaam</c:v>
                </c:pt>
                <c:pt idx="6">
                  <c:v>actief</c:v>
                </c:pt>
                <c:pt idx="7">
                  <c:v>zelfstandig</c:v>
                </c:pt>
                <c:pt idx="8">
                  <c:v>concentratie vermogen</c:v>
                </c:pt>
                <c:pt idx="9">
                  <c:v>inlevings vermogen</c:v>
                </c:pt>
              </c:strCache>
            </c:strRef>
          </c:cat>
          <c:val>
            <c:numRef>
              <c:f>'charttype-radar'!$B$2:$B$11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C-4B3C-9D50-0CEE4F4CD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902352"/>
        <c:axId val="982488128"/>
      </c:radarChart>
      <c:catAx>
        <c:axId val="118790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82488128"/>
        <c:crosses val="autoZero"/>
        <c:auto val="1"/>
        <c:lblAlgn val="ctr"/>
        <c:lblOffset val="100"/>
        <c:noMultiLvlLbl val="0"/>
      </c:catAx>
      <c:valAx>
        <c:axId val="9824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790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'charttype-scatter'!$B$1</c:f>
              <c:strCache>
                <c:ptCount val="1"/>
                <c:pt idx="0">
                  <c:v>gewicht (kg)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'charttype-scatter'!$A$2:$A$11</c:f>
              <c:numCache>
                <c:formatCode>General</c:formatCode>
                <c:ptCount val="10"/>
                <c:pt idx="0">
                  <c:v>185</c:v>
                </c:pt>
                <c:pt idx="1">
                  <c:v>167</c:v>
                </c:pt>
                <c:pt idx="2">
                  <c:v>175</c:v>
                </c:pt>
                <c:pt idx="3">
                  <c:v>185</c:v>
                </c:pt>
                <c:pt idx="4">
                  <c:v>179</c:v>
                </c:pt>
                <c:pt idx="5">
                  <c:v>183</c:v>
                </c:pt>
                <c:pt idx="6">
                  <c:v>178</c:v>
                </c:pt>
                <c:pt idx="7">
                  <c:v>188</c:v>
                </c:pt>
                <c:pt idx="8">
                  <c:v>161</c:v>
                </c:pt>
                <c:pt idx="9">
                  <c:v>164</c:v>
                </c:pt>
              </c:numCache>
            </c:numRef>
          </c:xVal>
          <c:yVal>
            <c:numRef>
              <c:f>'charttype-scatter'!$B$2:$B$11</c:f>
              <c:numCache>
                <c:formatCode>General</c:formatCode>
                <c:ptCount val="10"/>
                <c:pt idx="0">
                  <c:v>71</c:v>
                </c:pt>
                <c:pt idx="1">
                  <c:v>48</c:v>
                </c:pt>
                <c:pt idx="2">
                  <c:v>64</c:v>
                </c:pt>
                <c:pt idx="3">
                  <c:v>68</c:v>
                </c:pt>
                <c:pt idx="4">
                  <c:v>65</c:v>
                </c:pt>
                <c:pt idx="5">
                  <c:v>62</c:v>
                </c:pt>
                <c:pt idx="6">
                  <c:v>60</c:v>
                </c:pt>
                <c:pt idx="7">
                  <c:v>66</c:v>
                </c:pt>
                <c:pt idx="8">
                  <c:v>54</c:v>
                </c:pt>
                <c:pt idx="9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D6-4A1F-82B3-38515BFC5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7312"/>
        <c:axId val="623964384"/>
      </c:scatterChart>
      <c:valAx>
        <c:axId val="6239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3964384"/>
        <c:crosses val="autoZero"/>
        <c:crossBetween val="midCat"/>
      </c:valAx>
      <c:valAx>
        <c:axId val="6239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395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Relatie lichaamslengte - gewicht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'charttype-scatter'!$B$1</c:f>
              <c:strCache>
                <c:ptCount val="1"/>
                <c:pt idx="0">
                  <c:v>gewicht (kg)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'charttype-scatter'!$A$2:$A$11</c:f>
              <c:numCache>
                <c:formatCode>General</c:formatCode>
                <c:ptCount val="10"/>
                <c:pt idx="0">
                  <c:v>185</c:v>
                </c:pt>
                <c:pt idx="1">
                  <c:v>167</c:v>
                </c:pt>
                <c:pt idx="2">
                  <c:v>175</c:v>
                </c:pt>
                <c:pt idx="3">
                  <c:v>185</c:v>
                </c:pt>
                <c:pt idx="4">
                  <c:v>179</c:v>
                </c:pt>
                <c:pt idx="5">
                  <c:v>183</c:v>
                </c:pt>
                <c:pt idx="6">
                  <c:v>178</c:v>
                </c:pt>
                <c:pt idx="7">
                  <c:v>188</c:v>
                </c:pt>
                <c:pt idx="8">
                  <c:v>161</c:v>
                </c:pt>
                <c:pt idx="9">
                  <c:v>164</c:v>
                </c:pt>
              </c:numCache>
            </c:numRef>
          </c:xVal>
          <c:yVal>
            <c:numRef>
              <c:f>'charttype-scatter'!$B$2:$B$11</c:f>
              <c:numCache>
                <c:formatCode>General</c:formatCode>
                <c:ptCount val="10"/>
                <c:pt idx="0">
                  <c:v>71</c:v>
                </c:pt>
                <c:pt idx="1">
                  <c:v>48</c:v>
                </c:pt>
                <c:pt idx="2">
                  <c:v>64</c:v>
                </c:pt>
                <c:pt idx="3">
                  <c:v>68</c:v>
                </c:pt>
                <c:pt idx="4">
                  <c:v>65</c:v>
                </c:pt>
                <c:pt idx="5">
                  <c:v>62</c:v>
                </c:pt>
                <c:pt idx="6">
                  <c:v>60</c:v>
                </c:pt>
                <c:pt idx="7">
                  <c:v>66</c:v>
                </c:pt>
                <c:pt idx="8">
                  <c:v>54</c:v>
                </c:pt>
                <c:pt idx="9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C-43E4-A44E-DB5986859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7312"/>
        <c:axId val="623964384"/>
      </c:scatterChart>
      <c:valAx>
        <c:axId val="623957312"/>
        <c:scaling>
          <c:orientation val="minMax"/>
          <c:min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Lengte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3964384"/>
        <c:crosses val="autoZero"/>
        <c:crossBetween val="midCat"/>
      </c:valAx>
      <c:valAx>
        <c:axId val="62396438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395731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Productietijd - Gewicht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085498687664041"/>
                  <c:y val="-2.41932779235928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'prodtime-chart'!$A$2:$A$11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'prodtime-chart'!$B$2:$B$11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FC-486C-8CC5-4D32E9DFB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04495"/>
        <c:axId val="542505743"/>
      </c:scatterChart>
      <c:valAx>
        <c:axId val="542504495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2505743"/>
        <c:crosses val="autoZero"/>
        <c:crossBetween val="midCat"/>
      </c:valAx>
      <c:valAx>
        <c:axId val="542505743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Productietijd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250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Doodsoorzaken 2009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Doodsoorzaken 2009</a:t>
          </a:r>
        </a:p>
      </cx:txPr>
    </cx:title>
    <cx:plotArea>
      <cx:plotAreaRegion>
        <cx:series layoutId="clusteredColumn" uniqueId="{306DE67B-C462-4FC1-AB48-130430041DFC}">
          <cx:tx>
            <cx:txData>
              <cx:f>_xlchart.v1.1</cx:f>
              <cx:v>aantal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D0524798-8821-4F78-A098-C58828A6F0F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9525</xdr:rowOff>
    </xdr:from>
    <xdr:to>
      <xdr:col>13</xdr:col>
      <xdr:colOff>285750</xdr:colOff>
      <xdr:row>18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DB6CD6C-E416-4491-8749-0EDE1ABBD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19</xdr:row>
      <xdr:rowOff>0</xdr:rowOff>
    </xdr:from>
    <xdr:to>
      <xdr:col>13</xdr:col>
      <xdr:colOff>304800</xdr:colOff>
      <xdr:row>35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2AB825E6-0F7E-4832-8C4C-739FF7F9A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13</xdr:col>
      <xdr:colOff>304800</xdr:colOff>
      <xdr:row>54</xdr:row>
      <xdr:rowOff>152400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E91E805B-4C55-4BFF-9D2F-FB93B3EE2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9525</xdr:rowOff>
    </xdr:from>
    <xdr:to>
      <xdr:col>13</xdr:col>
      <xdr:colOff>285750</xdr:colOff>
      <xdr:row>18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E55D125-15C9-4492-9B14-E3B69FAFE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600076</xdr:colOff>
      <xdr:row>11</xdr:row>
      <xdr:rowOff>38100</xdr:rowOff>
    </xdr:from>
    <xdr:to>
      <xdr:col>11</xdr:col>
      <xdr:colOff>1</xdr:colOff>
      <xdr:row>23</xdr:row>
      <xdr:rowOff>85726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419840D-CCA4-4131-9312-3B7B8AC08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19048</xdr:rowOff>
    </xdr:from>
    <xdr:to>
      <xdr:col>12</xdr:col>
      <xdr:colOff>571050</xdr:colOff>
      <xdr:row>23</xdr:row>
      <xdr:rowOff>56698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1</xdr:row>
      <xdr:rowOff>152400</xdr:rowOff>
    </xdr:from>
    <xdr:to>
      <xdr:col>15</xdr:col>
      <xdr:colOff>300037</xdr:colOff>
      <xdr:row>18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CCA5EEB-74C7-4A68-93D3-B693153BB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0</xdr:rowOff>
    </xdr:from>
    <xdr:to>
      <xdr:col>11</xdr:col>
      <xdr:colOff>314325</xdr:colOff>
      <xdr:row>18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5277950-DD8E-4C38-B39D-80EE97713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604837</xdr:colOff>
      <xdr:row>1</xdr:row>
      <xdr:rowOff>0</xdr:rowOff>
    </xdr:from>
    <xdr:to>
      <xdr:col>11</xdr:col>
      <xdr:colOff>300037</xdr:colOff>
      <xdr:row>17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6981305-BA56-416F-BE5F-779F0A2F7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17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B5FFA1A-19F5-4177-927E-082B1965D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0.77917</cdr:x>
      <cdr:y>0.88889</cdr:y>
    </cdr:from>
    <cdr:to>
      <cdr:x>0.9875</cdr:x>
      <cdr:y>0.97569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47B7DB2F-C246-4566-BCAB-4F9741AC62BA}"/>
            </a:ext>
          </a:extLst>
        </cdr:cNvPr>
        <cdr:cNvSpPr txBox="1"/>
      </cdr:nvSpPr>
      <cdr:spPr>
        <a:xfrm xmlns:a="http://schemas.openxmlformats.org/drawingml/2006/main">
          <a:off x="3562350" y="2438400"/>
          <a:ext cx="9525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nl-NL" sz="900"/>
            <a:t>Bron: Distrifood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102375</xdr:colOff>
      <xdr:row>19</xdr:row>
      <xdr:rowOff>12000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3F7BCA9-D9A8-453A-BA70-9585A3A2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0.83464</cdr:x>
      <cdr:y>0.06703</cdr:y>
    </cdr:from>
    <cdr:to>
      <cdr:x>0.95731</cdr:x>
      <cdr:y>0.13758</cdr:y>
    </cdr:to>
    <cdr:sp macro="" textlink="">
      <cdr:nvSpPr>
        <cdr:cNvPr id="2" name="Tekstvak 1"/>
        <cdr:cNvSpPr txBox="1"/>
      </cdr:nvSpPr>
      <cdr:spPr>
        <a:xfrm xmlns:a="http://schemas.openxmlformats.org/drawingml/2006/main">
          <a:off x="3305175" y="180975"/>
          <a:ext cx="4857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nl-NL" sz="1100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595312</xdr:colOff>
      <xdr:row>0</xdr:row>
      <xdr:rowOff>152400</xdr:rowOff>
    </xdr:from>
    <xdr:to>
      <xdr:col>11</xdr:col>
      <xdr:colOff>290512</xdr:colOff>
      <xdr:row>17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5583324-28D0-4CFC-9FE5-65E4F941A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0</xdr:rowOff>
    </xdr:from>
    <xdr:to>
      <xdr:col>13</xdr:col>
      <xdr:colOff>314325</xdr:colOff>
      <xdr:row>17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884FFE4-F870-4C47-A896-5E1F7DE28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13</xdr:col>
      <xdr:colOff>304800</xdr:colOff>
      <xdr:row>37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F64420F-0995-4FDD-ACB7-7F6B6B54C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0</xdr:rowOff>
    </xdr:from>
    <xdr:to>
      <xdr:col>8</xdr:col>
      <xdr:colOff>561525</xdr:colOff>
      <xdr:row>15</xdr:row>
      <xdr:rowOff>64500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112B26B-A0A8-4D7A-9D91-E63C75B966E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15</xdr:col>
      <xdr:colOff>552000</xdr:colOff>
      <xdr:row>15</xdr:row>
      <xdr:rowOff>64500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84DED46D-7D5C-4EEF-8AF9-497CB9B39EA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19050</xdr:rowOff>
    </xdr:from>
    <xdr:to>
      <xdr:col>11</xdr:col>
      <xdr:colOff>314325</xdr:colOff>
      <xdr:row>15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987CA73D-511F-4B5C-80ED-B0D21282AA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6050" y="209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11</xdr:col>
      <xdr:colOff>314325</xdr:colOff>
      <xdr:row>18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D1C6C0C-2377-40F5-95F6-173D998F1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1</xdr:row>
      <xdr:rowOff>85725</xdr:rowOff>
    </xdr:from>
    <xdr:to>
      <xdr:col>10</xdr:col>
      <xdr:colOff>347662</xdr:colOff>
      <xdr:row>18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1A70FAE-10FC-4752-9F72-6455D5F1B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11</xdr:col>
      <xdr:colOff>314325</xdr:colOff>
      <xdr:row>18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5F39738-243D-44BD-A385-9021FCD3F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11</xdr:col>
      <xdr:colOff>304800</xdr:colOff>
      <xdr:row>36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23625E76-EA41-49D8-83BF-AC354E176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2</xdr:col>
      <xdr:colOff>590550</xdr:colOff>
      <xdr:row>5</xdr:row>
      <xdr:rowOff>152400</xdr:rowOff>
    </xdr:from>
    <xdr:to>
      <xdr:col>3</xdr:col>
      <xdr:colOff>581024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09750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590549</xdr:colOff>
      <xdr:row>16</xdr:row>
      <xdr:rowOff>95250</xdr:rowOff>
    </xdr:from>
    <xdr:to>
      <xdr:col>5</xdr:col>
      <xdr:colOff>561749</xdr:colOff>
      <xdr:row>17</xdr:row>
      <xdr:rowOff>174750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49" y="3048000"/>
          <a:ext cx="1800000" cy="2700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64875</xdr:colOff>
      <xdr:row>23</xdr:row>
      <xdr:rowOff>39075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048125"/>
          <a:ext cx="684000" cy="2772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6</xdr:col>
      <xdr:colOff>604050</xdr:colOff>
      <xdr:row>23</xdr:row>
      <xdr:rowOff>39075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048125"/>
          <a:ext cx="1728000" cy="2772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3300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115050"/>
          <a:ext cx="2028825" cy="2700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280987</xdr:colOff>
      <xdr:row>7</xdr:row>
      <xdr:rowOff>95250</xdr:rowOff>
    </xdr:from>
    <xdr:to>
      <xdr:col>3</xdr:col>
      <xdr:colOff>295276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>
          <a:off x="2109787" y="1428750"/>
          <a:ext cx="14289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332475</xdr:colOff>
      <xdr:row>23</xdr:row>
      <xdr:rowOff>39075</xdr:rowOff>
    </xdr:from>
    <xdr:to>
      <xdr:col>3</xdr:col>
      <xdr:colOff>342900</xdr:colOff>
      <xdr:row>24</xdr:row>
      <xdr:rowOff>85725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1275" y="4325325"/>
          <a:ext cx="10425" cy="23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39075</xdr:rowOff>
    </xdr:from>
    <xdr:to>
      <xdr:col>5</xdr:col>
      <xdr:colOff>349650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325325"/>
          <a:ext cx="44850" cy="246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349650</xdr:colOff>
      <xdr:row>23</xdr:row>
      <xdr:rowOff>39075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397650" y="4325325"/>
          <a:ext cx="507600" cy="23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39075</xdr:rowOff>
    </xdr:from>
    <xdr:to>
      <xdr:col>5</xdr:col>
      <xdr:colOff>349650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325325"/>
          <a:ext cx="673500" cy="25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10</xdr:row>
      <xdr:rowOff>114300</xdr:rowOff>
    </xdr:from>
    <xdr:to>
      <xdr:col>11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5800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16</xdr:row>
      <xdr:rowOff>95250</xdr:rowOff>
    </xdr:from>
    <xdr:to>
      <xdr:col>10</xdr:col>
      <xdr:colOff>580800</xdr:colOff>
      <xdr:row>17</xdr:row>
      <xdr:rowOff>174750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4448175" y="3048000"/>
          <a:ext cx="1800000" cy="2700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9</xdr:col>
      <xdr:colOff>47626</xdr:colOff>
      <xdr:row>5</xdr:row>
      <xdr:rowOff>152400</xdr:rowOff>
    </xdr:from>
    <xdr:to>
      <xdr:col>11</xdr:col>
      <xdr:colOff>485776</xdr:colOff>
      <xdr:row>7</xdr:row>
      <xdr:rowOff>85725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5534026" y="11049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8</xdr:col>
      <xdr:colOff>0</xdr:colOff>
      <xdr:row>5</xdr:row>
      <xdr:rowOff>152400</xdr:rowOff>
    </xdr:from>
    <xdr:to>
      <xdr:col>8</xdr:col>
      <xdr:colOff>600074</xdr:colOff>
      <xdr:row>7</xdr:row>
      <xdr:rowOff>95250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4876800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8</xdr:col>
      <xdr:colOff>295275</xdr:colOff>
      <xdr:row>7</xdr:row>
      <xdr:rowOff>95250</xdr:rowOff>
    </xdr:from>
    <xdr:to>
      <xdr:col>8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5172075" y="1428750"/>
          <a:ext cx="4762" cy="257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7</xdr:row>
      <xdr:rowOff>95250</xdr:rowOff>
    </xdr:from>
    <xdr:to>
      <xdr:col>10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63912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7</xdr:row>
      <xdr:rowOff>95250</xdr:rowOff>
    </xdr:from>
    <xdr:to>
      <xdr:col>11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64008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7</xdr:row>
      <xdr:rowOff>95250</xdr:rowOff>
    </xdr:from>
    <xdr:to>
      <xdr:col>10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57912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15</xdr:row>
      <xdr:rowOff>57150</xdr:rowOff>
    </xdr:from>
    <xdr:to>
      <xdr:col>8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52101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5E2729D-CB86-4984-9A6B-4DDBA08F2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314325</xdr:colOff>
      <xdr:row>4</xdr:row>
      <xdr:rowOff>38100</xdr:rowOff>
    </xdr:from>
    <xdr:to>
      <xdr:col>18</xdr:col>
      <xdr:colOff>600075</xdr:colOff>
      <xdr:row>11</xdr:row>
      <xdr:rowOff>76200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um">
              <a:extLst>
                <a:ext uri="{FF2B5EF4-FFF2-40B4-BE49-F238E27FC236}">
                  <a16:creationId xmlns:a16="http://schemas.microsoft.com/office/drawing/2014/main" id="{0B379BBD-D1C8-47C3-9412-0A7DEBDDE9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um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44025" y="77152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Tijdlijn: werkt in Excel 2013 of hoger. Wijzig de positie of grootte van de tijdlijn niet.</a:t>
              </a:r>
            </a:p>
          </xdr:txBody>
        </xdr:sp>
      </mc:Fallback>
    </mc:AlternateContent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studieboeken\leerexcel\resources\Grafiek_controle.xlsx" TargetMode="External"/><Relationship Id="rId1" Type="http://schemas.openxmlformats.org/officeDocument/2006/relationships/externalLinkPath" Target="Grafiek_contro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el"/>
    </sheetNames>
    <sheetDataSet>
      <sheetData sheetId="0">
        <row r="1">
          <cell r="B1" t="str">
            <v>temp</v>
          </cell>
          <cell r="C1" t="str">
            <v>CL</v>
          </cell>
          <cell r="D1" t="str">
            <v>UCL</v>
          </cell>
          <cell r="E1" t="str">
            <v>LCL</v>
          </cell>
        </row>
        <row r="2">
          <cell r="A2">
            <v>1</v>
          </cell>
          <cell r="B2">
            <v>35.6</v>
          </cell>
          <cell r="C2">
            <v>34.929166666666667</v>
          </cell>
          <cell r="D2">
            <v>37.48870410223153</v>
          </cell>
          <cell r="E2">
            <v>32.369629231101804</v>
          </cell>
        </row>
        <row r="3">
          <cell r="A3">
            <v>2</v>
          </cell>
          <cell r="B3">
            <v>33.799999999999997</v>
          </cell>
          <cell r="C3">
            <v>34.929166666666667</v>
          </cell>
          <cell r="D3">
            <v>37.48870410223153</v>
          </cell>
          <cell r="E3">
            <v>32.369629231101804</v>
          </cell>
        </row>
        <row r="4">
          <cell r="A4">
            <v>3</v>
          </cell>
          <cell r="B4">
            <v>34.4</v>
          </cell>
          <cell r="C4">
            <v>34.929166666666667</v>
          </cell>
          <cell r="D4">
            <v>37.48870410223153</v>
          </cell>
          <cell r="E4">
            <v>32.369629231101804</v>
          </cell>
        </row>
        <row r="5">
          <cell r="A5">
            <v>4</v>
          </cell>
          <cell r="B5">
            <v>35</v>
          </cell>
          <cell r="C5">
            <v>34.929166666666667</v>
          </cell>
          <cell r="D5">
            <v>37.48870410223153</v>
          </cell>
          <cell r="E5">
            <v>32.369629231101804</v>
          </cell>
        </row>
        <row r="6">
          <cell r="A6">
            <v>5</v>
          </cell>
          <cell r="B6">
            <v>35.6</v>
          </cell>
          <cell r="C6">
            <v>34.929166666666667</v>
          </cell>
          <cell r="D6">
            <v>37.48870410223153</v>
          </cell>
          <cell r="E6">
            <v>32.369629231101804</v>
          </cell>
        </row>
        <row r="7">
          <cell r="A7">
            <v>6</v>
          </cell>
          <cell r="B7">
            <v>33.4</v>
          </cell>
          <cell r="C7">
            <v>34.929166666666667</v>
          </cell>
          <cell r="D7">
            <v>37.48870410223153</v>
          </cell>
          <cell r="E7">
            <v>32.369629231101804</v>
          </cell>
        </row>
        <row r="8">
          <cell r="A8">
            <v>7</v>
          </cell>
          <cell r="B8">
            <v>33</v>
          </cell>
          <cell r="C8">
            <v>34.929166666666667</v>
          </cell>
          <cell r="D8">
            <v>37.48870410223153</v>
          </cell>
          <cell r="E8">
            <v>32.369629231101804</v>
          </cell>
        </row>
        <row r="9">
          <cell r="A9">
            <v>8</v>
          </cell>
          <cell r="B9">
            <v>34.4</v>
          </cell>
          <cell r="C9">
            <v>34.929166666666667</v>
          </cell>
          <cell r="D9">
            <v>37.48870410223153</v>
          </cell>
          <cell r="E9">
            <v>32.369629231101804</v>
          </cell>
        </row>
        <row r="10">
          <cell r="A10">
            <v>9</v>
          </cell>
          <cell r="B10">
            <v>36</v>
          </cell>
          <cell r="C10">
            <v>34.929166666666667</v>
          </cell>
          <cell r="D10">
            <v>37.48870410223153</v>
          </cell>
          <cell r="E10">
            <v>32.369629231101804</v>
          </cell>
        </row>
        <row r="11">
          <cell r="A11">
            <v>10</v>
          </cell>
          <cell r="B11">
            <v>34</v>
          </cell>
          <cell r="C11">
            <v>34.929166666666667</v>
          </cell>
          <cell r="D11">
            <v>37.48870410223153</v>
          </cell>
          <cell r="E11">
            <v>32.369629231101804</v>
          </cell>
        </row>
        <row r="12">
          <cell r="A12">
            <v>11</v>
          </cell>
          <cell r="B12">
            <v>35</v>
          </cell>
          <cell r="C12">
            <v>34.929166666666667</v>
          </cell>
          <cell r="D12">
            <v>37.48870410223153</v>
          </cell>
          <cell r="E12">
            <v>32.369629231101804</v>
          </cell>
        </row>
        <row r="13">
          <cell r="A13">
            <v>12</v>
          </cell>
          <cell r="B13">
            <v>35.6</v>
          </cell>
          <cell r="C13">
            <v>34.929166666666667</v>
          </cell>
          <cell r="D13">
            <v>37.48870410223153</v>
          </cell>
          <cell r="E13">
            <v>32.369629231101804</v>
          </cell>
        </row>
        <row r="14">
          <cell r="A14">
            <v>13</v>
          </cell>
          <cell r="B14">
            <v>33.9</v>
          </cell>
          <cell r="C14">
            <v>34.929166666666667</v>
          </cell>
          <cell r="D14">
            <v>37.48870410223153</v>
          </cell>
          <cell r="E14">
            <v>32.369629231101804</v>
          </cell>
        </row>
        <row r="15">
          <cell r="A15">
            <v>14</v>
          </cell>
          <cell r="B15">
            <v>36.1</v>
          </cell>
          <cell r="C15">
            <v>34.929166666666667</v>
          </cell>
          <cell r="D15">
            <v>37.48870410223153</v>
          </cell>
          <cell r="E15">
            <v>32.369629231101804</v>
          </cell>
        </row>
        <row r="16">
          <cell r="A16">
            <v>15</v>
          </cell>
          <cell r="B16">
            <v>37.4</v>
          </cell>
          <cell r="C16">
            <v>34.929166666666667</v>
          </cell>
          <cell r="D16">
            <v>37.48870410223153</v>
          </cell>
          <cell r="E16">
            <v>32.369629231101804</v>
          </cell>
        </row>
        <row r="17">
          <cell r="A17">
            <v>16</v>
          </cell>
          <cell r="B17">
            <v>35.200000000000003</v>
          </cell>
          <cell r="C17">
            <v>34.929166666666667</v>
          </cell>
          <cell r="D17">
            <v>37.48870410223153</v>
          </cell>
          <cell r="E17">
            <v>32.369629231101804</v>
          </cell>
        </row>
        <row r="18">
          <cell r="A18">
            <v>17</v>
          </cell>
          <cell r="B18">
            <v>33.200000000000003</v>
          </cell>
          <cell r="C18">
            <v>34.929166666666667</v>
          </cell>
          <cell r="D18">
            <v>37.48870410223153</v>
          </cell>
          <cell r="E18">
            <v>32.369629231101804</v>
          </cell>
        </row>
        <row r="19">
          <cell r="A19">
            <v>18</v>
          </cell>
          <cell r="B19">
            <v>36.4</v>
          </cell>
          <cell r="C19">
            <v>34.929166666666667</v>
          </cell>
          <cell r="D19">
            <v>37.48870410223153</v>
          </cell>
          <cell r="E19">
            <v>32.369629231101804</v>
          </cell>
        </row>
        <row r="20">
          <cell r="A20">
            <v>19</v>
          </cell>
          <cell r="B20">
            <v>34.200000000000003</v>
          </cell>
          <cell r="C20">
            <v>34.929166666666667</v>
          </cell>
          <cell r="D20">
            <v>37.48870410223153</v>
          </cell>
          <cell r="E20">
            <v>32.369629231101804</v>
          </cell>
        </row>
        <row r="21">
          <cell r="A21">
            <v>20</v>
          </cell>
          <cell r="B21">
            <v>36</v>
          </cell>
          <cell r="C21">
            <v>34.929166666666667</v>
          </cell>
          <cell r="D21">
            <v>37.48870410223153</v>
          </cell>
          <cell r="E21">
            <v>32.369629231101804</v>
          </cell>
        </row>
        <row r="22">
          <cell r="A22">
            <v>21</v>
          </cell>
          <cell r="B22">
            <v>35.799999999999997</v>
          </cell>
          <cell r="C22">
            <v>34.929166666666667</v>
          </cell>
          <cell r="D22">
            <v>37.48870410223153</v>
          </cell>
          <cell r="E22">
            <v>32.369629231101804</v>
          </cell>
        </row>
        <row r="23">
          <cell r="A23">
            <v>22</v>
          </cell>
          <cell r="B23">
            <v>32.5</v>
          </cell>
          <cell r="C23">
            <v>34.929166666666667</v>
          </cell>
          <cell r="D23">
            <v>37.48870410223153</v>
          </cell>
          <cell r="E23">
            <v>32.369629231101804</v>
          </cell>
        </row>
        <row r="24">
          <cell r="A24">
            <v>23</v>
          </cell>
          <cell r="B24">
            <v>37</v>
          </cell>
          <cell r="C24">
            <v>34.929166666666667</v>
          </cell>
          <cell r="D24">
            <v>37.48870410223153</v>
          </cell>
          <cell r="E24">
            <v>32.369629231101804</v>
          </cell>
        </row>
        <row r="25">
          <cell r="A25">
            <v>24</v>
          </cell>
          <cell r="B25">
            <v>34.799999999999997</v>
          </cell>
          <cell r="C25">
            <v>34.929166666666667</v>
          </cell>
          <cell r="D25">
            <v>37.48870410223153</v>
          </cell>
          <cell r="E25">
            <v>32.369629231101804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-nl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801.55826377315" createdVersion="6" refreshedVersion="6" minRefreshableVersion="3" recordCount="24" xr:uid="{DA05F0B7-F818-457D-BFD2-5DB6E4D9079B}">
  <cacheSource type="worksheet">
    <worksheetSource name="q_benelux"/>
  </cacheSource>
  <cacheFields count="4">
    <cacheField name="Land" numFmtId="0">
      <sharedItems count="3">
        <s v="België"/>
        <s v="Luxemburg"/>
        <s v="Nederland"/>
      </sharedItems>
    </cacheField>
    <cacheField name="Geslacht" numFmtId="0">
      <sharedItems count="2">
        <s v="Vrouw"/>
        <s v="Man"/>
      </sharedItems>
    </cacheField>
    <cacheField name="Jaar" numFmtId="0">
      <sharedItems count="4">
        <s v="2000"/>
        <s v="2005"/>
        <s v="2010"/>
        <s v="2015"/>
      </sharedItems>
    </cacheField>
    <cacheField name="Populatie" numFmtId="1">
      <sharedItems containsSemiMixedTypes="0" containsString="0" containsNumber="1" containsInteger="1" minValue="214787" maxValue="8518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4568.697815856482" createdVersion="7" refreshedVersion="7" minRefreshableVersion="3" recordCount="432" xr:uid="{0DE453DE-BC90-4CCE-89F5-5C0AEF45B5F9}">
  <cacheSource type="worksheet">
    <worksheetSource ref="A1:E433" sheet="supermarket-pivotreport"/>
  </cacheSource>
  <cacheFields count="5">
    <cacheField name="datum" numFmtId="167">
      <sharedItems containsSemiMixedTypes="0" containsNonDate="0" containsDate="1" containsString="0" minDate="2016-01-31T00:00:00" maxDate="2017-01-01T00:00:00"/>
    </cacheField>
    <cacheField name="plaats" numFmtId="0">
      <sharedItems count="3">
        <s v="Amsterdam"/>
        <s v="Rotterdam"/>
        <s v="Utrecht"/>
      </sharedItems>
    </cacheField>
    <cacheField name="product" numFmtId="0">
      <sharedItems count="12">
        <s v="rundvlees"/>
        <s v="boter"/>
        <s v="cheese"/>
        <s v="kip"/>
        <s v="eieren"/>
        <s v="fruit"/>
        <s v="lamsvlees"/>
        <s v="melk"/>
        <s v="varkensvlees"/>
        <s v="aardappelen"/>
        <s v="groenten"/>
        <s v="yoghurt"/>
      </sharedItems>
    </cacheField>
    <cacheField name="productcategorie" numFmtId="0">
      <sharedItems count="3">
        <s v="vlees"/>
        <s v="zuivel"/>
        <s v="agf"/>
      </sharedItems>
    </cacheField>
    <cacheField name="omzet" numFmtId="0">
      <sharedItems containsSemiMixedTypes="0" containsString="0" containsNumber="1" containsInteger="1" minValue="2012" maxValue="439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4569.49878923611" createdVersion="7" refreshedVersion="7" minRefreshableVersion="3" recordCount="922" xr:uid="{2073E4FB-32CB-493F-87AB-6C76F53C4564}">
  <cacheSource type="worksheet">
    <worksheetSource name="Verkoopdata"/>
  </cacheSource>
  <cacheFields count="8">
    <cacheField name="Regio" numFmtId="0">
      <sharedItems count="2">
        <s v="Zuid"/>
        <s v="Noord"/>
      </sharedItems>
    </cacheField>
    <cacheField name="Verkoper" numFmtId="0">
      <sharedItems count="11">
        <s v="King"/>
        <s v="Anderson"/>
        <s v="Johnson"/>
        <s v="Phillips"/>
        <s v="Smith"/>
        <s v="Lewis"/>
        <s v="Gonzalez"/>
        <s v="Hernandez"/>
        <s v="Williams"/>
        <s v="Miller"/>
        <s v="Brown"/>
      </sharedItems>
    </cacheField>
    <cacheField name="Factuurnr" numFmtId="0">
      <sharedItems containsSemiMixedTypes="0" containsString="0" containsNumber="1" containsInteger="1" minValue="2010001" maxValue="2011523"/>
    </cacheField>
    <cacheField name="Factuurdatum" numFmtId="14">
      <sharedItems containsSemiMixedTypes="0" containsNonDate="0" containsDate="1" containsString="0" minDate="2010-01-01T00:00:00" maxDate="2011-12-31T00:00:00" count="440">
        <d v="2010-01-01T00:00:00"/>
        <d v="2010-01-06T00:00:00"/>
        <d v="2010-01-07T00:00:00"/>
        <d v="2010-01-08T00:00:00"/>
        <d v="2010-01-09T00:00:00"/>
        <d v="2010-01-10T00:00:00"/>
        <d v="2010-01-13T00:00:00"/>
        <d v="2010-01-14T00:00:00"/>
        <d v="2010-01-15T00:00:00"/>
        <d v="2010-01-16T00:00:00"/>
        <d v="2010-01-17T00:00:00"/>
        <d v="2010-01-20T00:00:00"/>
        <d v="2010-01-22T00:00:00"/>
        <d v="2010-01-23T00:00:00"/>
        <d v="2010-01-24T00:00:00"/>
        <d v="2010-01-27T00:00:00"/>
        <d v="2010-01-28T00:00:00"/>
        <d v="2010-01-29T00:00:00"/>
        <d v="2010-01-30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1T00:00:00"/>
        <d v="2010-02-12T00:00:00"/>
        <d v="2010-02-15T00:00:00"/>
        <d v="2010-02-17T00:00:00"/>
        <d v="2010-02-18T00:00:00"/>
        <d v="2010-02-19T00:00:00"/>
        <d v="2010-02-22T00:00:00"/>
        <d v="2010-02-24T00:00:00"/>
        <d v="2010-02-25T00:00:00"/>
        <d v="2010-03-01T00:00:00"/>
        <d v="2010-03-02T00:00:00"/>
        <d v="2010-03-03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9T00:00:00"/>
        <d v="2010-03-31T00:00:00"/>
        <d v="2010-04-01T00:00:00"/>
        <d v="2010-04-02T00:00:00"/>
        <d v="2010-04-05T00:00:00"/>
        <d v="2010-04-07T00:00:00"/>
        <d v="2010-04-08T00:00:00"/>
        <d v="2010-04-09T00:00:00"/>
        <d v="2010-04-12T00:00:00"/>
        <d v="2010-04-13T00:00:00"/>
        <d v="2010-04-14T00:00:00"/>
        <d v="2010-04-16T00:00:00"/>
        <d v="2010-04-20T00:00:00"/>
        <d v="2010-04-21T00:00:00"/>
        <d v="2010-04-22T00:00:00"/>
        <d v="2010-04-23T00:00:00"/>
        <d v="2010-04-26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9T00:00:00"/>
        <d v="2010-05-10T00:00:00"/>
        <d v="2010-05-11T00:00:00"/>
        <d v="2010-05-12T00:00:00"/>
        <d v="2010-05-15T00:00:00"/>
        <d v="2010-05-16T00:00:00"/>
        <d v="2010-05-17T00:00:00"/>
        <d v="2010-05-18T00:00:00"/>
        <d v="2010-05-19T00:00:00"/>
        <d v="2010-05-22T00:00:00"/>
        <d v="2010-05-23T00:00:00"/>
        <d v="2010-05-24T00:00:00"/>
        <d v="2010-05-25T00:00:00"/>
        <d v="2010-05-26T00:00:00"/>
        <d v="2010-05-29T00:00:00"/>
        <d v="2010-06-01T00:00:00"/>
        <d v="2010-06-02T00:00:00"/>
        <d v="2010-06-03T00:00:00"/>
        <d v="2010-06-07T00:00:00"/>
        <d v="2010-06-10T00:00:00"/>
        <d v="2010-06-11T00:00:00"/>
        <d v="2010-06-14T00:00:00"/>
        <d v="2010-06-16T00:00:00"/>
        <d v="2010-06-18T00:00:00"/>
        <d v="2010-06-21T00:00:00"/>
        <d v="2010-06-22T00:00:00"/>
        <d v="2010-06-23T00:00:00"/>
        <d v="2010-06-28T00:00:00"/>
        <d v="2010-06-30T00:00:00"/>
        <d v="2010-07-01T00:00:00"/>
        <d v="2010-07-05T00:00:00"/>
        <d v="2010-07-06T00:00:00"/>
        <d v="2010-07-07T00:00:00"/>
        <d v="2010-07-11T00:00:00"/>
        <d v="2010-07-12T00:00:00"/>
        <d v="2010-07-13T00:00:00"/>
        <d v="2010-07-14T00:00:00"/>
        <d v="2010-07-15T00:00:00"/>
        <d v="2010-07-18T00:00:00"/>
        <d v="2010-07-19T00:00:00"/>
        <d v="2010-07-21T00:00:00"/>
        <d v="2010-07-22T00:00:00"/>
        <d v="2010-07-25T00:00:00"/>
        <d v="2010-07-26T00:00:00"/>
        <d v="2010-07-27T00:00:00"/>
        <d v="2010-07-28T00:00:00"/>
        <d v="2010-07-29T00:00:00"/>
        <d v="2010-08-01T00:00:00"/>
        <d v="2010-08-02T00:00:00"/>
        <d v="2010-08-04T00:00:00"/>
        <d v="2010-08-05T00:00:00"/>
        <d v="2010-08-08T00:00:00"/>
        <d v="2010-08-09T00:00:00"/>
        <d v="2010-08-10T00:00:00"/>
        <d v="2010-08-12T00:00:00"/>
        <d v="2010-08-15T00:00:00"/>
        <d v="2010-08-16T00:00:00"/>
        <d v="2010-08-17T00:00:00"/>
        <d v="2010-08-18T00:00:00"/>
        <d v="2010-08-19T00:00:00"/>
        <d v="2010-08-22T00:00:00"/>
        <d v="2010-08-24T00:00:00"/>
        <d v="2010-08-25T00:00:00"/>
        <d v="2010-08-26T00:00:00"/>
        <d v="2010-08-29T00:00:00"/>
        <d v="2010-08-30T00:00:00"/>
        <d v="2010-09-01T00:00:00"/>
        <d v="2010-09-02T00:00:00"/>
        <d v="2010-09-05T00:00:00"/>
        <d v="2010-09-06T00:00:00"/>
        <d v="2010-09-08T00:00:00"/>
        <d v="2010-09-09T00:00:00"/>
        <d v="2010-09-12T00:00:00"/>
        <d v="2010-09-13T00:00:00"/>
        <d v="2010-09-14T00:00:00"/>
        <d v="2010-09-19T00:00:00"/>
        <d v="2010-09-20T00:00:00"/>
        <d v="2010-09-21T00:00:00"/>
        <d v="2010-09-22T00:00:00"/>
        <d v="2010-09-23T00:00:00"/>
        <d v="2010-09-26T00:00:00"/>
        <d v="2010-09-27T00:00:00"/>
        <d v="2010-09-28T00:00:00"/>
        <d v="2010-09-29T00:00:00"/>
        <d v="2010-10-01T00:00:00"/>
        <d v="2010-10-04T00:00:00"/>
        <d v="2010-10-06T00:00:00"/>
        <d v="2010-10-07T00:00:00"/>
        <d v="2010-10-08T00:00:00"/>
        <d v="2010-10-11T00:00:00"/>
        <d v="2010-10-13T00:00:00"/>
        <d v="2010-10-14T00:00:00"/>
        <d v="2010-10-18T00:00:00"/>
        <d v="2010-10-19T00:00:00"/>
        <d v="2010-10-20T00:00:00"/>
        <d v="2010-10-21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5T00:00:00"/>
        <d v="2010-11-26T00:00:00"/>
        <d v="2010-12-01T00:00:00"/>
        <d v="2010-12-02T00:00:00"/>
        <d v="2010-12-04T00:00:00"/>
        <d v="2010-12-05T00:00:00"/>
        <d v="2010-12-08T00:00:00"/>
        <d v="2010-12-10T00:00:00"/>
        <d v="2010-12-11T00:00:00"/>
        <d v="2010-12-15T00:00:00"/>
        <d v="2010-12-16T00:00:00"/>
        <d v="2010-12-17T00:00:00"/>
        <d v="2010-12-18T00:00:00"/>
        <d v="2010-12-19T00:00:00"/>
        <d v="2010-12-22T00:00:00"/>
        <d v="2010-12-23T00:00:00"/>
        <d v="2010-12-24T00:00:00"/>
        <d v="2010-12-26T00:00:00"/>
        <d v="2010-12-29T00:00:00"/>
        <d v="2010-12-30T00:00:00"/>
        <d v="2010-12-31T00:00:00"/>
        <d v="2011-01-03T00:00:00"/>
        <d v="2011-01-05T00:00:00"/>
        <d v="2011-01-10T00:00:00"/>
        <d v="2011-01-11T00:00:00"/>
        <d v="2011-01-12T00:00:00"/>
        <d v="2011-01-13T00:00:00"/>
        <d v="2011-01-14T00:00:00"/>
        <d v="2011-01-17T00:00:00"/>
        <d v="2011-01-18T00:00:00"/>
        <d v="2011-01-19T00:00:00"/>
        <d v="2011-01-20T00:00:00"/>
        <d v="2011-01-21T00:00:00"/>
        <d v="2011-01-24T00:00:00"/>
        <d v="2011-01-25T00:00:00"/>
        <d v="2011-01-26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1T00:00:00"/>
        <d v="2011-02-22T00:00:00"/>
        <d v="2011-02-23T00:00:00"/>
        <d v="2011-02-24T00:00:00"/>
        <d v="2011-02-25T00:00:00"/>
        <d v="2011-02-28T00:00:00"/>
        <d v="2011-03-01T00:00:00"/>
        <d v="2011-03-02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8T00:00:00"/>
        <d v="2011-04-11T00:00:00"/>
        <d v="2011-04-12T00:00:00"/>
        <d v="2011-04-13T00:00:00"/>
        <d v="2011-04-14T00:00:00"/>
        <d v="2011-04-15T00:00:00"/>
        <d v="2011-04-18T00:00:00"/>
        <d v="2011-04-19T00:00:00"/>
        <d v="2011-04-20T00:00:00"/>
        <d v="2011-04-21T00:00:00"/>
        <d v="2011-04-22T00:00:00"/>
        <d v="2011-04-25T00:00:00"/>
        <d v="2011-04-26T00:00:00"/>
        <d v="2011-04-28T00:00:00"/>
        <d v="2011-04-29T00:00:00"/>
        <d v="2011-05-03T00:00:00"/>
        <d v="2011-05-04T00:00:00"/>
        <d v="2011-05-05T00:00:00"/>
        <d v="2011-05-06T00:00:00"/>
        <d v="2011-05-09T00:00:00"/>
        <d v="2011-05-10T00:00:00"/>
        <d v="2011-05-12T00:00:00"/>
        <d v="2011-05-13T00:00:00"/>
        <d v="2011-05-17T00:00:00"/>
        <d v="2011-05-18T00:00:00"/>
        <d v="2011-05-19T00:00:00"/>
        <d v="2011-05-20T00:00:00"/>
        <d v="2011-05-25T00:00:00"/>
        <d v="2011-05-27T00:00:00"/>
        <d v="2011-05-30T00:00:00"/>
        <d v="2011-06-01T00:00:00"/>
        <d v="2011-06-03T00:00:00"/>
        <d v="2011-06-06T00:00:00"/>
        <d v="2011-06-07T00:00:00"/>
        <d v="2011-06-08T00:00:00"/>
        <d v="2011-06-09T00:00:00"/>
        <d v="2011-06-13T00:00:00"/>
        <d v="2011-06-15T00:00:00"/>
        <d v="2011-06-16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4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5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30T00:00:00"/>
        <d v="2011-08-31T00:00:00"/>
        <d v="2011-09-01T00:00:00"/>
        <d v="2011-09-02T00:00:00"/>
        <d v="2011-09-05T00:00:00"/>
        <d v="2011-09-06T00:00:00"/>
        <d v="2011-09-07T00:00:00"/>
        <d v="2011-09-08T00:00:00"/>
        <d v="2011-09-12T00:00:00"/>
        <d v="2011-09-13T00:00:00"/>
        <d v="2011-09-14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6T00:00:00"/>
        <d v="2011-10-07T00:00:00"/>
        <d v="2011-10-10T00:00:00"/>
        <d v="2011-10-11T00:00:00"/>
        <d v="2011-10-13T00:00:00"/>
        <d v="2011-10-17T00:00:00"/>
        <d v="2011-10-18T00:00:00"/>
        <d v="2011-10-19T00:00:00"/>
        <d v="2011-10-21T00:00:00"/>
        <d v="2011-10-24T00:00:00"/>
        <d v="2011-10-25T00:00:00"/>
        <d v="2011-10-26T00:00:00"/>
        <d v="2011-10-27T00:00:00"/>
        <d v="2011-10-28T00:00:00"/>
        <d v="2011-11-02T00:00:00"/>
        <d v="2011-11-04T00:00:00"/>
        <d v="2011-11-07T00:00:00"/>
        <d v="2011-11-08T00:00:00"/>
        <d v="2011-11-10T00:00:00"/>
        <d v="2011-11-11T00:00:00"/>
        <d v="2011-11-14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8T00:00:00"/>
        <d v="2011-11-29T00:00:00"/>
        <d v="2011-11-30T00:00:00"/>
        <d v="2011-12-02T00:00:00"/>
        <d v="2011-12-05T00:00:00"/>
        <d v="2011-12-06T00:00:00"/>
        <d v="2011-12-07T00:00:00"/>
        <d v="2011-12-08T00:00:00"/>
        <d v="2011-12-09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7T00:00:00"/>
        <d v="2011-12-29T00:00:00"/>
        <d v="2011-12-30T00:00:00"/>
      </sharedItems>
      <fieldGroup par="7" base="3">
        <rangePr groupBy="months" startDate="2010-01-01T00:00:00" endDate="2011-12-31T00:00:00"/>
        <groupItems count="14">
          <s v="&lt;1-1-2010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31-12-2011"/>
        </groupItems>
      </fieldGroup>
    </cacheField>
    <cacheField name="Productcategorie" numFmtId="14">
      <sharedItems count="2">
        <s v="software"/>
        <s v="hardware"/>
      </sharedItems>
    </cacheField>
    <cacheField name="Factuurbedrag" numFmtId="166">
      <sharedItems containsSemiMixedTypes="0" containsString="0" containsNumber="1" minValue="13.37" maxValue="1282.46"/>
    </cacheField>
    <cacheField name="Kwartalen" numFmtId="0" databaseField="0">
      <fieldGroup base="3">
        <rangePr groupBy="quarters" startDate="2010-01-01T00:00:00" endDate="2011-12-31T00:00:00"/>
        <groupItems count="6">
          <s v="&lt;1-1-2010"/>
          <s v="Kwrt1"/>
          <s v="Kwrt2"/>
          <s v="Kwrt3"/>
          <s v="Kwrt4"/>
          <s v="&gt;31-12-2011"/>
        </groupItems>
      </fieldGroup>
    </cacheField>
    <cacheField name="Jaren" numFmtId="0" databaseField="0">
      <fieldGroup base="3">
        <rangePr groupBy="years" startDate="2010-01-01T00:00:00" endDate="2011-12-31T00:00:00"/>
        <groupItems count="4">
          <s v="&lt;1-1-2010"/>
          <s v="2010"/>
          <s v="2011"/>
          <s v="&gt;31-12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4570.615562500003" createdVersion="7" refreshedVersion="7" minRefreshableVersion="3" recordCount="432" xr:uid="{8DE033CB-972F-48EC-8B46-C36FA5CB62D6}">
  <cacheSource type="worksheet">
    <worksheetSource ref="A1:E433" sheet="supermarket-filter"/>
  </cacheSource>
  <cacheFields count="6">
    <cacheField name="datum" numFmtId="167">
      <sharedItems containsSemiMixedTypes="0" containsNonDate="0" containsDate="1" containsString="0" minDate="2016-01-31T00:00:00" maxDate="2017-01-01T00:00:00" count="12"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</sharedItems>
      <fieldGroup par="5" base="0">
        <rangePr groupBy="days" startDate="2016-01-31T00:00:00" endDate="2017-01-01T00:00:00"/>
        <groupItems count="368">
          <s v="&lt;31-1-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rt"/>
          <s v="2-mrt"/>
          <s v="3-mrt"/>
          <s v="4-mrt"/>
          <s v="5-mrt"/>
          <s v="6-mrt"/>
          <s v="7-mrt"/>
          <s v="8-mrt"/>
          <s v="9-mrt"/>
          <s v="10-mrt"/>
          <s v="11-mrt"/>
          <s v="12-mrt"/>
          <s v="13-mrt"/>
          <s v="14-mrt"/>
          <s v="15-mrt"/>
          <s v="16-mrt"/>
          <s v="17-mrt"/>
          <s v="18-mrt"/>
          <s v="19-mrt"/>
          <s v="20-mrt"/>
          <s v="21-mrt"/>
          <s v="22-mrt"/>
          <s v="23-mrt"/>
          <s v="24-mrt"/>
          <s v="25-mrt"/>
          <s v="26-mrt"/>
          <s v="27-mrt"/>
          <s v="28-mrt"/>
          <s v="29-mrt"/>
          <s v="30-mrt"/>
          <s v="31-mrt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ei"/>
          <s v="2-mei"/>
          <s v="3-mei"/>
          <s v="4-mei"/>
          <s v="5-mei"/>
          <s v="6-mei"/>
          <s v="7-mei"/>
          <s v="8-mei"/>
          <s v="9-mei"/>
          <s v="10-mei"/>
          <s v="11-mei"/>
          <s v="12-mei"/>
          <s v="13-mei"/>
          <s v="14-mei"/>
          <s v="15-mei"/>
          <s v="16-mei"/>
          <s v="17-mei"/>
          <s v="18-mei"/>
          <s v="19-mei"/>
          <s v="20-mei"/>
          <s v="21-mei"/>
          <s v="22-mei"/>
          <s v="23-mei"/>
          <s v="24-mei"/>
          <s v="25-mei"/>
          <s v="26-mei"/>
          <s v="27-mei"/>
          <s v="28-mei"/>
          <s v="29-mei"/>
          <s v="30-mei"/>
          <s v="31-mei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kt"/>
          <s v="2-okt"/>
          <s v="3-okt"/>
          <s v="4-okt"/>
          <s v="5-okt"/>
          <s v="6-okt"/>
          <s v="7-okt"/>
          <s v="8-okt"/>
          <s v="9-okt"/>
          <s v="10-okt"/>
          <s v="11-okt"/>
          <s v="12-okt"/>
          <s v="13-okt"/>
          <s v="14-okt"/>
          <s v="15-okt"/>
          <s v="16-okt"/>
          <s v="17-okt"/>
          <s v="18-okt"/>
          <s v="19-okt"/>
          <s v="20-okt"/>
          <s v="21-okt"/>
          <s v="22-okt"/>
          <s v="23-okt"/>
          <s v="24-okt"/>
          <s v="25-okt"/>
          <s v="26-okt"/>
          <s v="27-okt"/>
          <s v="28-okt"/>
          <s v="29-okt"/>
          <s v="30-okt"/>
          <s v="31-ok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-1-2017"/>
        </groupItems>
      </fieldGroup>
    </cacheField>
    <cacheField name="plaats" numFmtId="0">
      <sharedItems count="3">
        <s v="Amsterdam"/>
        <s v="Rotterdam"/>
        <s v="Utrecht"/>
      </sharedItems>
    </cacheField>
    <cacheField name="product" numFmtId="0">
      <sharedItems/>
    </cacheField>
    <cacheField name="productcategorie" numFmtId="0">
      <sharedItems count="3">
        <s v="vlees"/>
        <s v="zuivel"/>
        <s v="agf"/>
      </sharedItems>
    </cacheField>
    <cacheField name="omzet" numFmtId="0">
      <sharedItems containsSemiMixedTypes="0" containsString="0" containsNumber="1" containsInteger="1" minValue="2012" maxValue="43913"/>
    </cacheField>
    <cacheField name="Maanden" numFmtId="0" databaseField="0">
      <fieldGroup base="0">
        <rangePr groupBy="months" startDate="2016-01-31T00:00:00" endDate="2017-01-01T00:00:00"/>
        <groupItems count="14">
          <s v="&lt;31-1-201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1-1-2017"/>
        </groupItems>
      </fieldGroup>
    </cacheField>
  </cacheFields>
  <extLst>
    <ext xmlns:x14="http://schemas.microsoft.com/office/spreadsheetml/2009/9/main" uri="{725AE2AE-9491-48be-B2B4-4EB974FC3084}">
      <x14:pivotCacheDefinition pivotCacheId="5401921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5247226"/>
  </r>
  <r>
    <x v="0"/>
    <x v="0"/>
    <x v="1"/>
    <n v="5372650"/>
  </r>
  <r>
    <x v="0"/>
    <x v="0"/>
    <x v="2"/>
    <n v="5566774"/>
  </r>
  <r>
    <x v="0"/>
    <x v="0"/>
    <x v="3"/>
    <n v="5739297"/>
  </r>
  <r>
    <x v="0"/>
    <x v="1"/>
    <x v="0"/>
    <n v="5034820"/>
  </r>
  <r>
    <x v="0"/>
    <x v="1"/>
    <x v="1"/>
    <n v="5174235"/>
  </r>
  <r>
    <x v="0"/>
    <x v="1"/>
    <x v="2"/>
    <n v="5371961"/>
  </r>
  <r>
    <x v="0"/>
    <x v="1"/>
    <x v="3"/>
    <n v="5548634"/>
  </r>
  <r>
    <x v="1"/>
    <x v="0"/>
    <x v="0"/>
    <n v="221319"/>
  </r>
  <r>
    <x v="1"/>
    <x v="0"/>
    <x v="1"/>
    <n v="231913"/>
  </r>
  <r>
    <x v="1"/>
    <x v="0"/>
    <x v="2"/>
    <n v="255593"/>
  </r>
  <r>
    <x v="1"/>
    <x v="0"/>
    <x v="3"/>
    <n v="282300"/>
  </r>
  <r>
    <x v="1"/>
    <x v="1"/>
    <x v="0"/>
    <n v="214787"/>
  </r>
  <r>
    <x v="1"/>
    <x v="1"/>
    <x v="1"/>
    <n v="225935"/>
  </r>
  <r>
    <x v="1"/>
    <x v="1"/>
    <x v="2"/>
    <n v="252297"/>
  </r>
  <r>
    <x v="1"/>
    <x v="1"/>
    <x v="3"/>
    <n v="284441"/>
  </r>
  <r>
    <x v="2"/>
    <x v="0"/>
    <x v="0"/>
    <n v="8037448"/>
  </r>
  <r>
    <x v="2"/>
    <x v="0"/>
    <x v="1"/>
    <n v="8251078"/>
  </r>
  <r>
    <x v="2"/>
    <x v="0"/>
    <x v="2"/>
    <n v="8398523"/>
  </r>
  <r>
    <x v="2"/>
    <x v="0"/>
    <x v="3"/>
    <n v="8518105"/>
  </r>
  <r>
    <x v="2"/>
    <x v="1"/>
    <x v="0"/>
    <n v="7888740"/>
  </r>
  <r>
    <x v="2"/>
    <x v="1"/>
    <x v="1"/>
    <n v="8116075"/>
  </r>
  <r>
    <x v="2"/>
    <x v="1"/>
    <x v="2"/>
    <n v="8284404"/>
  </r>
  <r>
    <x v="2"/>
    <x v="1"/>
    <x v="3"/>
    <n v="842038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d v="2016-01-31T00:00:00"/>
    <x v="0"/>
    <x v="0"/>
    <x v="0"/>
    <n v="12511"/>
  </r>
  <r>
    <d v="2016-01-31T00:00:00"/>
    <x v="0"/>
    <x v="1"/>
    <x v="1"/>
    <n v="7261"/>
  </r>
  <r>
    <d v="2016-01-31T00:00:00"/>
    <x v="0"/>
    <x v="2"/>
    <x v="1"/>
    <n v="9681"/>
  </r>
  <r>
    <d v="2016-01-31T00:00:00"/>
    <x v="0"/>
    <x v="3"/>
    <x v="0"/>
    <n v="18766"/>
  </r>
  <r>
    <d v="2016-01-31T00:00:00"/>
    <x v="0"/>
    <x v="4"/>
    <x v="1"/>
    <n v="2420"/>
  </r>
  <r>
    <d v="2016-01-31T00:00:00"/>
    <x v="0"/>
    <x v="5"/>
    <x v="2"/>
    <n v="25009"/>
  </r>
  <r>
    <d v="2016-01-31T00:00:00"/>
    <x v="0"/>
    <x v="6"/>
    <x v="0"/>
    <n v="5362"/>
  </r>
  <r>
    <d v="2016-01-31T00:00:00"/>
    <x v="0"/>
    <x v="7"/>
    <x v="1"/>
    <n v="15490"/>
  </r>
  <r>
    <d v="2016-01-31T00:00:00"/>
    <x v="0"/>
    <x v="8"/>
    <x v="0"/>
    <n v="21447"/>
  </r>
  <r>
    <d v="2016-01-31T00:00:00"/>
    <x v="0"/>
    <x v="9"/>
    <x v="2"/>
    <n v="16673"/>
  </r>
  <r>
    <d v="2016-01-31T00:00:00"/>
    <x v="0"/>
    <x v="10"/>
    <x v="2"/>
    <n v="33346"/>
  </r>
  <r>
    <d v="2016-01-31T00:00:00"/>
    <x v="0"/>
    <x v="11"/>
    <x v="1"/>
    <n v="13553"/>
  </r>
  <r>
    <d v="2016-01-31T00:00:00"/>
    <x v="1"/>
    <x v="0"/>
    <x v="0"/>
    <n v="13616"/>
  </r>
  <r>
    <d v="2016-01-31T00:00:00"/>
    <x v="1"/>
    <x v="1"/>
    <x v="1"/>
    <n v="7902"/>
  </r>
  <r>
    <d v="2016-01-31T00:00:00"/>
    <x v="1"/>
    <x v="2"/>
    <x v="1"/>
    <n v="10536"/>
  </r>
  <r>
    <d v="2016-01-31T00:00:00"/>
    <x v="1"/>
    <x v="3"/>
    <x v="0"/>
    <n v="20424"/>
  </r>
  <r>
    <d v="2016-01-31T00:00:00"/>
    <x v="1"/>
    <x v="4"/>
    <x v="1"/>
    <n v="2634"/>
  </r>
  <r>
    <d v="2016-01-31T00:00:00"/>
    <x v="1"/>
    <x v="5"/>
    <x v="2"/>
    <n v="27218"/>
  </r>
  <r>
    <d v="2016-01-31T00:00:00"/>
    <x v="1"/>
    <x v="6"/>
    <x v="0"/>
    <n v="5835"/>
  </r>
  <r>
    <d v="2016-01-31T00:00:00"/>
    <x v="1"/>
    <x v="7"/>
    <x v="1"/>
    <n v="16858"/>
  </r>
  <r>
    <d v="2016-01-31T00:00:00"/>
    <x v="1"/>
    <x v="8"/>
    <x v="0"/>
    <n v="23342"/>
  </r>
  <r>
    <d v="2016-01-31T00:00:00"/>
    <x v="1"/>
    <x v="9"/>
    <x v="2"/>
    <n v="18146"/>
  </r>
  <r>
    <d v="2016-01-31T00:00:00"/>
    <x v="1"/>
    <x v="10"/>
    <x v="2"/>
    <n v="36291"/>
  </r>
  <r>
    <d v="2016-01-31T00:00:00"/>
    <x v="1"/>
    <x v="11"/>
    <x v="1"/>
    <n v="14751"/>
  </r>
  <r>
    <d v="2016-01-31T00:00:00"/>
    <x v="2"/>
    <x v="0"/>
    <x v="0"/>
    <n v="10399"/>
  </r>
  <r>
    <d v="2016-01-31T00:00:00"/>
    <x v="2"/>
    <x v="1"/>
    <x v="1"/>
    <n v="6035"/>
  </r>
  <r>
    <d v="2016-01-31T00:00:00"/>
    <x v="2"/>
    <x v="2"/>
    <x v="1"/>
    <n v="8047"/>
  </r>
  <r>
    <d v="2016-01-31T00:00:00"/>
    <x v="2"/>
    <x v="3"/>
    <x v="0"/>
    <n v="15599"/>
  </r>
  <r>
    <d v="2016-01-31T00:00:00"/>
    <x v="2"/>
    <x v="4"/>
    <x v="1"/>
    <n v="2012"/>
  </r>
  <r>
    <d v="2016-01-31T00:00:00"/>
    <x v="2"/>
    <x v="5"/>
    <x v="2"/>
    <n v="20788"/>
  </r>
  <r>
    <d v="2016-01-31T00:00:00"/>
    <x v="2"/>
    <x v="6"/>
    <x v="0"/>
    <n v="4457"/>
  </r>
  <r>
    <d v="2016-01-31T00:00:00"/>
    <x v="2"/>
    <x v="7"/>
    <x v="1"/>
    <n v="12875"/>
  </r>
  <r>
    <d v="2016-01-31T00:00:00"/>
    <x v="2"/>
    <x v="8"/>
    <x v="0"/>
    <n v="17827"/>
  </r>
  <r>
    <d v="2016-01-31T00:00:00"/>
    <x v="2"/>
    <x v="9"/>
    <x v="2"/>
    <n v="13859"/>
  </r>
  <r>
    <d v="2016-01-31T00:00:00"/>
    <x v="2"/>
    <x v="10"/>
    <x v="2"/>
    <n v="27717"/>
  </r>
  <r>
    <d v="2016-01-31T00:00:00"/>
    <x v="2"/>
    <x v="11"/>
    <x v="1"/>
    <n v="11266"/>
  </r>
  <r>
    <d v="2016-02-29T00:00:00"/>
    <x v="0"/>
    <x v="0"/>
    <x v="0"/>
    <n v="13128"/>
  </r>
  <r>
    <d v="2016-02-29T00:00:00"/>
    <x v="0"/>
    <x v="1"/>
    <x v="1"/>
    <n v="7619"/>
  </r>
  <r>
    <d v="2016-02-29T00:00:00"/>
    <x v="0"/>
    <x v="2"/>
    <x v="1"/>
    <n v="10158"/>
  </r>
  <r>
    <d v="2016-02-29T00:00:00"/>
    <x v="0"/>
    <x v="3"/>
    <x v="0"/>
    <n v="19691"/>
  </r>
  <r>
    <d v="2016-02-29T00:00:00"/>
    <x v="0"/>
    <x v="4"/>
    <x v="1"/>
    <n v="2540"/>
  </r>
  <r>
    <d v="2016-02-29T00:00:00"/>
    <x v="0"/>
    <x v="5"/>
    <x v="2"/>
    <n v="26242"/>
  </r>
  <r>
    <d v="2016-02-29T00:00:00"/>
    <x v="0"/>
    <x v="6"/>
    <x v="0"/>
    <n v="5626"/>
  </r>
  <r>
    <d v="2016-02-29T00:00:00"/>
    <x v="0"/>
    <x v="7"/>
    <x v="1"/>
    <n v="16253"/>
  </r>
  <r>
    <d v="2016-02-29T00:00:00"/>
    <x v="0"/>
    <x v="8"/>
    <x v="0"/>
    <n v="22504"/>
  </r>
  <r>
    <d v="2016-02-29T00:00:00"/>
    <x v="0"/>
    <x v="9"/>
    <x v="2"/>
    <n v="17495"/>
  </r>
  <r>
    <d v="2016-02-29T00:00:00"/>
    <x v="0"/>
    <x v="10"/>
    <x v="2"/>
    <n v="34989"/>
  </r>
  <r>
    <d v="2016-02-29T00:00:00"/>
    <x v="0"/>
    <x v="11"/>
    <x v="1"/>
    <n v="14221"/>
  </r>
  <r>
    <d v="2016-02-29T00:00:00"/>
    <x v="1"/>
    <x v="0"/>
    <x v="0"/>
    <n v="15077"/>
  </r>
  <r>
    <d v="2016-02-29T00:00:00"/>
    <x v="1"/>
    <x v="1"/>
    <x v="1"/>
    <n v="8750"/>
  </r>
  <r>
    <d v="2016-02-29T00:00:00"/>
    <x v="1"/>
    <x v="2"/>
    <x v="1"/>
    <n v="11667"/>
  </r>
  <r>
    <d v="2016-02-29T00:00:00"/>
    <x v="1"/>
    <x v="3"/>
    <x v="0"/>
    <n v="22616"/>
  </r>
  <r>
    <d v="2016-02-29T00:00:00"/>
    <x v="1"/>
    <x v="4"/>
    <x v="1"/>
    <n v="2917"/>
  </r>
  <r>
    <d v="2016-02-29T00:00:00"/>
    <x v="1"/>
    <x v="5"/>
    <x v="2"/>
    <n v="30140"/>
  </r>
  <r>
    <d v="2016-02-29T00:00:00"/>
    <x v="1"/>
    <x v="6"/>
    <x v="0"/>
    <n v="6462"/>
  </r>
  <r>
    <d v="2016-02-29T00:00:00"/>
    <x v="1"/>
    <x v="7"/>
    <x v="1"/>
    <n v="18667"/>
  </r>
  <r>
    <d v="2016-02-29T00:00:00"/>
    <x v="1"/>
    <x v="8"/>
    <x v="0"/>
    <n v="25847"/>
  </r>
  <r>
    <d v="2016-02-29T00:00:00"/>
    <x v="1"/>
    <x v="9"/>
    <x v="2"/>
    <n v="20093"/>
  </r>
  <r>
    <d v="2016-02-29T00:00:00"/>
    <x v="1"/>
    <x v="10"/>
    <x v="2"/>
    <n v="40186"/>
  </r>
  <r>
    <d v="2016-02-29T00:00:00"/>
    <x v="1"/>
    <x v="11"/>
    <x v="1"/>
    <n v="16334"/>
  </r>
  <r>
    <d v="2016-02-29T00:00:00"/>
    <x v="2"/>
    <x v="0"/>
    <x v="0"/>
    <n v="13657"/>
  </r>
  <r>
    <d v="2016-02-29T00:00:00"/>
    <x v="2"/>
    <x v="1"/>
    <x v="1"/>
    <n v="7926"/>
  </r>
  <r>
    <d v="2016-02-29T00:00:00"/>
    <x v="2"/>
    <x v="2"/>
    <x v="1"/>
    <n v="10568"/>
  </r>
  <r>
    <d v="2016-02-29T00:00:00"/>
    <x v="2"/>
    <x v="3"/>
    <x v="0"/>
    <n v="20486"/>
  </r>
  <r>
    <d v="2016-02-29T00:00:00"/>
    <x v="2"/>
    <x v="4"/>
    <x v="1"/>
    <n v="2642"/>
  </r>
  <r>
    <d v="2016-02-29T00:00:00"/>
    <x v="2"/>
    <x v="5"/>
    <x v="2"/>
    <n v="27301"/>
  </r>
  <r>
    <d v="2016-02-29T00:00:00"/>
    <x v="2"/>
    <x v="6"/>
    <x v="0"/>
    <n v="5853"/>
  </r>
  <r>
    <d v="2016-02-29T00:00:00"/>
    <x v="2"/>
    <x v="7"/>
    <x v="1"/>
    <n v="16909"/>
  </r>
  <r>
    <d v="2016-02-29T00:00:00"/>
    <x v="2"/>
    <x v="8"/>
    <x v="0"/>
    <n v="23413"/>
  </r>
  <r>
    <d v="2016-02-29T00:00:00"/>
    <x v="2"/>
    <x v="9"/>
    <x v="2"/>
    <n v="18201"/>
  </r>
  <r>
    <d v="2016-02-29T00:00:00"/>
    <x v="2"/>
    <x v="10"/>
    <x v="2"/>
    <n v="36402"/>
  </r>
  <r>
    <d v="2016-02-29T00:00:00"/>
    <x v="2"/>
    <x v="11"/>
    <x v="1"/>
    <n v="14796"/>
  </r>
  <r>
    <d v="2016-03-31T00:00:00"/>
    <x v="0"/>
    <x v="0"/>
    <x v="0"/>
    <n v="11276"/>
  </r>
  <r>
    <d v="2016-03-31T00:00:00"/>
    <x v="0"/>
    <x v="1"/>
    <x v="1"/>
    <n v="6544"/>
  </r>
  <r>
    <d v="2016-03-31T00:00:00"/>
    <x v="0"/>
    <x v="2"/>
    <x v="1"/>
    <n v="8725"/>
  </r>
  <r>
    <d v="2016-03-31T00:00:00"/>
    <x v="0"/>
    <x v="3"/>
    <x v="0"/>
    <n v="16914"/>
  </r>
  <r>
    <d v="2016-03-31T00:00:00"/>
    <x v="0"/>
    <x v="4"/>
    <x v="1"/>
    <n v="2181"/>
  </r>
  <r>
    <d v="2016-03-31T00:00:00"/>
    <x v="0"/>
    <x v="5"/>
    <x v="2"/>
    <n v="22541"/>
  </r>
  <r>
    <d v="2016-03-31T00:00:00"/>
    <x v="0"/>
    <x v="6"/>
    <x v="0"/>
    <n v="4833"/>
  </r>
  <r>
    <d v="2016-03-31T00:00:00"/>
    <x v="0"/>
    <x v="7"/>
    <x v="1"/>
    <n v="13961"/>
  </r>
  <r>
    <d v="2016-03-31T00:00:00"/>
    <x v="0"/>
    <x v="8"/>
    <x v="0"/>
    <n v="19330"/>
  </r>
  <r>
    <d v="2016-03-31T00:00:00"/>
    <x v="0"/>
    <x v="9"/>
    <x v="2"/>
    <n v="15027"/>
  </r>
  <r>
    <d v="2016-03-31T00:00:00"/>
    <x v="0"/>
    <x v="10"/>
    <x v="2"/>
    <n v="30054"/>
  </r>
  <r>
    <d v="2016-03-31T00:00:00"/>
    <x v="0"/>
    <x v="11"/>
    <x v="1"/>
    <n v="12216"/>
  </r>
  <r>
    <d v="2016-03-31T00:00:00"/>
    <x v="1"/>
    <x v="0"/>
    <x v="0"/>
    <n v="16354"/>
  </r>
  <r>
    <d v="2016-03-31T00:00:00"/>
    <x v="1"/>
    <x v="1"/>
    <x v="1"/>
    <n v="9491"/>
  </r>
  <r>
    <d v="2016-03-31T00:00:00"/>
    <x v="1"/>
    <x v="2"/>
    <x v="1"/>
    <n v="12655"/>
  </r>
  <r>
    <d v="2016-03-31T00:00:00"/>
    <x v="1"/>
    <x v="3"/>
    <x v="0"/>
    <n v="24532"/>
  </r>
  <r>
    <d v="2016-03-31T00:00:00"/>
    <x v="1"/>
    <x v="4"/>
    <x v="1"/>
    <n v="3164"/>
  </r>
  <r>
    <d v="2016-03-31T00:00:00"/>
    <x v="1"/>
    <x v="5"/>
    <x v="2"/>
    <n v="32692"/>
  </r>
  <r>
    <d v="2016-03-31T00:00:00"/>
    <x v="1"/>
    <x v="6"/>
    <x v="0"/>
    <n v="7009"/>
  </r>
  <r>
    <d v="2016-03-31T00:00:00"/>
    <x v="1"/>
    <x v="7"/>
    <x v="1"/>
    <n v="20248"/>
  </r>
  <r>
    <d v="2016-03-31T00:00:00"/>
    <x v="1"/>
    <x v="8"/>
    <x v="0"/>
    <n v="28036"/>
  </r>
  <r>
    <d v="2016-03-31T00:00:00"/>
    <x v="1"/>
    <x v="9"/>
    <x v="2"/>
    <n v="21795"/>
  </r>
  <r>
    <d v="2016-03-31T00:00:00"/>
    <x v="1"/>
    <x v="10"/>
    <x v="2"/>
    <n v="43590"/>
  </r>
  <r>
    <d v="2016-03-31T00:00:00"/>
    <x v="1"/>
    <x v="11"/>
    <x v="1"/>
    <n v="17717"/>
  </r>
  <r>
    <d v="2016-03-31T00:00:00"/>
    <x v="2"/>
    <x v="0"/>
    <x v="0"/>
    <n v="13382"/>
  </r>
  <r>
    <d v="2016-03-31T00:00:00"/>
    <x v="2"/>
    <x v="1"/>
    <x v="1"/>
    <n v="7766"/>
  </r>
  <r>
    <d v="2016-03-31T00:00:00"/>
    <x v="2"/>
    <x v="2"/>
    <x v="1"/>
    <n v="10355"/>
  </r>
  <r>
    <d v="2016-03-31T00:00:00"/>
    <x v="2"/>
    <x v="3"/>
    <x v="0"/>
    <n v="20073"/>
  </r>
  <r>
    <d v="2016-03-31T00:00:00"/>
    <x v="2"/>
    <x v="4"/>
    <x v="1"/>
    <n v="2589"/>
  </r>
  <r>
    <d v="2016-03-31T00:00:00"/>
    <x v="2"/>
    <x v="5"/>
    <x v="2"/>
    <n v="26751"/>
  </r>
  <r>
    <d v="2016-03-31T00:00:00"/>
    <x v="2"/>
    <x v="6"/>
    <x v="0"/>
    <n v="5735"/>
  </r>
  <r>
    <d v="2016-03-31T00:00:00"/>
    <x v="2"/>
    <x v="7"/>
    <x v="1"/>
    <n v="16568"/>
  </r>
  <r>
    <d v="2016-03-31T00:00:00"/>
    <x v="2"/>
    <x v="8"/>
    <x v="0"/>
    <n v="22940"/>
  </r>
  <r>
    <d v="2016-03-31T00:00:00"/>
    <x v="2"/>
    <x v="9"/>
    <x v="2"/>
    <n v="17834"/>
  </r>
  <r>
    <d v="2016-03-31T00:00:00"/>
    <x v="2"/>
    <x v="10"/>
    <x v="2"/>
    <n v="35667"/>
  </r>
  <r>
    <d v="2016-03-31T00:00:00"/>
    <x v="2"/>
    <x v="11"/>
    <x v="1"/>
    <n v="14497"/>
  </r>
  <r>
    <d v="2016-04-30T00:00:00"/>
    <x v="0"/>
    <x v="0"/>
    <x v="0"/>
    <n v="12306"/>
  </r>
  <r>
    <d v="2016-04-30T00:00:00"/>
    <x v="0"/>
    <x v="1"/>
    <x v="1"/>
    <n v="7142"/>
  </r>
  <r>
    <d v="2016-04-30T00:00:00"/>
    <x v="0"/>
    <x v="2"/>
    <x v="1"/>
    <n v="9523"/>
  </r>
  <r>
    <d v="2016-04-30T00:00:00"/>
    <x v="0"/>
    <x v="3"/>
    <x v="0"/>
    <n v="18459"/>
  </r>
  <r>
    <d v="2016-04-30T00:00:00"/>
    <x v="0"/>
    <x v="4"/>
    <x v="1"/>
    <n v="2381"/>
  </r>
  <r>
    <d v="2016-04-30T00:00:00"/>
    <x v="0"/>
    <x v="5"/>
    <x v="2"/>
    <n v="24600"/>
  </r>
  <r>
    <d v="2016-04-30T00:00:00"/>
    <x v="0"/>
    <x v="6"/>
    <x v="0"/>
    <n v="5274"/>
  </r>
  <r>
    <d v="2016-04-30T00:00:00"/>
    <x v="0"/>
    <x v="7"/>
    <x v="1"/>
    <n v="15236"/>
  </r>
  <r>
    <d v="2016-04-30T00:00:00"/>
    <x v="0"/>
    <x v="8"/>
    <x v="0"/>
    <n v="21096"/>
  </r>
  <r>
    <d v="2016-04-30T00:00:00"/>
    <x v="0"/>
    <x v="9"/>
    <x v="2"/>
    <n v="16400"/>
  </r>
  <r>
    <d v="2016-04-30T00:00:00"/>
    <x v="0"/>
    <x v="10"/>
    <x v="2"/>
    <n v="32800"/>
  </r>
  <r>
    <d v="2016-04-30T00:00:00"/>
    <x v="0"/>
    <x v="11"/>
    <x v="1"/>
    <n v="13332"/>
  </r>
  <r>
    <d v="2016-04-30T00:00:00"/>
    <x v="1"/>
    <x v="0"/>
    <x v="0"/>
    <n v="13300"/>
  </r>
  <r>
    <d v="2016-04-30T00:00:00"/>
    <x v="1"/>
    <x v="1"/>
    <x v="1"/>
    <n v="7719"/>
  </r>
  <r>
    <d v="2016-04-30T00:00:00"/>
    <x v="1"/>
    <x v="2"/>
    <x v="1"/>
    <n v="10292"/>
  </r>
  <r>
    <d v="2016-04-30T00:00:00"/>
    <x v="1"/>
    <x v="3"/>
    <x v="0"/>
    <n v="19950"/>
  </r>
  <r>
    <d v="2016-04-30T00:00:00"/>
    <x v="1"/>
    <x v="4"/>
    <x v="1"/>
    <n v="2573"/>
  </r>
  <r>
    <d v="2016-04-30T00:00:00"/>
    <x v="1"/>
    <x v="5"/>
    <x v="2"/>
    <n v="26587"/>
  </r>
  <r>
    <d v="2016-04-30T00:00:00"/>
    <x v="1"/>
    <x v="6"/>
    <x v="0"/>
    <n v="5700"/>
  </r>
  <r>
    <d v="2016-04-30T00:00:00"/>
    <x v="1"/>
    <x v="7"/>
    <x v="1"/>
    <n v="16467"/>
  </r>
  <r>
    <d v="2016-04-30T00:00:00"/>
    <x v="1"/>
    <x v="8"/>
    <x v="0"/>
    <n v="22800"/>
  </r>
  <r>
    <d v="2016-04-30T00:00:00"/>
    <x v="1"/>
    <x v="9"/>
    <x v="2"/>
    <n v="17725"/>
  </r>
  <r>
    <d v="2016-04-30T00:00:00"/>
    <x v="1"/>
    <x v="10"/>
    <x v="2"/>
    <n v="35450"/>
  </r>
  <r>
    <d v="2016-04-30T00:00:00"/>
    <x v="1"/>
    <x v="11"/>
    <x v="1"/>
    <n v="14409"/>
  </r>
  <r>
    <d v="2016-04-30T00:00:00"/>
    <x v="2"/>
    <x v="0"/>
    <x v="0"/>
    <n v="13569"/>
  </r>
  <r>
    <d v="2016-04-30T00:00:00"/>
    <x v="2"/>
    <x v="1"/>
    <x v="1"/>
    <n v="7875"/>
  </r>
  <r>
    <d v="2016-04-30T00:00:00"/>
    <x v="2"/>
    <x v="2"/>
    <x v="1"/>
    <n v="10500"/>
  </r>
  <r>
    <d v="2016-04-30T00:00:00"/>
    <x v="2"/>
    <x v="3"/>
    <x v="0"/>
    <n v="20354"/>
  </r>
  <r>
    <d v="2016-04-30T00:00:00"/>
    <x v="2"/>
    <x v="4"/>
    <x v="1"/>
    <n v="2625"/>
  </r>
  <r>
    <d v="2016-04-30T00:00:00"/>
    <x v="2"/>
    <x v="5"/>
    <x v="2"/>
    <n v="27125"/>
  </r>
  <r>
    <d v="2016-04-30T00:00:00"/>
    <x v="2"/>
    <x v="6"/>
    <x v="0"/>
    <n v="5815"/>
  </r>
  <r>
    <d v="2016-04-30T00:00:00"/>
    <x v="2"/>
    <x v="7"/>
    <x v="1"/>
    <n v="16800"/>
  </r>
  <r>
    <d v="2016-04-30T00:00:00"/>
    <x v="2"/>
    <x v="8"/>
    <x v="0"/>
    <n v="23262"/>
  </r>
  <r>
    <d v="2016-04-30T00:00:00"/>
    <x v="2"/>
    <x v="9"/>
    <x v="2"/>
    <n v="18083"/>
  </r>
  <r>
    <d v="2016-04-30T00:00:00"/>
    <x v="2"/>
    <x v="10"/>
    <x v="2"/>
    <n v="36167"/>
  </r>
  <r>
    <d v="2016-04-30T00:00:00"/>
    <x v="2"/>
    <x v="11"/>
    <x v="1"/>
    <n v="14700"/>
  </r>
  <r>
    <d v="2016-05-31T00:00:00"/>
    <x v="0"/>
    <x v="0"/>
    <x v="0"/>
    <n v="13093"/>
  </r>
  <r>
    <d v="2016-05-31T00:00:00"/>
    <x v="0"/>
    <x v="1"/>
    <x v="1"/>
    <n v="7599"/>
  </r>
  <r>
    <d v="2016-05-31T00:00:00"/>
    <x v="0"/>
    <x v="2"/>
    <x v="1"/>
    <n v="10131"/>
  </r>
  <r>
    <d v="2016-05-31T00:00:00"/>
    <x v="0"/>
    <x v="3"/>
    <x v="0"/>
    <n v="19639"/>
  </r>
  <r>
    <d v="2016-05-31T00:00:00"/>
    <x v="0"/>
    <x v="4"/>
    <x v="1"/>
    <n v="2533"/>
  </r>
  <r>
    <d v="2016-05-31T00:00:00"/>
    <x v="0"/>
    <x v="5"/>
    <x v="2"/>
    <n v="26173"/>
  </r>
  <r>
    <d v="2016-05-31T00:00:00"/>
    <x v="0"/>
    <x v="6"/>
    <x v="0"/>
    <n v="5611"/>
  </r>
  <r>
    <d v="2016-05-31T00:00:00"/>
    <x v="0"/>
    <x v="7"/>
    <x v="1"/>
    <n v="16210"/>
  </r>
  <r>
    <d v="2016-05-31T00:00:00"/>
    <x v="0"/>
    <x v="8"/>
    <x v="0"/>
    <n v="22445"/>
  </r>
  <r>
    <d v="2016-05-31T00:00:00"/>
    <x v="0"/>
    <x v="9"/>
    <x v="2"/>
    <n v="17449"/>
  </r>
  <r>
    <d v="2016-05-31T00:00:00"/>
    <x v="0"/>
    <x v="10"/>
    <x v="2"/>
    <n v="34897"/>
  </r>
  <r>
    <d v="2016-05-31T00:00:00"/>
    <x v="0"/>
    <x v="11"/>
    <x v="1"/>
    <n v="14184"/>
  </r>
  <r>
    <d v="2016-05-31T00:00:00"/>
    <x v="1"/>
    <x v="0"/>
    <x v="0"/>
    <n v="16217"/>
  </r>
  <r>
    <d v="2016-05-31T00:00:00"/>
    <x v="1"/>
    <x v="1"/>
    <x v="1"/>
    <n v="9411"/>
  </r>
  <r>
    <d v="2016-05-31T00:00:00"/>
    <x v="1"/>
    <x v="2"/>
    <x v="1"/>
    <n v="12549"/>
  </r>
  <r>
    <d v="2016-05-31T00:00:00"/>
    <x v="1"/>
    <x v="3"/>
    <x v="0"/>
    <n v="24325"/>
  </r>
  <r>
    <d v="2016-05-31T00:00:00"/>
    <x v="1"/>
    <x v="4"/>
    <x v="1"/>
    <n v="3137"/>
  </r>
  <r>
    <d v="2016-05-31T00:00:00"/>
    <x v="1"/>
    <x v="5"/>
    <x v="2"/>
    <n v="32417"/>
  </r>
  <r>
    <d v="2016-05-31T00:00:00"/>
    <x v="1"/>
    <x v="6"/>
    <x v="0"/>
    <n v="6950"/>
  </r>
  <r>
    <d v="2016-05-31T00:00:00"/>
    <x v="1"/>
    <x v="7"/>
    <x v="1"/>
    <n v="20078"/>
  </r>
  <r>
    <d v="2016-05-31T00:00:00"/>
    <x v="1"/>
    <x v="8"/>
    <x v="0"/>
    <n v="27800"/>
  </r>
  <r>
    <d v="2016-05-31T00:00:00"/>
    <x v="1"/>
    <x v="9"/>
    <x v="2"/>
    <n v="21612"/>
  </r>
  <r>
    <d v="2016-05-31T00:00:00"/>
    <x v="1"/>
    <x v="10"/>
    <x v="2"/>
    <n v="43223"/>
  </r>
  <r>
    <d v="2016-05-31T00:00:00"/>
    <x v="1"/>
    <x v="11"/>
    <x v="1"/>
    <n v="17568"/>
  </r>
  <r>
    <d v="2016-05-31T00:00:00"/>
    <x v="2"/>
    <x v="0"/>
    <x v="0"/>
    <n v="10605"/>
  </r>
  <r>
    <d v="2016-05-31T00:00:00"/>
    <x v="2"/>
    <x v="1"/>
    <x v="1"/>
    <n v="6155"/>
  </r>
  <r>
    <d v="2016-05-31T00:00:00"/>
    <x v="2"/>
    <x v="2"/>
    <x v="1"/>
    <n v="8206"/>
  </r>
  <r>
    <d v="2016-05-31T00:00:00"/>
    <x v="2"/>
    <x v="3"/>
    <x v="0"/>
    <n v="15907"/>
  </r>
  <r>
    <d v="2016-05-31T00:00:00"/>
    <x v="2"/>
    <x v="4"/>
    <x v="1"/>
    <n v="2052"/>
  </r>
  <r>
    <d v="2016-05-31T00:00:00"/>
    <x v="2"/>
    <x v="5"/>
    <x v="2"/>
    <n v="21199"/>
  </r>
  <r>
    <d v="2016-05-31T00:00:00"/>
    <x v="2"/>
    <x v="6"/>
    <x v="0"/>
    <n v="4545"/>
  </r>
  <r>
    <d v="2016-05-31T00:00:00"/>
    <x v="2"/>
    <x v="7"/>
    <x v="1"/>
    <n v="13130"/>
  </r>
  <r>
    <d v="2016-05-31T00:00:00"/>
    <x v="2"/>
    <x v="8"/>
    <x v="0"/>
    <n v="18180"/>
  </r>
  <r>
    <d v="2016-05-31T00:00:00"/>
    <x v="2"/>
    <x v="9"/>
    <x v="2"/>
    <n v="14133"/>
  </r>
  <r>
    <d v="2016-05-31T00:00:00"/>
    <x v="2"/>
    <x v="10"/>
    <x v="2"/>
    <n v="28266"/>
  </r>
  <r>
    <d v="2016-05-31T00:00:00"/>
    <x v="2"/>
    <x v="11"/>
    <x v="1"/>
    <n v="11489"/>
  </r>
  <r>
    <d v="2016-06-30T00:00:00"/>
    <x v="0"/>
    <x v="0"/>
    <x v="0"/>
    <n v="14911"/>
  </r>
  <r>
    <d v="2016-06-30T00:00:00"/>
    <x v="0"/>
    <x v="1"/>
    <x v="1"/>
    <n v="8654"/>
  </r>
  <r>
    <d v="2016-06-30T00:00:00"/>
    <x v="0"/>
    <x v="2"/>
    <x v="1"/>
    <n v="11538"/>
  </r>
  <r>
    <d v="2016-06-30T00:00:00"/>
    <x v="0"/>
    <x v="3"/>
    <x v="0"/>
    <n v="22366"/>
  </r>
  <r>
    <d v="2016-06-30T00:00:00"/>
    <x v="0"/>
    <x v="4"/>
    <x v="1"/>
    <n v="2885"/>
  </r>
  <r>
    <d v="2016-06-30T00:00:00"/>
    <x v="0"/>
    <x v="5"/>
    <x v="2"/>
    <n v="29807"/>
  </r>
  <r>
    <d v="2016-06-30T00:00:00"/>
    <x v="0"/>
    <x v="6"/>
    <x v="0"/>
    <n v="6390"/>
  </r>
  <r>
    <d v="2016-06-30T00:00:00"/>
    <x v="0"/>
    <x v="7"/>
    <x v="1"/>
    <n v="18461"/>
  </r>
  <r>
    <d v="2016-06-30T00:00:00"/>
    <x v="0"/>
    <x v="8"/>
    <x v="0"/>
    <n v="25561"/>
  </r>
  <r>
    <d v="2016-06-30T00:00:00"/>
    <x v="0"/>
    <x v="9"/>
    <x v="2"/>
    <n v="19871"/>
  </r>
  <r>
    <d v="2016-06-30T00:00:00"/>
    <x v="0"/>
    <x v="10"/>
    <x v="2"/>
    <n v="39742"/>
  </r>
  <r>
    <d v="2016-06-30T00:00:00"/>
    <x v="0"/>
    <x v="11"/>
    <x v="1"/>
    <n v="16153"/>
  </r>
  <r>
    <d v="2016-06-30T00:00:00"/>
    <x v="1"/>
    <x v="0"/>
    <x v="0"/>
    <n v="15526"/>
  </r>
  <r>
    <d v="2016-06-30T00:00:00"/>
    <x v="1"/>
    <x v="1"/>
    <x v="1"/>
    <n v="9010"/>
  </r>
  <r>
    <d v="2016-06-30T00:00:00"/>
    <x v="1"/>
    <x v="2"/>
    <x v="1"/>
    <n v="12014"/>
  </r>
  <r>
    <d v="2016-06-30T00:00:00"/>
    <x v="1"/>
    <x v="3"/>
    <x v="0"/>
    <n v="23288"/>
  </r>
  <r>
    <d v="2016-06-30T00:00:00"/>
    <x v="1"/>
    <x v="4"/>
    <x v="1"/>
    <n v="3003"/>
  </r>
  <r>
    <d v="2016-06-30T00:00:00"/>
    <x v="1"/>
    <x v="5"/>
    <x v="2"/>
    <n v="31036"/>
  </r>
  <r>
    <d v="2016-06-30T00:00:00"/>
    <x v="1"/>
    <x v="6"/>
    <x v="0"/>
    <n v="6654"/>
  </r>
  <r>
    <d v="2016-06-30T00:00:00"/>
    <x v="1"/>
    <x v="7"/>
    <x v="1"/>
    <n v="19222"/>
  </r>
  <r>
    <d v="2016-06-30T00:00:00"/>
    <x v="1"/>
    <x v="8"/>
    <x v="0"/>
    <n v="26615"/>
  </r>
  <r>
    <d v="2016-06-30T00:00:00"/>
    <x v="1"/>
    <x v="9"/>
    <x v="2"/>
    <n v="20691"/>
  </r>
  <r>
    <d v="2016-06-30T00:00:00"/>
    <x v="1"/>
    <x v="10"/>
    <x v="2"/>
    <n v="41381"/>
  </r>
  <r>
    <d v="2016-06-30T00:00:00"/>
    <x v="1"/>
    <x v="11"/>
    <x v="1"/>
    <n v="16819"/>
  </r>
  <r>
    <d v="2016-06-30T00:00:00"/>
    <x v="2"/>
    <x v="0"/>
    <x v="0"/>
    <n v="12388"/>
  </r>
  <r>
    <d v="2016-06-30T00:00:00"/>
    <x v="2"/>
    <x v="1"/>
    <x v="1"/>
    <n v="7189"/>
  </r>
  <r>
    <d v="2016-06-30T00:00:00"/>
    <x v="2"/>
    <x v="2"/>
    <x v="1"/>
    <n v="9586"/>
  </r>
  <r>
    <d v="2016-06-30T00:00:00"/>
    <x v="2"/>
    <x v="3"/>
    <x v="0"/>
    <n v="18582"/>
  </r>
  <r>
    <d v="2016-06-30T00:00:00"/>
    <x v="2"/>
    <x v="4"/>
    <x v="1"/>
    <n v="2396"/>
  </r>
  <r>
    <d v="2016-06-30T00:00:00"/>
    <x v="2"/>
    <x v="5"/>
    <x v="2"/>
    <n v="24763"/>
  </r>
  <r>
    <d v="2016-06-30T00:00:00"/>
    <x v="2"/>
    <x v="6"/>
    <x v="0"/>
    <n v="5309"/>
  </r>
  <r>
    <d v="2016-06-30T00:00:00"/>
    <x v="2"/>
    <x v="7"/>
    <x v="1"/>
    <n v="15337"/>
  </r>
  <r>
    <d v="2016-06-30T00:00:00"/>
    <x v="2"/>
    <x v="8"/>
    <x v="0"/>
    <n v="21236"/>
  </r>
  <r>
    <d v="2016-06-30T00:00:00"/>
    <x v="2"/>
    <x v="9"/>
    <x v="2"/>
    <n v="16509"/>
  </r>
  <r>
    <d v="2016-06-30T00:00:00"/>
    <x v="2"/>
    <x v="10"/>
    <x v="2"/>
    <n v="33017"/>
  </r>
  <r>
    <d v="2016-06-30T00:00:00"/>
    <x v="2"/>
    <x v="11"/>
    <x v="1"/>
    <n v="13420"/>
  </r>
  <r>
    <d v="2016-07-31T00:00:00"/>
    <x v="0"/>
    <x v="0"/>
    <x v="0"/>
    <n v="12550"/>
  </r>
  <r>
    <d v="2016-07-31T00:00:00"/>
    <x v="0"/>
    <x v="1"/>
    <x v="1"/>
    <n v="7283"/>
  </r>
  <r>
    <d v="2016-07-31T00:00:00"/>
    <x v="0"/>
    <x v="2"/>
    <x v="1"/>
    <n v="9711"/>
  </r>
  <r>
    <d v="2016-07-31T00:00:00"/>
    <x v="0"/>
    <x v="3"/>
    <x v="0"/>
    <n v="18825"/>
  </r>
  <r>
    <d v="2016-07-31T00:00:00"/>
    <x v="0"/>
    <x v="4"/>
    <x v="1"/>
    <n v="2428"/>
  </r>
  <r>
    <d v="2016-07-31T00:00:00"/>
    <x v="0"/>
    <x v="5"/>
    <x v="2"/>
    <n v="25087"/>
  </r>
  <r>
    <d v="2016-07-31T00:00:00"/>
    <x v="0"/>
    <x v="6"/>
    <x v="0"/>
    <n v="5379"/>
  </r>
  <r>
    <d v="2016-07-31T00:00:00"/>
    <x v="0"/>
    <x v="7"/>
    <x v="1"/>
    <n v="15538"/>
  </r>
  <r>
    <d v="2016-07-31T00:00:00"/>
    <x v="0"/>
    <x v="8"/>
    <x v="0"/>
    <n v="21514"/>
  </r>
  <r>
    <d v="2016-07-31T00:00:00"/>
    <x v="0"/>
    <x v="9"/>
    <x v="2"/>
    <n v="16725"/>
  </r>
  <r>
    <d v="2016-07-31T00:00:00"/>
    <x v="0"/>
    <x v="10"/>
    <x v="2"/>
    <n v="33450"/>
  </r>
  <r>
    <d v="2016-07-31T00:00:00"/>
    <x v="0"/>
    <x v="11"/>
    <x v="1"/>
    <n v="13596"/>
  </r>
  <r>
    <d v="2016-07-31T00:00:00"/>
    <x v="1"/>
    <x v="0"/>
    <x v="0"/>
    <n v="15269"/>
  </r>
  <r>
    <d v="2016-07-31T00:00:00"/>
    <x v="1"/>
    <x v="1"/>
    <x v="1"/>
    <n v="8862"/>
  </r>
  <r>
    <d v="2016-07-31T00:00:00"/>
    <x v="1"/>
    <x v="2"/>
    <x v="1"/>
    <n v="11816"/>
  </r>
  <r>
    <d v="2016-07-31T00:00:00"/>
    <x v="1"/>
    <x v="3"/>
    <x v="0"/>
    <n v="22904"/>
  </r>
  <r>
    <d v="2016-07-31T00:00:00"/>
    <x v="1"/>
    <x v="4"/>
    <x v="1"/>
    <n v="2954"/>
  </r>
  <r>
    <d v="2016-07-31T00:00:00"/>
    <x v="1"/>
    <x v="5"/>
    <x v="2"/>
    <n v="30524"/>
  </r>
  <r>
    <d v="2016-07-31T00:00:00"/>
    <x v="1"/>
    <x v="6"/>
    <x v="0"/>
    <n v="6544"/>
  </r>
  <r>
    <d v="2016-07-31T00:00:00"/>
    <x v="1"/>
    <x v="7"/>
    <x v="1"/>
    <n v="18905"/>
  </r>
  <r>
    <d v="2016-07-31T00:00:00"/>
    <x v="1"/>
    <x v="8"/>
    <x v="0"/>
    <n v="26176"/>
  </r>
  <r>
    <d v="2016-07-31T00:00:00"/>
    <x v="1"/>
    <x v="9"/>
    <x v="2"/>
    <n v="20349"/>
  </r>
  <r>
    <d v="2016-07-31T00:00:00"/>
    <x v="1"/>
    <x v="10"/>
    <x v="2"/>
    <n v="40698"/>
  </r>
  <r>
    <d v="2016-07-31T00:00:00"/>
    <x v="1"/>
    <x v="11"/>
    <x v="1"/>
    <n v="16542"/>
  </r>
  <r>
    <d v="2016-07-31T00:00:00"/>
    <x v="2"/>
    <x v="0"/>
    <x v="0"/>
    <n v="13680"/>
  </r>
  <r>
    <d v="2016-07-31T00:00:00"/>
    <x v="2"/>
    <x v="1"/>
    <x v="1"/>
    <n v="7939"/>
  </r>
  <r>
    <d v="2016-07-31T00:00:00"/>
    <x v="2"/>
    <x v="2"/>
    <x v="1"/>
    <n v="10585"/>
  </r>
  <r>
    <d v="2016-07-31T00:00:00"/>
    <x v="2"/>
    <x v="3"/>
    <x v="0"/>
    <n v="20519"/>
  </r>
  <r>
    <d v="2016-07-31T00:00:00"/>
    <x v="2"/>
    <x v="4"/>
    <x v="1"/>
    <n v="2646"/>
  </r>
  <r>
    <d v="2016-07-31T00:00:00"/>
    <x v="2"/>
    <x v="5"/>
    <x v="2"/>
    <n v="27345"/>
  </r>
  <r>
    <d v="2016-07-31T00:00:00"/>
    <x v="2"/>
    <x v="6"/>
    <x v="0"/>
    <n v="5863"/>
  </r>
  <r>
    <d v="2016-07-31T00:00:00"/>
    <x v="2"/>
    <x v="7"/>
    <x v="1"/>
    <n v="16937"/>
  </r>
  <r>
    <d v="2016-07-31T00:00:00"/>
    <x v="2"/>
    <x v="8"/>
    <x v="0"/>
    <n v="23451"/>
  </r>
  <r>
    <d v="2016-07-31T00:00:00"/>
    <x v="2"/>
    <x v="9"/>
    <x v="2"/>
    <n v="18230"/>
  </r>
  <r>
    <d v="2016-07-31T00:00:00"/>
    <x v="2"/>
    <x v="10"/>
    <x v="2"/>
    <n v="36461"/>
  </r>
  <r>
    <d v="2016-07-31T00:00:00"/>
    <x v="2"/>
    <x v="11"/>
    <x v="1"/>
    <n v="14819"/>
  </r>
  <r>
    <d v="2016-08-31T00:00:00"/>
    <x v="0"/>
    <x v="0"/>
    <x v="0"/>
    <n v="13873"/>
  </r>
  <r>
    <d v="2016-08-31T00:00:00"/>
    <x v="0"/>
    <x v="1"/>
    <x v="1"/>
    <n v="8051"/>
  </r>
  <r>
    <d v="2016-08-31T00:00:00"/>
    <x v="0"/>
    <x v="2"/>
    <x v="1"/>
    <n v="10735"/>
  </r>
  <r>
    <d v="2016-08-31T00:00:00"/>
    <x v="0"/>
    <x v="3"/>
    <x v="0"/>
    <n v="20809"/>
  </r>
  <r>
    <d v="2016-08-31T00:00:00"/>
    <x v="0"/>
    <x v="4"/>
    <x v="1"/>
    <n v="2684"/>
  </r>
  <r>
    <d v="2016-08-31T00:00:00"/>
    <x v="0"/>
    <x v="5"/>
    <x v="2"/>
    <n v="27732"/>
  </r>
  <r>
    <d v="2016-08-31T00:00:00"/>
    <x v="0"/>
    <x v="6"/>
    <x v="0"/>
    <n v="5946"/>
  </r>
  <r>
    <d v="2016-08-31T00:00:00"/>
    <x v="0"/>
    <x v="7"/>
    <x v="1"/>
    <n v="17176"/>
  </r>
  <r>
    <d v="2016-08-31T00:00:00"/>
    <x v="0"/>
    <x v="8"/>
    <x v="0"/>
    <n v="23782"/>
  </r>
  <r>
    <d v="2016-08-31T00:00:00"/>
    <x v="0"/>
    <x v="9"/>
    <x v="2"/>
    <n v="18488"/>
  </r>
  <r>
    <d v="2016-08-31T00:00:00"/>
    <x v="0"/>
    <x v="10"/>
    <x v="2"/>
    <n v="36976"/>
  </r>
  <r>
    <d v="2016-08-31T00:00:00"/>
    <x v="0"/>
    <x v="11"/>
    <x v="1"/>
    <n v="15029"/>
  </r>
  <r>
    <d v="2016-08-31T00:00:00"/>
    <x v="1"/>
    <x v="0"/>
    <x v="0"/>
    <n v="16476"/>
  </r>
  <r>
    <d v="2016-08-31T00:00:00"/>
    <x v="1"/>
    <x v="1"/>
    <x v="1"/>
    <n v="9562"/>
  </r>
  <r>
    <d v="2016-08-31T00:00:00"/>
    <x v="1"/>
    <x v="2"/>
    <x v="1"/>
    <n v="12749"/>
  </r>
  <r>
    <d v="2016-08-31T00:00:00"/>
    <x v="1"/>
    <x v="3"/>
    <x v="0"/>
    <n v="24713"/>
  </r>
  <r>
    <d v="2016-08-31T00:00:00"/>
    <x v="1"/>
    <x v="4"/>
    <x v="1"/>
    <n v="3187"/>
  </r>
  <r>
    <d v="2016-08-31T00:00:00"/>
    <x v="1"/>
    <x v="5"/>
    <x v="2"/>
    <n v="32935"/>
  </r>
  <r>
    <d v="2016-08-31T00:00:00"/>
    <x v="1"/>
    <x v="6"/>
    <x v="0"/>
    <n v="7061"/>
  </r>
  <r>
    <d v="2016-08-31T00:00:00"/>
    <x v="1"/>
    <x v="7"/>
    <x v="1"/>
    <n v="20398"/>
  </r>
  <r>
    <d v="2016-08-31T00:00:00"/>
    <x v="1"/>
    <x v="8"/>
    <x v="0"/>
    <n v="28244"/>
  </r>
  <r>
    <d v="2016-08-31T00:00:00"/>
    <x v="1"/>
    <x v="9"/>
    <x v="2"/>
    <n v="21957"/>
  </r>
  <r>
    <d v="2016-08-31T00:00:00"/>
    <x v="1"/>
    <x v="10"/>
    <x v="2"/>
    <n v="43913"/>
  </r>
  <r>
    <d v="2016-08-31T00:00:00"/>
    <x v="1"/>
    <x v="11"/>
    <x v="1"/>
    <n v="17849"/>
  </r>
  <r>
    <d v="2016-08-31T00:00:00"/>
    <x v="2"/>
    <x v="0"/>
    <x v="0"/>
    <n v="11707"/>
  </r>
  <r>
    <d v="2016-08-31T00:00:00"/>
    <x v="2"/>
    <x v="1"/>
    <x v="1"/>
    <n v="6794"/>
  </r>
  <r>
    <d v="2016-08-31T00:00:00"/>
    <x v="2"/>
    <x v="2"/>
    <x v="1"/>
    <n v="9059"/>
  </r>
  <r>
    <d v="2016-08-31T00:00:00"/>
    <x v="2"/>
    <x v="3"/>
    <x v="0"/>
    <n v="17560"/>
  </r>
  <r>
    <d v="2016-08-31T00:00:00"/>
    <x v="2"/>
    <x v="4"/>
    <x v="1"/>
    <n v="2265"/>
  </r>
  <r>
    <d v="2016-08-31T00:00:00"/>
    <x v="2"/>
    <x v="5"/>
    <x v="2"/>
    <n v="23402"/>
  </r>
  <r>
    <d v="2016-08-31T00:00:00"/>
    <x v="2"/>
    <x v="6"/>
    <x v="0"/>
    <n v="5017"/>
  </r>
  <r>
    <d v="2016-08-31T00:00:00"/>
    <x v="2"/>
    <x v="7"/>
    <x v="1"/>
    <n v="14494"/>
  </r>
  <r>
    <d v="2016-08-31T00:00:00"/>
    <x v="2"/>
    <x v="8"/>
    <x v="0"/>
    <n v="20069"/>
  </r>
  <r>
    <d v="2016-08-31T00:00:00"/>
    <x v="2"/>
    <x v="9"/>
    <x v="2"/>
    <n v="15601"/>
  </r>
  <r>
    <d v="2016-08-31T00:00:00"/>
    <x v="2"/>
    <x v="10"/>
    <x v="2"/>
    <n v="31202"/>
  </r>
  <r>
    <d v="2016-08-31T00:00:00"/>
    <x v="2"/>
    <x v="11"/>
    <x v="1"/>
    <n v="12682"/>
  </r>
  <r>
    <d v="2016-09-30T00:00:00"/>
    <x v="0"/>
    <x v="0"/>
    <x v="0"/>
    <n v="13920"/>
  </r>
  <r>
    <d v="2016-09-30T00:00:00"/>
    <x v="0"/>
    <x v="1"/>
    <x v="1"/>
    <n v="8078"/>
  </r>
  <r>
    <d v="2016-09-30T00:00:00"/>
    <x v="0"/>
    <x v="2"/>
    <x v="1"/>
    <n v="10771"/>
  </r>
  <r>
    <d v="2016-09-30T00:00:00"/>
    <x v="0"/>
    <x v="3"/>
    <x v="0"/>
    <n v="20880"/>
  </r>
  <r>
    <d v="2016-09-30T00:00:00"/>
    <x v="0"/>
    <x v="4"/>
    <x v="1"/>
    <n v="2693"/>
  </r>
  <r>
    <d v="2016-09-30T00:00:00"/>
    <x v="0"/>
    <x v="5"/>
    <x v="2"/>
    <n v="27826"/>
  </r>
  <r>
    <d v="2016-09-30T00:00:00"/>
    <x v="0"/>
    <x v="6"/>
    <x v="0"/>
    <n v="5966"/>
  </r>
  <r>
    <d v="2016-09-30T00:00:00"/>
    <x v="0"/>
    <x v="7"/>
    <x v="1"/>
    <n v="17234"/>
  </r>
  <r>
    <d v="2016-09-30T00:00:00"/>
    <x v="0"/>
    <x v="8"/>
    <x v="0"/>
    <n v="23862"/>
  </r>
  <r>
    <d v="2016-09-30T00:00:00"/>
    <x v="0"/>
    <x v="9"/>
    <x v="2"/>
    <n v="18550"/>
  </r>
  <r>
    <d v="2016-09-30T00:00:00"/>
    <x v="0"/>
    <x v="10"/>
    <x v="2"/>
    <n v="37101"/>
  </r>
  <r>
    <d v="2016-09-30T00:00:00"/>
    <x v="0"/>
    <x v="11"/>
    <x v="1"/>
    <n v="15080"/>
  </r>
  <r>
    <d v="2016-09-30T00:00:00"/>
    <x v="1"/>
    <x v="0"/>
    <x v="0"/>
    <n v="12119"/>
  </r>
  <r>
    <d v="2016-09-30T00:00:00"/>
    <x v="1"/>
    <x v="1"/>
    <x v="1"/>
    <n v="7034"/>
  </r>
  <r>
    <d v="2016-09-30T00:00:00"/>
    <x v="1"/>
    <x v="2"/>
    <x v="1"/>
    <n v="9378"/>
  </r>
  <r>
    <d v="2016-09-30T00:00:00"/>
    <x v="1"/>
    <x v="3"/>
    <x v="0"/>
    <n v="18179"/>
  </r>
  <r>
    <d v="2016-09-30T00:00:00"/>
    <x v="1"/>
    <x v="4"/>
    <x v="1"/>
    <n v="2345"/>
  </r>
  <r>
    <d v="2016-09-30T00:00:00"/>
    <x v="1"/>
    <x v="5"/>
    <x v="2"/>
    <n v="24227"/>
  </r>
  <r>
    <d v="2016-09-30T00:00:00"/>
    <x v="1"/>
    <x v="6"/>
    <x v="0"/>
    <n v="5194"/>
  </r>
  <r>
    <d v="2016-09-30T00:00:00"/>
    <x v="1"/>
    <x v="7"/>
    <x v="1"/>
    <n v="15005"/>
  </r>
  <r>
    <d v="2016-09-30T00:00:00"/>
    <x v="1"/>
    <x v="8"/>
    <x v="0"/>
    <n v="20776"/>
  </r>
  <r>
    <d v="2016-09-30T00:00:00"/>
    <x v="1"/>
    <x v="9"/>
    <x v="2"/>
    <n v="16151"/>
  </r>
  <r>
    <d v="2016-09-30T00:00:00"/>
    <x v="1"/>
    <x v="10"/>
    <x v="2"/>
    <n v="32302"/>
  </r>
  <r>
    <d v="2016-09-30T00:00:00"/>
    <x v="1"/>
    <x v="11"/>
    <x v="1"/>
    <n v="13129"/>
  </r>
  <r>
    <d v="2016-09-30T00:00:00"/>
    <x v="2"/>
    <x v="0"/>
    <x v="0"/>
    <n v="10546"/>
  </r>
  <r>
    <d v="2016-09-30T00:00:00"/>
    <x v="2"/>
    <x v="1"/>
    <x v="1"/>
    <n v="6120"/>
  </r>
  <r>
    <d v="2016-09-30T00:00:00"/>
    <x v="2"/>
    <x v="2"/>
    <x v="1"/>
    <n v="8161"/>
  </r>
  <r>
    <d v="2016-09-30T00:00:00"/>
    <x v="2"/>
    <x v="3"/>
    <x v="0"/>
    <n v="15819"/>
  </r>
  <r>
    <d v="2016-09-30T00:00:00"/>
    <x v="2"/>
    <x v="4"/>
    <x v="1"/>
    <n v="2040"/>
  </r>
  <r>
    <d v="2016-09-30T00:00:00"/>
    <x v="2"/>
    <x v="5"/>
    <x v="2"/>
    <n v="21082"/>
  </r>
  <r>
    <d v="2016-09-30T00:00:00"/>
    <x v="2"/>
    <x v="6"/>
    <x v="0"/>
    <n v="4520"/>
  </r>
  <r>
    <d v="2016-09-30T00:00:00"/>
    <x v="2"/>
    <x v="7"/>
    <x v="1"/>
    <n v="13057"/>
  </r>
  <r>
    <d v="2016-09-30T00:00:00"/>
    <x v="2"/>
    <x v="8"/>
    <x v="0"/>
    <n v="18079"/>
  </r>
  <r>
    <d v="2016-09-30T00:00:00"/>
    <x v="2"/>
    <x v="9"/>
    <x v="2"/>
    <n v="14054"/>
  </r>
  <r>
    <d v="2016-09-30T00:00:00"/>
    <x v="2"/>
    <x v="10"/>
    <x v="2"/>
    <n v="28109"/>
  </r>
  <r>
    <d v="2016-09-30T00:00:00"/>
    <x v="2"/>
    <x v="11"/>
    <x v="1"/>
    <n v="11425"/>
  </r>
  <r>
    <d v="2016-10-31T00:00:00"/>
    <x v="0"/>
    <x v="0"/>
    <x v="0"/>
    <n v="12662"/>
  </r>
  <r>
    <d v="2016-10-31T00:00:00"/>
    <x v="0"/>
    <x v="1"/>
    <x v="1"/>
    <n v="7348"/>
  </r>
  <r>
    <d v="2016-10-31T00:00:00"/>
    <x v="0"/>
    <x v="2"/>
    <x v="1"/>
    <n v="9798"/>
  </r>
  <r>
    <d v="2016-10-31T00:00:00"/>
    <x v="0"/>
    <x v="3"/>
    <x v="0"/>
    <n v="18992"/>
  </r>
  <r>
    <d v="2016-10-31T00:00:00"/>
    <x v="0"/>
    <x v="4"/>
    <x v="1"/>
    <n v="2449"/>
  </r>
  <r>
    <d v="2016-10-31T00:00:00"/>
    <x v="0"/>
    <x v="5"/>
    <x v="2"/>
    <n v="25311"/>
  </r>
  <r>
    <d v="2016-10-31T00:00:00"/>
    <x v="0"/>
    <x v="6"/>
    <x v="0"/>
    <n v="5426"/>
  </r>
  <r>
    <d v="2016-10-31T00:00:00"/>
    <x v="0"/>
    <x v="7"/>
    <x v="1"/>
    <n v="15676"/>
  </r>
  <r>
    <d v="2016-10-31T00:00:00"/>
    <x v="0"/>
    <x v="8"/>
    <x v="0"/>
    <n v="21706"/>
  </r>
  <r>
    <d v="2016-10-31T00:00:00"/>
    <x v="0"/>
    <x v="9"/>
    <x v="2"/>
    <n v="16874"/>
  </r>
  <r>
    <d v="2016-10-31T00:00:00"/>
    <x v="0"/>
    <x v="10"/>
    <x v="2"/>
    <n v="33747"/>
  </r>
  <r>
    <d v="2016-10-31T00:00:00"/>
    <x v="0"/>
    <x v="11"/>
    <x v="1"/>
    <n v="13717"/>
  </r>
  <r>
    <d v="2016-10-31T00:00:00"/>
    <x v="1"/>
    <x v="0"/>
    <x v="0"/>
    <n v="16437"/>
  </r>
  <r>
    <d v="2016-10-31T00:00:00"/>
    <x v="1"/>
    <x v="1"/>
    <x v="1"/>
    <n v="9539"/>
  </r>
  <r>
    <d v="2016-10-31T00:00:00"/>
    <x v="1"/>
    <x v="2"/>
    <x v="1"/>
    <n v="12719"/>
  </r>
  <r>
    <d v="2016-10-31T00:00:00"/>
    <x v="1"/>
    <x v="3"/>
    <x v="0"/>
    <n v="24656"/>
  </r>
  <r>
    <d v="2016-10-31T00:00:00"/>
    <x v="1"/>
    <x v="4"/>
    <x v="1"/>
    <n v="3180"/>
  </r>
  <r>
    <d v="2016-10-31T00:00:00"/>
    <x v="1"/>
    <x v="5"/>
    <x v="2"/>
    <n v="32858"/>
  </r>
  <r>
    <d v="2016-10-31T00:00:00"/>
    <x v="1"/>
    <x v="6"/>
    <x v="0"/>
    <n v="7044"/>
  </r>
  <r>
    <d v="2016-10-31T00:00:00"/>
    <x v="1"/>
    <x v="7"/>
    <x v="1"/>
    <n v="20351"/>
  </r>
  <r>
    <d v="2016-10-31T00:00:00"/>
    <x v="1"/>
    <x v="8"/>
    <x v="0"/>
    <n v="28178"/>
  </r>
  <r>
    <d v="2016-10-31T00:00:00"/>
    <x v="1"/>
    <x v="9"/>
    <x v="2"/>
    <n v="21905"/>
  </r>
  <r>
    <d v="2016-10-31T00:00:00"/>
    <x v="1"/>
    <x v="10"/>
    <x v="2"/>
    <n v="43811"/>
  </r>
  <r>
    <d v="2016-10-31T00:00:00"/>
    <x v="1"/>
    <x v="11"/>
    <x v="1"/>
    <n v="17807"/>
  </r>
  <r>
    <d v="2016-10-31T00:00:00"/>
    <x v="2"/>
    <x v="0"/>
    <x v="0"/>
    <n v="12331"/>
  </r>
  <r>
    <d v="2016-10-31T00:00:00"/>
    <x v="2"/>
    <x v="1"/>
    <x v="1"/>
    <n v="7156"/>
  </r>
  <r>
    <d v="2016-10-31T00:00:00"/>
    <x v="2"/>
    <x v="2"/>
    <x v="1"/>
    <n v="9542"/>
  </r>
  <r>
    <d v="2016-10-31T00:00:00"/>
    <x v="2"/>
    <x v="3"/>
    <x v="0"/>
    <n v="18496"/>
  </r>
  <r>
    <d v="2016-10-31T00:00:00"/>
    <x v="2"/>
    <x v="4"/>
    <x v="1"/>
    <n v="2385"/>
  </r>
  <r>
    <d v="2016-10-31T00:00:00"/>
    <x v="2"/>
    <x v="5"/>
    <x v="2"/>
    <n v="24649"/>
  </r>
  <r>
    <d v="2016-10-31T00:00:00"/>
    <x v="2"/>
    <x v="6"/>
    <x v="0"/>
    <n v="5285"/>
  </r>
  <r>
    <d v="2016-10-31T00:00:00"/>
    <x v="2"/>
    <x v="7"/>
    <x v="1"/>
    <n v="15267"/>
  </r>
  <r>
    <d v="2016-10-31T00:00:00"/>
    <x v="2"/>
    <x v="8"/>
    <x v="0"/>
    <n v="21138"/>
  </r>
  <r>
    <d v="2016-10-31T00:00:00"/>
    <x v="2"/>
    <x v="9"/>
    <x v="2"/>
    <n v="16433"/>
  </r>
  <r>
    <d v="2016-10-31T00:00:00"/>
    <x v="2"/>
    <x v="10"/>
    <x v="2"/>
    <n v="32866"/>
  </r>
  <r>
    <d v="2016-10-31T00:00:00"/>
    <x v="2"/>
    <x v="11"/>
    <x v="1"/>
    <n v="13358"/>
  </r>
  <r>
    <d v="2016-11-30T00:00:00"/>
    <x v="0"/>
    <x v="0"/>
    <x v="0"/>
    <n v="14622"/>
  </r>
  <r>
    <d v="2016-11-30T00:00:00"/>
    <x v="0"/>
    <x v="1"/>
    <x v="1"/>
    <n v="8486"/>
  </r>
  <r>
    <d v="2016-11-30T00:00:00"/>
    <x v="0"/>
    <x v="2"/>
    <x v="1"/>
    <n v="11314"/>
  </r>
  <r>
    <d v="2016-11-30T00:00:00"/>
    <x v="0"/>
    <x v="3"/>
    <x v="0"/>
    <n v="21932"/>
  </r>
  <r>
    <d v="2016-11-30T00:00:00"/>
    <x v="0"/>
    <x v="4"/>
    <x v="1"/>
    <n v="2829"/>
  </r>
  <r>
    <d v="2016-11-30T00:00:00"/>
    <x v="0"/>
    <x v="5"/>
    <x v="2"/>
    <n v="29229"/>
  </r>
  <r>
    <d v="2016-11-30T00:00:00"/>
    <x v="0"/>
    <x v="6"/>
    <x v="0"/>
    <n v="6266"/>
  </r>
  <r>
    <d v="2016-11-30T00:00:00"/>
    <x v="0"/>
    <x v="7"/>
    <x v="1"/>
    <n v="18103"/>
  </r>
  <r>
    <d v="2016-11-30T00:00:00"/>
    <x v="0"/>
    <x v="8"/>
    <x v="0"/>
    <n v="25066"/>
  </r>
  <r>
    <d v="2016-11-30T00:00:00"/>
    <x v="0"/>
    <x v="9"/>
    <x v="2"/>
    <n v="19486"/>
  </r>
  <r>
    <d v="2016-11-30T00:00:00"/>
    <x v="0"/>
    <x v="10"/>
    <x v="2"/>
    <n v="38971"/>
  </r>
  <r>
    <d v="2016-11-30T00:00:00"/>
    <x v="0"/>
    <x v="11"/>
    <x v="1"/>
    <n v="15840"/>
  </r>
  <r>
    <d v="2016-11-30T00:00:00"/>
    <x v="1"/>
    <x v="0"/>
    <x v="0"/>
    <n v="11745"/>
  </r>
  <r>
    <d v="2016-11-30T00:00:00"/>
    <x v="1"/>
    <x v="1"/>
    <x v="1"/>
    <n v="6816"/>
  </r>
  <r>
    <d v="2016-11-30T00:00:00"/>
    <x v="1"/>
    <x v="2"/>
    <x v="1"/>
    <n v="9088"/>
  </r>
  <r>
    <d v="2016-11-30T00:00:00"/>
    <x v="1"/>
    <x v="3"/>
    <x v="0"/>
    <n v="17618"/>
  </r>
  <r>
    <d v="2016-11-30T00:00:00"/>
    <x v="1"/>
    <x v="4"/>
    <x v="1"/>
    <n v="2272"/>
  </r>
  <r>
    <d v="2016-11-30T00:00:00"/>
    <x v="1"/>
    <x v="5"/>
    <x v="2"/>
    <n v="23479"/>
  </r>
  <r>
    <d v="2016-11-30T00:00:00"/>
    <x v="1"/>
    <x v="6"/>
    <x v="0"/>
    <n v="5034"/>
  </r>
  <r>
    <d v="2016-11-30T00:00:00"/>
    <x v="1"/>
    <x v="7"/>
    <x v="1"/>
    <n v="14542"/>
  </r>
  <r>
    <d v="2016-11-30T00:00:00"/>
    <x v="1"/>
    <x v="8"/>
    <x v="0"/>
    <n v="20134"/>
  </r>
  <r>
    <d v="2016-11-30T00:00:00"/>
    <x v="1"/>
    <x v="9"/>
    <x v="2"/>
    <n v="15652"/>
  </r>
  <r>
    <d v="2016-11-30T00:00:00"/>
    <x v="1"/>
    <x v="10"/>
    <x v="2"/>
    <n v="31305"/>
  </r>
  <r>
    <d v="2016-11-30T00:00:00"/>
    <x v="1"/>
    <x v="11"/>
    <x v="1"/>
    <n v="12724"/>
  </r>
  <r>
    <d v="2016-11-30T00:00:00"/>
    <x v="2"/>
    <x v="0"/>
    <x v="0"/>
    <n v="11766"/>
  </r>
  <r>
    <d v="2016-11-30T00:00:00"/>
    <x v="2"/>
    <x v="1"/>
    <x v="1"/>
    <n v="6829"/>
  </r>
  <r>
    <d v="2016-11-30T00:00:00"/>
    <x v="2"/>
    <x v="2"/>
    <x v="1"/>
    <n v="9105"/>
  </r>
  <r>
    <d v="2016-11-30T00:00:00"/>
    <x v="2"/>
    <x v="3"/>
    <x v="0"/>
    <n v="17649"/>
  </r>
  <r>
    <d v="2016-11-30T00:00:00"/>
    <x v="2"/>
    <x v="4"/>
    <x v="1"/>
    <n v="2276"/>
  </r>
  <r>
    <d v="2016-11-30T00:00:00"/>
    <x v="2"/>
    <x v="5"/>
    <x v="2"/>
    <n v="23521"/>
  </r>
  <r>
    <d v="2016-11-30T00:00:00"/>
    <x v="2"/>
    <x v="6"/>
    <x v="0"/>
    <n v="5043"/>
  </r>
  <r>
    <d v="2016-11-30T00:00:00"/>
    <x v="2"/>
    <x v="7"/>
    <x v="1"/>
    <n v="14568"/>
  </r>
  <r>
    <d v="2016-11-30T00:00:00"/>
    <x v="2"/>
    <x v="8"/>
    <x v="0"/>
    <n v="20171"/>
  </r>
  <r>
    <d v="2016-11-30T00:00:00"/>
    <x v="2"/>
    <x v="9"/>
    <x v="2"/>
    <n v="15680"/>
  </r>
  <r>
    <d v="2016-11-30T00:00:00"/>
    <x v="2"/>
    <x v="10"/>
    <x v="2"/>
    <n v="31361"/>
  </r>
  <r>
    <d v="2016-11-30T00:00:00"/>
    <x v="2"/>
    <x v="11"/>
    <x v="1"/>
    <n v="12747"/>
  </r>
  <r>
    <d v="2016-12-31T00:00:00"/>
    <x v="0"/>
    <x v="0"/>
    <x v="0"/>
    <n v="15464"/>
  </r>
  <r>
    <d v="2016-12-31T00:00:00"/>
    <x v="0"/>
    <x v="1"/>
    <x v="1"/>
    <n v="8974"/>
  </r>
  <r>
    <d v="2016-12-31T00:00:00"/>
    <x v="0"/>
    <x v="2"/>
    <x v="1"/>
    <n v="11966"/>
  </r>
  <r>
    <d v="2016-12-31T00:00:00"/>
    <x v="0"/>
    <x v="3"/>
    <x v="0"/>
    <n v="23196"/>
  </r>
  <r>
    <d v="2016-12-31T00:00:00"/>
    <x v="0"/>
    <x v="4"/>
    <x v="1"/>
    <n v="2991"/>
  </r>
  <r>
    <d v="2016-12-31T00:00:00"/>
    <x v="0"/>
    <x v="5"/>
    <x v="2"/>
    <n v="30912"/>
  </r>
  <r>
    <d v="2016-12-31T00:00:00"/>
    <x v="0"/>
    <x v="6"/>
    <x v="0"/>
    <n v="6627"/>
  </r>
  <r>
    <d v="2016-12-31T00:00:00"/>
    <x v="0"/>
    <x v="7"/>
    <x v="1"/>
    <n v="19146"/>
  </r>
  <r>
    <d v="2016-12-31T00:00:00"/>
    <x v="0"/>
    <x v="8"/>
    <x v="0"/>
    <n v="26509"/>
  </r>
  <r>
    <d v="2016-12-31T00:00:00"/>
    <x v="0"/>
    <x v="9"/>
    <x v="2"/>
    <n v="20608"/>
  </r>
  <r>
    <d v="2016-12-31T00:00:00"/>
    <x v="0"/>
    <x v="10"/>
    <x v="2"/>
    <n v="41216"/>
  </r>
  <r>
    <d v="2016-12-31T00:00:00"/>
    <x v="0"/>
    <x v="11"/>
    <x v="1"/>
    <n v="16752"/>
  </r>
  <r>
    <d v="2016-12-31T00:00:00"/>
    <x v="1"/>
    <x v="0"/>
    <x v="0"/>
    <n v="12478"/>
  </r>
  <r>
    <d v="2016-12-31T00:00:00"/>
    <x v="1"/>
    <x v="1"/>
    <x v="1"/>
    <n v="7242"/>
  </r>
  <r>
    <d v="2016-12-31T00:00:00"/>
    <x v="1"/>
    <x v="2"/>
    <x v="1"/>
    <n v="9655"/>
  </r>
  <r>
    <d v="2016-12-31T00:00:00"/>
    <x v="1"/>
    <x v="3"/>
    <x v="0"/>
    <n v="18717"/>
  </r>
  <r>
    <d v="2016-12-31T00:00:00"/>
    <x v="1"/>
    <x v="4"/>
    <x v="1"/>
    <n v="2414"/>
  </r>
  <r>
    <d v="2016-12-31T00:00:00"/>
    <x v="1"/>
    <x v="5"/>
    <x v="2"/>
    <n v="24943"/>
  </r>
  <r>
    <d v="2016-12-31T00:00:00"/>
    <x v="1"/>
    <x v="6"/>
    <x v="0"/>
    <n v="5348"/>
  </r>
  <r>
    <d v="2016-12-31T00:00:00"/>
    <x v="1"/>
    <x v="7"/>
    <x v="1"/>
    <n v="15449"/>
  </r>
  <r>
    <d v="2016-12-31T00:00:00"/>
    <x v="1"/>
    <x v="8"/>
    <x v="0"/>
    <n v="21390"/>
  </r>
  <r>
    <d v="2016-12-31T00:00:00"/>
    <x v="1"/>
    <x v="9"/>
    <x v="2"/>
    <n v="16629"/>
  </r>
  <r>
    <d v="2016-12-31T00:00:00"/>
    <x v="1"/>
    <x v="10"/>
    <x v="2"/>
    <n v="33258"/>
  </r>
  <r>
    <d v="2016-12-31T00:00:00"/>
    <x v="1"/>
    <x v="11"/>
    <x v="1"/>
    <n v="13518"/>
  </r>
  <r>
    <d v="2016-12-31T00:00:00"/>
    <x v="2"/>
    <x v="0"/>
    <x v="0"/>
    <n v="12882"/>
  </r>
  <r>
    <d v="2016-12-31T00:00:00"/>
    <x v="2"/>
    <x v="1"/>
    <x v="1"/>
    <n v="7476"/>
  </r>
  <r>
    <d v="2016-12-31T00:00:00"/>
    <x v="2"/>
    <x v="2"/>
    <x v="1"/>
    <n v="9968"/>
  </r>
  <r>
    <d v="2016-12-31T00:00:00"/>
    <x v="2"/>
    <x v="3"/>
    <x v="0"/>
    <n v="19322"/>
  </r>
  <r>
    <d v="2016-12-31T00:00:00"/>
    <x v="2"/>
    <x v="4"/>
    <x v="1"/>
    <n v="2492"/>
  </r>
  <r>
    <d v="2016-12-31T00:00:00"/>
    <x v="2"/>
    <x v="5"/>
    <x v="2"/>
    <n v="25750"/>
  </r>
  <r>
    <d v="2016-12-31T00:00:00"/>
    <x v="2"/>
    <x v="6"/>
    <x v="0"/>
    <n v="5521"/>
  </r>
  <r>
    <d v="2016-12-31T00:00:00"/>
    <x v="2"/>
    <x v="7"/>
    <x v="1"/>
    <n v="15949"/>
  </r>
  <r>
    <d v="2016-12-31T00:00:00"/>
    <x v="2"/>
    <x v="8"/>
    <x v="0"/>
    <n v="22083"/>
  </r>
  <r>
    <d v="2016-12-31T00:00:00"/>
    <x v="2"/>
    <x v="9"/>
    <x v="2"/>
    <n v="17167"/>
  </r>
  <r>
    <d v="2016-12-31T00:00:00"/>
    <x v="2"/>
    <x v="10"/>
    <x v="2"/>
    <n v="34334"/>
  </r>
  <r>
    <d v="2016-12-31T00:00:00"/>
    <x v="2"/>
    <x v="11"/>
    <x v="1"/>
    <n v="1395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2">
  <r>
    <x v="0"/>
    <x v="0"/>
    <n v="2010001"/>
    <x v="0"/>
    <x v="0"/>
    <n v="109.39"/>
  </r>
  <r>
    <x v="0"/>
    <x v="0"/>
    <n v="2010002"/>
    <x v="0"/>
    <x v="1"/>
    <n v="37.520000000000003"/>
  </r>
  <r>
    <x v="0"/>
    <x v="1"/>
    <n v="2010003"/>
    <x v="0"/>
    <x v="0"/>
    <n v="512.91999999999996"/>
  </r>
  <r>
    <x v="1"/>
    <x v="2"/>
    <n v="2010004"/>
    <x v="1"/>
    <x v="0"/>
    <n v="508.09"/>
  </r>
  <r>
    <x v="0"/>
    <x v="3"/>
    <n v="2010005"/>
    <x v="1"/>
    <x v="0"/>
    <n v="935.59"/>
  </r>
  <r>
    <x v="1"/>
    <x v="4"/>
    <n v="2010006"/>
    <x v="1"/>
    <x v="0"/>
    <n v="709.27"/>
  </r>
  <r>
    <x v="0"/>
    <x v="3"/>
    <n v="2010007"/>
    <x v="2"/>
    <x v="0"/>
    <n v="752.04"/>
  </r>
  <r>
    <x v="0"/>
    <x v="5"/>
    <n v="2010008"/>
    <x v="3"/>
    <x v="0"/>
    <n v="398.5"/>
  </r>
  <r>
    <x v="0"/>
    <x v="0"/>
    <n v="2010009"/>
    <x v="3"/>
    <x v="1"/>
    <n v="887.84"/>
  </r>
  <r>
    <x v="0"/>
    <x v="6"/>
    <n v="2010010"/>
    <x v="4"/>
    <x v="1"/>
    <n v="908.22"/>
  </r>
  <r>
    <x v="1"/>
    <x v="7"/>
    <n v="2010011"/>
    <x v="5"/>
    <x v="1"/>
    <n v="349.06"/>
  </r>
  <r>
    <x v="0"/>
    <x v="1"/>
    <n v="2010012"/>
    <x v="5"/>
    <x v="1"/>
    <n v="901.96"/>
  </r>
  <r>
    <x v="0"/>
    <x v="1"/>
    <n v="2010013"/>
    <x v="6"/>
    <x v="1"/>
    <n v="1037.8599999999999"/>
  </r>
  <r>
    <x v="0"/>
    <x v="5"/>
    <n v="2010014"/>
    <x v="6"/>
    <x v="1"/>
    <n v="710.33"/>
  </r>
  <r>
    <x v="0"/>
    <x v="3"/>
    <n v="2010015"/>
    <x v="6"/>
    <x v="1"/>
    <n v="169.25"/>
  </r>
  <r>
    <x v="0"/>
    <x v="1"/>
    <n v="2010016"/>
    <x v="6"/>
    <x v="0"/>
    <n v="1058.72"/>
  </r>
  <r>
    <x v="0"/>
    <x v="0"/>
    <n v="2010017"/>
    <x v="7"/>
    <x v="1"/>
    <n v="1005.3"/>
  </r>
  <r>
    <x v="0"/>
    <x v="6"/>
    <n v="2010018"/>
    <x v="8"/>
    <x v="0"/>
    <n v="1113.06"/>
  </r>
  <r>
    <x v="0"/>
    <x v="0"/>
    <n v="2010019"/>
    <x v="9"/>
    <x v="1"/>
    <n v="204.71"/>
  </r>
  <r>
    <x v="1"/>
    <x v="4"/>
    <n v="2010020"/>
    <x v="10"/>
    <x v="1"/>
    <n v="32.909999999999997"/>
  </r>
  <r>
    <x v="0"/>
    <x v="1"/>
    <n v="2010021"/>
    <x v="10"/>
    <x v="1"/>
    <n v="618.63"/>
  </r>
  <r>
    <x v="0"/>
    <x v="5"/>
    <n v="2010022"/>
    <x v="10"/>
    <x v="1"/>
    <n v="278"/>
  </r>
  <r>
    <x v="0"/>
    <x v="5"/>
    <n v="2010023"/>
    <x v="11"/>
    <x v="1"/>
    <n v="599.09"/>
  </r>
  <r>
    <x v="0"/>
    <x v="5"/>
    <n v="2010024"/>
    <x v="11"/>
    <x v="0"/>
    <n v="312.58"/>
  </r>
  <r>
    <x v="0"/>
    <x v="1"/>
    <n v="2010025"/>
    <x v="11"/>
    <x v="0"/>
    <n v="827.39"/>
  </r>
  <r>
    <x v="0"/>
    <x v="1"/>
    <n v="2010026"/>
    <x v="12"/>
    <x v="0"/>
    <n v="877.66"/>
  </r>
  <r>
    <x v="0"/>
    <x v="5"/>
    <n v="2010027"/>
    <x v="13"/>
    <x v="1"/>
    <n v="753.22"/>
  </r>
  <r>
    <x v="0"/>
    <x v="5"/>
    <n v="2010028"/>
    <x v="13"/>
    <x v="0"/>
    <n v="307.93"/>
  </r>
  <r>
    <x v="0"/>
    <x v="1"/>
    <n v="2010029"/>
    <x v="13"/>
    <x v="0"/>
    <n v="46.7"/>
  </r>
  <r>
    <x v="1"/>
    <x v="8"/>
    <n v="2010030"/>
    <x v="14"/>
    <x v="1"/>
    <n v="195.89"/>
  </r>
  <r>
    <x v="0"/>
    <x v="5"/>
    <n v="2010031"/>
    <x v="14"/>
    <x v="1"/>
    <n v="972.14"/>
  </r>
  <r>
    <x v="1"/>
    <x v="4"/>
    <n v="2010032"/>
    <x v="14"/>
    <x v="0"/>
    <n v="981.04"/>
  </r>
  <r>
    <x v="0"/>
    <x v="1"/>
    <n v="2010033"/>
    <x v="15"/>
    <x v="0"/>
    <n v="1188"/>
  </r>
  <r>
    <x v="0"/>
    <x v="3"/>
    <n v="2010034"/>
    <x v="15"/>
    <x v="1"/>
    <n v="1106.73"/>
  </r>
  <r>
    <x v="0"/>
    <x v="5"/>
    <n v="2010035"/>
    <x v="16"/>
    <x v="1"/>
    <n v="1077.24"/>
  </r>
  <r>
    <x v="0"/>
    <x v="5"/>
    <n v="2010036"/>
    <x v="17"/>
    <x v="1"/>
    <n v="705.76"/>
  </r>
  <r>
    <x v="0"/>
    <x v="6"/>
    <n v="2010037"/>
    <x v="18"/>
    <x v="1"/>
    <n v="100.27"/>
  </r>
  <r>
    <x v="0"/>
    <x v="5"/>
    <n v="2010038"/>
    <x v="19"/>
    <x v="0"/>
    <n v="662.07"/>
  </r>
  <r>
    <x v="0"/>
    <x v="3"/>
    <n v="2010039"/>
    <x v="19"/>
    <x v="1"/>
    <n v="457.08"/>
  </r>
  <r>
    <x v="0"/>
    <x v="1"/>
    <n v="2010040"/>
    <x v="19"/>
    <x v="1"/>
    <n v="667.55"/>
  </r>
  <r>
    <x v="1"/>
    <x v="7"/>
    <n v="2010041"/>
    <x v="20"/>
    <x v="0"/>
    <n v="1080.3800000000001"/>
  </r>
  <r>
    <x v="0"/>
    <x v="5"/>
    <n v="2010042"/>
    <x v="20"/>
    <x v="1"/>
    <n v="50.62"/>
  </r>
  <r>
    <x v="1"/>
    <x v="4"/>
    <n v="2010043"/>
    <x v="20"/>
    <x v="1"/>
    <n v="431.76"/>
  </r>
  <r>
    <x v="1"/>
    <x v="4"/>
    <n v="2010044"/>
    <x v="21"/>
    <x v="1"/>
    <n v="838.84"/>
  </r>
  <r>
    <x v="0"/>
    <x v="5"/>
    <n v="2010045"/>
    <x v="22"/>
    <x v="1"/>
    <n v="420.63"/>
  </r>
  <r>
    <x v="0"/>
    <x v="1"/>
    <n v="2010046"/>
    <x v="22"/>
    <x v="0"/>
    <n v="804.81"/>
  </r>
  <r>
    <x v="1"/>
    <x v="4"/>
    <n v="2010047"/>
    <x v="23"/>
    <x v="1"/>
    <n v="756.84"/>
  </r>
  <r>
    <x v="1"/>
    <x v="7"/>
    <n v="2010048"/>
    <x v="23"/>
    <x v="1"/>
    <n v="718.23"/>
  </r>
  <r>
    <x v="1"/>
    <x v="4"/>
    <n v="2010049"/>
    <x v="24"/>
    <x v="0"/>
    <n v="464.07"/>
  </r>
  <r>
    <x v="1"/>
    <x v="7"/>
    <n v="2010050"/>
    <x v="24"/>
    <x v="1"/>
    <n v="764.12"/>
  </r>
  <r>
    <x v="0"/>
    <x v="0"/>
    <n v="2010051"/>
    <x v="24"/>
    <x v="1"/>
    <n v="43.92"/>
  </r>
  <r>
    <x v="0"/>
    <x v="0"/>
    <n v="2010052"/>
    <x v="24"/>
    <x v="1"/>
    <n v="841.22"/>
  </r>
  <r>
    <x v="0"/>
    <x v="0"/>
    <n v="2010053"/>
    <x v="25"/>
    <x v="0"/>
    <n v="901.41"/>
  </r>
  <r>
    <x v="1"/>
    <x v="7"/>
    <n v="2010054"/>
    <x v="26"/>
    <x v="0"/>
    <n v="46.92"/>
  </r>
  <r>
    <x v="0"/>
    <x v="3"/>
    <n v="2010055"/>
    <x v="26"/>
    <x v="0"/>
    <n v="938.88"/>
  </r>
  <r>
    <x v="0"/>
    <x v="3"/>
    <n v="2010056"/>
    <x v="26"/>
    <x v="0"/>
    <n v="310.24"/>
  </r>
  <r>
    <x v="0"/>
    <x v="1"/>
    <n v="2010057"/>
    <x v="26"/>
    <x v="1"/>
    <n v="183.85"/>
  </r>
  <r>
    <x v="0"/>
    <x v="5"/>
    <n v="2010058"/>
    <x v="26"/>
    <x v="1"/>
    <n v="297.20999999999998"/>
  </r>
  <r>
    <x v="0"/>
    <x v="5"/>
    <n v="2010059"/>
    <x v="27"/>
    <x v="0"/>
    <n v="486.13"/>
  </r>
  <r>
    <x v="0"/>
    <x v="6"/>
    <n v="2010060"/>
    <x v="28"/>
    <x v="1"/>
    <n v="721.23"/>
  </r>
  <r>
    <x v="1"/>
    <x v="8"/>
    <n v="2010061"/>
    <x v="28"/>
    <x v="0"/>
    <n v="644.9"/>
  </r>
  <r>
    <x v="1"/>
    <x v="2"/>
    <n v="2010062"/>
    <x v="28"/>
    <x v="0"/>
    <n v="1112.55"/>
  </r>
  <r>
    <x v="0"/>
    <x v="3"/>
    <n v="2010063"/>
    <x v="29"/>
    <x v="0"/>
    <n v="437.76"/>
  </r>
  <r>
    <x v="0"/>
    <x v="1"/>
    <n v="2010064"/>
    <x v="30"/>
    <x v="0"/>
    <n v="822.74"/>
  </r>
  <r>
    <x v="0"/>
    <x v="0"/>
    <n v="2010065"/>
    <x v="31"/>
    <x v="0"/>
    <n v="431.17"/>
  </r>
  <r>
    <x v="1"/>
    <x v="4"/>
    <n v="2010066"/>
    <x v="32"/>
    <x v="1"/>
    <n v="627.74"/>
  </r>
  <r>
    <x v="0"/>
    <x v="5"/>
    <n v="2010067"/>
    <x v="32"/>
    <x v="1"/>
    <n v="774.48"/>
  </r>
  <r>
    <x v="1"/>
    <x v="4"/>
    <n v="2010068"/>
    <x v="33"/>
    <x v="0"/>
    <n v="321.14"/>
  </r>
  <r>
    <x v="0"/>
    <x v="6"/>
    <n v="2010069"/>
    <x v="33"/>
    <x v="0"/>
    <n v="369.81"/>
  </r>
  <r>
    <x v="0"/>
    <x v="6"/>
    <n v="2010070"/>
    <x v="33"/>
    <x v="1"/>
    <n v="696.21"/>
  </r>
  <r>
    <x v="0"/>
    <x v="6"/>
    <n v="2010071"/>
    <x v="33"/>
    <x v="1"/>
    <n v="188.94"/>
  </r>
  <r>
    <x v="0"/>
    <x v="1"/>
    <n v="2010072"/>
    <x v="33"/>
    <x v="1"/>
    <n v="53"/>
  </r>
  <r>
    <x v="0"/>
    <x v="6"/>
    <n v="2010073"/>
    <x v="34"/>
    <x v="1"/>
    <n v="282.98"/>
  </r>
  <r>
    <x v="0"/>
    <x v="5"/>
    <n v="2010074"/>
    <x v="35"/>
    <x v="1"/>
    <n v="587.16"/>
  </r>
  <r>
    <x v="1"/>
    <x v="8"/>
    <n v="2010075"/>
    <x v="35"/>
    <x v="1"/>
    <n v="1174.3499999999999"/>
  </r>
  <r>
    <x v="1"/>
    <x v="7"/>
    <n v="2010076"/>
    <x v="36"/>
    <x v="1"/>
    <n v="105.03"/>
  </r>
  <r>
    <x v="1"/>
    <x v="8"/>
    <n v="2010077"/>
    <x v="37"/>
    <x v="1"/>
    <n v="1015.4"/>
  </r>
  <r>
    <x v="0"/>
    <x v="5"/>
    <n v="2010078"/>
    <x v="37"/>
    <x v="0"/>
    <n v="742.57"/>
  </r>
  <r>
    <x v="0"/>
    <x v="0"/>
    <n v="2010079"/>
    <x v="37"/>
    <x v="1"/>
    <n v="985.1"/>
  </r>
  <r>
    <x v="0"/>
    <x v="0"/>
    <n v="2010080"/>
    <x v="37"/>
    <x v="1"/>
    <n v="382.43"/>
  </r>
  <r>
    <x v="1"/>
    <x v="8"/>
    <n v="2010081"/>
    <x v="38"/>
    <x v="1"/>
    <n v="241.88"/>
  </r>
  <r>
    <x v="0"/>
    <x v="1"/>
    <n v="2010082"/>
    <x v="38"/>
    <x v="0"/>
    <n v="556.42999999999995"/>
  </r>
  <r>
    <x v="0"/>
    <x v="0"/>
    <n v="2010083"/>
    <x v="39"/>
    <x v="0"/>
    <n v="703.38"/>
  </r>
  <r>
    <x v="0"/>
    <x v="1"/>
    <n v="2010084"/>
    <x v="40"/>
    <x v="0"/>
    <n v="1088.18"/>
  </r>
  <r>
    <x v="0"/>
    <x v="0"/>
    <n v="2010085"/>
    <x v="40"/>
    <x v="0"/>
    <n v="317.45"/>
  </r>
  <r>
    <x v="0"/>
    <x v="3"/>
    <n v="2010086"/>
    <x v="41"/>
    <x v="0"/>
    <n v="996.18"/>
  </r>
  <r>
    <x v="0"/>
    <x v="1"/>
    <n v="2010087"/>
    <x v="42"/>
    <x v="1"/>
    <n v="19.48"/>
  </r>
  <r>
    <x v="0"/>
    <x v="6"/>
    <n v="2010088"/>
    <x v="42"/>
    <x v="1"/>
    <n v="364.76"/>
  </r>
  <r>
    <x v="1"/>
    <x v="4"/>
    <n v="2010089"/>
    <x v="43"/>
    <x v="0"/>
    <n v="553.02"/>
  </r>
  <r>
    <x v="0"/>
    <x v="1"/>
    <n v="2010090"/>
    <x v="44"/>
    <x v="1"/>
    <n v="83.3"/>
  </r>
  <r>
    <x v="1"/>
    <x v="2"/>
    <n v="2010091"/>
    <x v="45"/>
    <x v="0"/>
    <n v="994.1"/>
  </r>
  <r>
    <x v="0"/>
    <x v="5"/>
    <n v="2010092"/>
    <x v="45"/>
    <x v="0"/>
    <n v="883.45"/>
  </r>
  <r>
    <x v="0"/>
    <x v="6"/>
    <n v="2010093"/>
    <x v="46"/>
    <x v="0"/>
    <n v="194.17"/>
  </r>
  <r>
    <x v="1"/>
    <x v="4"/>
    <n v="2010094"/>
    <x v="46"/>
    <x v="0"/>
    <n v="996.44"/>
  </r>
  <r>
    <x v="1"/>
    <x v="2"/>
    <n v="2010095"/>
    <x v="47"/>
    <x v="1"/>
    <n v="386.49"/>
  </r>
  <r>
    <x v="0"/>
    <x v="6"/>
    <n v="2010096"/>
    <x v="47"/>
    <x v="0"/>
    <n v="942.58"/>
  </r>
  <r>
    <x v="0"/>
    <x v="5"/>
    <n v="2010097"/>
    <x v="47"/>
    <x v="0"/>
    <n v="1080.53"/>
  </r>
  <r>
    <x v="0"/>
    <x v="1"/>
    <n v="2010098"/>
    <x v="48"/>
    <x v="1"/>
    <n v="543.4"/>
  </r>
  <r>
    <x v="0"/>
    <x v="5"/>
    <n v="2010099"/>
    <x v="48"/>
    <x v="0"/>
    <n v="940.93"/>
  </r>
  <r>
    <x v="0"/>
    <x v="5"/>
    <n v="2010100"/>
    <x v="49"/>
    <x v="1"/>
    <n v="296.62"/>
  </r>
  <r>
    <x v="0"/>
    <x v="6"/>
    <n v="2010101"/>
    <x v="50"/>
    <x v="1"/>
    <n v="913.78"/>
  </r>
  <r>
    <x v="0"/>
    <x v="3"/>
    <n v="2010102"/>
    <x v="51"/>
    <x v="1"/>
    <n v="829.84"/>
  </r>
  <r>
    <x v="0"/>
    <x v="1"/>
    <n v="2010103"/>
    <x v="52"/>
    <x v="0"/>
    <n v="310.45999999999998"/>
  </r>
  <r>
    <x v="0"/>
    <x v="0"/>
    <n v="2010104"/>
    <x v="52"/>
    <x v="0"/>
    <n v="730.49"/>
  </r>
  <r>
    <x v="0"/>
    <x v="3"/>
    <n v="2010105"/>
    <x v="53"/>
    <x v="0"/>
    <n v="981.37"/>
  </r>
  <r>
    <x v="0"/>
    <x v="1"/>
    <n v="2010106"/>
    <x v="53"/>
    <x v="0"/>
    <n v="836.57"/>
  </r>
  <r>
    <x v="0"/>
    <x v="0"/>
    <n v="2010107"/>
    <x v="53"/>
    <x v="1"/>
    <n v="233.58"/>
  </r>
  <r>
    <x v="0"/>
    <x v="5"/>
    <n v="2010108"/>
    <x v="54"/>
    <x v="1"/>
    <n v="1157.81"/>
  </r>
  <r>
    <x v="0"/>
    <x v="3"/>
    <n v="2010109"/>
    <x v="54"/>
    <x v="0"/>
    <n v="1052.94"/>
  </r>
  <r>
    <x v="0"/>
    <x v="1"/>
    <n v="2010110"/>
    <x v="55"/>
    <x v="1"/>
    <n v="498.14"/>
  </r>
  <r>
    <x v="0"/>
    <x v="6"/>
    <n v="2010111"/>
    <x v="55"/>
    <x v="1"/>
    <n v="1032.6300000000001"/>
  </r>
  <r>
    <x v="0"/>
    <x v="5"/>
    <n v="2010112"/>
    <x v="55"/>
    <x v="0"/>
    <n v="729.5"/>
  </r>
  <r>
    <x v="0"/>
    <x v="5"/>
    <n v="2010113"/>
    <x v="55"/>
    <x v="1"/>
    <n v="1010.02"/>
  </r>
  <r>
    <x v="0"/>
    <x v="3"/>
    <n v="2010114"/>
    <x v="56"/>
    <x v="1"/>
    <n v="333.58"/>
  </r>
  <r>
    <x v="1"/>
    <x v="7"/>
    <n v="2010115"/>
    <x v="57"/>
    <x v="0"/>
    <n v="861.49"/>
  </r>
  <r>
    <x v="0"/>
    <x v="0"/>
    <n v="2010116"/>
    <x v="57"/>
    <x v="1"/>
    <n v="51.5"/>
  </r>
  <r>
    <x v="0"/>
    <x v="0"/>
    <n v="2010117"/>
    <x v="57"/>
    <x v="0"/>
    <n v="962.96"/>
  </r>
  <r>
    <x v="0"/>
    <x v="0"/>
    <n v="2010118"/>
    <x v="58"/>
    <x v="1"/>
    <n v="370.25"/>
  </r>
  <r>
    <x v="0"/>
    <x v="0"/>
    <n v="2010119"/>
    <x v="59"/>
    <x v="1"/>
    <n v="1115.73"/>
  </r>
  <r>
    <x v="1"/>
    <x v="8"/>
    <n v="2010120"/>
    <x v="59"/>
    <x v="0"/>
    <n v="238.44"/>
  </r>
  <r>
    <x v="1"/>
    <x v="2"/>
    <n v="2010121"/>
    <x v="60"/>
    <x v="1"/>
    <n v="1120.56"/>
  </r>
  <r>
    <x v="0"/>
    <x v="3"/>
    <n v="2010122"/>
    <x v="60"/>
    <x v="0"/>
    <n v="759.14"/>
  </r>
  <r>
    <x v="0"/>
    <x v="0"/>
    <n v="2010123"/>
    <x v="61"/>
    <x v="0"/>
    <n v="472.16"/>
  </r>
  <r>
    <x v="0"/>
    <x v="0"/>
    <n v="2010124"/>
    <x v="61"/>
    <x v="0"/>
    <n v="673.37"/>
  </r>
  <r>
    <x v="1"/>
    <x v="2"/>
    <n v="2010125"/>
    <x v="61"/>
    <x v="0"/>
    <n v="1145.5899999999999"/>
  </r>
  <r>
    <x v="0"/>
    <x v="3"/>
    <n v="2010126"/>
    <x v="61"/>
    <x v="1"/>
    <n v="1021.58"/>
  </r>
  <r>
    <x v="0"/>
    <x v="5"/>
    <n v="2010127"/>
    <x v="62"/>
    <x v="1"/>
    <n v="1109.6600000000001"/>
  </r>
  <r>
    <x v="0"/>
    <x v="1"/>
    <n v="2010128"/>
    <x v="62"/>
    <x v="0"/>
    <n v="764.27"/>
  </r>
  <r>
    <x v="0"/>
    <x v="0"/>
    <n v="2010129"/>
    <x v="63"/>
    <x v="1"/>
    <n v="285.54000000000002"/>
  </r>
  <r>
    <x v="0"/>
    <x v="3"/>
    <n v="2010130"/>
    <x v="64"/>
    <x v="1"/>
    <n v="515.41"/>
  </r>
  <r>
    <x v="1"/>
    <x v="2"/>
    <n v="2010131"/>
    <x v="64"/>
    <x v="0"/>
    <n v="551.04999999999995"/>
  </r>
  <r>
    <x v="0"/>
    <x v="6"/>
    <n v="2010132"/>
    <x v="65"/>
    <x v="1"/>
    <n v="492.94"/>
  </r>
  <r>
    <x v="1"/>
    <x v="8"/>
    <n v="2010133"/>
    <x v="65"/>
    <x v="1"/>
    <n v="398.9"/>
  </r>
  <r>
    <x v="0"/>
    <x v="0"/>
    <n v="2010134"/>
    <x v="65"/>
    <x v="1"/>
    <n v="577.25"/>
  </r>
  <r>
    <x v="1"/>
    <x v="4"/>
    <n v="2010135"/>
    <x v="66"/>
    <x v="1"/>
    <n v="911.55"/>
  </r>
  <r>
    <x v="1"/>
    <x v="2"/>
    <n v="2010136"/>
    <x v="66"/>
    <x v="0"/>
    <n v="340.79"/>
  </r>
  <r>
    <x v="1"/>
    <x v="8"/>
    <n v="2010137"/>
    <x v="67"/>
    <x v="1"/>
    <n v="544.61"/>
  </r>
  <r>
    <x v="0"/>
    <x v="1"/>
    <n v="2010138"/>
    <x v="68"/>
    <x v="1"/>
    <n v="1121.33"/>
  </r>
  <r>
    <x v="0"/>
    <x v="1"/>
    <n v="2010139"/>
    <x v="68"/>
    <x v="1"/>
    <n v="197.35"/>
  </r>
  <r>
    <x v="1"/>
    <x v="2"/>
    <n v="2010140"/>
    <x v="69"/>
    <x v="0"/>
    <n v="388.87"/>
  </r>
  <r>
    <x v="1"/>
    <x v="7"/>
    <n v="2010141"/>
    <x v="70"/>
    <x v="1"/>
    <n v="114.18"/>
  </r>
  <r>
    <x v="0"/>
    <x v="1"/>
    <n v="2010142"/>
    <x v="70"/>
    <x v="1"/>
    <n v="75.87"/>
  </r>
  <r>
    <x v="1"/>
    <x v="8"/>
    <n v="2010143"/>
    <x v="70"/>
    <x v="1"/>
    <n v="120"/>
  </r>
  <r>
    <x v="1"/>
    <x v="4"/>
    <n v="2010144"/>
    <x v="71"/>
    <x v="0"/>
    <n v="1010.93"/>
  </r>
  <r>
    <x v="0"/>
    <x v="1"/>
    <n v="2010145"/>
    <x v="71"/>
    <x v="0"/>
    <n v="601.14"/>
  </r>
  <r>
    <x v="0"/>
    <x v="5"/>
    <n v="2010146"/>
    <x v="72"/>
    <x v="0"/>
    <n v="67.930000000000007"/>
  </r>
  <r>
    <x v="0"/>
    <x v="5"/>
    <n v="2010147"/>
    <x v="72"/>
    <x v="0"/>
    <n v="588.70000000000005"/>
  </r>
  <r>
    <x v="1"/>
    <x v="8"/>
    <n v="2010148"/>
    <x v="73"/>
    <x v="0"/>
    <n v="615.34"/>
  </r>
  <r>
    <x v="0"/>
    <x v="1"/>
    <n v="2010149"/>
    <x v="74"/>
    <x v="1"/>
    <n v="1052.3900000000001"/>
  </r>
  <r>
    <x v="1"/>
    <x v="2"/>
    <n v="2010150"/>
    <x v="75"/>
    <x v="0"/>
    <n v="1068.23"/>
  </r>
  <r>
    <x v="0"/>
    <x v="1"/>
    <n v="2010151"/>
    <x v="76"/>
    <x v="0"/>
    <n v="1185.03"/>
  </r>
  <r>
    <x v="1"/>
    <x v="4"/>
    <n v="2010152"/>
    <x v="76"/>
    <x v="1"/>
    <n v="37.81"/>
  </r>
  <r>
    <x v="0"/>
    <x v="1"/>
    <n v="2010153"/>
    <x v="76"/>
    <x v="0"/>
    <n v="1003.39"/>
  </r>
  <r>
    <x v="0"/>
    <x v="6"/>
    <n v="2010154"/>
    <x v="77"/>
    <x v="0"/>
    <n v="954.03"/>
  </r>
  <r>
    <x v="0"/>
    <x v="1"/>
    <n v="2010155"/>
    <x v="77"/>
    <x v="1"/>
    <n v="494.77"/>
  </r>
  <r>
    <x v="0"/>
    <x v="6"/>
    <n v="2010156"/>
    <x v="77"/>
    <x v="1"/>
    <n v="445.41"/>
  </r>
  <r>
    <x v="0"/>
    <x v="0"/>
    <n v="2010157"/>
    <x v="78"/>
    <x v="1"/>
    <n v="569.96"/>
  </r>
  <r>
    <x v="0"/>
    <x v="1"/>
    <n v="2010158"/>
    <x v="78"/>
    <x v="0"/>
    <n v="439.22"/>
  </r>
  <r>
    <x v="0"/>
    <x v="1"/>
    <n v="2010159"/>
    <x v="78"/>
    <x v="0"/>
    <n v="1028.75"/>
  </r>
  <r>
    <x v="0"/>
    <x v="1"/>
    <n v="2010160"/>
    <x v="79"/>
    <x v="1"/>
    <n v="1150.3499999999999"/>
  </r>
  <r>
    <x v="0"/>
    <x v="0"/>
    <n v="2010161"/>
    <x v="79"/>
    <x v="0"/>
    <n v="598.91"/>
  </r>
  <r>
    <x v="0"/>
    <x v="6"/>
    <n v="2010162"/>
    <x v="79"/>
    <x v="0"/>
    <n v="637.07000000000005"/>
  </r>
  <r>
    <x v="1"/>
    <x v="2"/>
    <n v="2010163"/>
    <x v="80"/>
    <x v="0"/>
    <n v="461.47"/>
  </r>
  <r>
    <x v="0"/>
    <x v="6"/>
    <n v="2010164"/>
    <x v="81"/>
    <x v="0"/>
    <n v="234.24"/>
  </r>
  <r>
    <x v="0"/>
    <x v="3"/>
    <n v="2010165"/>
    <x v="82"/>
    <x v="1"/>
    <n v="463.37"/>
  </r>
  <r>
    <x v="0"/>
    <x v="5"/>
    <n v="2010166"/>
    <x v="82"/>
    <x v="0"/>
    <n v="896.55"/>
  </r>
  <r>
    <x v="1"/>
    <x v="2"/>
    <n v="2010167"/>
    <x v="83"/>
    <x v="0"/>
    <n v="1097.6500000000001"/>
  </r>
  <r>
    <x v="0"/>
    <x v="6"/>
    <n v="2010168"/>
    <x v="84"/>
    <x v="1"/>
    <n v="230.87"/>
  </r>
  <r>
    <x v="0"/>
    <x v="6"/>
    <n v="2010169"/>
    <x v="84"/>
    <x v="1"/>
    <n v="92.52"/>
  </r>
  <r>
    <x v="0"/>
    <x v="1"/>
    <n v="2010170"/>
    <x v="85"/>
    <x v="0"/>
    <n v="668.18"/>
  </r>
  <r>
    <x v="0"/>
    <x v="1"/>
    <n v="2010171"/>
    <x v="85"/>
    <x v="1"/>
    <n v="288.72000000000003"/>
  </r>
  <r>
    <x v="0"/>
    <x v="6"/>
    <n v="2010172"/>
    <x v="86"/>
    <x v="0"/>
    <n v="642.01"/>
  </r>
  <r>
    <x v="0"/>
    <x v="0"/>
    <n v="2010173"/>
    <x v="86"/>
    <x v="1"/>
    <n v="782.93"/>
  </r>
  <r>
    <x v="0"/>
    <x v="5"/>
    <n v="2010174"/>
    <x v="87"/>
    <x v="0"/>
    <n v="513.61"/>
  </r>
  <r>
    <x v="0"/>
    <x v="6"/>
    <n v="2010175"/>
    <x v="88"/>
    <x v="1"/>
    <n v="751.94"/>
  </r>
  <r>
    <x v="0"/>
    <x v="3"/>
    <n v="2010176"/>
    <x v="88"/>
    <x v="0"/>
    <n v="1190.3800000000001"/>
  </r>
  <r>
    <x v="0"/>
    <x v="0"/>
    <n v="2010177"/>
    <x v="89"/>
    <x v="1"/>
    <n v="776.56"/>
  </r>
  <r>
    <x v="0"/>
    <x v="1"/>
    <n v="2010178"/>
    <x v="90"/>
    <x v="0"/>
    <n v="341.34"/>
  </r>
  <r>
    <x v="0"/>
    <x v="1"/>
    <n v="2010179"/>
    <x v="91"/>
    <x v="1"/>
    <n v="515.63"/>
  </r>
  <r>
    <x v="1"/>
    <x v="4"/>
    <n v="2010180"/>
    <x v="91"/>
    <x v="1"/>
    <n v="99.07"/>
  </r>
  <r>
    <x v="0"/>
    <x v="0"/>
    <n v="2010181"/>
    <x v="91"/>
    <x v="1"/>
    <n v="1033.8699999999999"/>
  </r>
  <r>
    <x v="0"/>
    <x v="1"/>
    <n v="2010182"/>
    <x v="91"/>
    <x v="1"/>
    <n v="216.38"/>
  </r>
  <r>
    <x v="0"/>
    <x v="6"/>
    <n v="2010183"/>
    <x v="91"/>
    <x v="0"/>
    <n v="705.5"/>
  </r>
  <r>
    <x v="0"/>
    <x v="1"/>
    <n v="2010184"/>
    <x v="92"/>
    <x v="0"/>
    <n v="720.61"/>
  </r>
  <r>
    <x v="1"/>
    <x v="2"/>
    <n v="2010185"/>
    <x v="93"/>
    <x v="0"/>
    <n v="1161.58"/>
  </r>
  <r>
    <x v="0"/>
    <x v="0"/>
    <n v="2010186"/>
    <x v="94"/>
    <x v="0"/>
    <n v="338.56"/>
  </r>
  <r>
    <x v="0"/>
    <x v="0"/>
    <n v="2010187"/>
    <x v="94"/>
    <x v="1"/>
    <n v="225.27"/>
  </r>
  <r>
    <x v="0"/>
    <x v="1"/>
    <n v="2010188"/>
    <x v="95"/>
    <x v="1"/>
    <n v="241.15"/>
  </r>
  <r>
    <x v="1"/>
    <x v="8"/>
    <n v="2010189"/>
    <x v="95"/>
    <x v="1"/>
    <n v="978.22"/>
  </r>
  <r>
    <x v="1"/>
    <x v="2"/>
    <n v="2010190"/>
    <x v="96"/>
    <x v="0"/>
    <n v="931.97"/>
  </r>
  <r>
    <x v="0"/>
    <x v="6"/>
    <n v="2010191"/>
    <x v="96"/>
    <x v="0"/>
    <n v="898.52"/>
  </r>
  <r>
    <x v="1"/>
    <x v="4"/>
    <n v="2010192"/>
    <x v="97"/>
    <x v="1"/>
    <n v="1037.0899999999999"/>
  </r>
  <r>
    <x v="0"/>
    <x v="1"/>
    <n v="2010193"/>
    <x v="97"/>
    <x v="1"/>
    <n v="292.56"/>
  </r>
  <r>
    <x v="1"/>
    <x v="2"/>
    <n v="2010194"/>
    <x v="98"/>
    <x v="1"/>
    <n v="762.62"/>
  </r>
  <r>
    <x v="0"/>
    <x v="0"/>
    <n v="2010195"/>
    <x v="98"/>
    <x v="1"/>
    <n v="773.05"/>
  </r>
  <r>
    <x v="0"/>
    <x v="0"/>
    <n v="2010196"/>
    <x v="99"/>
    <x v="1"/>
    <n v="195.05"/>
  </r>
  <r>
    <x v="0"/>
    <x v="5"/>
    <n v="2010197"/>
    <x v="99"/>
    <x v="0"/>
    <n v="568.42999999999995"/>
  </r>
  <r>
    <x v="0"/>
    <x v="5"/>
    <n v="2010198"/>
    <x v="99"/>
    <x v="0"/>
    <n v="1003.06"/>
  </r>
  <r>
    <x v="0"/>
    <x v="5"/>
    <n v="2010199"/>
    <x v="100"/>
    <x v="1"/>
    <n v="356.78"/>
  </r>
  <r>
    <x v="0"/>
    <x v="6"/>
    <n v="2010200"/>
    <x v="100"/>
    <x v="1"/>
    <n v="288.57"/>
  </r>
  <r>
    <x v="0"/>
    <x v="1"/>
    <n v="2010201"/>
    <x v="100"/>
    <x v="1"/>
    <n v="899.14"/>
  </r>
  <r>
    <x v="0"/>
    <x v="3"/>
    <n v="2010202"/>
    <x v="100"/>
    <x v="1"/>
    <n v="918.57"/>
  </r>
  <r>
    <x v="1"/>
    <x v="8"/>
    <n v="2010203"/>
    <x v="101"/>
    <x v="1"/>
    <n v="1140.6099999999999"/>
  </r>
  <r>
    <x v="1"/>
    <x v="2"/>
    <n v="2010204"/>
    <x v="102"/>
    <x v="1"/>
    <n v="615.12"/>
  </r>
  <r>
    <x v="0"/>
    <x v="3"/>
    <n v="2010205"/>
    <x v="102"/>
    <x v="0"/>
    <n v="687.53"/>
  </r>
  <r>
    <x v="0"/>
    <x v="5"/>
    <n v="2010206"/>
    <x v="103"/>
    <x v="0"/>
    <n v="764.41"/>
  </r>
  <r>
    <x v="1"/>
    <x v="7"/>
    <n v="2010207"/>
    <x v="103"/>
    <x v="1"/>
    <n v="219.09"/>
  </r>
  <r>
    <x v="0"/>
    <x v="0"/>
    <n v="2010208"/>
    <x v="103"/>
    <x v="1"/>
    <n v="604.62"/>
  </r>
  <r>
    <x v="0"/>
    <x v="6"/>
    <n v="2010209"/>
    <x v="104"/>
    <x v="0"/>
    <n v="198.56"/>
  </r>
  <r>
    <x v="0"/>
    <x v="0"/>
    <n v="2010210"/>
    <x v="104"/>
    <x v="1"/>
    <n v="660.42"/>
  </r>
  <r>
    <x v="0"/>
    <x v="3"/>
    <n v="2010211"/>
    <x v="104"/>
    <x v="0"/>
    <n v="327.11"/>
  </r>
  <r>
    <x v="0"/>
    <x v="1"/>
    <n v="2010212"/>
    <x v="104"/>
    <x v="1"/>
    <n v="975.33"/>
  </r>
  <r>
    <x v="0"/>
    <x v="1"/>
    <n v="2010213"/>
    <x v="105"/>
    <x v="1"/>
    <n v="696.24"/>
  </r>
  <r>
    <x v="0"/>
    <x v="5"/>
    <n v="2010214"/>
    <x v="105"/>
    <x v="1"/>
    <n v="956.04"/>
  </r>
  <r>
    <x v="0"/>
    <x v="1"/>
    <n v="2010215"/>
    <x v="106"/>
    <x v="1"/>
    <n v="444.27"/>
  </r>
  <r>
    <x v="1"/>
    <x v="8"/>
    <n v="2010216"/>
    <x v="106"/>
    <x v="1"/>
    <n v="939.65"/>
  </r>
  <r>
    <x v="0"/>
    <x v="5"/>
    <n v="2010217"/>
    <x v="106"/>
    <x v="1"/>
    <n v="285.20999999999998"/>
  </r>
  <r>
    <x v="1"/>
    <x v="7"/>
    <n v="2010218"/>
    <x v="106"/>
    <x v="0"/>
    <n v="1095.68"/>
  </r>
  <r>
    <x v="0"/>
    <x v="6"/>
    <n v="2010219"/>
    <x v="107"/>
    <x v="0"/>
    <n v="1182.4000000000001"/>
  </r>
  <r>
    <x v="0"/>
    <x v="5"/>
    <n v="2010220"/>
    <x v="108"/>
    <x v="1"/>
    <n v="358.39"/>
  </r>
  <r>
    <x v="0"/>
    <x v="3"/>
    <n v="2010221"/>
    <x v="109"/>
    <x v="0"/>
    <n v="753.47"/>
  </r>
  <r>
    <x v="1"/>
    <x v="2"/>
    <n v="2010222"/>
    <x v="110"/>
    <x v="0"/>
    <n v="80.400000000000006"/>
  </r>
  <r>
    <x v="0"/>
    <x v="5"/>
    <n v="2010223"/>
    <x v="111"/>
    <x v="1"/>
    <n v="490.71"/>
  </r>
  <r>
    <x v="0"/>
    <x v="6"/>
    <n v="2010224"/>
    <x v="112"/>
    <x v="1"/>
    <n v="941.55"/>
  </r>
  <r>
    <x v="1"/>
    <x v="7"/>
    <n v="2010225"/>
    <x v="112"/>
    <x v="0"/>
    <n v="28.96"/>
  </r>
  <r>
    <x v="0"/>
    <x v="0"/>
    <n v="2010226"/>
    <x v="113"/>
    <x v="1"/>
    <n v="990.18"/>
  </r>
  <r>
    <x v="0"/>
    <x v="1"/>
    <n v="2010227"/>
    <x v="114"/>
    <x v="0"/>
    <n v="1130.51"/>
  </r>
  <r>
    <x v="0"/>
    <x v="5"/>
    <n v="2010228"/>
    <x v="115"/>
    <x v="0"/>
    <n v="1027.76"/>
  </r>
  <r>
    <x v="0"/>
    <x v="3"/>
    <n v="2010229"/>
    <x v="115"/>
    <x v="0"/>
    <n v="868.41"/>
  </r>
  <r>
    <x v="1"/>
    <x v="4"/>
    <n v="2010230"/>
    <x v="115"/>
    <x v="1"/>
    <n v="72.430000000000007"/>
  </r>
  <r>
    <x v="0"/>
    <x v="0"/>
    <n v="2010231"/>
    <x v="116"/>
    <x v="0"/>
    <n v="147.33000000000001"/>
  </r>
  <r>
    <x v="0"/>
    <x v="0"/>
    <n v="2010232"/>
    <x v="117"/>
    <x v="0"/>
    <n v="334.06"/>
  </r>
  <r>
    <x v="0"/>
    <x v="6"/>
    <n v="2010233"/>
    <x v="118"/>
    <x v="1"/>
    <n v="665.25"/>
  </r>
  <r>
    <x v="0"/>
    <x v="3"/>
    <n v="2010234"/>
    <x v="118"/>
    <x v="1"/>
    <n v="191.06"/>
  </r>
  <r>
    <x v="0"/>
    <x v="5"/>
    <n v="2010235"/>
    <x v="119"/>
    <x v="0"/>
    <n v="1042.1400000000001"/>
  </r>
  <r>
    <x v="1"/>
    <x v="2"/>
    <n v="2010236"/>
    <x v="119"/>
    <x v="1"/>
    <n v="645.78"/>
  </r>
  <r>
    <x v="0"/>
    <x v="1"/>
    <n v="2010237"/>
    <x v="119"/>
    <x v="1"/>
    <n v="247.77"/>
  </r>
  <r>
    <x v="1"/>
    <x v="7"/>
    <n v="2010238"/>
    <x v="119"/>
    <x v="0"/>
    <n v="958.61"/>
  </r>
  <r>
    <x v="0"/>
    <x v="3"/>
    <n v="2010239"/>
    <x v="120"/>
    <x v="1"/>
    <n v="1059.23"/>
  </r>
  <r>
    <x v="0"/>
    <x v="1"/>
    <n v="2010240"/>
    <x v="120"/>
    <x v="1"/>
    <n v="1135.1199999999999"/>
  </r>
  <r>
    <x v="1"/>
    <x v="4"/>
    <n v="2010241"/>
    <x v="121"/>
    <x v="0"/>
    <n v="629.39"/>
  </r>
  <r>
    <x v="0"/>
    <x v="3"/>
    <n v="2010242"/>
    <x v="122"/>
    <x v="0"/>
    <n v="751.83"/>
  </r>
  <r>
    <x v="0"/>
    <x v="5"/>
    <n v="2010243"/>
    <x v="123"/>
    <x v="1"/>
    <n v="843.23"/>
  </r>
  <r>
    <x v="0"/>
    <x v="5"/>
    <n v="2010244"/>
    <x v="123"/>
    <x v="1"/>
    <n v="582.85"/>
  </r>
  <r>
    <x v="1"/>
    <x v="2"/>
    <n v="2010245"/>
    <x v="124"/>
    <x v="0"/>
    <n v="1165.8599999999999"/>
  </r>
  <r>
    <x v="0"/>
    <x v="1"/>
    <n v="2010246"/>
    <x v="124"/>
    <x v="1"/>
    <n v="84.58"/>
  </r>
  <r>
    <x v="1"/>
    <x v="8"/>
    <n v="2010247"/>
    <x v="124"/>
    <x v="0"/>
    <n v="968.92"/>
  </r>
  <r>
    <x v="0"/>
    <x v="3"/>
    <n v="2010248"/>
    <x v="125"/>
    <x v="0"/>
    <n v="495.24"/>
  </r>
  <r>
    <x v="0"/>
    <x v="0"/>
    <n v="2010249"/>
    <x v="126"/>
    <x v="1"/>
    <n v="299.7"/>
  </r>
  <r>
    <x v="0"/>
    <x v="0"/>
    <n v="2010250"/>
    <x v="127"/>
    <x v="1"/>
    <n v="1102.3399999999999"/>
  </r>
  <r>
    <x v="0"/>
    <x v="3"/>
    <n v="2010251"/>
    <x v="128"/>
    <x v="1"/>
    <n v="1163.74"/>
  </r>
  <r>
    <x v="0"/>
    <x v="0"/>
    <n v="2010252"/>
    <x v="128"/>
    <x v="1"/>
    <n v="15.49"/>
  </r>
  <r>
    <x v="1"/>
    <x v="4"/>
    <n v="2010253"/>
    <x v="128"/>
    <x v="0"/>
    <n v="888.42"/>
  </r>
  <r>
    <x v="0"/>
    <x v="6"/>
    <n v="2010254"/>
    <x v="128"/>
    <x v="1"/>
    <n v="786.59"/>
  </r>
  <r>
    <x v="0"/>
    <x v="6"/>
    <n v="2010255"/>
    <x v="129"/>
    <x v="1"/>
    <n v="562.83000000000004"/>
  </r>
  <r>
    <x v="0"/>
    <x v="1"/>
    <n v="2010256"/>
    <x v="130"/>
    <x v="0"/>
    <n v="687.09"/>
  </r>
  <r>
    <x v="1"/>
    <x v="2"/>
    <n v="2010257"/>
    <x v="131"/>
    <x v="1"/>
    <n v="80.11"/>
  </r>
  <r>
    <x v="0"/>
    <x v="0"/>
    <n v="2010258"/>
    <x v="131"/>
    <x v="1"/>
    <n v="1142.55"/>
  </r>
  <r>
    <x v="0"/>
    <x v="5"/>
    <n v="2010259"/>
    <x v="132"/>
    <x v="0"/>
    <n v="598.36"/>
  </r>
  <r>
    <x v="1"/>
    <x v="7"/>
    <n v="2010260"/>
    <x v="132"/>
    <x v="1"/>
    <n v="581.53"/>
  </r>
  <r>
    <x v="0"/>
    <x v="1"/>
    <n v="2010261"/>
    <x v="133"/>
    <x v="0"/>
    <n v="676.7"/>
  </r>
  <r>
    <x v="0"/>
    <x v="6"/>
    <n v="2010262"/>
    <x v="134"/>
    <x v="1"/>
    <n v="816.67"/>
  </r>
  <r>
    <x v="0"/>
    <x v="0"/>
    <n v="2010263"/>
    <x v="135"/>
    <x v="0"/>
    <n v="1050.4100000000001"/>
  </r>
  <r>
    <x v="0"/>
    <x v="5"/>
    <n v="2010264"/>
    <x v="136"/>
    <x v="1"/>
    <n v="540.73"/>
  </r>
  <r>
    <x v="1"/>
    <x v="2"/>
    <n v="2010265"/>
    <x v="136"/>
    <x v="0"/>
    <n v="480.24"/>
  </r>
  <r>
    <x v="1"/>
    <x v="4"/>
    <n v="2010266"/>
    <x v="137"/>
    <x v="1"/>
    <n v="815.49"/>
  </r>
  <r>
    <x v="1"/>
    <x v="8"/>
    <n v="2010267"/>
    <x v="137"/>
    <x v="1"/>
    <n v="474.28"/>
  </r>
  <r>
    <x v="0"/>
    <x v="0"/>
    <n v="2010268"/>
    <x v="138"/>
    <x v="1"/>
    <n v="893.07"/>
  </r>
  <r>
    <x v="1"/>
    <x v="2"/>
    <n v="2010269"/>
    <x v="138"/>
    <x v="0"/>
    <n v="1192.28"/>
  </r>
  <r>
    <x v="0"/>
    <x v="1"/>
    <n v="2010270"/>
    <x v="139"/>
    <x v="0"/>
    <n v="1034.42"/>
  </r>
  <r>
    <x v="0"/>
    <x v="1"/>
    <n v="2010271"/>
    <x v="140"/>
    <x v="1"/>
    <n v="359.38"/>
  </r>
  <r>
    <x v="1"/>
    <x v="7"/>
    <n v="2010272"/>
    <x v="141"/>
    <x v="0"/>
    <n v="876.82"/>
  </r>
  <r>
    <x v="0"/>
    <x v="6"/>
    <n v="2010273"/>
    <x v="141"/>
    <x v="1"/>
    <n v="586.16999999999996"/>
  </r>
  <r>
    <x v="0"/>
    <x v="3"/>
    <n v="2010274"/>
    <x v="142"/>
    <x v="1"/>
    <n v="789.81"/>
  </r>
  <r>
    <x v="1"/>
    <x v="4"/>
    <n v="2010275"/>
    <x v="142"/>
    <x v="0"/>
    <n v="332.48"/>
  </r>
  <r>
    <x v="1"/>
    <x v="2"/>
    <n v="2010276"/>
    <x v="142"/>
    <x v="0"/>
    <n v="1160.1500000000001"/>
  </r>
  <r>
    <x v="0"/>
    <x v="3"/>
    <n v="2010277"/>
    <x v="143"/>
    <x v="1"/>
    <n v="255.24"/>
  </r>
  <r>
    <x v="0"/>
    <x v="1"/>
    <n v="2010278"/>
    <x v="143"/>
    <x v="0"/>
    <n v="37.01"/>
  </r>
  <r>
    <x v="0"/>
    <x v="5"/>
    <n v="2010279"/>
    <x v="143"/>
    <x v="1"/>
    <n v="51.75"/>
  </r>
  <r>
    <x v="1"/>
    <x v="4"/>
    <n v="2010280"/>
    <x v="144"/>
    <x v="0"/>
    <n v="802.8"/>
  </r>
  <r>
    <x v="1"/>
    <x v="2"/>
    <n v="2010281"/>
    <x v="144"/>
    <x v="0"/>
    <n v="848.5"/>
  </r>
  <r>
    <x v="1"/>
    <x v="2"/>
    <n v="2010282"/>
    <x v="145"/>
    <x v="1"/>
    <n v="574.1"/>
  </r>
  <r>
    <x v="1"/>
    <x v="2"/>
    <n v="2010283"/>
    <x v="146"/>
    <x v="0"/>
    <n v="101.12"/>
  </r>
  <r>
    <x v="1"/>
    <x v="2"/>
    <n v="2010284"/>
    <x v="147"/>
    <x v="0"/>
    <n v="883.52"/>
  </r>
  <r>
    <x v="0"/>
    <x v="5"/>
    <n v="2010285"/>
    <x v="148"/>
    <x v="1"/>
    <n v="494.88"/>
  </r>
  <r>
    <x v="0"/>
    <x v="1"/>
    <n v="2010286"/>
    <x v="148"/>
    <x v="0"/>
    <n v="817.21"/>
  </r>
  <r>
    <x v="0"/>
    <x v="1"/>
    <n v="2010287"/>
    <x v="149"/>
    <x v="1"/>
    <n v="119.7"/>
  </r>
  <r>
    <x v="1"/>
    <x v="4"/>
    <n v="2010288"/>
    <x v="150"/>
    <x v="0"/>
    <n v="319.06"/>
  </r>
  <r>
    <x v="0"/>
    <x v="1"/>
    <n v="2010289"/>
    <x v="151"/>
    <x v="1"/>
    <n v="640.66"/>
  </r>
  <r>
    <x v="1"/>
    <x v="7"/>
    <n v="2010290"/>
    <x v="151"/>
    <x v="1"/>
    <n v="365.86"/>
  </r>
  <r>
    <x v="1"/>
    <x v="4"/>
    <n v="2010291"/>
    <x v="151"/>
    <x v="0"/>
    <n v="420.3"/>
  </r>
  <r>
    <x v="0"/>
    <x v="5"/>
    <n v="2010292"/>
    <x v="152"/>
    <x v="1"/>
    <n v="119.96"/>
  </r>
  <r>
    <x v="0"/>
    <x v="5"/>
    <n v="2010293"/>
    <x v="152"/>
    <x v="0"/>
    <n v="1186.5"/>
  </r>
  <r>
    <x v="0"/>
    <x v="6"/>
    <n v="2010294"/>
    <x v="152"/>
    <x v="1"/>
    <n v="473.51"/>
  </r>
  <r>
    <x v="0"/>
    <x v="0"/>
    <n v="2010295"/>
    <x v="153"/>
    <x v="0"/>
    <n v="598.69000000000005"/>
  </r>
  <r>
    <x v="0"/>
    <x v="1"/>
    <n v="2010296"/>
    <x v="153"/>
    <x v="0"/>
    <n v="470.65"/>
  </r>
  <r>
    <x v="1"/>
    <x v="4"/>
    <n v="2010297"/>
    <x v="154"/>
    <x v="1"/>
    <n v="1115.03"/>
  </r>
  <r>
    <x v="0"/>
    <x v="1"/>
    <n v="2010298"/>
    <x v="154"/>
    <x v="0"/>
    <n v="279.27999999999997"/>
  </r>
  <r>
    <x v="0"/>
    <x v="6"/>
    <n v="2010299"/>
    <x v="155"/>
    <x v="0"/>
    <n v="715.42"/>
  </r>
  <r>
    <x v="1"/>
    <x v="2"/>
    <n v="2010300"/>
    <x v="156"/>
    <x v="0"/>
    <n v="170.38"/>
  </r>
  <r>
    <x v="1"/>
    <x v="2"/>
    <n v="2010301"/>
    <x v="156"/>
    <x v="0"/>
    <n v="254.84"/>
  </r>
  <r>
    <x v="1"/>
    <x v="7"/>
    <n v="2010302"/>
    <x v="157"/>
    <x v="0"/>
    <n v="918.54"/>
  </r>
  <r>
    <x v="1"/>
    <x v="2"/>
    <n v="2010303"/>
    <x v="158"/>
    <x v="1"/>
    <n v="1017.26"/>
  </r>
  <r>
    <x v="0"/>
    <x v="0"/>
    <n v="2010304"/>
    <x v="159"/>
    <x v="0"/>
    <n v="849.67"/>
  </r>
  <r>
    <x v="0"/>
    <x v="6"/>
    <n v="2010305"/>
    <x v="159"/>
    <x v="0"/>
    <n v="492.94"/>
  </r>
  <r>
    <x v="0"/>
    <x v="5"/>
    <n v="2010306"/>
    <x v="160"/>
    <x v="0"/>
    <n v="197.72"/>
  </r>
  <r>
    <x v="0"/>
    <x v="1"/>
    <n v="2010307"/>
    <x v="161"/>
    <x v="0"/>
    <n v="1145"/>
  </r>
  <r>
    <x v="0"/>
    <x v="3"/>
    <n v="2010308"/>
    <x v="162"/>
    <x v="0"/>
    <n v="641.25"/>
  </r>
  <r>
    <x v="0"/>
    <x v="3"/>
    <n v="2010309"/>
    <x v="163"/>
    <x v="1"/>
    <n v="859.11"/>
  </r>
  <r>
    <x v="1"/>
    <x v="8"/>
    <n v="2010310"/>
    <x v="164"/>
    <x v="0"/>
    <n v="105.62"/>
  </r>
  <r>
    <x v="0"/>
    <x v="6"/>
    <n v="2010311"/>
    <x v="164"/>
    <x v="0"/>
    <n v="245.18"/>
  </r>
  <r>
    <x v="0"/>
    <x v="6"/>
    <n v="2010312"/>
    <x v="165"/>
    <x v="1"/>
    <n v="463.67"/>
  </r>
  <r>
    <x v="1"/>
    <x v="4"/>
    <n v="2010313"/>
    <x v="165"/>
    <x v="0"/>
    <n v="846.93"/>
  </r>
  <r>
    <x v="0"/>
    <x v="0"/>
    <n v="2010314"/>
    <x v="166"/>
    <x v="0"/>
    <n v="997.79"/>
  </r>
  <r>
    <x v="1"/>
    <x v="8"/>
    <n v="2010315"/>
    <x v="166"/>
    <x v="1"/>
    <n v="1165.17"/>
  </r>
  <r>
    <x v="0"/>
    <x v="5"/>
    <n v="2010316"/>
    <x v="166"/>
    <x v="0"/>
    <n v="600.99"/>
  </r>
  <r>
    <x v="0"/>
    <x v="6"/>
    <n v="2010317"/>
    <x v="167"/>
    <x v="1"/>
    <n v="583.94000000000005"/>
  </r>
  <r>
    <x v="0"/>
    <x v="3"/>
    <n v="2010318"/>
    <x v="168"/>
    <x v="1"/>
    <n v="1052.28"/>
  </r>
  <r>
    <x v="0"/>
    <x v="3"/>
    <n v="2010319"/>
    <x v="168"/>
    <x v="0"/>
    <n v="938.7"/>
  </r>
  <r>
    <x v="0"/>
    <x v="5"/>
    <n v="2010320"/>
    <x v="169"/>
    <x v="0"/>
    <n v="1170.25"/>
  </r>
  <r>
    <x v="0"/>
    <x v="1"/>
    <n v="2010321"/>
    <x v="169"/>
    <x v="0"/>
    <n v="1046.28"/>
  </r>
  <r>
    <x v="0"/>
    <x v="0"/>
    <n v="2010322"/>
    <x v="169"/>
    <x v="0"/>
    <n v="565.02"/>
  </r>
  <r>
    <x v="0"/>
    <x v="0"/>
    <n v="2010323"/>
    <x v="169"/>
    <x v="1"/>
    <n v="13.37"/>
  </r>
  <r>
    <x v="0"/>
    <x v="1"/>
    <n v="2010324"/>
    <x v="169"/>
    <x v="1"/>
    <n v="1029.01"/>
  </r>
  <r>
    <x v="0"/>
    <x v="1"/>
    <n v="2010325"/>
    <x v="170"/>
    <x v="1"/>
    <n v="37.450000000000003"/>
  </r>
  <r>
    <x v="0"/>
    <x v="1"/>
    <n v="2010326"/>
    <x v="171"/>
    <x v="0"/>
    <n v="1112.73"/>
  </r>
  <r>
    <x v="0"/>
    <x v="5"/>
    <n v="2010327"/>
    <x v="171"/>
    <x v="0"/>
    <n v="52.63"/>
  </r>
  <r>
    <x v="0"/>
    <x v="6"/>
    <n v="2010328"/>
    <x v="172"/>
    <x v="0"/>
    <n v="581.09"/>
  </r>
  <r>
    <x v="0"/>
    <x v="6"/>
    <n v="2010329"/>
    <x v="172"/>
    <x v="1"/>
    <n v="843.71"/>
  </r>
  <r>
    <x v="0"/>
    <x v="1"/>
    <n v="2010330"/>
    <x v="173"/>
    <x v="1"/>
    <n v="102.36"/>
  </r>
  <r>
    <x v="1"/>
    <x v="8"/>
    <n v="2010331"/>
    <x v="174"/>
    <x v="1"/>
    <n v="799.58"/>
  </r>
  <r>
    <x v="0"/>
    <x v="0"/>
    <n v="2010332"/>
    <x v="175"/>
    <x v="0"/>
    <n v="918.24"/>
  </r>
  <r>
    <x v="0"/>
    <x v="5"/>
    <n v="2010333"/>
    <x v="176"/>
    <x v="0"/>
    <n v="842.87"/>
  </r>
  <r>
    <x v="1"/>
    <x v="2"/>
    <n v="2010334"/>
    <x v="176"/>
    <x v="0"/>
    <n v="183.45"/>
  </r>
  <r>
    <x v="0"/>
    <x v="1"/>
    <n v="2010335"/>
    <x v="177"/>
    <x v="1"/>
    <n v="593.79"/>
  </r>
  <r>
    <x v="0"/>
    <x v="6"/>
    <n v="2010336"/>
    <x v="177"/>
    <x v="1"/>
    <n v="330.36"/>
  </r>
  <r>
    <x v="0"/>
    <x v="3"/>
    <n v="2010337"/>
    <x v="177"/>
    <x v="1"/>
    <n v="145.97999999999999"/>
  </r>
  <r>
    <x v="0"/>
    <x v="6"/>
    <n v="2010338"/>
    <x v="177"/>
    <x v="1"/>
    <n v="910.3"/>
  </r>
  <r>
    <x v="0"/>
    <x v="1"/>
    <n v="2010339"/>
    <x v="178"/>
    <x v="0"/>
    <n v="1063.3699999999999"/>
  </r>
  <r>
    <x v="0"/>
    <x v="6"/>
    <n v="2010340"/>
    <x v="178"/>
    <x v="1"/>
    <n v="281.88"/>
  </r>
  <r>
    <x v="0"/>
    <x v="1"/>
    <n v="2010341"/>
    <x v="178"/>
    <x v="1"/>
    <n v="322.64"/>
  </r>
  <r>
    <x v="0"/>
    <x v="5"/>
    <n v="2010342"/>
    <x v="179"/>
    <x v="1"/>
    <n v="831.89"/>
  </r>
  <r>
    <x v="0"/>
    <x v="6"/>
    <n v="2010343"/>
    <x v="180"/>
    <x v="1"/>
    <n v="566.30999999999995"/>
  </r>
  <r>
    <x v="0"/>
    <x v="0"/>
    <n v="2010344"/>
    <x v="180"/>
    <x v="0"/>
    <n v="586.03"/>
  </r>
  <r>
    <x v="0"/>
    <x v="1"/>
    <n v="2010345"/>
    <x v="181"/>
    <x v="1"/>
    <n v="604.54"/>
  </r>
  <r>
    <x v="1"/>
    <x v="4"/>
    <n v="2010346"/>
    <x v="182"/>
    <x v="0"/>
    <n v="233.65"/>
  </r>
  <r>
    <x v="0"/>
    <x v="1"/>
    <n v="2010347"/>
    <x v="182"/>
    <x v="0"/>
    <n v="1178.8499999999999"/>
  </r>
  <r>
    <x v="0"/>
    <x v="5"/>
    <n v="2010348"/>
    <x v="183"/>
    <x v="1"/>
    <n v="856.15"/>
  </r>
  <r>
    <x v="0"/>
    <x v="5"/>
    <n v="2010349"/>
    <x v="184"/>
    <x v="1"/>
    <n v="291.17"/>
  </r>
  <r>
    <x v="1"/>
    <x v="4"/>
    <n v="2010350"/>
    <x v="185"/>
    <x v="0"/>
    <n v="452.98"/>
  </r>
  <r>
    <x v="0"/>
    <x v="5"/>
    <n v="2010351"/>
    <x v="186"/>
    <x v="0"/>
    <n v="226.95"/>
  </r>
  <r>
    <x v="1"/>
    <x v="4"/>
    <n v="2010352"/>
    <x v="187"/>
    <x v="0"/>
    <n v="193.58"/>
  </r>
  <r>
    <x v="0"/>
    <x v="5"/>
    <n v="2010353"/>
    <x v="187"/>
    <x v="1"/>
    <n v="1176.22"/>
  </r>
  <r>
    <x v="0"/>
    <x v="6"/>
    <n v="2010354"/>
    <x v="187"/>
    <x v="1"/>
    <n v="144"/>
  </r>
  <r>
    <x v="0"/>
    <x v="5"/>
    <n v="2010355"/>
    <x v="188"/>
    <x v="1"/>
    <n v="629.21"/>
  </r>
  <r>
    <x v="0"/>
    <x v="6"/>
    <n v="2010356"/>
    <x v="189"/>
    <x v="1"/>
    <n v="944.04"/>
  </r>
  <r>
    <x v="0"/>
    <x v="5"/>
    <n v="2010357"/>
    <x v="190"/>
    <x v="0"/>
    <n v="986.49"/>
  </r>
  <r>
    <x v="1"/>
    <x v="4"/>
    <n v="2010358"/>
    <x v="191"/>
    <x v="0"/>
    <n v="718.89"/>
  </r>
  <r>
    <x v="0"/>
    <x v="5"/>
    <n v="2010359"/>
    <x v="192"/>
    <x v="1"/>
    <n v="546.03"/>
  </r>
  <r>
    <x v="0"/>
    <x v="1"/>
    <n v="2010360"/>
    <x v="192"/>
    <x v="0"/>
    <n v="633.49"/>
  </r>
  <r>
    <x v="0"/>
    <x v="5"/>
    <n v="2010361"/>
    <x v="192"/>
    <x v="1"/>
    <n v="282.43"/>
  </r>
  <r>
    <x v="0"/>
    <x v="6"/>
    <n v="2010362"/>
    <x v="192"/>
    <x v="1"/>
    <n v="530.26"/>
  </r>
  <r>
    <x v="0"/>
    <x v="1"/>
    <n v="2010363"/>
    <x v="193"/>
    <x v="1"/>
    <n v="864.27"/>
  </r>
  <r>
    <x v="1"/>
    <x v="2"/>
    <n v="2010364"/>
    <x v="194"/>
    <x v="1"/>
    <n v="1080.0899999999999"/>
  </r>
  <r>
    <x v="0"/>
    <x v="1"/>
    <n v="2010365"/>
    <x v="195"/>
    <x v="1"/>
    <n v="986.16"/>
  </r>
  <r>
    <x v="0"/>
    <x v="3"/>
    <n v="2010366"/>
    <x v="196"/>
    <x v="0"/>
    <n v="1151.55"/>
  </r>
  <r>
    <x v="0"/>
    <x v="3"/>
    <n v="2010367"/>
    <x v="197"/>
    <x v="1"/>
    <n v="1086.97"/>
  </r>
  <r>
    <x v="0"/>
    <x v="1"/>
    <n v="2010368"/>
    <x v="197"/>
    <x v="1"/>
    <n v="1169.26"/>
  </r>
  <r>
    <x v="0"/>
    <x v="1"/>
    <n v="2010369"/>
    <x v="198"/>
    <x v="1"/>
    <n v="319.42"/>
  </r>
  <r>
    <x v="0"/>
    <x v="6"/>
    <n v="2010370"/>
    <x v="199"/>
    <x v="0"/>
    <n v="420.23"/>
  </r>
  <r>
    <x v="0"/>
    <x v="5"/>
    <n v="2010371"/>
    <x v="199"/>
    <x v="0"/>
    <n v="931.86"/>
  </r>
  <r>
    <x v="0"/>
    <x v="6"/>
    <n v="2010372"/>
    <x v="199"/>
    <x v="1"/>
    <n v="614.13"/>
  </r>
  <r>
    <x v="1"/>
    <x v="2"/>
    <n v="2010373"/>
    <x v="199"/>
    <x v="0"/>
    <n v="835.47"/>
  </r>
  <r>
    <x v="0"/>
    <x v="5"/>
    <n v="2010374"/>
    <x v="200"/>
    <x v="1"/>
    <n v="688.01"/>
  </r>
  <r>
    <x v="0"/>
    <x v="1"/>
    <n v="2010375"/>
    <x v="200"/>
    <x v="0"/>
    <n v="252.6"/>
  </r>
  <r>
    <x v="0"/>
    <x v="0"/>
    <n v="2010376"/>
    <x v="201"/>
    <x v="1"/>
    <n v="255.68"/>
  </r>
  <r>
    <x v="1"/>
    <x v="7"/>
    <n v="2010377"/>
    <x v="202"/>
    <x v="0"/>
    <n v="858.38"/>
  </r>
  <r>
    <x v="0"/>
    <x v="3"/>
    <n v="2010378"/>
    <x v="203"/>
    <x v="0"/>
    <n v="985.24"/>
  </r>
  <r>
    <x v="0"/>
    <x v="6"/>
    <n v="2010379"/>
    <x v="204"/>
    <x v="1"/>
    <n v="31.08"/>
  </r>
  <r>
    <x v="0"/>
    <x v="0"/>
    <n v="2010380"/>
    <x v="204"/>
    <x v="1"/>
    <n v="80.290000000000006"/>
  </r>
  <r>
    <x v="0"/>
    <x v="5"/>
    <n v="2010381"/>
    <x v="204"/>
    <x v="0"/>
    <n v="1120.23"/>
  </r>
  <r>
    <x v="0"/>
    <x v="5"/>
    <n v="2010382"/>
    <x v="205"/>
    <x v="1"/>
    <n v="905.95"/>
  </r>
  <r>
    <x v="0"/>
    <x v="6"/>
    <n v="2010383"/>
    <x v="205"/>
    <x v="1"/>
    <n v="410.35"/>
  </r>
  <r>
    <x v="0"/>
    <x v="6"/>
    <n v="2010384"/>
    <x v="206"/>
    <x v="0"/>
    <n v="306.27999999999997"/>
  </r>
  <r>
    <x v="0"/>
    <x v="5"/>
    <n v="2010385"/>
    <x v="206"/>
    <x v="1"/>
    <n v="1081"/>
  </r>
  <r>
    <x v="1"/>
    <x v="2"/>
    <n v="2010386"/>
    <x v="207"/>
    <x v="1"/>
    <n v="500.88"/>
  </r>
  <r>
    <x v="0"/>
    <x v="0"/>
    <n v="2010387"/>
    <x v="208"/>
    <x v="1"/>
    <n v="165.66"/>
  </r>
  <r>
    <x v="0"/>
    <x v="6"/>
    <n v="2010388"/>
    <x v="208"/>
    <x v="0"/>
    <n v="1162.68"/>
  </r>
  <r>
    <x v="0"/>
    <x v="3"/>
    <n v="2010389"/>
    <x v="209"/>
    <x v="0"/>
    <n v="610"/>
  </r>
  <r>
    <x v="0"/>
    <x v="1"/>
    <n v="2010390"/>
    <x v="209"/>
    <x v="0"/>
    <n v="596.38"/>
  </r>
  <r>
    <x v="0"/>
    <x v="6"/>
    <n v="2010391"/>
    <x v="210"/>
    <x v="1"/>
    <n v="866.8"/>
  </r>
  <r>
    <x v="0"/>
    <x v="3"/>
    <n v="2010392"/>
    <x v="210"/>
    <x v="0"/>
    <n v="1068.97"/>
  </r>
  <r>
    <x v="0"/>
    <x v="0"/>
    <n v="2010393"/>
    <x v="211"/>
    <x v="1"/>
    <n v="955.86"/>
  </r>
  <r>
    <x v="0"/>
    <x v="0"/>
    <n v="2010394"/>
    <x v="212"/>
    <x v="1"/>
    <n v="561.88"/>
  </r>
  <r>
    <x v="0"/>
    <x v="0"/>
    <n v="2010395"/>
    <x v="212"/>
    <x v="1"/>
    <n v="289.97000000000003"/>
  </r>
  <r>
    <x v="1"/>
    <x v="4"/>
    <n v="2010396"/>
    <x v="212"/>
    <x v="0"/>
    <n v="103.75"/>
  </r>
  <r>
    <x v="1"/>
    <x v="8"/>
    <n v="2010397"/>
    <x v="213"/>
    <x v="0"/>
    <n v="147.26"/>
  </r>
  <r>
    <x v="1"/>
    <x v="7"/>
    <n v="2010398"/>
    <x v="213"/>
    <x v="0"/>
    <n v="14.28"/>
  </r>
  <r>
    <x v="0"/>
    <x v="3"/>
    <n v="2010399"/>
    <x v="214"/>
    <x v="1"/>
    <n v="289.33999999999997"/>
  </r>
  <r>
    <x v="0"/>
    <x v="6"/>
    <n v="2011001"/>
    <x v="215"/>
    <x v="0"/>
    <n v="645.42999999999995"/>
  </r>
  <r>
    <x v="0"/>
    <x v="6"/>
    <n v="2011002"/>
    <x v="215"/>
    <x v="0"/>
    <n v="482.77"/>
  </r>
  <r>
    <x v="0"/>
    <x v="6"/>
    <n v="2011003"/>
    <x v="215"/>
    <x v="1"/>
    <n v="98.86"/>
  </r>
  <r>
    <x v="0"/>
    <x v="0"/>
    <n v="2011004"/>
    <x v="215"/>
    <x v="1"/>
    <n v="540.79"/>
  </r>
  <r>
    <x v="1"/>
    <x v="9"/>
    <n v="2011005"/>
    <x v="216"/>
    <x v="1"/>
    <n v="284.70999999999998"/>
  </r>
  <r>
    <x v="0"/>
    <x v="1"/>
    <n v="2011006"/>
    <x v="217"/>
    <x v="1"/>
    <n v="799.6"/>
  </r>
  <r>
    <x v="1"/>
    <x v="4"/>
    <n v="2011007"/>
    <x v="217"/>
    <x v="0"/>
    <n v="1026.8399999999999"/>
  </r>
  <r>
    <x v="0"/>
    <x v="1"/>
    <n v="2011008"/>
    <x v="218"/>
    <x v="0"/>
    <n v="795.42"/>
  </r>
  <r>
    <x v="0"/>
    <x v="3"/>
    <n v="2011009"/>
    <x v="218"/>
    <x v="1"/>
    <n v="508.43"/>
  </r>
  <r>
    <x v="1"/>
    <x v="10"/>
    <n v="2011010"/>
    <x v="218"/>
    <x v="0"/>
    <n v="313.36"/>
  </r>
  <r>
    <x v="0"/>
    <x v="1"/>
    <n v="2011011"/>
    <x v="219"/>
    <x v="0"/>
    <n v="424.5"/>
  </r>
  <r>
    <x v="0"/>
    <x v="6"/>
    <n v="2011012"/>
    <x v="220"/>
    <x v="1"/>
    <n v="821.24"/>
  </r>
  <r>
    <x v="0"/>
    <x v="0"/>
    <n v="2011013"/>
    <x v="220"/>
    <x v="0"/>
    <n v="745.75"/>
  </r>
  <r>
    <x v="0"/>
    <x v="0"/>
    <n v="2011014"/>
    <x v="220"/>
    <x v="0"/>
    <n v="370.71"/>
  </r>
  <r>
    <x v="1"/>
    <x v="2"/>
    <n v="2011015"/>
    <x v="220"/>
    <x v="1"/>
    <n v="962.4"/>
  </r>
  <r>
    <x v="1"/>
    <x v="2"/>
    <n v="2011016"/>
    <x v="220"/>
    <x v="0"/>
    <n v="769.23"/>
  </r>
  <r>
    <x v="0"/>
    <x v="5"/>
    <n v="2011017"/>
    <x v="221"/>
    <x v="1"/>
    <n v="1211.6300000000001"/>
  </r>
  <r>
    <x v="0"/>
    <x v="1"/>
    <n v="2011018"/>
    <x v="222"/>
    <x v="0"/>
    <n v="955.88"/>
  </r>
  <r>
    <x v="0"/>
    <x v="6"/>
    <n v="2011019"/>
    <x v="223"/>
    <x v="0"/>
    <n v="602.51"/>
  </r>
  <r>
    <x v="1"/>
    <x v="10"/>
    <n v="2011020"/>
    <x v="223"/>
    <x v="0"/>
    <n v="885.65"/>
  </r>
  <r>
    <x v="0"/>
    <x v="1"/>
    <n v="2011021"/>
    <x v="224"/>
    <x v="0"/>
    <n v="464.71"/>
  </r>
  <r>
    <x v="0"/>
    <x v="6"/>
    <n v="2011022"/>
    <x v="224"/>
    <x v="1"/>
    <n v="291.54000000000002"/>
  </r>
  <r>
    <x v="0"/>
    <x v="5"/>
    <n v="2011023"/>
    <x v="224"/>
    <x v="0"/>
    <n v="1133.82"/>
  </r>
  <r>
    <x v="0"/>
    <x v="5"/>
    <n v="2011024"/>
    <x v="225"/>
    <x v="1"/>
    <n v="1180.21"/>
  </r>
  <r>
    <x v="1"/>
    <x v="8"/>
    <n v="2011025"/>
    <x v="225"/>
    <x v="0"/>
    <n v="1255.0999999999999"/>
  </r>
  <r>
    <x v="0"/>
    <x v="5"/>
    <n v="2011026"/>
    <x v="226"/>
    <x v="1"/>
    <n v="222.19"/>
  </r>
  <r>
    <x v="1"/>
    <x v="2"/>
    <n v="2011027"/>
    <x v="226"/>
    <x v="0"/>
    <n v="853.17"/>
  </r>
  <r>
    <x v="0"/>
    <x v="1"/>
    <n v="2011028"/>
    <x v="227"/>
    <x v="0"/>
    <n v="833.36"/>
  </r>
  <r>
    <x v="1"/>
    <x v="7"/>
    <n v="2011029"/>
    <x v="227"/>
    <x v="0"/>
    <n v="512.1"/>
  </r>
  <r>
    <x v="1"/>
    <x v="2"/>
    <n v="2011030"/>
    <x v="227"/>
    <x v="1"/>
    <n v="1056.58"/>
  </r>
  <r>
    <x v="1"/>
    <x v="4"/>
    <n v="2011031"/>
    <x v="227"/>
    <x v="0"/>
    <n v="222.61"/>
  </r>
  <r>
    <x v="0"/>
    <x v="0"/>
    <n v="2011032"/>
    <x v="228"/>
    <x v="1"/>
    <n v="1005.62"/>
  </r>
  <r>
    <x v="0"/>
    <x v="0"/>
    <n v="2011033"/>
    <x v="228"/>
    <x v="0"/>
    <n v="505.89"/>
  </r>
  <r>
    <x v="0"/>
    <x v="3"/>
    <n v="2011034"/>
    <x v="228"/>
    <x v="0"/>
    <n v="711.09"/>
  </r>
  <r>
    <x v="0"/>
    <x v="3"/>
    <n v="2011035"/>
    <x v="228"/>
    <x v="0"/>
    <n v="1276.6199999999999"/>
  </r>
  <r>
    <x v="0"/>
    <x v="5"/>
    <n v="2011036"/>
    <x v="229"/>
    <x v="0"/>
    <n v="905.2"/>
  </r>
  <r>
    <x v="1"/>
    <x v="7"/>
    <n v="2011037"/>
    <x v="229"/>
    <x v="0"/>
    <n v="1179.0999999999999"/>
  </r>
  <r>
    <x v="1"/>
    <x v="8"/>
    <n v="2011038"/>
    <x v="229"/>
    <x v="1"/>
    <n v="893.5"/>
  </r>
  <r>
    <x v="1"/>
    <x v="2"/>
    <n v="2011039"/>
    <x v="229"/>
    <x v="0"/>
    <n v="44.88"/>
  </r>
  <r>
    <x v="0"/>
    <x v="6"/>
    <n v="2011040"/>
    <x v="230"/>
    <x v="0"/>
    <n v="858.2"/>
  </r>
  <r>
    <x v="1"/>
    <x v="9"/>
    <n v="2011041"/>
    <x v="230"/>
    <x v="0"/>
    <n v="515.52"/>
  </r>
  <r>
    <x v="1"/>
    <x v="4"/>
    <n v="2011042"/>
    <x v="230"/>
    <x v="0"/>
    <n v="1224.03"/>
  </r>
  <r>
    <x v="0"/>
    <x v="1"/>
    <n v="2011043"/>
    <x v="231"/>
    <x v="0"/>
    <n v="284.97000000000003"/>
  </r>
  <r>
    <x v="0"/>
    <x v="0"/>
    <n v="2011044"/>
    <x v="231"/>
    <x v="1"/>
    <n v="1134.31"/>
  </r>
  <r>
    <x v="0"/>
    <x v="5"/>
    <n v="2011045"/>
    <x v="231"/>
    <x v="0"/>
    <n v="892.02"/>
  </r>
  <r>
    <x v="1"/>
    <x v="4"/>
    <n v="2011046"/>
    <x v="231"/>
    <x v="1"/>
    <n v="1227.27"/>
  </r>
  <r>
    <x v="0"/>
    <x v="1"/>
    <n v="2011047"/>
    <x v="232"/>
    <x v="0"/>
    <n v="556.12"/>
  </r>
  <r>
    <x v="0"/>
    <x v="0"/>
    <n v="2011048"/>
    <x v="232"/>
    <x v="1"/>
    <n v="271.05"/>
  </r>
  <r>
    <x v="1"/>
    <x v="2"/>
    <n v="2011049"/>
    <x v="232"/>
    <x v="0"/>
    <n v="626.25"/>
  </r>
  <r>
    <x v="0"/>
    <x v="1"/>
    <n v="2011050"/>
    <x v="233"/>
    <x v="1"/>
    <n v="725.23"/>
  </r>
  <r>
    <x v="0"/>
    <x v="1"/>
    <n v="2011051"/>
    <x v="233"/>
    <x v="0"/>
    <n v="594.37"/>
  </r>
  <r>
    <x v="0"/>
    <x v="6"/>
    <n v="2011052"/>
    <x v="233"/>
    <x v="1"/>
    <n v="75.23"/>
  </r>
  <r>
    <x v="0"/>
    <x v="0"/>
    <n v="2011053"/>
    <x v="233"/>
    <x v="0"/>
    <n v="134.08000000000001"/>
  </r>
  <r>
    <x v="1"/>
    <x v="8"/>
    <n v="2011054"/>
    <x v="233"/>
    <x v="0"/>
    <n v="1207.6400000000001"/>
  </r>
  <r>
    <x v="0"/>
    <x v="1"/>
    <n v="2011055"/>
    <x v="234"/>
    <x v="0"/>
    <n v="870.64"/>
  </r>
  <r>
    <x v="0"/>
    <x v="6"/>
    <n v="2011056"/>
    <x v="234"/>
    <x v="0"/>
    <n v="498.36"/>
  </r>
  <r>
    <x v="0"/>
    <x v="1"/>
    <n v="2011057"/>
    <x v="235"/>
    <x v="1"/>
    <n v="1006.35"/>
  </r>
  <r>
    <x v="0"/>
    <x v="6"/>
    <n v="2011058"/>
    <x v="235"/>
    <x v="0"/>
    <n v="909.06"/>
  </r>
  <r>
    <x v="0"/>
    <x v="0"/>
    <n v="2011059"/>
    <x v="235"/>
    <x v="0"/>
    <n v="386.97"/>
  </r>
  <r>
    <x v="1"/>
    <x v="9"/>
    <n v="2011060"/>
    <x v="235"/>
    <x v="0"/>
    <n v="456.34"/>
  </r>
  <r>
    <x v="0"/>
    <x v="3"/>
    <n v="2011061"/>
    <x v="236"/>
    <x v="1"/>
    <n v="465.58"/>
  </r>
  <r>
    <x v="0"/>
    <x v="0"/>
    <n v="2011062"/>
    <x v="237"/>
    <x v="1"/>
    <n v="521.79999999999995"/>
  </r>
  <r>
    <x v="1"/>
    <x v="2"/>
    <n v="2011063"/>
    <x v="237"/>
    <x v="1"/>
    <n v="207.44"/>
  </r>
  <r>
    <x v="1"/>
    <x v="4"/>
    <n v="2011064"/>
    <x v="237"/>
    <x v="1"/>
    <n v="1189.32"/>
  </r>
  <r>
    <x v="0"/>
    <x v="5"/>
    <n v="2011065"/>
    <x v="238"/>
    <x v="1"/>
    <n v="919.06"/>
  </r>
  <r>
    <x v="1"/>
    <x v="8"/>
    <n v="2011066"/>
    <x v="238"/>
    <x v="1"/>
    <n v="169.63"/>
  </r>
  <r>
    <x v="1"/>
    <x v="10"/>
    <n v="2011067"/>
    <x v="239"/>
    <x v="1"/>
    <n v="684.34"/>
  </r>
  <r>
    <x v="0"/>
    <x v="3"/>
    <n v="2011068"/>
    <x v="240"/>
    <x v="1"/>
    <n v="619.88"/>
  </r>
  <r>
    <x v="1"/>
    <x v="8"/>
    <n v="2011069"/>
    <x v="240"/>
    <x v="1"/>
    <n v="192.76"/>
  </r>
  <r>
    <x v="0"/>
    <x v="1"/>
    <n v="2011070"/>
    <x v="241"/>
    <x v="1"/>
    <n v="800.84"/>
  </r>
  <r>
    <x v="0"/>
    <x v="0"/>
    <n v="2011071"/>
    <x v="242"/>
    <x v="0"/>
    <n v="1017.07"/>
  </r>
  <r>
    <x v="1"/>
    <x v="7"/>
    <n v="2011072"/>
    <x v="242"/>
    <x v="0"/>
    <n v="673.2"/>
  </r>
  <r>
    <x v="0"/>
    <x v="5"/>
    <n v="2011073"/>
    <x v="243"/>
    <x v="1"/>
    <n v="918.51"/>
  </r>
  <r>
    <x v="0"/>
    <x v="3"/>
    <n v="2011074"/>
    <x v="243"/>
    <x v="0"/>
    <n v="924.18"/>
  </r>
  <r>
    <x v="1"/>
    <x v="2"/>
    <n v="2011075"/>
    <x v="243"/>
    <x v="0"/>
    <n v="148.51"/>
  </r>
  <r>
    <x v="0"/>
    <x v="1"/>
    <n v="2011076"/>
    <x v="244"/>
    <x v="0"/>
    <n v="404.49"/>
  </r>
  <r>
    <x v="0"/>
    <x v="1"/>
    <n v="2011077"/>
    <x v="244"/>
    <x v="0"/>
    <n v="900.3"/>
  </r>
  <r>
    <x v="0"/>
    <x v="5"/>
    <n v="2011078"/>
    <x v="245"/>
    <x v="1"/>
    <n v="646.91"/>
  </r>
  <r>
    <x v="0"/>
    <x v="1"/>
    <n v="2011079"/>
    <x v="246"/>
    <x v="0"/>
    <n v="441.33"/>
  </r>
  <r>
    <x v="0"/>
    <x v="0"/>
    <n v="2011080"/>
    <x v="246"/>
    <x v="1"/>
    <n v="350.68"/>
  </r>
  <r>
    <x v="1"/>
    <x v="2"/>
    <n v="2011081"/>
    <x v="246"/>
    <x v="0"/>
    <n v="202.02"/>
  </r>
  <r>
    <x v="1"/>
    <x v="2"/>
    <n v="2011082"/>
    <x v="246"/>
    <x v="1"/>
    <n v="662.22"/>
  </r>
  <r>
    <x v="0"/>
    <x v="3"/>
    <n v="2011083"/>
    <x v="247"/>
    <x v="0"/>
    <n v="457.47"/>
  </r>
  <r>
    <x v="0"/>
    <x v="0"/>
    <n v="2011084"/>
    <x v="248"/>
    <x v="1"/>
    <n v="480.54"/>
  </r>
  <r>
    <x v="0"/>
    <x v="5"/>
    <n v="2011085"/>
    <x v="248"/>
    <x v="0"/>
    <n v="381.66"/>
  </r>
  <r>
    <x v="0"/>
    <x v="5"/>
    <n v="2011086"/>
    <x v="248"/>
    <x v="1"/>
    <n v="319.43"/>
  </r>
  <r>
    <x v="0"/>
    <x v="5"/>
    <n v="2011087"/>
    <x v="248"/>
    <x v="0"/>
    <n v="73.45"/>
  </r>
  <r>
    <x v="0"/>
    <x v="5"/>
    <n v="2011088"/>
    <x v="249"/>
    <x v="1"/>
    <n v="961.21"/>
  </r>
  <r>
    <x v="0"/>
    <x v="1"/>
    <n v="2011089"/>
    <x v="250"/>
    <x v="1"/>
    <n v="148.59"/>
  </r>
  <r>
    <x v="0"/>
    <x v="6"/>
    <n v="2011090"/>
    <x v="250"/>
    <x v="1"/>
    <n v="863.8"/>
  </r>
  <r>
    <x v="0"/>
    <x v="6"/>
    <n v="2011091"/>
    <x v="251"/>
    <x v="1"/>
    <n v="229.32"/>
  </r>
  <r>
    <x v="0"/>
    <x v="0"/>
    <n v="2011092"/>
    <x v="252"/>
    <x v="0"/>
    <n v="908.51"/>
  </r>
  <r>
    <x v="0"/>
    <x v="5"/>
    <n v="2011093"/>
    <x v="252"/>
    <x v="0"/>
    <n v="224.1"/>
  </r>
  <r>
    <x v="0"/>
    <x v="3"/>
    <n v="2011094"/>
    <x v="252"/>
    <x v="0"/>
    <n v="357.81"/>
  </r>
  <r>
    <x v="0"/>
    <x v="3"/>
    <n v="2011095"/>
    <x v="252"/>
    <x v="1"/>
    <n v="959.77"/>
  </r>
  <r>
    <x v="1"/>
    <x v="8"/>
    <n v="2011096"/>
    <x v="253"/>
    <x v="0"/>
    <n v="243.17"/>
  </r>
  <r>
    <x v="0"/>
    <x v="6"/>
    <n v="2011097"/>
    <x v="254"/>
    <x v="1"/>
    <n v="267.47000000000003"/>
  </r>
  <r>
    <x v="0"/>
    <x v="5"/>
    <n v="2011098"/>
    <x v="254"/>
    <x v="1"/>
    <n v="1102.53"/>
  </r>
  <r>
    <x v="1"/>
    <x v="10"/>
    <n v="2011099"/>
    <x v="254"/>
    <x v="0"/>
    <n v="778.23"/>
  </r>
  <r>
    <x v="1"/>
    <x v="10"/>
    <n v="2011100"/>
    <x v="254"/>
    <x v="1"/>
    <n v="506.09"/>
  </r>
  <r>
    <x v="1"/>
    <x v="7"/>
    <n v="2011101"/>
    <x v="254"/>
    <x v="1"/>
    <n v="861.55"/>
  </r>
  <r>
    <x v="0"/>
    <x v="6"/>
    <n v="2011102"/>
    <x v="255"/>
    <x v="1"/>
    <n v="1187.93"/>
  </r>
  <r>
    <x v="0"/>
    <x v="0"/>
    <n v="2011103"/>
    <x v="255"/>
    <x v="1"/>
    <n v="783.72"/>
  </r>
  <r>
    <x v="0"/>
    <x v="0"/>
    <n v="2011104"/>
    <x v="255"/>
    <x v="0"/>
    <n v="897.35"/>
  </r>
  <r>
    <x v="1"/>
    <x v="8"/>
    <n v="2011105"/>
    <x v="255"/>
    <x v="1"/>
    <n v="1209.32"/>
  </r>
  <r>
    <x v="0"/>
    <x v="1"/>
    <n v="2011106"/>
    <x v="256"/>
    <x v="1"/>
    <n v="1197.6199999999999"/>
  </r>
  <r>
    <x v="0"/>
    <x v="1"/>
    <n v="2011107"/>
    <x v="257"/>
    <x v="1"/>
    <n v="548.78"/>
  </r>
  <r>
    <x v="0"/>
    <x v="5"/>
    <n v="2011108"/>
    <x v="257"/>
    <x v="0"/>
    <n v="585.04"/>
  </r>
  <r>
    <x v="1"/>
    <x v="10"/>
    <n v="2011109"/>
    <x v="257"/>
    <x v="1"/>
    <n v="394.53"/>
  </r>
  <r>
    <x v="1"/>
    <x v="4"/>
    <n v="2011110"/>
    <x v="257"/>
    <x v="0"/>
    <n v="761.7"/>
  </r>
  <r>
    <x v="0"/>
    <x v="6"/>
    <n v="2011111"/>
    <x v="258"/>
    <x v="0"/>
    <n v="1005.19"/>
  </r>
  <r>
    <x v="0"/>
    <x v="0"/>
    <n v="2011112"/>
    <x v="258"/>
    <x v="1"/>
    <n v="821.63"/>
  </r>
  <r>
    <x v="0"/>
    <x v="6"/>
    <n v="2011113"/>
    <x v="259"/>
    <x v="0"/>
    <n v="777.57"/>
  </r>
  <r>
    <x v="0"/>
    <x v="3"/>
    <n v="2011114"/>
    <x v="260"/>
    <x v="1"/>
    <n v="1022.83"/>
  </r>
  <r>
    <x v="1"/>
    <x v="8"/>
    <n v="2011115"/>
    <x v="260"/>
    <x v="0"/>
    <n v="868.87"/>
  </r>
  <r>
    <x v="1"/>
    <x v="8"/>
    <n v="2011116"/>
    <x v="260"/>
    <x v="0"/>
    <n v="442.41"/>
  </r>
  <r>
    <x v="1"/>
    <x v="2"/>
    <n v="2011117"/>
    <x v="260"/>
    <x v="1"/>
    <n v="1152.51"/>
  </r>
  <r>
    <x v="0"/>
    <x v="6"/>
    <n v="2011118"/>
    <x v="261"/>
    <x v="0"/>
    <n v="1217.9100000000001"/>
  </r>
  <r>
    <x v="0"/>
    <x v="5"/>
    <n v="2011119"/>
    <x v="261"/>
    <x v="0"/>
    <n v="498.86"/>
  </r>
  <r>
    <x v="1"/>
    <x v="8"/>
    <n v="2011120"/>
    <x v="261"/>
    <x v="0"/>
    <n v="415.3"/>
  </r>
  <r>
    <x v="0"/>
    <x v="5"/>
    <n v="2011121"/>
    <x v="262"/>
    <x v="0"/>
    <n v="815.91"/>
  </r>
  <r>
    <x v="1"/>
    <x v="2"/>
    <n v="2011122"/>
    <x v="262"/>
    <x v="1"/>
    <n v="773.55"/>
  </r>
  <r>
    <x v="0"/>
    <x v="1"/>
    <n v="2011123"/>
    <x v="263"/>
    <x v="1"/>
    <n v="806.9"/>
  </r>
  <r>
    <x v="0"/>
    <x v="1"/>
    <n v="2011124"/>
    <x v="264"/>
    <x v="1"/>
    <n v="420.78"/>
  </r>
  <r>
    <x v="1"/>
    <x v="2"/>
    <n v="2011125"/>
    <x v="264"/>
    <x v="1"/>
    <n v="960.22"/>
  </r>
  <r>
    <x v="0"/>
    <x v="6"/>
    <n v="2011126"/>
    <x v="265"/>
    <x v="0"/>
    <n v="1138.8399999999999"/>
  </r>
  <r>
    <x v="0"/>
    <x v="5"/>
    <n v="2011127"/>
    <x v="265"/>
    <x v="0"/>
    <n v="381.78"/>
  </r>
  <r>
    <x v="0"/>
    <x v="5"/>
    <n v="2011128"/>
    <x v="265"/>
    <x v="1"/>
    <n v="1143.46"/>
  </r>
  <r>
    <x v="1"/>
    <x v="4"/>
    <n v="2011129"/>
    <x v="265"/>
    <x v="1"/>
    <n v="466.61"/>
  </r>
  <r>
    <x v="0"/>
    <x v="0"/>
    <n v="2011130"/>
    <x v="266"/>
    <x v="1"/>
    <n v="630.87"/>
  </r>
  <r>
    <x v="0"/>
    <x v="0"/>
    <n v="2011131"/>
    <x v="266"/>
    <x v="0"/>
    <n v="1197.1400000000001"/>
  </r>
  <r>
    <x v="0"/>
    <x v="5"/>
    <n v="2011132"/>
    <x v="266"/>
    <x v="0"/>
    <n v="939.77"/>
  </r>
  <r>
    <x v="1"/>
    <x v="10"/>
    <n v="2011133"/>
    <x v="266"/>
    <x v="1"/>
    <n v="221.63"/>
  </r>
  <r>
    <x v="0"/>
    <x v="6"/>
    <n v="2011134"/>
    <x v="267"/>
    <x v="0"/>
    <n v="552.16"/>
  </r>
  <r>
    <x v="0"/>
    <x v="6"/>
    <n v="2011135"/>
    <x v="267"/>
    <x v="1"/>
    <n v="797"/>
  </r>
  <r>
    <x v="0"/>
    <x v="0"/>
    <n v="2011136"/>
    <x v="267"/>
    <x v="0"/>
    <n v="765.68"/>
  </r>
  <r>
    <x v="0"/>
    <x v="0"/>
    <n v="2011137"/>
    <x v="267"/>
    <x v="1"/>
    <n v="1156.6500000000001"/>
  </r>
  <r>
    <x v="0"/>
    <x v="5"/>
    <n v="2011138"/>
    <x v="267"/>
    <x v="1"/>
    <n v="746.56"/>
  </r>
  <r>
    <x v="1"/>
    <x v="9"/>
    <n v="2011139"/>
    <x v="268"/>
    <x v="1"/>
    <n v="1113.5999999999999"/>
  </r>
  <r>
    <x v="1"/>
    <x v="7"/>
    <n v="2011140"/>
    <x v="268"/>
    <x v="1"/>
    <n v="132.26"/>
  </r>
  <r>
    <x v="1"/>
    <x v="2"/>
    <n v="2011141"/>
    <x v="269"/>
    <x v="1"/>
    <n v="1140.28"/>
  </r>
  <r>
    <x v="1"/>
    <x v="4"/>
    <n v="2011142"/>
    <x v="269"/>
    <x v="1"/>
    <n v="832.88"/>
  </r>
  <r>
    <x v="0"/>
    <x v="1"/>
    <n v="2011143"/>
    <x v="270"/>
    <x v="0"/>
    <n v="1173.82"/>
  </r>
  <r>
    <x v="0"/>
    <x v="6"/>
    <n v="2011144"/>
    <x v="271"/>
    <x v="0"/>
    <n v="512.79"/>
  </r>
  <r>
    <x v="0"/>
    <x v="0"/>
    <n v="2011145"/>
    <x v="271"/>
    <x v="0"/>
    <n v="796.4"/>
  </r>
  <r>
    <x v="0"/>
    <x v="5"/>
    <n v="2011146"/>
    <x v="272"/>
    <x v="1"/>
    <n v="992.27"/>
  </r>
  <r>
    <x v="0"/>
    <x v="3"/>
    <n v="2011147"/>
    <x v="272"/>
    <x v="0"/>
    <n v="204.83"/>
  </r>
  <r>
    <x v="1"/>
    <x v="10"/>
    <n v="2011148"/>
    <x v="272"/>
    <x v="0"/>
    <n v="416.2"/>
  </r>
  <r>
    <x v="0"/>
    <x v="6"/>
    <n v="2011149"/>
    <x v="273"/>
    <x v="1"/>
    <n v="943.31"/>
  </r>
  <r>
    <x v="0"/>
    <x v="6"/>
    <n v="2011150"/>
    <x v="273"/>
    <x v="0"/>
    <n v="1126.25"/>
  </r>
  <r>
    <x v="0"/>
    <x v="1"/>
    <n v="2011151"/>
    <x v="274"/>
    <x v="1"/>
    <n v="1070.93"/>
  </r>
  <r>
    <x v="1"/>
    <x v="8"/>
    <n v="2011152"/>
    <x v="274"/>
    <x v="1"/>
    <n v="367.41"/>
  </r>
  <r>
    <x v="1"/>
    <x v="4"/>
    <n v="2011153"/>
    <x v="274"/>
    <x v="0"/>
    <n v="315.04000000000002"/>
  </r>
  <r>
    <x v="0"/>
    <x v="1"/>
    <n v="2011154"/>
    <x v="275"/>
    <x v="1"/>
    <n v="236.29"/>
  </r>
  <r>
    <x v="0"/>
    <x v="0"/>
    <n v="2011155"/>
    <x v="276"/>
    <x v="1"/>
    <n v="212.1"/>
  </r>
  <r>
    <x v="0"/>
    <x v="3"/>
    <n v="2011156"/>
    <x v="276"/>
    <x v="0"/>
    <n v="302.99"/>
  </r>
  <r>
    <x v="0"/>
    <x v="1"/>
    <n v="2011157"/>
    <x v="277"/>
    <x v="0"/>
    <n v="1138.3599999999999"/>
  </r>
  <r>
    <x v="1"/>
    <x v="4"/>
    <n v="2011158"/>
    <x v="277"/>
    <x v="1"/>
    <n v="1201.6199999999999"/>
  </r>
  <r>
    <x v="1"/>
    <x v="4"/>
    <n v="2011159"/>
    <x v="278"/>
    <x v="0"/>
    <n v="360.8"/>
  </r>
  <r>
    <x v="0"/>
    <x v="3"/>
    <n v="2011160"/>
    <x v="279"/>
    <x v="0"/>
    <n v="1127.05"/>
  </r>
  <r>
    <x v="0"/>
    <x v="5"/>
    <n v="2011161"/>
    <x v="280"/>
    <x v="1"/>
    <n v="607.85"/>
  </r>
  <r>
    <x v="1"/>
    <x v="2"/>
    <n v="2011162"/>
    <x v="280"/>
    <x v="0"/>
    <n v="233.83"/>
  </r>
  <r>
    <x v="0"/>
    <x v="5"/>
    <n v="2011163"/>
    <x v="281"/>
    <x v="0"/>
    <n v="576.75"/>
  </r>
  <r>
    <x v="1"/>
    <x v="9"/>
    <n v="2011164"/>
    <x v="281"/>
    <x v="0"/>
    <n v="389.64"/>
  </r>
  <r>
    <x v="0"/>
    <x v="1"/>
    <n v="2011165"/>
    <x v="282"/>
    <x v="0"/>
    <n v="374.56"/>
  </r>
  <r>
    <x v="0"/>
    <x v="0"/>
    <n v="2011166"/>
    <x v="282"/>
    <x v="1"/>
    <n v="1196.6099999999999"/>
  </r>
  <r>
    <x v="1"/>
    <x v="9"/>
    <n v="2011167"/>
    <x v="283"/>
    <x v="1"/>
    <n v="946.06"/>
  </r>
  <r>
    <x v="1"/>
    <x v="7"/>
    <n v="2011168"/>
    <x v="283"/>
    <x v="1"/>
    <n v="808.57"/>
  </r>
  <r>
    <x v="1"/>
    <x v="2"/>
    <n v="2011169"/>
    <x v="284"/>
    <x v="1"/>
    <n v="490.04"/>
  </r>
  <r>
    <x v="0"/>
    <x v="5"/>
    <n v="2011170"/>
    <x v="285"/>
    <x v="0"/>
    <n v="588.66"/>
  </r>
  <r>
    <x v="1"/>
    <x v="8"/>
    <n v="2011171"/>
    <x v="286"/>
    <x v="0"/>
    <n v="709.64"/>
  </r>
  <r>
    <x v="0"/>
    <x v="5"/>
    <n v="2011172"/>
    <x v="287"/>
    <x v="1"/>
    <n v="528.04"/>
  </r>
  <r>
    <x v="0"/>
    <x v="5"/>
    <n v="2011173"/>
    <x v="287"/>
    <x v="1"/>
    <n v="782.48"/>
  </r>
  <r>
    <x v="1"/>
    <x v="7"/>
    <n v="2011174"/>
    <x v="287"/>
    <x v="0"/>
    <n v="759.83"/>
  </r>
  <r>
    <x v="0"/>
    <x v="1"/>
    <n v="2011175"/>
    <x v="288"/>
    <x v="0"/>
    <n v="475.93"/>
  </r>
  <r>
    <x v="0"/>
    <x v="1"/>
    <n v="2011176"/>
    <x v="289"/>
    <x v="1"/>
    <n v="498.86"/>
  </r>
  <r>
    <x v="1"/>
    <x v="4"/>
    <n v="2011177"/>
    <x v="289"/>
    <x v="1"/>
    <n v="730.61"/>
  </r>
  <r>
    <x v="0"/>
    <x v="1"/>
    <n v="2011178"/>
    <x v="290"/>
    <x v="1"/>
    <n v="1190.53"/>
  </r>
  <r>
    <x v="0"/>
    <x v="3"/>
    <n v="2011179"/>
    <x v="290"/>
    <x v="0"/>
    <n v="196.17"/>
  </r>
  <r>
    <x v="0"/>
    <x v="3"/>
    <n v="2011180"/>
    <x v="290"/>
    <x v="0"/>
    <n v="1025.74"/>
  </r>
  <r>
    <x v="1"/>
    <x v="2"/>
    <n v="2011181"/>
    <x v="290"/>
    <x v="1"/>
    <n v="324.79000000000002"/>
  </r>
  <r>
    <x v="0"/>
    <x v="6"/>
    <n v="2011182"/>
    <x v="291"/>
    <x v="1"/>
    <n v="752.58"/>
  </r>
  <r>
    <x v="0"/>
    <x v="5"/>
    <n v="2011183"/>
    <x v="291"/>
    <x v="1"/>
    <n v="370"/>
  </r>
  <r>
    <x v="0"/>
    <x v="3"/>
    <n v="2011184"/>
    <x v="292"/>
    <x v="0"/>
    <n v="560.27"/>
  </r>
  <r>
    <x v="1"/>
    <x v="4"/>
    <n v="2011185"/>
    <x v="292"/>
    <x v="1"/>
    <n v="914.06"/>
  </r>
  <r>
    <x v="0"/>
    <x v="3"/>
    <n v="2011186"/>
    <x v="293"/>
    <x v="1"/>
    <n v="1259.6099999999999"/>
  </r>
  <r>
    <x v="0"/>
    <x v="1"/>
    <n v="2011187"/>
    <x v="294"/>
    <x v="0"/>
    <n v="746.42"/>
  </r>
  <r>
    <x v="0"/>
    <x v="5"/>
    <n v="2011188"/>
    <x v="294"/>
    <x v="0"/>
    <n v="947.61"/>
  </r>
  <r>
    <x v="0"/>
    <x v="1"/>
    <n v="2011189"/>
    <x v="295"/>
    <x v="1"/>
    <n v="919.04"/>
  </r>
  <r>
    <x v="0"/>
    <x v="6"/>
    <n v="2011190"/>
    <x v="295"/>
    <x v="0"/>
    <n v="689.34"/>
  </r>
  <r>
    <x v="0"/>
    <x v="5"/>
    <n v="2011191"/>
    <x v="295"/>
    <x v="1"/>
    <n v="109.76"/>
  </r>
  <r>
    <x v="1"/>
    <x v="7"/>
    <n v="2011192"/>
    <x v="295"/>
    <x v="1"/>
    <n v="299.33"/>
  </r>
  <r>
    <x v="0"/>
    <x v="1"/>
    <n v="2011193"/>
    <x v="296"/>
    <x v="1"/>
    <n v="663.26"/>
  </r>
  <r>
    <x v="0"/>
    <x v="5"/>
    <n v="2011194"/>
    <x v="296"/>
    <x v="1"/>
    <n v="1089.97"/>
  </r>
  <r>
    <x v="0"/>
    <x v="3"/>
    <n v="2011195"/>
    <x v="296"/>
    <x v="0"/>
    <n v="1064.75"/>
  </r>
  <r>
    <x v="0"/>
    <x v="3"/>
    <n v="2011196"/>
    <x v="296"/>
    <x v="0"/>
    <n v="441.45"/>
  </r>
  <r>
    <x v="1"/>
    <x v="2"/>
    <n v="2011197"/>
    <x v="296"/>
    <x v="1"/>
    <n v="650.64"/>
  </r>
  <r>
    <x v="0"/>
    <x v="1"/>
    <n v="2011198"/>
    <x v="297"/>
    <x v="0"/>
    <n v="1102.17"/>
  </r>
  <r>
    <x v="0"/>
    <x v="1"/>
    <n v="2011199"/>
    <x v="297"/>
    <x v="1"/>
    <n v="230.22"/>
  </r>
  <r>
    <x v="0"/>
    <x v="1"/>
    <n v="2011200"/>
    <x v="297"/>
    <x v="1"/>
    <n v="1012.75"/>
  </r>
  <r>
    <x v="0"/>
    <x v="0"/>
    <n v="2011201"/>
    <x v="297"/>
    <x v="1"/>
    <n v="818.85"/>
  </r>
  <r>
    <x v="1"/>
    <x v="8"/>
    <n v="2011202"/>
    <x v="297"/>
    <x v="0"/>
    <n v="1244.8800000000001"/>
  </r>
  <r>
    <x v="0"/>
    <x v="6"/>
    <n v="2011203"/>
    <x v="298"/>
    <x v="1"/>
    <n v="1139.3399999999999"/>
  </r>
  <r>
    <x v="1"/>
    <x v="7"/>
    <n v="2011204"/>
    <x v="298"/>
    <x v="0"/>
    <n v="956.9"/>
  </r>
  <r>
    <x v="1"/>
    <x v="9"/>
    <n v="2011205"/>
    <x v="299"/>
    <x v="1"/>
    <n v="1186.46"/>
  </r>
  <r>
    <x v="0"/>
    <x v="1"/>
    <n v="2011206"/>
    <x v="300"/>
    <x v="1"/>
    <n v="927.22"/>
  </r>
  <r>
    <x v="0"/>
    <x v="1"/>
    <n v="2011207"/>
    <x v="300"/>
    <x v="0"/>
    <n v="543.41999999999996"/>
  </r>
  <r>
    <x v="0"/>
    <x v="1"/>
    <n v="2011208"/>
    <x v="301"/>
    <x v="1"/>
    <n v="531.6"/>
  </r>
  <r>
    <x v="0"/>
    <x v="6"/>
    <n v="2011209"/>
    <x v="301"/>
    <x v="1"/>
    <n v="1252.93"/>
  </r>
  <r>
    <x v="0"/>
    <x v="0"/>
    <n v="2011210"/>
    <x v="301"/>
    <x v="0"/>
    <n v="194.64"/>
  </r>
  <r>
    <x v="0"/>
    <x v="3"/>
    <n v="2011211"/>
    <x v="302"/>
    <x v="1"/>
    <n v="950.81"/>
  </r>
  <r>
    <x v="1"/>
    <x v="9"/>
    <n v="2011212"/>
    <x v="303"/>
    <x v="1"/>
    <n v="786.13"/>
  </r>
  <r>
    <x v="0"/>
    <x v="0"/>
    <n v="2011213"/>
    <x v="304"/>
    <x v="1"/>
    <n v="753.31"/>
  </r>
  <r>
    <x v="1"/>
    <x v="8"/>
    <n v="2011214"/>
    <x v="305"/>
    <x v="0"/>
    <n v="920.08"/>
  </r>
  <r>
    <x v="1"/>
    <x v="2"/>
    <n v="2011215"/>
    <x v="305"/>
    <x v="0"/>
    <n v="416.95"/>
  </r>
  <r>
    <x v="0"/>
    <x v="1"/>
    <n v="2011216"/>
    <x v="306"/>
    <x v="1"/>
    <n v="293.95"/>
  </r>
  <r>
    <x v="0"/>
    <x v="5"/>
    <n v="2011217"/>
    <x v="306"/>
    <x v="1"/>
    <n v="815.68"/>
  </r>
  <r>
    <x v="1"/>
    <x v="4"/>
    <n v="2011218"/>
    <x v="306"/>
    <x v="0"/>
    <n v="1121.98"/>
  </r>
  <r>
    <x v="0"/>
    <x v="6"/>
    <n v="2011219"/>
    <x v="307"/>
    <x v="0"/>
    <n v="617.62"/>
  </r>
  <r>
    <x v="0"/>
    <x v="1"/>
    <n v="2011220"/>
    <x v="308"/>
    <x v="0"/>
    <n v="760.26"/>
  </r>
  <r>
    <x v="0"/>
    <x v="6"/>
    <n v="2011221"/>
    <x v="308"/>
    <x v="0"/>
    <n v="990.88"/>
  </r>
  <r>
    <x v="0"/>
    <x v="0"/>
    <n v="2011222"/>
    <x v="308"/>
    <x v="1"/>
    <n v="876.19"/>
  </r>
  <r>
    <x v="0"/>
    <x v="5"/>
    <n v="2011223"/>
    <x v="308"/>
    <x v="0"/>
    <n v="99.17"/>
  </r>
  <r>
    <x v="1"/>
    <x v="2"/>
    <n v="2011224"/>
    <x v="308"/>
    <x v="0"/>
    <n v="69.61"/>
  </r>
  <r>
    <x v="1"/>
    <x v="2"/>
    <n v="2011225"/>
    <x v="308"/>
    <x v="1"/>
    <n v="119"/>
  </r>
  <r>
    <x v="0"/>
    <x v="6"/>
    <n v="2011226"/>
    <x v="309"/>
    <x v="1"/>
    <n v="283.75"/>
  </r>
  <r>
    <x v="0"/>
    <x v="5"/>
    <n v="2011227"/>
    <x v="309"/>
    <x v="0"/>
    <n v="557.29"/>
  </r>
  <r>
    <x v="1"/>
    <x v="10"/>
    <n v="2011228"/>
    <x v="309"/>
    <x v="0"/>
    <n v="258.25"/>
  </r>
  <r>
    <x v="0"/>
    <x v="5"/>
    <n v="2011229"/>
    <x v="310"/>
    <x v="0"/>
    <n v="451.36"/>
  </r>
  <r>
    <x v="0"/>
    <x v="5"/>
    <n v="2011230"/>
    <x v="310"/>
    <x v="1"/>
    <n v="992.7"/>
  </r>
  <r>
    <x v="0"/>
    <x v="5"/>
    <n v="2011231"/>
    <x v="311"/>
    <x v="1"/>
    <n v="430.31"/>
  </r>
  <r>
    <x v="0"/>
    <x v="3"/>
    <n v="2011232"/>
    <x v="312"/>
    <x v="0"/>
    <n v="1184.96"/>
  </r>
  <r>
    <x v="1"/>
    <x v="9"/>
    <n v="2011233"/>
    <x v="312"/>
    <x v="0"/>
    <n v="900.86"/>
  </r>
  <r>
    <x v="1"/>
    <x v="8"/>
    <n v="2011234"/>
    <x v="312"/>
    <x v="1"/>
    <n v="1175.4000000000001"/>
  </r>
  <r>
    <x v="0"/>
    <x v="6"/>
    <n v="2011235"/>
    <x v="313"/>
    <x v="0"/>
    <n v="141.41999999999999"/>
  </r>
  <r>
    <x v="0"/>
    <x v="0"/>
    <n v="2011236"/>
    <x v="313"/>
    <x v="0"/>
    <n v="1229.43"/>
  </r>
  <r>
    <x v="0"/>
    <x v="6"/>
    <n v="2011237"/>
    <x v="314"/>
    <x v="0"/>
    <n v="555.16"/>
  </r>
  <r>
    <x v="0"/>
    <x v="6"/>
    <n v="2011238"/>
    <x v="315"/>
    <x v="1"/>
    <n v="476.36"/>
  </r>
  <r>
    <x v="0"/>
    <x v="5"/>
    <n v="2011239"/>
    <x v="315"/>
    <x v="1"/>
    <n v="1128.57"/>
  </r>
  <r>
    <x v="0"/>
    <x v="5"/>
    <n v="2011240"/>
    <x v="315"/>
    <x v="1"/>
    <n v="1058.8"/>
  </r>
  <r>
    <x v="1"/>
    <x v="8"/>
    <n v="2011241"/>
    <x v="315"/>
    <x v="0"/>
    <n v="558.26"/>
  </r>
  <r>
    <x v="1"/>
    <x v="7"/>
    <n v="2011242"/>
    <x v="316"/>
    <x v="1"/>
    <n v="680.47"/>
  </r>
  <r>
    <x v="0"/>
    <x v="1"/>
    <n v="2011243"/>
    <x v="317"/>
    <x v="0"/>
    <n v="1137.3399999999999"/>
  </r>
  <r>
    <x v="1"/>
    <x v="10"/>
    <n v="2011244"/>
    <x v="317"/>
    <x v="1"/>
    <n v="177.58"/>
  </r>
  <r>
    <x v="1"/>
    <x v="10"/>
    <n v="2011245"/>
    <x v="317"/>
    <x v="1"/>
    <n v="143.5"/>
  </r>
  <r>
    <x v="1"/>
    <x v="4"/>
    <n v="2011246"/>
    <x v="317"/>
    <x v="0"/>
    <n v="758.58"/>
  </r>
  <r>
    <x v="0"/>
    <x v="0"/>
    <n v="2011247"/>
    <x v="318"/>
    <x v="1"/>
    <n v="592.14"/>
  </r>
  <r>
    <x v="0"/>
    <x v="6"/>
    <n v="2011248"/>
    <x v="319"/>
    <x v="0"/>
    <n v="392.23"/>
  </r>
  <r>
    <x v="1"/>
    <x v="8"/>
    <n v="2011249"/>
    <x v="319"/>
    <x v="0"/>
    <n v="983.12"/>
  </r>
  <r>
    <x v="0"/>
    <x v="6"/>
    <n v="2011250"/>
    <x v="320"/>
    <x v="1"/>
    <n v="1008.06"/>
  </r>
  <r>
    <x v="0"/>
    <x v="0"/>
    <n v="2011251"/>
    <x v="320"/>
    <x v="0"/>
    <n v="682.4"/>
  </r>
  <r>
    <x v="1"/>
    <x v="8"/>
    <n v="2011252"/>
    <x v="320"/>
    <x v="1"/>
    <n v="525.99"/>
  </r>
  <r>
    <x v="1"/>
    <x v="2"/>
    <n v="2011253"/>
    <x v="320"/>
    <x v="1"/>
    <n v="693.07"/>
  </r>
  <r>
    <x v="0"/>
    <x v="1"/>
    <n v="2011254"/>
    <x v="321"/>
    <x v="1"/>
    <n v="279.02"/>
  </r>
  <r>
    <x v="0"/>
    <x v="1"/>
    <n v="2011255"/>
    <x v="321"/>
    <x v="0"/>
    <n v="1126.79"/>
  </r>
  <r>
    <x v="0"/>
    <x v="6"/>
    <n v="2011256"/>
    <x v="321"/>
    <x v="0"/>
    <n v="671.62"/>
  </r>
  <r>
    <x v="0"/>
    <x v="6"/>
    <n v="2011257"/>
    <x v="321"/>
    <x v="0"/>
    <n v="442.65"/>
  </r>
  <r>
    <x v="0"/>
    <x v="1"/>
    <n v="2011258"/>
    <x v="322"/>
    <x v="0"/>
    <n v="538.77"/>
  </r>
  <r>
    <x v="0"/>
    <x v="3"/>
    <n v="2011259"/>
    <x v="322"/>
    <x v="1"/>
    <n v="570.41999999999996"/>
  </r>
  <r>
    <x v="0"/>
    <x v="3"/>
    <n v="2011260"/>
    <x v="322"/>
    <x v="1"/>
    <n v="1193.3800000000001"/>
  </r>
  <r>
    <x v="1"/>
    <x v="7"/>
    <n v="2011261"/>
    <x v="322"/>
    <x v="0"/>
    <n v="620.6"/>
  </r>
  <r>
    <x v="0"/>
    <x v="1"/>
    <n v="2011262"/>
    <x v="323"/>
    <x v="1"/>
    <n v="318.95999999999998"/>
  </r>
  <r>
    <x v="1"/>
    <x v="7"/>
    <n v="2011263"/>
    <x v="323"/>
    <x v="1"/>
    <n v="504.85"/>
  </r>
  <r>
    <x v="1"/>
    <x v="2"/>
    <n v="2011264"/>
    <x v="323"/>
    <x v="1"/>
    <n v="767.48"/>
  </r>
  <r>
    <x v="0"/>
    <x v="5"/>
    <n v="2011265"/>
    <x v="324"/>
    <x v="0"/>
    <n v="1126.6400000000001"/>
  </r>
  <r>
    <x v="0"/>
    <x v="3"/>
    <n v="2011266"/>
    <x v="324"/>
    <x v="1"/>
    <n v="256.95999999999998"/>
  </r>
  <r>
    <x v="0"/>
    <x v="3"/>
    <n v="2011267"/>
    <x v="325"/>
    <x v="0"/>
    <n v="269.08"/>
  </r>
  <r>
    <x v="0"/>
    <x v="3"/>
    <n v="2011268"/>
    <x v="325"/>
    <x v="1"/>
    <n v="519.1"/>
  </r>
  <r>
    <x v="0"/>
    <x v="1"/>
    <n v="2011269"/>
    <x v="326"/>
    <x v="1"/>
    <n v="1256.3399999999999"/>
  </r>
  <r>
    <x v="0"/>
    <x v="1"/>
    <n v="2011270"/>
    <x v="326"/>
    <x v="1"/>
    <n v="674.36"/>
  </r>
  <r>
    <x v="0"/>
    <x v="1"/>
    <n v="2011271"/>
    <x v="327"/>
    <x v="0"/>
    <n v="962.7"/>
  </r>
  <r>
    <x v="0"/>
    <x v="6"/>
    <n v="2011272"/>
    <x v="327"/>
    <x v="1"/>
    <n v="899.62"/>
  </r>
  <r>
    <x v="0"/>
    <x v="3"/>
    <n v="2011273"/>
    <x v="327"/>
    <x v="0"/>
    <n v="464.88"/>
  </r>
  <r>
    <x v="0"/>
    <x v="3"/>
    <n v="2011274"/>
    <x v="327"/>
    <x v="1"/>
    <n v="1266"/>
  </r>
  <r>
    <x v="1"/>
    <x v="9"/>
    <n v="2011275"/>
    <x v="327"/>
    <x v="0"/>
    <n v="644.79"/>
  </r>
  <r>
    <x v="0"/>
    <x v="5"/>
    <n v="2011276"/>
    <x v="328"/>
    <x v="0"/>
    <n v="1069.53"/>
  </r>
  <r>
    <x v="0"/>
    <x v="0"/>
    <n v="2011277"/>
    <x v="329"/>
    <x v="1"/>
    <n v="388"/>
  </r>
  <r>
    <x v="1"/>
    <x v="4"/>
    <n v="2011278"/>
    <x v="330"/>
    <x v="1"/>
    <n v="1218.8599999999999"/>
  </r>
  <r>
    <x v="1"/>
    <x v="4"/>
    <n v="2011279"/>
    <x v="330"/>
    <x v="0"/>
    <n v="971.9"/>
  </r>
  <r>
    <x v="0"/>
    <x v="1"/>
    <n v="2011280"/>
    <x v="331"/>
    <x v="0"/>
    <n v="236.16"/>
  </r>
  <r>
    <x v="0"/>
    <x v="1"/>
    <n v="2011281"/>
    <x v="331"/>
    <x v="0"/>
    <n v="294.76"/>
  </r>
  <r>
    <x v="0"/>
    <x v="6"/>
    <n v="2011282"/>
    <x v="331"/>
    <x v="0"/>
    <n v="159.13"/>
  </r>
  <r>
    <x v="1"/>
    <x v="2"/>
    <n v="2011283"/>
    <x v="331"/>
    <x v="1"/>
    <n v="957.75"/>
  </r>
  <r>
    <x v="1"/>
    <x v="9"/>
    <n v="2011284"/>
    <x v="332"/>
    <x v="1"/>
    <n v="779.23"/>
  </r>
  <r>
    <x v="1"/>
    <x v="10"/>
    <n v="2011285"/>
    <x v="333"/>
    <x v="0"/>
    <n v="653.04999999999995"/>
  </r>
  <r>
    <x v="1"/>
    <x v="2"/>
    <n v="2011286"/>
    <x v="333"/>
    <x v="0"/>
    <n v="184.7"/>
  </r>
  <r>
    <x v="1"/>
    <x v="2"/>
    <n v="2011287"/>
    <x v="333"/>
    <x v="0"/>
    <n v="592.9"/>
  </r>
  <r>
    <x v="0"/>
    <x v="0"/>
    <n v="2011288"/>
    <x v="334"/>
    <x v="0"/>
    <n v="103.61"/>
  </r>
  <r>
    <x v="0"/>
    <x v="0"/>
    <n v="2011289"/>
    <x v="334"/>
    <x v="0"/>
    <n v="577.91"/>
  </r>
  <r>
    <x v="0"/>
    <x v="5"/>
    <n v="2011290"/>
    <x v="334"/>
    <x v="0"/>
    <n v="987.76"/>
  </r>
  <r>
    <x v="1"/>
    <x v="8"/>
    <n v="2011291"/>
    <x v="334"/>
    <x v="0"/>
    <n v="957.91"/>
  </r>
  <r>
    <x v="0"/>
    <x v="0"/>
    <n v="2011292"/>
    <x v="335"/>
    <x v="0"/>
    <n v="882.24"/>
  </r>
  <r>
    <x v="0"/>
    <x v="3"/>
    <n v="2011293"/>
    <x v="335"/>
    <x v="0"/>
    <n v="801.07"/>
  </r>
  <r>
    <x v="1"/>
    <x v="10"/>
    <n v="2011294"/>
    <x v="335"/>
    <x v="0"/>
    <n v="698.57"/>
  </r>
  <r>
    <x v="0"/>
    <x v="6"/>
    <n v="2011295"/>
    <x v="336"/>
    <x v="1"/>
    <n v="1115.8699999999999"/>
  </r>
  <r>
    <x v="0"/>
    <x v="6"/>
    <n v="2011296"/>
    <x v="337"/>
    <x v="0"/>
    <n v="632.48"/>
  </r>
  <r>
    <x v="0"/>
    <x v="1"/>
    <n v="2011297"/>
    <x v="338"/>
    <x v="0"/>
    <n v="1211.6500000000001"/>
  </r>
  <r>
    <x v="0"/>
    <x v="0"/>
    <n v="2011298"/>
    <x v="338"/>
    <x v="0"/>
    <n v="307.45"/>
  </r>
  <r>
    <x v="0"/>
    <x v="0"/>
    <n v="2011299"/>
    <x v="338"/>
    <x v="0"/>
    <n v="893.88"/>
  </r>
  <r>
    <x v="0"/>
    <x v="5"/>
    <n v="2011300"/>
    <x v="338"/>
    <x v="0"/>
    <n v="1155.6300000000001"/>
  </r>
  <r>
    <x v="0"/>
    <x v="5"/>
    <n v="2011301"/>
    <x v="339"/>
    <x v="0"/>
    <n v="1131.92"/>
  </r>
  <r>
    <x v="0"/>
    <x v="5"/>
    <n v="2011302"/>
    <x v="339"/>
    <x v="1"/>
    <n v="432.47"/>
  </r>
  <r>
    <x v="1"/>
    <x v="9"/>
    <n v="2011303"/>
    <x v="339"/>
    <x v="1"/>
    <n v="845.32"/>
  </r>
  <r>
    <x v="1"/>
    <x v="8"/>
    <n v="2011304"/>
    <x v="339"/>
    <x v="0"/>
    <n v="632.66"/>
  </r>
  <r>
    <x v="1"/>
    <x v="2"/>
    <n v="2011305"/>
    <x v="340"/>
    <x v="0"/>
    <n v="335.47"/>
  </r>
  <r>
    <x v="0"/>
    <x v="0"/>
    <n v="2011306"/>
    <x v="341"/>
    <x v="1"/>
    <n v="245.13"/>
  </r>
  <r>
    <x v="0"/>
    <x v="5"/>
    <n v="2011307"/>
    <x v="341"/>
    <x v="0"/>
    <n v="423.25"/>
  </r>
  <r>
    <x v="0"/>
    <x v="5"/>
    <n v="2011308"/>
    <x v="342"/>
    <x v="1"/>
    <n v="591.11"/>
  </r>
  <r>
    <x v="1"/>
    <x v="9"/>
    <n v="2011309"/>
    <x v="343"/>
    <x v="0"/>
    <n v="459.98"/>
  </r>
  <r>
    <x v="0"/>
    <x v="0"/>
    <n v="2011310"/>
    <x v="344"/>
    <x v="1"/>
    <n v="182.49"/>
  </r>
  <r>
    <x v="0"/>
    <x v="6"/>
    <n v="2011311"/>
    <x v="345"/>
    <x v="0"/>
    <n v="226.2"/>
  </r>
  <r>
    <x v="0"/>
    <x v="0"/>
    <n v="2011312"/>
    <x v="345"/>
    <x v="1"/>
    <n v="37.64"/>
  </r>
  <r>
    <x v="1"/>
    <x v="4"/>
    <n v="2011313"/>
    <x v="345"/>
    <x v="0"/>
    <n v="928.21"/>
  </r>
  <r>
    <x v="1"/>
    <x v="2"/>
    <n v="2011314"/>
    <x v="346"/>
    <x v="0"/>
    <n v="670.64"/>
  </r>
  <r>
    <x v="0"/>
    <x v="6"/>
    <n v="2011315"/>
    <x v="347"/>
    <x v="1"/>
    <n v="1273.67"/>
  </r>
  <r>
    <x v="0"/>
    <x v="0"/>
    <n v="2011316"/>
    <x v="347"/>
    <x v="0"/>
    <n v="169.64"/>
  </r>
  <r>
    <x v="0"/>
    <x v="5"/>
    <n v="2011317"/>
    <x v="347"/>
    <x v="1"/>
    <n v="91.39"/>
  </r>
  <r>
    <x v="1"/>
    <x v="4"/>
    <n v="2011318"/>
    <x v="347"/>
    <x v="1"/>
    <n v="451.71"/>
  </r>
  <r>
    <x v="1"/>
    <x v="4"/>
    <n v="2011319"/>
    <x v="347"/>
    <x v="0"/>
    <n v="474.56"/>
  </r>
  <r>
    <x v="0"/>
    <x v="3"/>
    <n v="2011320"/>
    <x v="348"/>
    <x v="0"/>
    <n v="834.48"/>
  </r>
  <r>
    <x v="0"/>
    <x v="5"/>
    <n v="2011321"/>
    <x v="349"/>
    <x v="1"/>
    <n v="1065.49"/>
  </r>
  <r>
    <x v="0"/>
    <x v="3"/>
    <n v="2011322"/>
    <x v="349"/>
    <x v="1"/>
    <n v="1280.26"/>
  </r>
  <r>
    <x v="1"/>
    <x v="10"/>
    <n v="2011323"/>
    <x v="349"/>
    <x v="1"/>
    <n v="390.13"/>
  </r>
  <r>
    <x v="1"/>
    <x v="8"/>
    <n v="2011324"/>
    <x v="350"/>
    <x v="1"/>
    <n v="1282.46"/>
  </r>
  <r>
    <x v="0"/>
    <x v="1"/>
    <n v="2011325"/>
    <x v="351"/>
    <x v="1"/>
    <n v="1232.07"/>
  </r>
  <r>
    <x v="1"/>
    <x v="7"/>
    <n v="2011326"/>
    <x v="351"/>
    <x v="0"/>
    <n v="791.85"/>
  </r>
  <r>
    <x v="1"/>
    <x v="7"/>
    <n v="2011327"/>
    <x v="351"/>
    <x v="0"/>
    <n v="214.27"/>
  </r>
  <r>
    <x v="1"/>
    <x v="4"/>
    <n v="2011328"/>
    <x v="351"/>
    <x v="0"/>
    <n v="1176.77"/>
  </r>
  <r>
    <x v="0"/>
    <x v="1"/>
    <n v="2011329"/>
    <x v="352"/>
    <x v="0"/>
    <n v="380.66"/>
  </r>
  <r>
    <x v="0"/>
    <x v="6"/>
    <n v="2011330"/>
    <x v="352"/>
    <x v="0"/>
    <n v="669.56"/>
  </r>
  <r>
    <x v="0"/>
    <x v="6"/>
    <n v="2011331"/>
    <x v="353"/>
    <x v="1"/>
    <n v="334.04"/>
  </r>
  <r>
    <x v="0"/>
    <x v="3"/>
    <n v="2011332"/>
    <x v="353"/>
    <x v="0"/>
    <n v="373.28"/>
  </r>
  <r>
    <x v="1"/>
    <x v="10"/>
    <n v="2011333"/>
    <x v="353"/>
    <x v="1"/>
    <n v="695.76"/>
  </r>
  <r>
    <x v="1"/>
    <x v="10"/>
    <n v="2011334"/>
    <x v="353"/>
    <x v="1"/>
    <n v="1105.68"/>
  </r>
  <r>
    <x v="1"/>
    <x v="4"/>
    <n v="2011335"/>
    <x v="353"/>
    <x v="0"/>
    <n v="618.19000000000005"/>
  </r>
  <r>
    <x v="1"/>
    <x v="4"/>
    <n v="2011336"/>
    <x v="353"/>
    <x v="0"/>
    <n v="604.67999999999995"/>
  </r>
  <r>
    <x v="0"/>
    <x v="5"/>
    <n v="2011337"/>
    <x v="354"/>
    <x v="1"/>
    <n v="1033.03"/>
  </r>
  <r>
    <x v="0"/>
    <x v="3"/>
    <n v="2011338"/>
    <x v="355"/>
    <x v="1"/>
    <n v="1167.3699999999999"/>
  </r>
  <r>
    <x v="0"/>
    <x v="0"/>
    <n v="2011339"/>
    <x v="356"/>
    <x v="1"/>
    <n v="688.98"/>
  </r>
  <r>
    <x v="1"/>
    <x v="10"/>
    <n v="2011340"/>
    <x v="356"/>
    <x v="1"/>
    <n v="845.73"/>
  </r>
  <r>
    <x v="0"/>
    <x v="6"/>
    <n v="2011341"/>
    <x v="357"/>
    <x v="1"/>
    <n v="1011.01"/>
  </r>
  <r>
    <x v="0"/>
    <x v="0"/>
    <n v="2011342"/>
    <x v="357"/>
    <x v="0"/>
    <n v="119.85"/>
  </r>
  <r>
    <x v="0"/>
    <x v="5"/>
    <n v="2011343"/>
    <x v="358"/>
    <x v="1"/>
    <n v="606.36"/>
  </r>
  <r>
    <x v="1"/>
    <x v="9"/>
    <n v="2011344"/>
    <x v="358"/>
    <x v="0"/>
    <n v="608.88"/>
  </r>
  <r>
    <x v="1"/>
    <x v="9"/>
    <n v="2011345"/>
    <x v="359"/>
    <x v="1"/>
    <n v="1047.7"/>
  </r>
  <r>
    <x v="1"/>
    <x v="2"/>
    <n v="2011346"/>
    <x v="359"/>
    <x v="1"/>
    <n v="767.22"/>
  </r>
  <r>
    <x v="0"/>
    <x v="0"/>
    <n v="2011347"/>
    <x v="360"/>
    <x v="1"/>
    <n v="1103.26"/>
  </r>
  <r>
    <x v="1"/>
    <x v="9"/>
    <n v="2011348"/>
    <x v="360"/>
    <x v="0"/>
    <n v="1158.23"/>
  </r>
  <r>
    <x v="0"/>
    <x v="1"/>
    <n v="2011349"/>
    <x v="361"/>
    <x v="1"/>
    <n v="672"/>
  </r>
  <r>
    <x v="0"/>
    <x v="5"/>
    <n v="2011350"/>
    <x v="361"/>
    <x v="0"/>
    <n v="127.61"/>
  </r>
  <r>
    <x v="0"/>
    <x v="5"/>
    <n v="2011351"/>
    <x v="362"/>
    <x v="1"/>
    <n v="330.35"/>
  </r>
  <r>
    <x v="0"/>
    <x v="5"/>
    <n v="2011352"/>
    <x v="362"/>
    <x v="1"/>
    <n v="328.87"/>
  </r>
  <r>
    <x v="0"/>
    <x v="6"/>
    <n v="2011353"/>
    <x v="363"/>
    <x v="1"/>
    <n v="43.42"/>
  </r>
  <r>
    <x v="0"/>
    <x v="0"/>
    <n v="2011354"/>
    <x v="363"/>
    <x v="0"/>
    <n v="504.4"/>
  </r>
  <r>
    <x v="0"/>
    <x v="3"/>
    <n v="2011355"/>
    <x v="363"/>
    <x v="1"/>
    <n v="953.56"/>
  </r>
  <r>
    <x v="0"/>
    <x v="1"/>
    <n v="2011356"/>
    <x v="364"/>
    <x v="0"/>
    <n v="154.04"/>
  </r>
  <r>
    <x v="0"/>
    <x v="6"/>
    <n v="2011357"/>
    <x v="365"/>
    <x v="1"/>
    <n v="453.71"/>
  </r>
  <r>
    <x v="0"/>
    <x v="6"/>
    <n v="2011358"/>
    <x v="366"/>
    <x v="0"/>
    <n v="467.04"/>
  </r>
  <r>
    <x v="1"/>
    <x v="7"/>
    <n v="2011359"/>
    <x v="366"/>
    <x v="1"/>
    <n v="553.04999999999995"/>
  </r>
  <r>
    <x v="0"/>
    <x v="0"/>
    <n v="2011360"/>
    <x v="367"/>
    <x v="1"/>
    <n v="947.29"/>
  </r>
  <r>
    <x v="0"/>
    <x v="6"/>
    <n v="2011361"/>
    <x v="368"/>
    <x v="0"/>
    <n v="635.67999999999995"/>
  </r>
  <r>
    <x v="1"/>
    <x v="4"/>
    <n v="2011362"/>
    <x v="368"/>
    <x v="1"/>
    <n v="691.54"/>
  </r>
  <r>
    <x v="0"/>
    <x v="6"/>
    <n v="2011363"/>
    <x v="369"/>
    <x v="1"/>
    <n v="454.46"/>
  </r>
  <r>
    <x v="1"/>
    <x v="7"/>
    <n v="2011364"/>
    <x v="369"/>
    <x v="0"/>
    <n v="25.71"/>
  </r>
  <r>
    <x v="0"/>
    <x v="0"/>
    <n v="2011365"/>
    <x v="370"/>
    <x v="0"/>
    <n v="363.86"/>
  </r>
  <r>
    <x v="1"/>
    <x v="8"/>
    <n v="2011366"/>
    <x v="370"/>
    <x v="0"/>
    <n v="178.05"/>
  </r>
  <r>
    <x v="1"/>
    <x v="8"/>
    <n v="2011367"/>
    <x v="370"/>
    <x v="0"/>
    <n v="1012.12"/>
  </r>
  <r>
    <x v="0"/>
    <x v="1"/>
    <n v="2011368"/>
    <x v="371"/>
    <x v="1"/>
    <n v="24.56"/>
  </r>
  <r>
    <x v="0"/>
    <x v="3"/>
    <n v="2011369"/>
    <x v="371"/>
    <x v="1"/>
    <n v="1205.32"/>
  </r>
  <r>
    <x v="0"/>
    <x v="3"/>
    <n v="2011370"/>
    <x v="372"/>
    <x v="0"/>
    <n v="576.61"/>
  </r>
  <r>
    <x v="0"/>
    <x v="3"/>
    <n v="2011371"/>
    <x v="372"/>
    <x v="0"/>
    <n v="1020.32"/>
  </r>
  <r>
    <x v="1"/>
    <x v="9"/>
    <n v="2011372"/>
    <x v="372"/>
    <x v="0"/>
    <n v="331.95"/>
  </r>
  <r>
    <x v="0"/>
    <x v="3"/>
    <n v="2011373"/>
    <x v="373"/>
    <x v="0"/>
    <n v="209.62"/>
  </r>
  <r>
    <x v="0"/>
    <x v="3"/>
    <n v="2011374"/>
    <x v="373"/>
    <x v="1"/>
    <n v="392.43"/>
  </r>
  <r>
    <x v="0"/>
    <x v="6"/>
    <n v="2011375"/>
    <x v="374"/>
    <x v="0"/>
    <n v="1148.97"/>
  </r>
  <r>
    <x v="0"/>
    <x v="6"/>
    <n v="2011376"/>
    <x v="374"/>
    <x v="1"/>
    <n v="1221.55"/>
  </r>
  <r>
    <x v="0"/>
    <x v="0"/>
    <n v="2011377"/>
    <x v="374"/>
    <x v="0"/>
    <n v="518.96"/>
  </r>
  <r>
    <x v="0"/>
    <x v="1"/>
    <n v="2011378"/>
    <x v="375"/>
    <x v="1"/>
    <n v="842.95"/>
  </r>
  <r>
    <x v="0"/>
    <x v="3"/>
    <n v="2011379"/>
    <x v="375"/>
    <x v="0"/>
    <n v="619.38"/>
  </r>
  <r>
    <x v="1"/>
    <x v="10"/>
    <n v="2011380"/>
    <x v="375"/>
    <x v="1"/>
    <n v="184.42"/>
  </r>
  <r>
    <x v="1"/>
    <x v="9"/>
    <n v="2011381"/>
    <x v="375"/>
    <x v="1"/>
    <n v="394.09"/>
  </r>
  <r>
    <x v="0"/>
    <x v="5"/>
    <n v="2011382"/>
    <x v="376"/>
    <x v="0"/>
    <n v="957.42"/>
  </r>
  <r>
    <x v="0"/>
    <x v="5"/>
    <n v="2011383"/>
    <x v="376"/>
    <x v="1"/>
    <n v="778.1"/>
  </r>
  <r>
    <x v="0"/>
    <x v="3"/>
    <n v="2011384"/>
    <x v="376"/>
    <x v="0"/>
    <n v="345.72"/>
  </r>
  <r>
    <x v="1"/>
    <x v="8"/>
    <n v="2011385"/>
    <x v="376"/>
    <x v="0"/>
    <n v="1178.3900000000001"/>
  </r>
  <r>
    <x v="0"/>
    <x v="5"/>
    <n v="2011386"/>
    <x v="377"/>
    <x v="1"/>
    <n v="985.35"/>
  </r>
  <r>
    <x v="0"/>
    <x v="3"/>
    <n v="2011387"/>
    <x v="378"/>
    <x v="1"/>
    <n v="675.29"/>
  </r>
  <r>
    <x v="0"/>
    <x v="0"/>
    <n v="2011388"/>
    <x v="379"/>
    <x v="1"/>
    <n v="757.74"/>
  </r>
  <r>
    <x v="1"/>
    <x v="2"/>
    <n v="2011389"/>
    <x v="380"/>
    <x v="0"/>
    <n v="674.51"/>
  </r>
  <r>
    <x v="0"/>
    <x v="3"/>
    <n v="2011390"/>
    <x v="381"/>
    <x v="0"/>
    <n v="395"/>
  </r>
  <r>
    <x v="0"/>
    <x v="1"/>
    <n v="2011391"/>
    <x v="382"/>
    <x v="1"/>
    <n v="40.67"/>
  </r>
  <r>
    <x v="1"/>
    <x v="8"/>
    <n v="2011392"/>
    <x v="382"/>
    <x v="1"/>
    <n v="476.27"/>
  </r>
  <r>
    <x v="0"/>
    <x v="0"/>
    <n v="2011393"/>
    <x v="383"/>
    <x v="0"/>
    <n v="481.17"/>
  </r>
  <r>
    <x v="0"/>
    <x v="5"/>
    <n v="2011394"/>
    <x v="384"/>
    <x v="0"/>
    <n v="526.57000000000005"/>
  </r>
  <r>
    <x v="0"/>
    <x v="3"/>
    <n v="2011395"/>
    <x v="384"/>
    <x v="0"/>
    <n v="1124.55"/>
  </r>
  <r>
    <x v="1"/>
    <x v="9"/>
    <n v="2011396"/>
    <x v="384"/>
    <x v="0"/>
    <n v="1090.49"/>
  </r>
  <r>
    <x v="0"/>
    <x v="1"/>
    <n v="2011397"/>
    <x v="385"/>
    <x v="1"/>
    <n v="666.99"/>
  </r>
  <r>
    <x v="1"/>
    <x v="9"/>
    <n v="2011398"/>
    <x v="385"/>
    <x v="1"/>
    <n v="576.65"/>
  </r>
  <r>
    <x v="0"/>
    <x v="1"/>
    <n v="2011399"/>
    <x v="386"/>
    <x v="1"/>
    <n v="958.25"/>
  </r>
  <r>
    <x v="0"/>
    <x v="6"/>
    <n v="2011400"/>
    <x v="386"/>
    <x v="0"/>
    <n v="634.24"/>
  </r>
  <r>
    <x v="1"/>
    <x v="2"/>
    <n v="2011401"/>
    <x v="386"/>
    <x v="1"/>
    <n v="797.08"/>
  </r>
  <r>
    <x v="0"/>
    <x v="5"/>
    <n v="2011402"/>
    <x v="387"/>
    <x v="1"/>
    <n v="749.31"/>
  </r>
  <r>
    <x v="0"/>
    <x v="6"/>
    <n v="2011403"/>
    <x v="388"/>
    <x v="1"/>
    <n v="795.12"/>
  </r>
  <r>
    <x v="1"/>
    <x v="7"/>
    <n v="2011404"/>
    <x v="388"/>
    <x v="1"/>
    <n v="157.71"/>
  </r>
  <r>
    <x v="0"/>
    <x v="1"/>
    <n v="2011405"/>
    <x v="389"/>
    <x v="0"/>
    <n v="131.52000000000001"/>
  </r>
  <r>
    <x v="0"/>
    <x v="1"/>
    <n v="2011406"/>
    <x v="390"/>
    <x v="1"/>
    <n v="885.06"/>
  </r>
  <r>
    <x v="0"/>
    <x v="0"/>
    <n v="2011407"/>
    <x v="390"/>
    <x v="1"/>
    <n v="1014.61"/>
  </r>
  <r>
    <x v="0"/>
    <x v="5"/>
    <n v="2011408"/>
    <x v="390"/>
    <x v="1"/>
    <n v="406.29"/>
  </r>
  <r>
    <x v="0"/>
    <x v="1"/>
    <n v="2011409"/>
    <x v="391"/>
    <x v="0"/>
    <n v="331.43"/>
  </r>
  <r>
    <x v="1"/>
    <x v="4"/>
    <n v="2011410"/>
    <x v="391"/>
    <x v="1"/>
    <n v="613.85"/>
  </r>
  <r>
    <x v="1"/>
    <x v="4"/>
    <n v="2011411"/>
    <x v="391"/>
    <x v="0"/>
    <n v="571.1"/>
  </r>
  <r>
    <x v="0"/>
    <x v="6"/>
    <n v="2011412"/>
    <x v="392"/>
    <x v="1"/>
    <n v="279.10000000000002"/>
  </r>
  <r>
    <x v="0"/>
    <x v="1"/>
    <n v="2011413"/>
    <x v="393"/>
    <x v="1"/>
    <n v="588.72"/>
  </r>
  <r>
    <x v="0"/>
    <x v="1"/>
    <n v="2011414"/>
    <x v="393"/>
    <x v="0"/>
    <n v="350.17"/>
  </r>
  <r>
    <x v="0"/>
    <x v="1"/>
    <n v="2011415"/>
    <x v="394"/>
    <x v="1"/>
    <n v="1161.5999999999999"/>
  </r>
  <r>
    <x v="0"/>
    <x v="3"/>
    <n v="2011416"/>
    <x v="394"/>
    <x v="0"/>
    <n v="1018.16"/>
  </r>
  <r>
    <x v="0"/>
    <x v="3"/>
    <n v="2011417"/>
    <x v="394"/>
    <x v="1"/>
    <n v="869.96"/>
  </r>
  <r>
    <x v="0"/>
    <x v="0"/>
    <n v="2011418"/>
    <x v="395"/>
    <x v="1"/>
    <n v="1003.24"/>
  </r>
  <r>
    <x v="0"/>
    <x v="5"/>
    <n v="2011419"/>
    <x v="396"/>
    <x v="0"/>
    <n v="607.63"/>
  </r>
  <r>
    <x v="1"/>
    <x v="4"/>
    <n v="2011420"/>
    <x v="396"/>
    <x v="0"/>
    <n v="855.91"/>
  </r>
  <r>
    <x v="0"/>
    <x v="0"/>
    <n v="2011421"/>
    <x v="397"/>
    <x v="1"/>
    <n v="640.59"/>
  </r>
  <r>
    <x v="1"/>
    <x v="10"/>
    <n v="2011422"/>
    <x v="397"/>
    <x v="0"/>
    <n v="146.25"/>
  </r>
  <r>
    <x v="1"/>
    <x v="2"/>
    <n v="2011423"/>
    <x v="397"/>
    <x v="0"/>
    <n v="146.47"/>
  </r>
  <r>
    <x v="0"/>
    <x v="1"/>
    <n v="2011424"/>
    <x v="398"/>
    <x v="1"/>
    <n v="135.52000000000001"/>
  </r>
  <r>
    <x v="0"/>
    <x v="1"/>
    <n v="2011425"/>
    <x v="398"/>
    <x v="0"/>
    <n v="86.06"/>
  </r>
  <r>
    <x v="0"/>
    <x v="5"/>
    <n v="2011426"/>
    <x v="398"/>
    <x v="1"/>
    <n v="623.29"/>
  </r>
  <r>
    <x v="1"/>
    <x v="9"/>
    <n v="2011427"/>
    <x v="398"/>
    <x v="0"/>
    <n v="169.92"/>
  </r>
  <r>
    <x v="1"/>
    <x v="8"/>
    <n v="2011428"/>
    <x v="398"/>
    <x v="0"/>
    <n v="1232.51"/>
  </r>
  <r>
    <x v="0"/>
    <x v="1"/>
    <n v="2011429"/>
    <x v="399"/>
    <x v="1"/>
    <n v="1110.19"/>
  </r>
  <r>
    <x v="1"/>
    <x v="10"/>
    <n v="2011430"/>
    <x v="399"/>
    <x v="1"/>
    <n v="277.19"/>
  </r>
  <r>
    <x v="1"/>
    <x v="8"/>
    <n v="2011431"/>
    <x v="399"/>
    <x v="1"/>
    <n v="545.26"/>
  </r>
  <r>
    <x v="0"/>
    <x v="1"/>
    <n v="2011432"/>
    <x v="400"/>
    <x v="1"/>
    <n v="556.45000000000005"/>
  </r>
  <r>
    <x v="0"/>
    <x v="1"/>
    <n v="2011433"/>
    <x v="400"/>
    <x v="1"/>
    <n v="241.04"/>
  </r>
  <r>
    <x v="1"/>
    <x v="9"/>
    <n v="2011434"/>
    <x v="401"/>
    <x v="1"/>
    <n v="339.52"/>
  </r>
  <r>
    <x v="0"/>
    <x v="3"/>
    <n v="2011435"/>
    <x v="402"/>
    <x v="1"/>
    <n v="1247.23"/>
  </r>
  <r>
    <x v="0"/>
    <x v="6"/>
    <n v="2011436"/>
    <x v="403"/>
    <x v="0"/>
    <n v="217.97"/>
  </r>
  <r>
    <x v="1"/>
    <x v="10"/>
    <n v="2011437"/>
    <x v="403"/>
    <x v="1"/>
    <n v="721.08"/>
  </r>
  <r>
    <x v="1"/>
    <x v="9"/>
    <n v="2011438"/>
    <x v="403"/>
    <x v="0"/>
    <n v="715.88"/>
  </r>
  <r>
    <x v="1"/>
    <x v="2"/>
    <n v="2011439"/>
    <x v="403"/>
    <x v="1"/>
    <n v="84.48"/>
  </r>
  <r>
    <x v="0"/>
    <x v="1"/>
    <n v="2011440"/>
    <x v="404"/>
    <x v="0"/>
    <n v="489.02"/>
  </r>
  <r>
    <x v="0"/>
    <x v="0"/>
    <n v="2011441"/>
    <x v="404"/>
    <x v="1"/>
    <n v="824.39"/>
  </r>
  <r>
    <x v="0"/>
    <x v="5"/>
    <n v="2011442"/>
    <x v="405"/>
    <x v="0"/>
    <n v="1235.6400000000001"/>
  </r>
  <r>
    <x v="1"/>
    <x v="2"/>
    <n v="2011443"/>
    <x v="405"/>
    <x v="1"/>
    <n v="1064.17"/>
  </r>
  <r>
    <x v="0"/>
    <x v="0"/>
    <n v="2011444"/>
    <x v="406"/>
    <x v="1"/>
    <n v="134.94999999999999"/>
  </r>
  <r>
    <x v="1"/>
    <x v="9"/>
    <n v="2011445"/>
    <x v="407"/>
    <x v="1"/>
    <n v="710.88"/>
  </r>
  <r>
    <x v="0"/>
    <x v="0"/>
    <n v="2011446"/>
    <x v="408"/>
    <x v="1"/>
    <n v="1134.3"/>
  </r>
  <r>
    <x v="1"/>
    <x v="10"/>
    <n v="2011447"/>
    <x v="408"/>
    <x v="0"/>
    <n v="159.06"/>
  </r>
  <r>
    <x v="1"/>
    <x v="4"/>
    <n v="2011448"/>
    <x v="408"/>
    <x v="1"/>
    <n v="1040.3399999999999"/>
  </r>
  <r>
    <x v="0"/>
    <x v="3"/>
    <n v="2011449"/>
    <x v="409"/>
    <x v="0"/>
    <n v="1160.1600000000001"/>
  </r>
  <r>
    <x v="1"/>
    <x v="7"/>
    <n v="2011450"/>
    <x v="409"/>
    <x v="1"/>
    <n v="339.4"/>
  </r>
  <r>
    <x v="0"/>
    <x v="1"/>
    <n v="2011451"/>
    <x v="410"/>
    <x v="0"/>
    <n v="847.72"/>
  </r>
  <r>
    <x v="0"/>
    <x v="1"/>
    <n v="2011452"/>
    <x v="411"/>
    <x v="1"/>
    <n v="95.8"/>
  </r>
  <r>
    <x v="0"/>
    <x v="1"/>
    <n v="2011453"/>
    <x v="411"/>
    <x v="1"/>
    <n v="815.39"/>
  </r>
  <r>
    <x v="0"/>
    <x v="1"/>
    <n v="2011454"/>
    <x v="411"/>
    <x v="0"/>
    <n v="198.28"/>
  </r>
  <r>
    <x v="0"/>
    <x v="3"/>
    <n v="2011455"/>
    <x v="411"/>
    <x v="1"/>
    <n v="1148.1600000000001"/>
  </r>
  <r>
    <x v="1"/>
    <x v="4"/>
    <n v="2011456"/>
    <x v="411"/>
    <x v="1"/>
    <n v="871.21"/>
  </r>
  <r>
    <x v="0"/>
    <x v="1"/>
    <n v="2011457"/>
    <x v="412"/>
    <x v="0"/>
    <n v="457.39"/>
  </r>
  <r>
    <x v="0"/>
    <x v="6"/>
    <n v="2011458"/>
    <x v="412"/>
    <x v="0"/>
    <n v="846.67"/>
  </r>
  <r>
    <x v="1"/>
    <x v="7"/>
    <n v="2011459"/>
    <x v="412"/>
    <x v="0"/>
    <n v="210.2"/>
  </r>
  <r>
    <x v="0"/>
    <x v="5"/>
    <n v="2011460"/>
    <x v="413"/>
    <x v="1"/>
    <n v="1193.57"/>
  </r>
  <r>
    <x v="1"/>
    <x v="4"/>
    <n v="2011461"/>
    <x v="413"/>
    <x v="1"/>
    <n v="622.67999999999995"/>
  </r>
  <r>
    <x v="1"/>
    <x v="9"/>
    <n v="2011462"/>
    <x v="414"/>
    <x v="0"/>
    <n v="1123.9100000000001"/>
  </r>
  <r>
    <x v="1"/>
    <x v="9"/>
    <n v="2011463"/>
    <x v="414"/>
    <x v="1"/>
    <n v="635.28"/>
  </r>
  <r>
    <x v="0"/>
    <x v="6"/>
    <n v="2011464"/>
    <x v="415"/>
    <x v="1"/>
    <n v="664.55"/>
  </r>
  <r>
    <x v="1"/>
    <x v="10"/>
    <n v="2011465"/>
    <x v="415"/>
    <x v="0"/>
    <n v="388.96"/>
  </r>
  <r>
    <x v="1"/>
    <x v="9"/>
    <n v="2011466"/>
    <x v="415"/>
    <x v="0"/>
    <n v="659.73"/>
  </r>
  <r>
    <x v="0"/>
    <x v="6"/>
    <n v="2011467"/>
    <x v="416"/>
    <x v="0"/>
    <n v="1066.58"/>
  </r>
  <r>
    <x v="0"/>
    <x v="6"/>
    <n v="2011468"/>
    <x v="416"/>
    <x v="1"/>
    <n v="392.38"/>
  </r>
  <r>
    <x v="0"/>
    <x v="0"/>
    <n v="2011469"/>
    <x v="416"/>
    <x v="1"/>
    <n v="1044.1199999999999"/>
  </r>
  <r>
    <x v="0"/>
    <x v="1"/>
    <n v="2011470"/>
    <x v="417"/>
    <x v="0"/>
    <n v="670.6"/>
  </r>
  <r>
    <x v="0"/>
    <x v="0"/>
    <n v="2011471"/>
    <x v="417"/>
    <x v="1"/>
    <n v="1078.25"/>
  </r>
  <r>
    <x v="0"/>
    <x v="5"/>
    <n v="2011472"/>
    <x v="417"/>
    <x v="1"/>
    <n v="145.99"/>
  </r>
  <r>
    <x v="0"/>
    <x v="1"/>
    <n v="2011473"/>
    <x v="418"/>
    <x v="0"/>
    <n v="476.95"/>
  </r>
  <r>
    <x v="0"/>
    <x v="1"/>
    <n v="2011474"/>
    <x v="418"/>
    <x v="0"/>
    <n v="174.42"/>
  </r>
  <r>
    <x v="0"/>
    <x v="6"/>
    <n v="2011475"/>
    <x v="418"/>
    <x v="1"/>
    <n v="350.67"/>
  </r>
  <r>
    <x v="0"/>
    <x v="5"/>
    <n v="2011476"/>
    <x v="418"/>
    <x v="0"/>
    <n v="748.35"/>
  </r>
  <r>
    <x v="0"/>
    <x v="5"/>
    <n v="2011477"/>
    <x v="419"/>
    <x v="0"/>
    <n v="756.39"/>
  </r>
  <r>
    <x v="0"/>
    <x v="3"/>
    <n v="2011478"/>
    <x v="419"/>
    <x v="1"/>
    <n v="394.65"/>
  </r>
  <r>
    <x v="0"/>
    <x v="1"/>
    <n v="2011479"/>
    <x v="420"/>
    <x v="1"/>
    <n v="605.99"/>
  </r>
  <r>
    <x v="0"/>
    <x v="6"/>
    <n v="2011480"/>
    <x v="420"/>
    <x v="0"/>
    <n v="809.66"/>
  </r>
  <r>
    <x v="1"/>
    <x v="7"/>
    <n v="2011481"/>
    <x v="420"/>
    <x v="1"/>
    <n v="284.02"/>
  </r>
  <r>
    <x v="0"/>
    <x v="3"/>
    <n v="2011482"/>
    <x v="421"/>
    <x v="1"/>
    <n v="747.38"/>
  </r>
  <r>
    <x v="1"/>
    <x v="9"/>
    <n v="2011483"/>
    <x v="422"/>
    <x v="1"/>
    <n v="1024.8599999999999"/>
  </r>
  <r>
    <x v="1"/>
    <x v="2"/>
    <n v="2011484"/>
    <x v="422"/>
    <x v="0"/>
    <n v="1092.7"/>
  </r>
  <r>
    <x v="1"/>
    <x v="10"/>
    <n v="2011485"/>
    <x v="423"/>
    <x v="1"/>
    <n v="645.70000000000005"/>
  </r>
  <r>
    <x v="0"/>
    <x v="0"/>
    <n v="2011486"/>
    <x v="424"/>
    <x v="1"/>
    <n v="386.27"/>
  </r>
  <r>
    <x v="0"/>
    <x v="6"/>
    <n v="2011487"/>
    <x v="425"/>
    <x v="1"/>
    <n v="297.41000000000003"/>
  </r>
  <r>
    <x v="0"/>
    <x v="0"/>
    <n v="2011488"/>
    <x v="425"/>
    <x v="1"/>
    <n v="638.62"/>
  </r>
  <r>
    <x v="1"/>
    <x v="7"/>
    <n v="2011489"/>
    <x v="425"/>
    <x v="0"/>
    <n v="804.38"/>
  </r>
  <r>
    <x v="0"/>
    <x v="5"/>
    <n v="2011490"/>
    <x v="426"/>
    <x v="1"/>
    <n v="907.84"/>
  </r>
  <r>
    <x v="0"/>
    <x v="5"/>
    <n v="2011491"/>
    <x v="426"/>
    <x v="0"/>
    <n v="141.08000000000001"/>
  </r>
  <r>
    <x v="0"/>
    <x v="3"/>
    <n v="2011492"/>
    <x v="426"/>
    <x v="0"/>
    <n v="571.86"/>
  </r>
  <r>
    <x v="0"/>
    <x v="1"/>
    <n v="2011493"/>
    <x v="427"/>
    <x v="1"/>
    <n v="33.81"/>
  </r>
  <r>
    <x v="0"/>
    <x v="5"/>
    <n v="2011494"/>
    <x v="427"/>
    <x v="1"/>
    <n v="764.25"/>
  </r>
  <r>
    <x v="1"/>
    <x v="2"/>
    <n v="2011495"/>
    <x v="427"/>
    <x v="0"/>
    <n v="278.67"/>
  </r>
  <r>
    <x v="1"/>
    <x v="4"/>
    <n v="2011496"/>
    <x v="427"/>
    <x v="1"/>
    <n v="1085.06"/>
  </r>
  <r>
    <x v="0"/>
    <x v="0"/>
    <n v="2011497"/>
    <x v="428"/>
    <x v="1"/>
    <n v="38.76"/>
  </r>
  <r>
    <x v="0"/>
    <x v="1"/>
    <n v="2011498"/>
    <x v="429"/>
    <x v="1"/>
    <n v="865.88"/>
  </r>
  <r>
    <x v="0"/>
    <x v="1"/>
    <n v="2011499"/>
    <x v="429"/>
    <x v="1"/>
    <n v="1091.99"/>
  </r>
  <r>
    <x v="1"/>
    <x v="7"/>
    <n v="2011500"/>
    <x v="429"/>
    <x v="1"/>
    <n v="1006.44"/>
  </r>
  <r>
    <x v="1"/>
    <x v="4"/>
    <n v="2011501"/>
    <x v="429"/>
    <x v="0"/>
    <n v="1160.73"/>
  </r>
  <r>
    <x v="0"/>
    <x v="1"/>
    <n v="2011502"/>
    <x v="430"/>
    <x v="0"/>
    <n v="32.25"/>
  </r>
  <r>
    <x v="1"/>
    <x v="4"/>
    <n v="2011503"/>
    <x v="430"/>
    <x v="1"/>
    <n v="1253.43"/>
  </r>
  <r>
    <x v="0"/>
    <x v="1"/>
    <n v="2011504"/>
    <x v="431"/>
    <x v="1"/>
    <n v="1057.7"/>
  </r>
  <r>
    <x v="0"/>
    <x v="5"/>
    <n v="2011505"/>
    <x v="431"/>
    <x v="0"/>
    <n v="1175.8499999999999"/>
  </r>
  <r>
    <x v="0"/>
    <x v="3"/>
    <n v="2011506"/>
    <x v="432"/>
    <x v="0"/>
    <n v="1118.6199999999999"/>
  </r>
  <r>
    <x v="0"/>
    <x v="0"/>
    <n v="2011507"/>
    <x v="433"/>
    <x v="0"/>
    <n v="906.45"/>
  </r>
  <r>
    <x v="0"/>
    <x v="5"/>
    <n v="2011508"/>
    <x v="434"/>
    <x v="1"/>
    <n v="205.77"/>
  </r>
  <r>
    <x v="0"/>
    <x v="5"/>
    <n v="2011509"/>
    <x v="434"/>
    <x v="0"/>
    <n v="342.93"/>
  </r>
  <r>
    <x v="1"/>
    <x v="7"/>
    <n v="2011510"/>
    <x v="435"/>
    <x v="0"/>
    <n v="448.69"/>
  </r>
  <r>
    <x v="1"/>
    <x v="4"/>
    <n v="2011511"/>
    <x v="435"/>
    <x v="1"/>
    <n v="119.6"/>
  </r>
  <r>
    <x v="0"/>
    <x v="0"/>
    <n v="2011512"/>
    <x v="436"/>
    <x v="1"/>
    <n v="110.59"/>
  </r>
  <r>
    <x v="1"/>
    <x v="10"/>
    <n v="2011513"/>
    <x v="436"/>
    <x v="1"/>
    <n v="1205.02"/>
  </r>
  <r>
    <x v="1"/>
    <x v="7"/>
    <n v="2011514"/>
    <x v="436"/>
    <x v="0"/>
    <n v="468.11"/>
  </r>
  <r>
    <x v="1"/>
    <x v="7"/>
    <n v="2011515"/>
    <x v="436"/>
    <x v="1"/>
    <n v="541.37"/>
  </r>
  <r>
    <x v="0"/>
    <x v="6"/>
    <n v="2011516"/>
    <x v="437"/>
    <x v="1"/>
    <n v="900"/>
  </r>
  <r>
    <x v="0"/>
    <x v="5"/>
    <n v="2011517"/>
    <x v="438"/>
    <x v="1"/>
    <n v="329.38"/>
  </r>
  <r>
    <x v="1"/>
    <x v="8"/>
    <n v="2011518"/>
    <x v="438"/>
    <x v="1"/>
    <n v="612.55999999999995"/>
  </r>
  <r>
    <x v="0"/>
    <x v="1"/>
    <n v="2011519"/>
    <x v="439"/>
    <x v="1"/>
    <n v="620.66"/>
  </r>
  <r>
    <x v="0"/>
    <x v="6"/>
    <n v="2011520"/>
    <x v="439"/>
    <x v="1"/>
    <n v="213.33"/>
  </r>
  <r>
    <x v="0"/>
    <x v="5"/>
    <n v="2011521"/>
    <x v="439"/>
    <x v="0"/>
    <n v="874.89"/>
  </r>
  <r>
    <x v="1"/>
    <x v="9"/>
    <n v="2011522"/>
    <x v="439"/>
    <x v="1"/>
    <n v="104.76"/>
  </r>
  <r>
    <x v="1"/>
    <x v="7"/>
    <n v="2011523"/>
    <x v="439"/>
    <x v="1"/>
    <n v="1023.5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s v="rundvlees"/>
    <x v="0"/>
    <n v="12511"/>
  </r>
  <r>
    <x v="0"/>
    <x v="0"/>
    <s v="boter"/>
    <x v="1"/>
    <n v="7261"/>
  </r>
  <r>
    <x v="0"/>
    <x v="0"/>
    <s v="cheese"/>
    <x v="1"/>
    <n v="9681"/>
  </r>
  <r>
    <x v="0"/>
    <x v="0"/>
    <s v="kip"/>
    <x v="0"/>
    <n v="18766"/>
  </r>
  <r>
    <x v="0"/>
    <x v="0"/>
    <s v="eieren"/>
    <x v="1"/>
    <n v="2420"/>
  </r>
  <r>
    <x v="0"/>
    <x v="0"/>
    <s v="fruit"/>
    <x v="2"/>
    <n v="25009"/>
  </r>
  <r>
    <x v="0"/>
    <x v="0"/>
    <s v="lamsvlees"/>
    <x v="0"/>
    <n v="5362"/>
  </r>
  <r>
    <x v="0"/>
    <x v="0"/>
    <s v="melk"/>
    <x v="1"/>
    <n v="15490"/>
  </r>
  <r>
    <x v="0"/>
    <x v="0"/>
    <s v="varkensvlees"/>
    <x v="0"/>
    <n v="21447"/>
  </r>
  <r>
    <x v="0"/>
    <x v="0"/>
    <s v="aardappelen"/>
    <x v="2"/>
    <n v="16673"/>
  </r>
  <r>
    <x v="0"/>
    <x v="0"/>
    <s v="groenten"/>
    <x v="2"/>
    <n v="33346"/>
  </r>
  <r>
    <x v="0"/>
    <x v="0"/>
    <s v="yoghurt"/>
    <x v="1"/>
    <n v="13553"/>
  </r>
  <r>
    <x v="0"/>
    <x v="1"/>
    <s v="rundvlees"/>
    <x v="0"/>
    <n v="13616"/>
  </r>
  <r>
    <x v="0"/>
    <x v="1"/>
    <s v="boter"/>
    <x v="1"/>
    <n v="7902"/>
  </r>
  <r>
    <x v="0"/>
    <x v="1"/>
    <s v="cheese"/>
    <x v="1"/>
    <n v="10536"/>
  </r>
  <r>
    <x v="0"/>
    <x v="1"/>
    <s v="kip"/>
    <x v="0"/>
    <n v="20424"/>
  </r>
  <r>
    <x v="0"/>
    <x v="1"/>
    <s v="eieren"/>
    <x v="1"/>
    <n v="2634"/>
  </r>
  <r>
    <x v="0"/>
    <x v="1"/>
    <s v="fruit"/>
    <x v="2"/>
    <n v="27218"/>
  </r>
  <r>
    <x v="0"/>
    <x v="1"/>
    <s v="lamsvlees"/>
    <x v="0"/>
    <n v="5835"/>
  </r>
  <r>
    <x v="0"/>
    <x v="1"/>
    <s v="melk"/>
    <x v="1"/>
    <n v="16858"/>
  </r>
  <r>
    <x v="0"/>
    <x v="1"/>
    <s v="varkensvlees"/>
    <x v="0"/>
    <n v="23342"/>
  </r>
  <r>
    <x v="0"/>
    <x v="1"/>
    <s v="aardappelen"/>
    <x v="2"/>
    <n v="18146"/>
  </r>
  <r>
    <x v="0"/>
    <x v="1"/>
    <s v="groenten"/>
    <x v="2"/>
    <n v="36291"/>
  </r>
  <r>
    <x v="0"/>
    <x v="1"/>
    <s v="yoghurt"/>
    <x v="1"/>
    <n v="14751"/>
  </r>
  <r>
    <x v="0"/>
    <x v="2"/>
    <s v="rundvlees"/>
    <x v="0"/>
    <n v="10399"/>
  </r>
  <r>
    <x v="0"/>
    <x v="2"/>
    <s v="boter"/>
    <x v="1"/>
    <n v="6035"/>
  </r>
  <r>
    <x v="0"/>
    <x v="2"/>
    <s v="cheese"/>
    <x v="1"/>
    <n v="8047"/>
  </r>
  <r>
    <x v="0"/>
    <x v="2"/>
    <s v="kip"/>
    <x v="0"/>
    <n v="15599"/>
  </r>
  <r>
    <x v="0"/>
    <x v="2"/>
    <s v="eieren"/>
    <x v="1"/>
    <n v="2012"/>
  </r>
  <r>
    <x v="0"/>
    <x v="2"/>
    <s v="fruit"/>
    <x v="2"/>
    <n v="20788"/>
  </r>
  <r>
    <x v="0"/>
    <x v="2"/>
    <s v="lamsvlees"/>
    <x v="0"/>
    <n v="4457"/>
  </r>
  <r>
    <x v="0"/>
    <x v="2"/>
    <s v="melk"/>
    <x v="1"/>
    <n v="12875"/>
  </r>
  <r>
    <x v="0"/>
    <x v="2"/>
    <s v="varkensvlees"/>
    <x v="0"/>
    <n v="17827"/>
  </r>
  <r>
    <x v="0"/>
    <x v="2"/>
    <s v="aardappelen"/>
    <x v="2"/>
    <n v="13859"/>
  </r>
  <r>
    <x v="0"/>
    <x v="2"/>
    <s v="groenten"/>
    <x v="2"/>
    <n v="27717"/>
  </r>
  <r>
    <x v="0"/>
    <x v="2"/>
    <s v="yoghurt"/>
    <x v="1"/>
    <n v="11266"/>
  </r>
  <r>
    <x v="1"/>
    <x v="0"/>
    <s v="rundvlees"/>
    <x v="0"/>
    <n v="13128"/>
  </r>
  <r>
    <x v="1"/>
    <x v="0"/>
    <s v="boter"/>
    <x v="1"/>
    <n v="7619"/>
  </r>
  <r>
    <x v="1"/>
    <x v="0"/>
    <s v="cheese"/>
    <x v="1"/>
    <n v="10158"/>
  </r>
  <r>
    <x v="1"/>
    <x v="0"/>
    <s v="kip"/>
    <x v="0"/>
    <n v="19691"/>
  </r>
  <r>
    <x v="1"/>
    <x v="0"/>
    <s v="eieren"/>
    <x v="1"/>
    <n v="2540"/>
  </r>
  <r>
    <x v="1"/>
    <x v="0"/>
    <s v="fruit"/>
    <x v="2"/>
    <n v="26242"/>
  </r>
  <r>
    <x v="1"/>
    <x v="0"/>
    <s v="lamsvlees"/>
    <x v="0"/>
    <n v="5626"/>
  </r>
  <r>
    <x v="1"/>
    <x v="0"/>
    <s v="melk"/>
    <x v="1"/>
    <n v="16253"/>
  </r>
  <r>
    <x v="1"/>
    <x v="0"/>
    <s v="varkensvlees"/>
    <x v="0"/>
    <n v="22504"/>
  </r>
  <r>
    <x v="1"/>
    <x v="0"/>
    <s v="aardappelen"/>
    <x v="2"/>
    <n v="17495"/>
  </r>
  <r>
    <x v="1"/>
    <x v="0"/>
    <s v="groenten"/>
    <x v="2"/>
    <n v="34989"/>
  </r>
  <r>
    <x v="1"/>
    <x v="0"/>
    <s v="yoghurt"/>
    <x v="1"/>
    <n v="14221"/>
  </r>
  <r>
    <x v="1"/>
    <x v="1"/>
    <s v="rundvlees"/>
    <x v="0"/>
    <n v="15077"/>
  </r>
  <r>
    <x v="1"/>
    <x v="1"/>
    <s v="boter"/>
    <x v="1"/>
    <n v="8750"/>
  </r>
  <r>
    <x v="1"/>
    <x v="1"/>
    <s v="cheese"/>
    <x v="1"/>
    <n v="11667"/>
  </r>
  <r>
    <x v="1"/>
    <x v="1"/>
    <s v="kip"/>
    <x v="0"/>
    <n v="22616"/>
  </r>
  <r>
    <x v="1"/>
    <x v="1"/>
    <s v="eieren"/>
    <x v="1"/>
    <n v="2917"/>
  </r>
  <r>
    <x v="1"/>
    <x v="1"/>
    <s v="fruit"/>
    <x v="2"/>
    <n v="30140"/>
  </r>
  <r>
    <x v="1"/>
    <x v="1"/>
    <s v="lamsvlees"/>
    <x v="0"/>
    <n v="6462"/>
  </r>
  <r>
    <x v="1"/>
    <x v="1"/>
    <s v="melk"/>
    <x v="1"/>
    <n v="18667"/>
  </r>
  <r>
    <x v="1"/>
    <x v="1"/>
    <s v="varkensvlees"/>
    <x v="0"/>
    <n v="25847"/>
  </r>
  <r>
    <x v="1"/>
    <x v="1"/>
    <s v="aardappelen"/>
    <x v="2"/>
    <n v="20093"/>
  </r>
  <r>
    <x v="1"/>
    <x v="1"/>
    <s v="groenten"/>
    <x v="2"/>
    <n v="40186"/>
  </r>
  <r>
    <x v="1"/>
    <x v="1"/>
    <s v="yoghurt"/>
    <x v="1"/>
    <n v="16334"/>
  </r>
  <r>
    <x v="1"/>
    <x v="2"/>
    <s v="rundvlees"/>
    <x v="0"/>
    <n v="13657"/>
  </r>
  <r>
    <x v="1"/>
    <x v="2"/>
    <s v="boter"/>
    <x v="1"/>
    <n v="7926"/>
  </r>
  <r>
    <x v="1"/>
    <x v="2"/>
    <s v="cheese"/>
    <x v="1"/>
    <n v="10568"/>
  </r>
  <r>
    <x v="1"/>
    <x v="2"/>
    <s v="kip"/>
    <x v="0"/>
    <n v="20486"/>
  </r>
  <r>
    <x v="1"/>
    <x v="2"/>
    <s v="eieren"/>
    <x v="1"/>
    <n v="2642"/>
  </r>
  <r>
    <x v="1"/>
    <x v="2"/>
    <s v="fruit"/>
    <x v="2"/>
    <n v="27301"/>
  </r>
  <r>
    <x v="1"/>
    <x v="2"/>
    <s v="lamsvlees"/>
    <x v="0"/>
    <n v="5853"/>
  </r>
  <r>
    <x v="1"/>
    <x v="2"/>
    <s v="melk"/>
    <x v="1"/>
    <n v="16909"/>
  </r>
  <r>
    <x v="1"/>
    <x v="2"/>
    <s v="varkensvlees"/>
    <x v="0"/>
    <n v="23413"/>
  </r>
  <r>
    <x v="1"/>
    <x v="2"/>
    <s v="aardappelen"/>
    <x v="2"/>
    <n v="18201"/>
  </r>
  <r>
    <x v="1"/>
    <x v="2"/>
    <s v="groenten"/>
    <x v="2"/>
    <n v="36402"/>
  </r>
  <r>
    <x v="1"/>
    <x v="2"/>
    <s v="yoghurt"/>
    <x v="1"/>
    <n v="14796"/>
  </r>
  <r>
    <x v="2"/>
    <x v="0"/>
    <s v="rundvlees"/>
    <x v="0"/>
    <n v="11276"/>
  </r>
  <r>
    <x v="2"/>
    <x v="0"/>
    <s v="boter"/>
    <x v="1"/>
    <n v="6544"/>
  </r>
  <r>
    <x v="2"/>
    <x v="0"/>
    <s v="cheese"/>
    <x v="1"/>
    <n v="8725"/>
  </r>
  <r>
    <x v="2"/>
    <x v="0"/>
    <s v="kip"/>
    <x v="0"/>
    <n v="16914"/>
  </r>
  <r>
    <x v="2"/>
    <x v="0"/>
    <s v="eieren"/>
    <x v="1"/>
    <n v="2181"/>
  </r>
  <r>
    <x v="2"/>
    <x v="0"/>
    <s v="fruit"/>
    <x v="2"/>
    <n v="22541"/>
  </r>
  <r>
    <x v="2"/>
    <x v="0"/>
    <s v="lamsvlees"/>
    <x v="0"/>
    <n v="4833"/>
  </r>
  <r>
    <x v="2"/>
    <x v="0"/>
    <s v="melk"/>
    <x v="1"/>
    <n v="13961"/>
  </r>
  <r>
    <x v="2"/>
    <x v="0"/>
    <s v="varkensvlees"/>
    <x v="0"/>
    <n v="19330"/>
  </r>
  <r>
    <x v="2"/>
    <x v="0"/>
    <s v="aardappelen"/>
    <x v="2"/>
    <n v="15027"/>
  </r>
  <r>
    <x v="2"/>
    <x v="0"/>
    <s v="groenten"/>
    <x v="2"/>
    <n v="30054"/>
  </r>
  <r>
    <x v="2"/>
    <x v="0"/>
    <s v="yoghurt"/>
    <x v="1"/>
    <n v="12216"/>
  </r>
  <r>
    <x v="2"/>
    <x v="1"/>
    <s v="rundvlees"/>
    <x v="0"/>
    <n v="16354"/>
  </r>
  <r>
    <x v="2"/>
    <x v="1"/>
    <s v="boter"/>
    <x v="1"/>
    <n v="9491"/>
  </r>
  <r>
    <x v="2"/>
    <x v="1"/>
    <s v="cheese"/>
    <x v="1"/>
    <n v="12655"/>
  </r>
  <r>
    <x v="2"/>
    <x v="1"/>
    <s v="kip"/>
    <x v="0"/>
    <n v="24532"/>
  </r>
  <r>
    <x v="2"/>
    <x v="1"/>
    <s v="eieren"/>
    <x v="1"/>
    <n v="3164"/>
  </r>
  <r>
    <x v="2"/>
    <x v="1"/>
    <s v="fruit"/>
    <x v="2"/>
    <n v="32692"/>
  </r>
  <r>
    <x v="2"/>
    <x v="1"/>
    <s v="lamsvlees"/>
    <x v="0"/>
    <n v="7009"/>
  </r>
  <r>
    <x v="2"/>
    <x v="1"/>
    <s v="melk"/>
    <x v="1"/>
    <n v="20248"/>
  </r>
  <r>
    <x v="2"/>
    <x v="1"/>
    <s v="varkensvlees"/>
    <x v="0"/>
    <n v="28036"/>
  </r>
  <r>
    <x v="2"/>
    <x v="1"/>
    <s v="aardappelen"/>
    <x v="2"/>
    <n v="21795"/>
  </r>
  <r>
    <x v="2"/>
    <x v="1"/>
    <s v="groenten"/>
    <x v="2"/>
    <n v="43590"/>
  </r>
  <r>
    <x v="2"/>
    <x v="1"/>
    <s v="yoghurt"/>
    <x v="1"/>
    <n v="17717"/>
  </r>
  <r>
    <x v="2"/>
    <x v="2"/>
    <s v="rundvlees"/>
    <x v="0"/>
    <n v="13382"/>
  </r>
  <r>
    <x v="2"/>
    <x v="2"/>
    <s v="boter"/>
    <x v="1"/>
    <n v="7766"/>
  </r>
  <r>
    <x v="2"/>
    <x v="2"/>
    <s v="cheese"/>
    <x v="1"/>
    <n v="10355"/>
  </r>
  <r>
    <x v="2"/>
    <x v="2"/>
    <s v="kip"/>
    <x v="0"/>
    <n v="20073"/>
  </r>
  <r>
    <x v="2"/>
    <x v="2"/>
    <s v="eieren"/>
    <x v="1"/>
    <n v="2589"/>
  </r>
  <r>
    <x v="2"/>
    <x v="2"/>
    <s v="fruit"/>
    <x v="2"/>
    <n v="26751"/>
  </r>
  <r>
    <x v="2"/>
    <x v="2"/>
    <s v="lamsvlees"/>
    <x v="0"/>
    <n v="5735"/>
  </r>
  <r>
    <x v="2"/>
    <x v="2"/>
    <s v="melk"/>
    <x v="1"/>
    <n v="16568"/>
  </r>
  <r>
    <x v="2"/>
    <x v="2"/>
    <s v="varkensvlees"/>
    <x v="0"/>
    <n v="22940"/>
  </r>
  <r>
    <x v="2"/>
    <x v="2"/>
    <s v="aardappelen"/>
    <x v="2"/>
    <n v="17834"/>
  </r>
  <r>
    <x v="2"/>
    <x v="2"/>
    <s v="groenten"/>
    <x v="2"/>
    <n v="35667"/>
  </r>
  <r>
    <x v="2"/>
    <x v="2"/>
    <s v="yoghurt"/>
    <x v="1"/>
    <n v="14497"/>
  </r>
  <r>
    <x v="3"/>
    <x v="0"/>
    <s v="rundvlees"/>
    <x v="0"/>
    <n v="12306"/>
  </r>
  <r>
    <x v="3"/>
    <x v="0"/>
    <s v="boter"/>
    <x v="1"/>
    <n v="7142"/>
  </r>
  <r>
    <x v="3"/>
    <x v="0"/>
    <s v="cheese"/>
    <x v="1"/>
    <n v="9523"/>
  </r>
  <r>
    <x v="3"/>
    <x v="0"/>
    <s v="kip"/>
    <x v="0"/>
    <n v="18459"/>
  </r>
  <r>
    <x v="3"/>
    <x v="0"/>
    <s v="eieren"/>
    <x v="1"/>
    <n v="2381"/>
  </r>
  <r>
    <x v="3"/>
    <x v="0"/>
    <s v="fruit"/>
    <x v="2"/>
    <n v="24600"/>
  </r>
  <r>
    <x v="3"/>
    <x v="0"/>
    <s v="lamsvlees"/>
    <x v="0"/>
    <n v="5274"/>
  </r>
  <r>
    <x v="3"/>
    <x v="0"/>
    <s v="melk"/>
    <x v="1"/>
    <n v="15236"/>
  </r>
  <r>
    <x v="3"/>
    <x v="0"/>
    <s v="varkensvlees"/>
    <x v="0"/>
    <n v="21096"/>
  </r>
  <r>
    <x v="3"/>
    <x v="0"/>
    <s v="aardappelen"/>
    <x v="2"/>
    <n v="16400"/>
  </r>
  <r>
    <x v="3"/>
    <x v="0"/>
    <s v="groenten"/>
    <x v="2"/>
    <n v="32800"/>
  </r>
  <r>
    <x v="3"/>
    <x v="0"/>
    <s v="yoghurt"/>
    <x v="1"/>
    <n v="13332"/>
  </r>
  <r>
    <x v="3"/>
    <x v="1"/>
    <s v="rundvlees"/>
    <x v="0"/>
    <n v="13300"/>
  </r>
  <r>
    <x v="3"/>
    <x v="1"/>
    <s v="boter"/>
    <x v="1"/>
    <n v="7719"/>
  </r>
  <r>
    <x v="3"/>
    <x v="1"/>
    <s v="cheese"/>
    <x v="1"/>
    <n v="10292"/>
  </r>
  <r>
    <x v="3"/>
    <x v="1"/>
    <s v="kip"/>
    <x v="0"/>
    <n v="19950"/>
  </r>
  <r>
    <x v="3"/>
    <x v="1"/>
    <s v="eieren"/>
    <x v="1"/>
    <n v="2573"/>
  </r>
  <r>
    <x v="3"/>
    <x v="1"/>
    <s v="fruit"/>
    <x v="2"/>
    <n v="26587"/>
  </r>
  <r>
    <x v="3"/>
    <x v="1"/>
    <s v="lamsvlees"/>
    <x v="0"/>
    <n v="5700"/>
  </r>
  <r>
    <x v="3"/>
    <x v="1"/>
    <s v="melk"/>
    <x v="1"/>
    <n v="16467"/>
  </r>
  <r>
    <x v="3"/>
    <x v="1"/>
    <s v="varkensvlees"/>
    <x v="0"/>
    <n v="22800"/>
  </r>
  <r>
    <x v="3"/>
    <x v="1"/>
    <s v="aardappelen"/>
    <x v="2"/>
    <n v="17725"/>
  </r>
  <r>
    <x v="3"/>
    <x v="1"/>
    <s v="groenten"/>
    <x v="2"/>
    <n v="35450"/>
  </r>
  <r>
    <x v="3"/>
    <x v="1"/>
    <s v="yoghurt"/>
    <x v="1"/>
    <n v="14409"/>
  </r>
  <r>
    <x v="3"/>
    <x v="2"/>
    <s v="rundvlees"/>
    <x v="0"/>
    <n v="13569"/>
  </r>
  <r>
    <x v="3"/>
    <x v="2"/>
    <s v="boter"/>
    <x v="1"/>
    <n v="7875"/>
  </r>
  <r>
    <x v="3"/>
    <x v="2"/>
    <s v="cheese"/>
    <x v="1"/>
    <n v="10500"/>
  </r>
  <r>
    <x v="3"/>
    <x v="2"/>
    <s v="kip"/>
    <x v="0"/>
    <n v="20354"/>
  </r>
  <r>
    <x v="3"/>
    <x v="2"/>
    <s v="eieren"/>
    <x v="1"/>
    <n v="2625"/>
  </r>
  <r>
    <x v="3"/>
    <x v="2"/>
    <s v="fruit"/>
    <x v="2"/>
    <n v="27125"/>
  </r>
  <r>
    <x v="3"/>
    <x v="2"/>
    <s v="lamsvlees"/>
    <x v="0"/>
    <n v="5815"/>
  </r>
  <r>
    <x v="3"/>
    <x v="2"/>
    <s v="melk"/>
    <x v="1"/>
    <n v="16800"/>
  </r>
  <r>
    <x v="3"/>
    <x v="2"/>
    <s v="varkensvlees"/>
    <x v="0"/>
    <n v="23262"/>
  </r>
  <r>
    <x v="3"/>
    <x v="2"/>
    <s v="aardappelen"/>
    <x v="2"/>
    <n v="18083"/>
  </r>
  <r>
    <x v="3"/>
    <x v="2"/>
    <s v="groenten"/>
    <x v="2"/>
    <n v="36167"/>
  </r>
  <r>
    <x v="3"/>
    <x v="2"/>
    <s v="yoghurt"/>
    <x v="1"/>
    <n v="14700"/>
  </r>
  <r>
    <x v="4"/>
    <x v="0"/>
    <s v="rundvlees"/>
    <x v="0"/>
    <n v="13093"/>
  </r>
  <r>
    <x v="4"/>
    <x v="0"/>
    <s v="boter"/>
    <x v="1"/>
    <n v="7599"/>
  </r>
  <r>
    <x v="4"/>
    <x v="0"/>
    <s v="cheese"/>
    <x v="1"/>
    <n v="10131"/>
  </r>
  <r>
    <x v="4"/>
    <x v="0"/>
    <s v="kip"/>
    <x v="0"/>
    <n v="19639"/>
  </r>
  <r>
    <x v="4"/>
    <x v="0"/>
    <s v="eieren"/>
    <x v="1"/>
    <n v="2533"/>
  </r>
  <r>
    <x v="4"/>
    <x v="0"/>
    <s v="fruit"/>
    <x v="2"/>
    <n v="26173"/>
  </r>
  <r>
    <x v="4"/>
    <x v="0"/>
    <s v="lamsvlees"/>
    <x v="0"/>
    <n v="5611"/>
  </r>
  <r>
    <x v="4"/>
    <x v="0"/>
    <s v="melk"/>
    <x v="1"/>
    <n v="16210"/>
  </r>
  <r>
    <x v="4"/>
    <x v="0"/>
    <s v="varkensvlees"/>
    <x v="0"/>
    <n v="22445"/>
  </r>
  <r>
    <x v="4"/>
    <x v="0"/>
    <s v="aardappelen"/>
    <x v="2"/>
    <n v="17449"/>
  </r>
  <r>
    <x v="4"/>
    <x v="0"/>
    <s v="groenten"/>
    <x v="2"/>
    <n v="34897"/>
  </r>
  <r>
    <x v="4"/>
    <x v="0"/>
    <s v="yoghurt"/>
    <x v="1"/>
    <n v="14184"/>
  </r>
  <r>
    <x v="4"/>
    <x v="1"/>
    <s v="rundvlees"/>
    <x v="0"/>
    <n v="16217"/>
  </r>
  <r>
    <x v="4"/>
    <x v="1"/>
    <s v="boter"/>
    <x v="1"/>
    <n v="9411"/>
  </r>
  <r>
    <x v="4"/>
    <x v="1"/>
    <s v="cheese"/>
    <x v="1"/>
    <n v="12549"/>
  </r>
  <r>
    <x v="4"/>
    <x v="1"/>
    <s v="kip"/>
    <x v="0"/>
    <n v="24325"/>
  </r>
  <r>
    <x v="4"/>
    <x v="1"/>
    <s v="eieren"/>
    <x v="1"/>
    <n v="3137"/>
  </r>
  <r>
    <x v="4"/>
    <x v="1"/>
    <s v="fruit"/>
    <x v="2"/>
    <n v="32417"/>
  </r>
  <r>
    <x v="4"/>
    <x v="1"/>
    <s v="lamsvlees"/>
    <x v="0"/>
    <n v="6950"/>
  </r>
  <r>
    <x v="4"/>
    <x v="1"/>
    <s v="melk"/>
    <x v="1"/>
    <n v="20078"/>
  </r>
  <r>
    <x v="4"/>
    <x v="1"/>
    <s v="varkensvlees"/>
    <x v="0"/>
    <n v="27800"/>
  </r>
  <r>
    <x v="4"/>
    <x v="1"/>
    <s v="aardappelen"/>
    <x v="2"/>
    <n v="21612"/>
  </r>
  <r>
    <x v="4"/>
    <x v="1"/>
    <s v="groenten"/>
    <x v="2"/>
    <n v="43223"/>
  </r>
  <r>
    <x v="4"/>
    <x v="1"/>
    <s v="yoghurt"/>
    <x v="1"/>
    <n v="17568"/>
  </r>
  <r>
    <x v="4"/>
    <x v="2"/>
    <s v="rundvlees"/>
    <x v="0"/>
    <n v="10605"/>
  </r>
  <r>
    <x v="4"/>
    <x v="2"/>
    <s v="boter"/>
    <x v="1"/>
    <n v="6155"/>
  </r>
  <r>
    <x v="4"/>
    <x v="2"/>
    <s v="cheese"/>
    <x v="1"/>
    <n v="8206"/>
  </r>
  <r>
    <x v="4"/>
    <x v="2"/>
    <s v="kip"/>
    <x v="0"/>
    <n v="15907"/>
  </r>
  <r>
    <x v="4"/>
    <x v="2"/>
    <s v="eieren"/>
    <x v="1"/>
    <n v="2052"/>
  </r>
  <r>
    <x v="4"/>
    <x v="2"/>
    <s v="fruit"/>
    <x v="2"/>
    <n v="21199"/>
  </r>
  <r>
    <x v="4"/>
    <x v="2"/>
    <s v="lamsvlees"/>
    <x v="0"/>
    <n v="4545"/>
  </r>
  <r>
    <x v="4"/>
    <x v="2"/>
    <s v="melk"/>
    <x v="1"/>
    <n v="13130"/>
  </r>
  <r>
    <x v="4"/>
    <x v="2"/>
    <s v="varkensvlees"/>
    <x v="0"/>
    <n v="18180"/>
  </r>
  <r>
    <x v="4"/>
    <x v="2"/>
    <s v="aardappelen"/>
    <x v="2"/>
    <n v="14133"/>
  </r>
  <r>
    <x v="4"/>
    <x v="2"/>
    <s v="groenten"/>
    <x v="2"/>
    <n v="28266"/>
  </r>
  <r>
    <x v="4"/>
    <x v="2"/>
    <s v="yoghurt"/>
    <x v="1"/>
    <n v="11489"/>
  </r>
  <r>
    <x v="5"/>
    <x v="0"/>
    <s v="rundvlees"/>
    <x v="0"/>
    <n v="14911"/>
  </r>
  <r>
    <x v="5"/>
    <x v="0"/>
    <s v="boter"/>
    <x v="1"/>
    <n v="8654"/>
  </r>
  <r>
    <x v="5"/>
    <x v="0"/>
    <s v="cheese"/>
    <x v="1"/>
    <n v="11538"/>
  </r>
  <r>
    <x v="5"/>
    <x v="0"/>
    <s v="kip"/>
    <x v="0"/>
    <n v="22366"/>
  </r>
  <r>
    <x v="5"/>
    <x v="0"/>
    <s v="eieren"/>
    <x v="1"/>
    <n v="2885"/>
  </r>
  <r>
    <x v="5"/>
    <x v="0"/>
    <s v="fruit"/>
    <x v="2"/>
    <n v="29807"/>
  </r>
  <r>
    <x v="5"/>
    <x v="0"/>
    <s v="lamsvlees"/>
    <x v="0"/>
    <n v="6390"/>
  </r>
  <r>
    <x v="5"/>
    <x v="0"/>
    <s v="melk"/>
    <x v="1"/>
    <n v="18461"/>
  </r>
  <r>
    <x v="5"/>
    <x v="0"/>
    <s v="varkensvlees"/>
    <x v="0"/>
    <n v="25561"/>
  </r>
  <r>
    <x v="5"/>
    <x v="0"/>
    <s v="aardappelen"/>
    <x v="2"/>
    <n v="19871"/>
  </r>
  <r>
    <x v="5"/>
    <x v="0"/>
    <s v="groenten"/>
    <x v="2"/>
    <n v="39742"/>
  </r>
  <r>
    <x v="5"/>
    <x v="0"/>
    <s v="yoghurt"/>
    <x v="1"/>
    <n v="16153"/>
  </r>
  <r>
    <x v="5"/>
    <x v="1"/>
    <s v="rundvlees"/>
    <x v="0"/>
    <n v="15526"/>
  </r>
  <r>
    <x v="5"/>
    <x v="1"/>
    <s v="boter"/>
    <x v="1"/>
    <n v="9010"/>
  </r>
  <r>
    <x v="5"/>
    <x v="1"/>
    <s v="cheese"/>
    <x v="1"/>
    <n v="12014"/>
  </r>
  <r>
    <x v="5"/>
    <x v="1"/>
    <s v="kip"/>
    <x v="0"/>
    <n v="23288"/>
  </r>
  <r>
    <x v="5"/>
    <x v="1"/>
    <s v="eieren"/>
    <x v="1"/>
    <n v="3003"/>
  </r>
  <r>
    <x v="5"/>
    <x v="1"/>
    <s v="fruit"/>
    <x v="2"/>
    <n v="31036"/>
  </r>
  <r>
    <x v="5"/>
    <x v="1"/>
    <s v="lamsvlees"/>
    <x v="0"/>
    <n v="6654"/>
  </r>
  <r>
    <x v="5"/>
    <x v="1"/>
    <s v="melk"/>
    <x v="1"/>
    <n v="19222"/>
  </r>
  <r>
    <x v="5"/>
    <x v="1"/>
    <s v="varkensvlees"/>
    <x v="0"/>
    <n v="26615"/>
  </r>
  <r>
    <x v="5"/>
    <x v="1"/>
    <s v="aardappelen"/>
    <x v="2"/>
    <n v="20691"/>
  </r>
  <r>
    <x v="5"/>
    <x v="1"/>
    <s v="groenten"/>
    <x v="2"/>
    <n v="41381"/>
  </r>
  <r>
    <x v="5"/>
    <x v="1"/>
    <s v="yoghurt"/>
    <x v="1"/>
    <n v="16819"/>
  </r>
  <r>
    <x v="5"/>
    <x v="2"/>
    <s v="rundvlees"/>
    <x v="0"/>
    <n v="12388"/>
  </r>
  <r>
    <x v="5"/>
    <x v="2"/>
    <s v="boter"/>
    <x v="1"/>
    <n v="7189"/>
  </r>
  <r>
    <x v="5"/>
    <x v="2"/>
    <s v="cheese"/>
    <x v="1"/>
    <n v="9586"/>
  </r>
  <r>
    <x v="5"/>
    <x v="2"/>
    <s v="kip"/>
    <x v="0"/>
    <n v="18582"/>
  </r>
  <r>
    <x v="5"/>
    <x v="2"/>
    <s v="eieren"/>
    <x v="1"/>
    <n v="2396"/>
  </r>
  <r>
    <x v="5"/>
    <x v="2"/>
    <s v="fruit"/>
    <x v="2"/>
    <n v="24763"/>
  </r>
  <r>
    <x v="5"/>
    <x v="2"/>
    <s v="lamsvlees"/>
    <x v="0"/>
    <n v="5309"/>
  </r>
  <r>
    <x v="5"/>
    <x v="2"/>
    <s v="melk"/>
    <x v="1"/>
    <n v="15337"/>
  </r>
  <r>
    <x v="5"/>
    <x v="2"/>
    <s v="varkensvlees"/>
    <x v="0"/>
    <n v="21236"/>
  </r>
  <r>
    <x v="5"/>
    <x v="2"/>
    <s v="aardappelen"/>
    <x v="2"/>
    <n v="16509"/>
  </r>
  <r>
    <x v="5"/>
    <x v="2"/>
    <s v="groenten"/>
    <x v="2"/>
    <n v="33017"/>
  </r>
  <r>
    <x v="5"/>
    <x v="2"/>
    <s v="yoghurt"/>
    <x v="1"/>
    <n v="13420"/>
  </r>
  <r>
    <x v="6"/>
    <x v="0"/>
    <s v="rundvlees"/>
    <x v="0"/>
    <n v="12550"/>
  </r>
  <r>
    <x v="6"/>
    <x v="0"/>
    <s v="boter"/>
    <x v="1"/>
    <n v="7283"/>
  </r>
  <r>
    <x v="6"/>
    <x v="0"/>
    <s v="cheese"/>
    <x v="1"/>
    <n v="9711"/>
  </r>
  <r>
    <x v="6"/>
    <x v="0"/>
    <s v="kip"/>
    <x v="0"/>
    <n v="18825"/>
  </r>
  <r>
    <x v="6"/>
    <x v="0"/>
    <s v="eieren"/>
    <x v="1"/>
    <n v="2428"/>
  </r>
  <r>
    <x v="6"/>
    <x v="0"/>
    <s v="fruit"/>
    <x v="2"/>
    <n v="25087"/>
  </r>
  <r>
    <x v="6"/>
    <x v="0"/>
    <s v="lamsvlees"/>
    <x v="0"/>
    <n v="5379"/>
  </r>
  <r>
    <x v="6"/>
    <x v="0"/>
    <s v="melk"/>
    <x v="1"/>
    <n v="15538"/>
  </r>
  <r>
    <x v="6"/>
    <x v="0"/>
    <s v="varkensvlees"/>
    <x v="0"/>
    <n v="21514"/>
  </r>
  <r>
    <x v="6"/>
    <x v="0"/>
    <s v="aardappelen"/>
    <x v="2"/>
    <n v="16725"/>
  </r>
  <r>
    <x v="6"/>
    <x v="0"/>
    <s v="groenten"/>
    <x v="2"/>
    <n v="33450"/>
  </r>
  <r>
    <x v="6"/>
    <x v="0"/>
    <s v="yoghurt"/>
    <x v="1"/>
    <n v="13596"/>
  </r>
  <r>
    <x v="6"/>
    <x v="1"/>
    <s v="rundvlees"/>
    <x v="0"/>
    <n v="15269"/>
  </r>
  <r>
    <x v="6"/>
    <x v="1"/>
    <s v="boter"/>
    <x v="1"/>
    <n v="8862"/>
  </r>
  <r>
    <x v="6"/>
    <x v="1"/>
    <s v="cheese"/>
    <x v="1"/>
    <n v="11816"/>
  </r>
  <r>
    <x v="6"/>
    <x v="1"/>
    <s v="kip"/>
    <x v="0"/>
    <n v="22904"/>
  </r>
  <r>
    <x v="6"/>
    <x v="1"/>
    <s v="eieren"/>
    <x v="1"/>
    <n v="2954"/>
  </r>
  <r>
    <x v="6"/>
    <x v="1"/>
    <s v="fruit"/>
    <x v="2"/>
    <n v="30524"/>
  </r>
  <r>
    <x v="6"/>
    <x v="1"/>
    <s v="lamsvlees"/>
    <x v="0"/>
    <n v="6544"/>
  </r>
  <r>
    <x v="6"/>
    <x v="1"/>
    <s v="melk"/>
    <x v="1"/>
    <n v="18905"/>
  </r>
  <r>
    <x v="6"/>
    <x v="1"/>
    <s v="varkensvlees"/>
    <x v="0"/>
    <n v="26176"/>
  </r>
  <r>
    <x v="6"/>
    <x v="1"/>
    <s v="aardappelen"/>
    <x v="2"/>
    <n v="20349"/>
  </r>
  <r>
    <x v="6"/>
    <x v="1"/>
    <s v="groenten"/>
    <x v="2"/>
    <n v="40698"/>
  </r>
  <r>
    <x v="6"/>
    <x v="1"/>
    <s v="yoghurt"/>
    <x v="1"/>
    <n v="16542"/>
  </r>
  <r>
    <x v="6"/>
    <x v="2"/>
    <s v="rundvlees"/>
    <x v="0"/>
    <n v="13680"/>
  </r>
  <r>
    <x v="6"/>
    <x v="2"/>
    <s v="boter"/>
    <x v="1"/>
    <n v="7939"/>
  </r>
  <r>
    <x v="6"/>
    <x v="2"/>
    <s v="cheese"/>
    <x v="1"/>
    <n v="10585"/>
  </r>
  <r>
    <x v="6"/>
    <x v="2"/>
    <s v="kip"/>
    <x v="0"/>
    <n v="20519"/>
  </r>
  <r>
    <x v="6"/>
    <x v="2"/>
    <s v="eieren"/>
    <x v="1"/>
    <n v="2646"/>
  </r>
  <r>
    <x v="6"/>
    <x v="2"/>
    <s v="fruit"/>
    <x v="2"/>
    <n v="27345"/>
  </r>
  <r>
    <x v="6"/>
    <x v="2"/>
    <s v="lamsvlees"/>
    <x v="0"/>
    <n v="5863"/>
  </r>
  <r>
    <x v="6"/>
    <x v="2"/>
    <s v="melk"/>
    <x v="1"/>
    <n v="16937"/>
  </r>
  <r>
    <x v="6"/>
    <x v="2"/>
    <s v="varkensvlees"/>
    <x v="0"/>
    <n v="23451"/>
  </r>
  <r>
    <x v="6"/>
    <x v="2"/>
    <s v="aardappelen"/>
    <x v="2"/>
    <n v="18230"/>
  </r>
  <r>
    <x v="6"/>
    <x v="2"/>
    <s v="groenten"/>
    <x v="2"/>
    <n v="36461"/>
  </r>
  <r>
    <x v="6"/>
    <x v="2"/>
    <s v="yoghurt"/>
    <x v="1"/>
    <n v="14819"/>
  </r>
  <r>
    <x v="7"/>
    <x v="0"/>
    <s v="rundvlees"/>
    <x v="0"/>
    <n v="13873"/>
  </r>
  <r>
    <x v="7"/>
    <x v="0"/>
    <s v="boter"/>
    <x v="1"/>
    <n v="8051"/>
  </r>
  <r>
    <x v="7"/>
    <x v="0"/>
    <s v="cheese"/>
    <x v="1"/>
    <n v="10735"/>
  </r>
  <r>
    <x v="7"/>
    <x v="0"/>
    <s v="kip"/>
    <x v="0"/>
    <n v="20809"/>
  </r>
  <r>
    <x v="7"/>
    <x v="0"/>
    <s v="eieren"/>
    <x v="1"/>
    <n v="2684"/>
  </r>
  <r>
    <x v="7"/>
    <x v="0"/>
    <s v="fruit"/>
    <x v="2"/>
    <n v="27732"/>
  </r>
  <r>
    <x v="7"/>
    <x v="0"/>
    <s v="lamsvlees"/>
    <x v="0"/>
    <n v="5946"/>
  </r>
  <r>
    <x v="7"/>
    <x v="0"/>
    <s v="melk"/>
    <x v="1"/>
    <n v="17176"/>
  </r>
  <r>
    <x v="7"/>
    <x v="0"/>
    <s v="varkensvlees"/>
    <x v="0"/>
    <n v="23782"/>
  </r>
  <r>
    <x v="7"/>
    <x v="0"/>
    <s v="aardappelen"/>
    <x v="2"/>
    <n v="18488"/>
  </r>
  <r>
    <x v="7"/>
    <x v="0"/>
    <s v="groenten"/>
    <x v="2"/>
    <n v="36976"/>
  </r>
  <r>
    <x v="7"/>
    <x v="0"/>
    <s v="yoghurt"/>
    <x v="1"/>
    <n v="15029"/>
  </r>
  <r>
    <x v="7"/>
    <x v="1"/>
    <s v="rundvlees"/>
    <x v="0"/>
    <n v="16476"/>
  </r>
  <r>
    <x v="7"/>
    <x v="1"/>
    <s v="boter"/>
    <x v="1"/>
    <n v="9562"/>
  </r>
  <r>
    <x v="7"/>
    <x v="1"/>
    <s v="cheese"/>
    <x v="1"/>
    <n v="12749"/>
  </r>
  <r>
    <x v="7"/>
    <x v="1"/>
    <s v="kip"/>
    <x v="0"/>
    <n v="24713"/>
  </r>
  <r>
    <x v="7"/>
    <x v="1"/>
    <s v="eieren"/>
    <x v="1"/>
    <n v="3187"/>
  </r>
  <r>
    <x v="7"/>
    <x v="1"/>
    <s v="fruit"/>
    <x v="2"/>
    <n v="32935"/>
  </r>
  <r>
    <x v="7"/>
    <x v="1"/>
    <s v="lamsvlees"/>
    <x v="0"/>
    <n v="7061"/>
  </r>
  <r>
    <x v="7"/>
    <x v="1"/>
    <s v="melk"/>
    <x v="1"/>
    <n v="20398"/>
  </r>
  <r>
    <x v="7"/>
    <x v="1"/>
    <s v="varkensvlees"/>
    <x v="0"/>
    <n v="28244"/>
  </r>
  <r>
    <x v="7"/>
    <x v="1"/>
    <s v="aardappelen"/>
    <x v="2"/>
    <n v="21957"/>
  </r>
  <r>
    <x v="7"/>
    <x v="1"/>
    <s v="groenten"/>
    <x v="2"/>
    <n v="43913"/>
  </r>
  <r>
    <x v="7"/>
    <x v="1"/>
    <s v="yoghurt"/>
    <x v="1"/>
    <n v="17849"/>
  </r>
  <r>
    <x v="7"/>
    <x v="2"/>
    <s v="rundvlees"/>
    <x v="0"/>
    <n v="11707"/>
  </r>
  <r>
    <x v="7"/>
    <x v="2"/>
    <s v="boter"/>
    <x v="1"/>
    <n v="6794"/>
  </r>
  <r>
    <x v="7"/>
    <x v="2"/>
    <s v="cheese"/>
    <x v="1"/>
    <n v="9059"/>
  </r>
  <r>
    <x v="7"/>
    <x v="2"/>
    <s v="kip"/>
    <x v="0"/>
    <n v="17560"/>
  </r>
  <r>
    <x v="7"/>
    <x v="2"/>
    <s v="eieren"/>
    <x v="1"/>
    <n v="2265"/>
  </r>
  <r>
    <x v="7"/>
    <x v="2"/>
    <s v="fruit"/>
    <x v="2"/>
    <n v="23402"/>
  </r>
  <r>
    <x v="7"/>
    <x v="2"/>
    <s v="lamsvlees"/>
    <x v="0"/>
    <n v="5017"/>
  </r>
  <r>
    <x v="7"/>
    <x v="2"/>
    <s v="melk"/>
    <x v="1"/>
    <n v="14494"/>
  </r>
  <r>
    <x v="7"/>
    <x v="2"/>
    <s v="varkensvlees"/>
    <x v="0"/>
    <n v="20069"/>
  </r>
  <r>
    <x v="7"/>
    <x v="2"/>
    <s v="aardappelen"/>
    <x v="2"/>
    <n v="15601"/>
  </r>
  <r>
    <x v="7"/>
    <x v="2"/>
    <s v="groenten"/>
    <x v="2"/>
    <n v="31202"/>
  </r>
  <r>
    <x v="7"/>
    <x v="2"/>
    <s v="yoghurt"/>
    <x v="1"/>
    <n v="12682"/>
  </r>
  <r>
    <x v="8"/>
    <x v="0"/>
    <s v="rundvlees"/>
    <x v="0"/>
    <n v="13920"/>
  </r>
  <r>
    <x v="8"/>
    <x v="0"/>
    <s v="boter"/>
    <x v="1"/>
    <n v="8078"/>
  </r>
  <r>
    <x v="8"/>
    <x v="0"/>
    <s v="cheese"/>
    <x v="1"/>
    <n v="10771"/>
  </r>
  <r>
    <x v="8"/>
    <x v="0"/>
    <s v="kip"/>
    <x v="0"/>
    <n v="20880"/>
  </r>
  <r>
    <x v="8"/>
    <x v="0"/>
    <s v="eieren"/>
    <x v="1"/>
    <n v="2693"/>
  </r>
  <r>
    <x v="8"/>
    <x v="0"/>
    <s v="fruit"/>
    <x v="2"/>
    <n v="27826"/>
  </r>
  <r>
    <x v="8"/>
    <x v="0"/>
    <s v="lamsvlees"/>
    <x v="0"/>
    <n v="5966"/>
  </r>
  <r>
    <x v="8"/>
    <x v="0"/>
    <s v="melk"/>
    <x v="1"/>
    <n v="17234"/>
  </r>
  <r>
    <x v="8"/>
    <x v="0"/>
    <s v="varkensvlees"/>
    <x v="0"/>
    <n v="23862"/>
  </r>
  <r>
    <x v="8"/>
    <x v="0"/>
    <s v="aardappelen"/>
    <x v="2"/>
    <n v="18550"/>
  </r>
  <r>
    <x v="8"/>
    <x v="0"/>
    <s v="groenten"/>
    <x v="2"/>
    <n v="37101"/>
  </r>
  <r>
    <x v="8"/>
    <x v="0"/>
    <s v="yoghurt"/>
    <x v="1"/>
    <n v="15080"/>
  </r>
  <r>
    <x v="8"/>
    <x v="1"/>
    <s v="rundvlees"/>
    <x v="0"/>
    <n v="12119"/>
  </r>
  <r>
    <x v="8"/>
    <x v="1"/>
    <s v="boter"/>
    <x v="1"/>
    <n v="7034"/>
  </r>
  <r>
    <x v="8"/>
    <x v="1"/>
    <s v="cheese"/>
    <x v="1"/>
    <n v="9378"/>
  </r>
  <r>
    <x v="8"/>
    <x v="1"/>
    <s v="kip"/>
    <x v="0"/>
    <n v="18179"/>
  </r>
  <r>
    <x v="8"/>
    <x v="1"/>
    <s v="eieren"/>
    <x v="1"/>
    <n v="2345"/>
  </r>
  <r>
    <x v="8"/>
    <x v="1"/>
    <s v="fruit"/>
    <x v="2"/>
    <n v="24227"/>
  </r>
  <r>
    <x v="8"/>
    <x v="1"/>
    <s v="lamsvlees"/>
    <x v="0"/>
    <n v="5194"/>
  </r>
  <r>
    <x v="8"/>
    <x v="1"/>
    <s v="melk"/>
    <x v="1"/>
    <n v="15005"/>
  </r>
  <r>
    <x v="8"/>
    <x v="1"/>
    <s v="varkensvlees"/>
    <x v="0"/>
    <n v="20776"/>
  </r>
  <r>
    <x v="8"/>
    <x v="1"/>
    <s v="aardappelen"/>
    <x v="2"/>
    <n v="16151"/>
  </r>
  <r>
    <x v="8"/>
    <x v="1"/>
    <s v="groenten"/>
    <x v="2"/>
    <n v="32302"/>
  </r>
  <r>
    <x v="8"/>
    <x v="1"/>
    <s v="yoghurt"/>
    <x v="1"/>
    <n v="13129"/>
  </r>
  <r>
    <x v="8"/>
    <x v="2"/>
    <s v="rundvlees"/>
    <x v="0"/>
    <n v="10546"/>
  </r>
  <r>
    <x v="8"/>
    <x v="2"/>
    <s v="boter"/>
    <x v="1"/>
    <n v="6120"/>
  </r>
  <r>
    <x v="8"/>
    <x v="2"/>
    <s v="cheese"/>
    <x v="1"/>
    <n v="8161"/>
  </r>
  <r>
    <x v="8"/>
    <x v="2"/>
    <s v="kip"/>
    <x v="0"/>
    <n v="15819"/>
  </r>
  <r>
    <x v="8"/>
    <x v="2"/>
    <s v="eieren"/>
    <x v="1"/>
    <n v="2040"/>
  </r>
  <r>
    <x v="8"/>
    <x v="2"/>
    <s v="fruit"/>
    <x v="2"/>
    <n v="21082"/>
  </r>
  <r>
    <x v="8"/>
    <x v="2"/>
    <s v="lamsvlees"/>
    <x v="0"/>
    <n v="4520"/>
  </r>
  <r>
    <x v="8"/>
    <x v="2"/>
    <s v="melk"/>
    <x v="1"/>
    <n v="13057"/>
  </r>
  <r>
    <x v="8"/>
    <x v="2"/>
    <s v="varkensvlees"/>
    <x v="0"/>
    <n v="18079"/>
  </r>
  <r>
    <x v="8"/>
    <x v="2"/>
    <s v="aardappelen"/>
    <x v="2"/>
    <n v="14054"/>
  </r>
  <r>
    <x v="8"/>
    <x v="2"/>
    <s v="groenten"/>
    <x v="2"/>
    <n v="28109"/>
  </r>
  <r>
    <x v="8"/>
    <x v="2"/>
    <s v="yoghurt"/>
    <x v="1"/>
    <n v="11425"/>
  </r>
  <r>
    <x v="9"/>
    <x v="0"/>
    <s v="rundvlees"/>
    <x v="0"/>
    <n v="12662"/>
  </r>
  <r>
    <x v="9"/>
    <x v="0"/>
    <s v="boter"/>
    <x v="1"/>
    <n v="7348"/>
  </r>
  <r>
    <x v="9"/>
    <x v="0"/>
    <s v="cheese"/>
    <x v="1"/>
    <n v="9798"/>
  </r>
  <r>
    <x v="9"/>
    <x v="0"/>
    <s v="kip"/>
    <x v="0"/>
    <n v="18992"/>
  </r>
  <r>
    <x v="9"/>
    <x v="0"/>
    <s v="eieren"/>
    <x v="1"/>
    <n v="2449"/>
  </r>
  <r>
    <x v="9"/>
    <x v="0"/>
    <s v="fruit"/>
    <x v="2"/>
    <n v="25311"/>
  </r>
  <r>
    <x v="9"/>
    <x v="0"/>
    <s v="lamsvlees"/>
    <x v="0"/>
    <n v="5426"/>
  </r>
  <r>
    <x v="9"/>
    <x v="0"/>
    <s v="melk"/>
    <x v="1"/>
    <n v="15676"/>
  </r>
  <r>
    <x v="9"/>
    <x v="0"/>
    <s v="varkensvlees"/>
    <x v="0"/>
    <n v="21706"/>
  </r>
  <r>
    <x v="9"/>
    <x v="0"/>
    <s v="aardappelen"/>
    <x v="2"/>
    <n v="16874"/>
  </r>
  <r>
    <x v="9"/>
    <x v="0"/>
    <s v="groenten"/>
    <x v="2"/>
    <n v="33747"/>
  </r>
  <r>
    <x v="9"/>
    <x v="0"/>
    <s v="yoghurt"/>
    <x v="1"/>
    <n v="13717"/>
  </r>
  <r>
    <x v="9"/>
    <x v="1"/>
    <s v="rundvlees"/>
    <x v="0"/>
    <n v="16437"/>
  </r>
  <r>
    <x v="9"/>
    <x v="1"/>
    <s v="boter"/>
    <x v="1"/>
    <n v="9539"/>
  </r>
  <r>
    <x v="9"/>
    <x v="1"/>
    <s v="cheese"/>
    <x v="1"/>
    <n v="12719"/>
  </r>
  <r>
    <x v="9"/>
    <x v="1"/>
    <s v="kip"/>
    <x v="0"/>
    <n v="24656"/>
  </r>
  <r>
    <x v="9"/>
    <x v="1"/>
    <s v="eieren"/>
    <x v="1"/>
    <n v="3180"/>
  </r>
  <r>
    <x v="9"/>
    <x v="1"/>
    <s v="fruit"/>
    <x v="2"/>
    <n v="32858"/>
  </r>
  <r>
    <x v="9"/>
    <x v="1"/>
    <s v="lamsvlees"/>
    <x v="0"/>
    <n v="7044"/>
  </r>
  <r>
    <x v="9"/>
    <x v="1"/>
    <s v="melk"/>
    <x v="1"/>
    <n v="20351"/>
  </r>
  <r>
    <x v="9"/>
    <x v="1"/>
    <s v="varkensvlees"/>
    <x v="0"/>
    <n v="28178"/>
  </r>
  <r>
    <x v="9"/>
    <x v="1"/>
    <s v="aardappelen"/>
    <x v="2"/>
    <n v="21905"/>
  </r>
  <r>
    <x v="9"/>
    <x v="1"/>
    <s v="groenten"/>
    <x v="2"/>
    <n v="43811"/>
  </r>
  <r>
    <x v="9"/>
    <x v="1"/>
    <s v="yoghurt"/>
    <x v="1"/>
    <n v="17807"/>
  </r>
  <r>
    <x v="9"/>
    <x v="2"/>
    <s v="rundvlees"/>
    <x v="0"/>
    <n v="12331"/>
  </r>
  <r>
    <x v="9"/>
    <x v="2"/>
    <s v="boter"/>
    <x v="1"/>
    <n v="7156"/>
  </r>
  <r>
    <x v="9"/>
    <x v="2"/>
    <s v="cheese"/>
    <x v="1"/>
    <n v="9542"/>
  </r>
  <r>
    <x v="9"/>
    <x v="2"/>
    <s v="kip"/>
    <x v="0"/>
    <n v="18496"/>
  </r>
  <r>
    <x v="9"/>
    <x v="2"/>
    <s v="eieren"/>
    <x v="1"/>
    <n v="2385"/>
  </r>
  <r>
    <x v="9"/>
    <x v="2"/>
    <s v="fruit"/>
    <x v="2"/>
    <n v="24649"/>
  </r>
  <r>
    <x v="9"/>
    <x v="2"/>
    <s v="lamsvlees"/>
    <x v="0"/>
    <n v="5285"/>
  </r>
  <r>
    <x v="9"/>
    <x v="2"/>
    <s v="melk"/>
    <x v="1"/>
    <n v="15267"/>
  </r>
  <r>
    <x v="9"/>
    <x v="2"/>
    <s v="varkensvlees"/>
    <x v="0"/>
    <n v="21138"/>
  </r>
  <r>
    <x v="9"/>
    <x v="2"/>
    <s v="aardappelen"/>
    <x v="2"/>
    <n v="16433"/>
  </r>
  <r>
    <x v="9"/>
    <x v="2"/>
    <s v="groenten"/>
    <x v="2"/>
    <n v="32866"/>
  </r>
  <r>
    <x v="9"/>
    <x v="2"/>
    <s v="yoghurt"/>
    <x v="1"/>
    <n v="13358"/>
  </r>
  <r>
    <x v="10"/>
    <x v="0"/>
    <s v="rundvlees"/>
    <x v="0"/>
    <n v="14622"/>
  </r>
  <r>
    <x v="10"/>
    <x v="0"/>
    <s v="boter"/>
    <x v="1"/>
    <n v="8486"/>
  </r>
  <r>
    <x v="10"/>
    <x v="0"/>
    <s v="cheese"/>
    <x v="1"/>
    <n v="11314"/>
  </r>
  <r>
    <x v="10"/>
    <x v="0"/>
    <s v="kip"/>
    <x v="0"/>
    <n v="21932"/>
  </r>
  <r>
    <x v="10"/>
    <x v="0"/>
    <s v="eieren"/>
    <x v="1"/>
    <n v="2829"/>
  </r>
  <r>
    <x v="10"/>
    <x v="0"/>
    <s v="fruit"/>
    <x v="2"/>
    <n v="29229"/>
  </r>
  <r>
    <x v="10"/>
    <x v="0"/>
    <s v="lamsvlees"/>
    <x v="0"/>
    <n v="6266"/>
  </r>
  <r>
    <x v="10"/>
    <x v="0"/>
    <s v="melk"/>
    <x v="1"/>
    <n v="18103"/>
  </r>
  <r>
    <x v="10"/>
    <x v="0"/>
    <s v="varkensvlees"/>
    <x v="0"/>
    <n v="25066"/>
  </r>
  <r>
    <x v="10"/>
    <x v="0"/>
    <s v="aardappelen"/>
    <x v="2"/>
    <n v="19486"/>
  </r>
  <r>
    <x v="10"/>
    <x v="0"/>
    <s v="groenten"/>
    <x v="2"/>
    <n v="38971"/>
  </r>
  <r>
    <x v="10"/>
    <x v="0"/>
    <s v="yoghurt"/>
    <x v="1"/>
    <n v="15840"/>
  </r>
  <r>
    <x v="10"/>
    <x v="1"/>
    <s v="rundvlees"/>
    <x v="0"/>
    <n v="11745"/>
  </r>
  <r>
    <x v="10"/>
    <x v="1"/>
    <s v="boter"/>
    <x v="1"/>
    <n v="6816"/>
  </r>
  <r>
    <x v="10"/>
    <x v="1"/>
    <s v="cheese"/>
    <x v="1"/>
    <n v="9088"/>
  </r>
  <r>
    <x v="10"/>
    <x v="1"/>
    <s v="kip"/>
    <x v="0"/>
    <n v="17618"/>
  </r>
  <r>
    <x v="10"/>
    <x v="1"/>
    <s v="eieren"/>
    <x v="1"/>
    <n v="2272"/>
  </r>
  <r>
    <x v="10"/>
    <x v="1"/>
    <s v="fruit"/>
    <x v="2"/>
    <n v="23479"/>
  </r>
  <r>
    <x v="10"/>
    <x v="1"/>
    <s v="lamsvlees"/>
    <x v="0"/>
    <n v="5034"/>
  </r>
  <r>
    <x v="10"/>
    <x v="1"/>
    <s v="melk"/>
    <x v="1"/>
    <n v="14542"/>
  </r>
  <r>
    <x v="10"/>
    <x v="1"/>
    <s v="varkensvlees"/>
    <x v="0"/>
    <n v="20134"/>
  </r>
  <r>
    <x v="10"/>
    <x v="1"/>
    <s v="aardappelen"/>
    <x v="2"/>
    <n v="15652"/>
  </r>
  <r>
    <x v="10"/>
    <x v="1"/>
    <s v="groenten"/>
    <x v="2"/>
    <n v="31305"/>
  </r>
  <r>
    <x v="10"/>
    <x v="1"/>
    <s v="yoghurt"/>
    <x v="1"/>
    <n v="12724"/>
  </r>
  <r>
    <x v="10"/>
    <x v="2"/>
    <s v="rundvlees"/>
    <x v="0"/>
    <n v="11766"/>
  </r>
  <r>
    <x v="10"/>
    <x v="2"/>
    <s v="boter"/>
    <x v="1"/>
    <n v="6829"/>
  </r>
  <r>
    <x v="10"/>
    <x v="2"/>
    <s v="cheese"/>
    <x v="1"/>
    <n v="9105"/>
  </r>
  <r>
    <x v="10"/>
    <x v="2"/>
    <s v="kip"/>
    <x v="0"/>
    <n v="17649"/>
  </r>
  <r>
    <x v="10"/>
    <x v="2"/>
    <s v="eieren"/>
    <x v="1"/>
    <n v="2276"/>
  </r>
  <r>
    <x v="10"/>
    <x v="2"/>
    <s v="fruit"/>
    <x v="2"/>
    <n v="23521"/>
  </r>
  <r>
    <x v="10"/>
    <x v="2"/>
    <s v="lamsvlees"/>
    <x v="0"/>
    <n v="5043"/>
  </r>
  <r>
    <x v="10"/>
    <x v="2"/>
    <s v="melk"/>
    <x v="1"/>
    <n v="14568"/>
  </r>
  <r>
    <x v="10"/>
    <x v="2"/>
    <s v="varkensvlees"/>
    <x v="0"/>
    <n v="20171"/>
  </r>
  <r>
    <x v="10"/>
    <x v="2"/>
    <s v="aardappelen"/>
    <x v="2"/>
    <n v="15680"/>
  </r>
  <r>
    <x v="10"/>
    <x v="2"/>
    <s v="groenten"/>
    <x v="2"/>
    <n v="31361"/>
  </r>
  <r>
    <x v="10"/>
    <x v="2"/>
    <s v="yoghurt"/>
    <x v="1"/>
    <n v="12747"/>
  </r>
  <r>
    <x v="11"/>
    <x v="0"/>
    <s v="rundvlees"/>
    <x v="0"/>
    <n v="15464"/>
  </r>
  <r>
    <x v="11"/>
    <x v="0"/>
    <s v="boter"/>
    <x v="1"/>
    <n v="8974"/>
  </r>
  <r>
    <x v="11"/>
    <x v="0"/>
    <s v="cheese"/>
    <x v="1"/>
    <n v="11966"/>
  </r>
  <r>
    <x v="11"/>
    <x v="0"/>
    <s v="kip"/>
    <x v="0"/>
    <n v="23196"/>
  </r>
  <r>
    <x v="11"/>
    <x v="0"/>
    <s v="eieren"/>
    <x v="1"/>
    <n v="2991"/>
  </r>
  <r>
    <x v="11"/>
    <x v="0"/>
    <s v="fruit"/>
    <x v="2"/>
    <n v="30912"/>
  </r>
  <r>
    <x v="11"/>
    <x v="0"/>
    <s v="lamsvlees"/>
    <x v="0"/>
    <n v="6627"/>
  </r>
  <r>
    <x v="11"/>
    <x v="0"/>
    <s v="melk"/>
    <x v="1"/>
    <n v="19146"/>
  </r>
  <r>
    <x v="11"/>
    <x v="0"/>
    <s v="varkensvlees"/>
    <x v="0"/>
    <n v="26509"/>
  </r>
  <r>
    <x v="11"/>
    <x v="0"/>
    <s v="aardappelen"/>
    <x v="2"/>
    <n v="20608"/>
  </r>
  <r>
    <x v="11"/>
    <x v="0"/>
    <s v="groenten"/>
    <x v="2"/>
    <n v="41216"/>
  </r>
  <r>
    <x v="11"/>
    <x v="0"/>
    <s v="yoghurt"/>
    <x v="1"/>
    <n v="16752"/>
  </r>
  <r>
    <x v="11"/>
    <x v="1"/>
    <s v="rundvlees"/>
    <x v="0"/>
    <n v="12478"/>
  </r>
  <r>
    <x v="11"/>
    <x v="1"/>
    <s v="boter"/>
    <x v="1"/>
    <n v="7242"/>
  </r>
  <r>
    <x v="11"/>
    <x v="1"/>
    <s v="cheese"/>
    <x v="1"/>
    <n v="9655"/>
  </r>
  <r>
    <x v="11"/>
    <x v="1"/>
    <s v="kip"/>
    <x v="0"/>
    <n v="18717"/>
  </r>
  <r>
    <x v="11"/>
    <x v="1"/>
    <s v="eieren"/>
    <x v="1"/>
    <n v="2414"/>
  </r>
  <r>
    <x v="11"/>
    <x v="1"/>
    <s v="fruit"/>
    <x v="2"/>
    <n v="24943"/>
  </r>
  <r>
    <x v="11"/>
    <x v="1"/>
    <s v="lamsvlees"/>
    <x v="0"/>
    <n v="5348"/>
  </r>
  <r>
    <x v="11"/>
    <x v="1"/>
    <s v="melk"/>
    <x v="1"/>
    <n v="15449"/>
  </r>
  <r>
    <x v="11"/>
    <x v="1"/>
    <s v="varkensvlees"/>
    <x v="0"/>
    <n v="21390"/>
  </r>
  <r>
    <x v="11"/>
    <x v="1"/>
    <s v="aardappelen"/>
    <x v="2"/>
    <n v="16629"/>
  </r>
  <r>
    <x v="11"/>
    <x v="1"/>
    <s v="groenten"/>
    <x v="2"/>
    <n v="33258"/>
  </r>
  <r>
    <x v="11"/>
    <x v="1"/>
    <s v="yoghurt"/>
    <x v="1"/>
    <n v="13518"/>
  </r>
  <r>
    <x v="11"/>
    <x v="2"/>
    <s v="rundvlees"/>
    <x v="0"/>
    <n v="12882"/>
  </r>
  <r>
    <x v="11"/>
    <x v="2"/>
    <s v="boter"/>
    <x v="1"/>
    <n v="7476"/>
  </r>
  <r>
    <x v="11"/>
    <x v="2"/>
    <s v="cheese"/>
    <x v="1"/>
    <n v="9968"/>
  </r>
  <r>
    <x v="11"/>
    <x v="2"/>
    <s v="kip"/>
    <x v="0"/>
    <n v="19322"/>
  </r>
  <r>
    <x v="11"/>
    <x v="2"/>
    <s v="eieren"/>
    <x v="1"/>
    <n v="2492"/>
  </r>
  <r>
    <x v="11"/>
    <x v="2"/>
    <s v="fruit"/>
    <x v="2"/>
    <n v="25750"/>
  </r>
  <r>
    <x v="11"/>
    <x v="2"/>
    <s v="lamsvlees"/>
    <x v="0"/>
    <n v="5521"/>
  </r>
  <r>
    <x v="11"/>
    <x v="2"/>
    <s v="melk"/>
    <x v="1"/>
    <n v="15949"/>
  </r>
  <r>
    <x v="11"/>
    <x v="2"/>
    <s v="varkensvlees"/>
    <x v="0"/>
    <n v="22083"/>
  </r>
  <r>
    <x v="11"/>
    <x v="2"/>
    <s v="aardappelen"/>
    <x v="2"/>
    <n v="17167"/>
  </r>
  <r>
    <x v="11"/>
    <x v="2"/>
    <s v="groenten"/>
    <x v="2"/>
    <n v="34334"/>
  </r>
  <r>
    <x v="11"/>
    <x v="2"/>
    <s v="yoghurt"/>
    <x v="1"/>
    <n v="139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3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3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3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59912-9B95-4DA5-ADE2-47628FC26E33}" name="Draaitabel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3">
  <location ref="H27:K33" firstHeaderRow="1" firstDataRow="2" firstDataCol="1" rowPageCount="1" colPageCount="1"/>
  <pivotFields count="4">
    <pivotField axis="axisPage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Som van Populatie" fld="3" baseField="2" baseItem="1" numFmtId="3"/>
  </dataFields>
  <formats count="2">
    <format dxfId="55">
      <pivotArea dataOnly="0" labelOnly="1" fieldPosition="0">
        <references count="1">
          <reference field="1" count="0"/>
        </references>
      </pivotArea>
    </format>
    <format dxfId="54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8C1C6-D18D-41E7-B18A-092EB275411D}" name="Draaitabel1" cacheId="6" applyNumberFormats="0" applyBorderFormats="0" applyFontFormats="0" applyPatternFormats="0" applyAlignmentFormats="0" applyWidthHeightFormats="1" dataCaption="Waarden" updatedVersion="7" minRefreshableVersion="3" useAutoFormatting="1" itemPrintTitles="1" createdVersion="7" indent="0" outline="1" outlineData="1" multipleFieldFilters="0">
  <location ref="H4:I145" firstHeaderRow="1" firstDataRow="1" firstDataCol="1"/>
  <pivotFields count="8">
    <pivotField showAll="0">
      <items count="3">
        <item x="1"/>
        <item x="0"/>
        <item t="default"/>
      </items>
    </pivotField>
    <pivotField axis="axisRow" showAll="0">
      <items count="12">
        <item x="1"/>
        <item x="10"/>
        <item x="6"/>
        <item x="7"/>
        <item x="2"/>
        <item x="0"/>
        <item x="5"/>
        <item x="9"/>
        <item x="3"/>
        <item x="4"/>
        <item x="8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">
        <item x="1"/>
        <item x="0"/>
        <item t="default"/>
      </items>
    </pivotField>
    <pivotField dataField="1" numFmtId="166" showAll="0"/>
    <pivotField showAll="0" sortType="ascending">
      <items count="7">
        <item sd="0" x="0"/>
        <item sd="0" x="1"/>
        <item sd="0" x="2"/>
        <item sd="0" x="3"/>
        <item sd="0" x="4"/>
        <item sd="0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1"/>
    <field x="3"/>
  </rowFields>
  <rowItems count="141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t="grand">
      <x/>
    </i>
  </rowItems>
  <colItems count="1">
    <i/>
  </colItems>
  <dataFields count="1">
    <dataField name="Som van Factuurbedrag" fld="5" baseField="3" baseItem="12" numFmtId="17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30">
      <pivotArea type="origin" dataOnly="0" labelOnly="1" outline="0" fieldPosition="0"/>
    </format>
    <format dxfId="29">
      <pivotArea type="topRight" dataOnly="0" labelOnly="1" outline="0" fieldPosition="0"/>
    </format>
    <format dxfId="28">
      <pivotArea dataOnly="0" labelOnly="1" fieldPosition="0">
        <references count="1">
          <reference field="1" count="0"/>
        </references>
      </pivotArea>
    </format>
    <format dxfId="27">
      <pivotArea dataOnly="0" labelOnly="1" grandCol="1" outline="0" fieldPosition="0"/>
    </format>
    <format dxfId="26">
      <pivotArea grandRow="1" outline="0" collapsedLevelsAreSubtotals="1" fieldPosition="0"/>
    </format>
    <format dxfId="25">
      <pivotArea dataOnly="0" labelOnly="1" grandRow="1" outline="0" fieldPosition="0"/>
    </format>
    <format dxfId="24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291961-77A8-4338-9047-643D1D0DA462}" name="Draaitabel2" cacheId="7" applyNumberFormats="0" applyBorderFormats="0" applyFontFormats="0" applyPatternFormats="0" applyAlignmentFormats="0" applyWidthHeightFormats="1" dataCaption="Waarden" updatedVersion="7" minRefreshableVersion="5" useAutoFormatting="1" itemPrintTitles="1" createdVersion="7" indent="0" outline="1" outlineData="1" multipleFieldFilters="0">
  <location ref="G3:K6" firstHeaderRow="1" firstDataRow="2" firstDataCol="1"/>
  <pivotFields count="6">
    <pivotField numFmtId="16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multipleItemSelectionAllowed="1" showAll="0">
      <items count="4">
        <item x="0"/>
        <item x="1"/>
        <item h="1" x="2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2"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om van omzet" fld="4" baseField="0" baseItem="0"/>
  </dataFields>
  <pivotTableStyleInfo name="PivotStyleLight16" showRowHeaders="1" showColHeaders="1" showRowStripes="0" showColStripes="0" showLastColumn="1"/>
  <filters count="1">
    <filter fld="0" type="dateBetween" evalOrder="-1" id="16" name="datum">
      <autoFilter ref="A1">
        <filterColumn colId="0">
          <customFilters and="1">
            <customFilter operator="greaterThanOrEqual" val="42491"/>
            <customFilter operator="lessThanOrEqual" val="4252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7451E3-EBF6-4374-9E5A-92C11084D818}" name="Draaitabel6" cacheId="5" applyNumberFormats="0" applyBorderFormats="0" applyFontFormats="0" applyPatternFormats="0" applyAlignmentFormats="0" applyWidthHeightFormats="1" dataCaption="Waarden" updatedVersion="7" minRefreshableVersion="3" useAutoFormatting="1" itemPrintTitles="1" createdVersion="7" indent="0" compact="0" outline="1" outlineData="1" compactData="0" multipleFieldFilters="0">
  <location ref="S22:X39" firstHeaderRow="1" firstDataRow="2" firstDataCol="2"/>
  <pivotFields count="5">
    <pivotField compact="0" numFmtId="167" showAll="0"/>
    <pivotField axis="axisCol" compact="0" showAll="0">
      <items count="4">
        <item x="0"/>
        <item x="1"/>
        <item x="2"/>
        <item t="default"/>
      </items>
    </pivotField>
    <pivotField axis="axisRow" compact="0" showAll="0">
      <items count="13">
        <item x="9"/>
        <item x="1"/>
        <item x="2"/>
        <item x="4"/>
        <item x="5"/>
        <item x="10"/>
        <item x="3"/>
        <item x="6"/>
        <item x="7"/>
        <item x="0"/>
        <item x="8"/>
        <item x="11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dataField="1" compact="0" showAll="0"/>
  </pivotFields>
  <rowFields count="2">
    <field x="3"/>
    <field x="2"/>
  </rowFields>
  <rowItems count="16">
    <i>
      <x/>
    </i>
    <i r="1">
      <x/>
    </i>
    <i r="1">
      <x v="4"/>
    </i>
    <i r="1">
      <x v="5"/>
    </i>
    <i>
      <x v="1"/>
    </i>
    <i r="1">
      <x v="6"/>
    </i>
    <i r="1">
      <x v="7"/>
    </i>
    <i r="1">
      <x v="9"/>
    </i>
    <i r="1">
      <x v="10"/>
    </i>
    <i>
      <x v="2"/>
    </i>
    <i r="1">
      <x v="1"/>
    </i>
    <i r="1">
      <x v="2"/>
    </i>
    <i r="1">
      <x v="3"/>
    </i>
    <i r="1">
      <x v="8"/>
    </i>
    <i r="1"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 van omzet" fld="4" baseField="1" baseItem="1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DF4C8B-31AC-4B23-8CDE-1EDDDCCF20F4}" name="Draaitabel1" cacheId="5" applyNumberFormats="0" applyBorderFormats="0" applyFontFormats="0" applyPatternFormats="0" applyAlignmentFormats="0" applyWidthHeightFormats="1" dataCaption="Waarden" updatedVersion="7" minRefreshableVersion="3" useAutoFormatting="1" itemPrintTitles="1" createdVersion="7" indent="0" compact="0" outline="1" outlineData="1" compactData="0" multipleFieldFilters="0">
  <location ref="Z42:AA55" firstHeaderRow="1" firstDataRow="1" firstDataCol="1"/>
  <pivotFields count="5">
    <pivotField compact="0" numFmtId="167" showAll="0"/>
    <pivotField compact="0" showAll="0">
      <items count="4">
        <item x="0"/>
        <item x="1"/>
        <item x="2"/>
        <item t="default"/>
      </items>
    </pivotField>
    <pivotField axis="axisRow" compact="0" showAll="0" sortType="descending">
      <items count="13">
        <item x="9"/>
        <item x="1"/>
        <item x="2"/>
        <item x="4"/>
        <item x="5"/>
        <item x="10"/>
        <item x="3"/>
        <item x="6"/>
        <item x="7"/>
        <item x="0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4">
        <item x="2"/>
        <item x="0"/>
        <item x="1"/>
        <item t="default"/>
      </items>
    </pivotField>
    <pivotField dataField="1" compact="0" showAll="0"/>
  </pivotFields>
  <rowFields count="1">
    <field x="2"/>
  </rowFields>
  <rowItems count="13">
    <i>
      <x v="5"/>
    </i>
    <i>
      <x v="4"/>
    </i>
    <i>
      <x v="10"/>
    </i>
    <i>
      <x v="6"/>
    </i>
    <i>
      <x/>
    </i>
    <i>
      <x v="8"/>
    </i>
    <i>
      <x v="11"/>
    </i>
    <i>
      <x v="9"/>
    </i>
    <i>
      <x v="2"/>
    </i>
    <i>
      <x v="1"/>
    </i>
    <i>
      <x v="7"/>
    </i>
    <i>
      <x v="3"/>
    </i>
    <i t="grand">
      <x/>
    </i>
  </rowItems>
  <colItems count="1">
    <i/>
  </colItems>
  <dataFields count="1">
    <dataField name="Som van omzet" fld="4" baseField="1" baseItem="1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D2B1D3-F02A-4906-AF1C-9674E1B8418D}" name="Draaitabel4" cacheId="5" applyNumberFormats="0" applyBorderFormats="0" applyFontFormats="0" applyPatternFormats="0" applyAlignmentFormats="0" applyWidthHeightFormats="1" dataCaption="Waarden" updatedVersion="7" minRefreshableVersion="3" useAutoFormatting="1" itemPrintTitles="1" createdVersion="7" indent="0" compact="0" outline="1" outlineData="1" compactData="0" multipleFieldFilters="0">
  <location ref="M13:Q18" firstHeaderRow="1" firstDataRow="2" firstDataCol="1"/>
  <pivotFields count="5">
    <pivotField compact="0" numFmtId="167" showAll="0"/>
    <pivotField axis="axisRow" compact="0" showAll="0">
      <items count="4">
        <item x="0"/>
        <item x="1"/>
        <item x="2"/>
        <item t="default"/>
      </items>
    </pivotField>
    <pivotField compact="0" showAll="0"/>
    <pivotField axis="axisCol" compact="0" showAll="0">
      <items count="4">
        <item x="2"/>
        <item x="0"/>
        <item x="1"/>
        <item t="default"/>
      </items>
    </pivotField>
    <pivotField dataField="1" compact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om van omzet" fld="4" baseField="1" baseItem="1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C0EE97-733D-4E81-8991-9ADF2B1EB771}" name="Draaitabel2" cacheId="5" applyNumberFormats="0" applyBorderFormats="0" applyFontFormats="0" applyPatternFormats="0" applyAlignmentFormats="0" applyWidthHeightFormats="1" dataCaption="Waarden" updatedVersion="7" minRefreshableVersion="3" useAutoFormatting="1" itemPrintTitles="1" createdVersion="7" indent="0" outline="1" outlineData="1" multipleFieldFilters="0">
  <location ref="G3:K8" firstHeaderRow="1" firstDataRow="2" firstDataCol="1"/>
  <pivotFields count="5">
    <pivotField numFmtId="167"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om van omze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4B17624-FFC2-4799-BBDC-C938DE2227E8}" autoFormatId="16" applyNumberFormats="0" applyBorderFormats="0" applyFontFormats="0" applyPatternFormats="0" applyAlignmentFormats="0" applyWidthHeightFormats="0">
  <queryTableRefresh nextId="5">
    <queryTableFields count="4">
      <queryTableField id="1" name="Land" tableColumnId="1"/>
      <queryTableField id="2" name="Geslacht" tableColumnId="2"/>
      <queryTableField id="3" name="Jaar" tableColumnId="3"/>
      <queryTableField id="4" name="Populati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F6A8122A-75FE-4E2C-9607-4DA58014A5B8}" autoFormatId="16" applyNumberFormats="0" applyBorderFormats="0" applyFontFormats="0" applyPatternFormats="0" applyAlignmentFormats="0" applyWidthHeightFormats="0">
  <queryTableRefresh nextId="4">
    <queryTableFields count="3">
      <queryTableField id="1" name="score" tableColumnId="1"/>
      <queryTableField id="2" name="geslacht" tableColumnId="2"/>
      <queryTableField id="3" name="aan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3492D132-FAB4-4BBE-BEDA-472572DF50D7}" autoFormatId="16" applyNumberFormats="0" applyBorderFormats="0" applyFontFormats="0" applyPatternFormats="0" applyAlignmentFormats="0" applyWidthHeightFormats="0">
  <queryTableRefresh nextId="5">
    <queryTableFields count="4">
      <queryTableField id="1" name="score" tableColumnId="1"/>
      <queryTableField id="2" name="geslacht" tableColumnId="2"/>
      <queryTableField id="3" name="klas" tableColumnId="3"/>
      <queryTableField id="4" name="aant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64481CE5-440A-4768-96DE-5DB5701A90ED}" autoFormatId="16" applyNumberFormats="0" applyBorderFormats="0" applyFontFormats="0" applyPatternFormats="0" applyAlignmentFormats="0" applyWidthHeightFormats="0">
  <queryTableRefresh nextId="9">
    <queryTableFields count="4">
      <queryTableField id="1" name="naam" tableColumnId="1"/>
      <queryTableField id="5" name="klas" tableColumnId="3"/>
      <queryTableField id="7" name="tussentoets" tableColumnId="4"/>
      <queryTableField id="8" name="eindtoets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B3D901-5A27-4107-AAAC-884A304DDA05}" name="Medailles" displayName="Medailles" ref="A1:E88" totalsRowShown="0">
  <autoFilter ref="A1:E88" xr:uid="{1787E716-1439-4ED4-B578-9D0D5A17D994}"/>
  <tableColumns count="5">
    <tableColumn id="1" xr3:uid="{7EABDFCE-3298-4662-B8C2-CE993BC84CA9}" name="Land"/>
    <tableColumn id="2" xr3:uid="{1BB91FC1-54E5-49A4-9EB5-E6928E45B622}" name="Goud"/>
    <tableColumn id="3" xr3:uid="{CD507EC7-CB9A-4F47-B2F7-5B2D0FD13F31}" name="Zilver"/>
    <tableColumn id="4" xr3:uid="{5819765B-24EE-4A3E-A809-4C8FF241AF46}" name="Brons"/>
    <tableColumn id="5" xr3:uid="{DC2AC050-FA7B-4CB5-BC9E-55AEBDE89CD0}" name="Totaal">
      <calculatedColumnFormula>SUM(B2:D2)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64"/>
    <tableColumn id="2" xr3:uid="{DCD143B9-BBC2-44AA-86B1-AA5A8830F651}" name="Volu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C892C9-6640-463D-95B2-FB05A23957F0}" name="Tabel8" displayName="Tabel8" ref="A1:F7" totalsRowShown="0" headerRowDxfId="63" dataDxfId="62" headerRowCellStyle="Standaard 14" dataCellStyle="Standaard 14">
  <autoFilter ref="A1:F7" xr:uid="{E343E3A0-4E75-42B6-987B-64EAE48A029E}"/>
  <tableColumns count="6">
    <tableColumn id="1" xr3:uid="{F419B129-13A7-432A-85AA-E7E3F8B3C8E8}" name="Land" dataDxfId="61" dataCellStyle="Standaard 14"/>
    <tableColumn id="2" xr3:uid="{993B89EC-ED1F-4985-B7DE-7BC221B23866}" name="Geslacht" dataDxfId="60" dataCellStyle="Standaard 14"/>
    <tableColumn id="3" xr3:uid="{A2BE1DBF-BB35-4823-BC4D-92C638625754}" name="2000" dataDxfId="59" dataCellStyle="Standaard 14"/>
    <tableColumn id="4" xr3:uid="{7DBF1011-2DFB-4AC7-960D-C0A8503594D4}" name="2005" dataDxfId="58" dataCellStyle="Standaard 14"/>
    <tableColumn id="5" xr3:uid="{E62733FB-12F4-4B8C-B993-2012F35A7B40}" name="2010" dataDxfId="57" dataCellStyle="Standaard 14"/>
    <tableColumn id="6" xr3:uid="{5D19C705-DCF0-47AB-B3F3-90225A5818A8}" name="2015" dataDxfId="56" dataCellStyle="Standaard 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302AAF-9B82-41F2-8B9C-BF215EFD2718}" name="q_benelux" displayName="q_benelux" ref="A1:D25" tableType="queryTable" totalsRowShown="0">
  <autoFilter ref="A1:D25" xr:uid="{F61963AD-DCFB-4DC2-9829-39104418E88D}"/>
  <tableColumns count="4">
    <tableColumn id="1" xr3:uid="{83DEA28C-CF00-4A69-BED0-99F75ABD2990}" uniqueName="1" name="Land" queryTableFieldId="1" dataDxfId="53"/>
    <tableColumn id="2" xr3:uid="{5DC35614-E1F4-45C5-BD20-EAB31A286192}" uniqueName="2" name="Geslacht" queryTableFieldId="2" dataDxfId="52"/>
    <tableColumn id="3" xr3:uid="{E17E76C9-A6EB-4FD1-92A2-B8311551DBFF}" uniqueName="3" name="Jaar" queryTableFieldId="3" dataDxfId="51"/>
    <tableColumn id="4" xr3:uid="{B05D20BB-F353-438C-8274-1519BE46A0B7}" uniqueName="4" name="Populatie" queryTableFieldId="4" dataDxfId="5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A888353-8C8A-447F-B804-C161482FF9D3}" name="Tabel13" displayName="Tabel13" ref="A1:E19" totalsRowShown="0" tableBorderDxfId="49">
  <autoFilter ref="A1:E19" xr:uid="{9A888353-8C8A-447F-B804-C161482FF9D3}"/>
  <tableColumns count="5">
    <tableColumn id="1" xr3:uid="{09CC3EF6-A144-478D-B8AC-24F8559D388D}" name="Dooscode" dataDxfId="48" dataCellStyle="Standaard_Blad1"/>
    <tableColumn id="2" xr3:uid="{52E3BE36-5372-4B61-8C80-C5AED9C97DE8}" name="Doosnaam" dataDxfId="47" dataCellStyle="Standaard_Blad1"/>
    <tableColumn id="3" xr3:uid="{892BA9E6-A40D-4BEE-87A8-848B87A3B571}" name="Gewicht" dataDxfId="46" dataCellStyle="Standaard_Blad1"/>
    <tableColumn id="4" xr3:uid="{C9FE7FD1-3092-4BB3-A778-CC7A8F4A4EC9}" name="Doosprijs" dataDxfId="45" dataCellStyle="Standaard_Blad1"/>
    <tableColumn id="5" xr3:uid="{6D6F36A4-94C5-48D0-9757-49C86F1E6789}" name="Magazijnvoorraad" dataDxfId="44" dataCellStyle="Standaard_Blad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D169CC7-F141-46A3-81EE-32976B826EB1}" name="tblData" displayName="tblData" ref="A1:E25" totalsRowShown="0">
  <autoFilter ref="A1:E25" xr:uid="{5B11CA23-6F85-423A-8C4F-1FF3706F9E66}"/>
  <tableColumns count="5">
    <tableColumn id="1" xr3:uid="{8A740F60-6BC5-4A3A-990D-AC6A6E063272}" name="uur"/>
    <tableColumn id="2" xr3:uid="{8B884F0F-A294-4196-A3DC-BD90740FEA0F}" name="temp" dataDxfId="3"/>
    <tableColumn id="5" xr3:uid="{C81DC376-51BE-4495-9C66-307DC97DA7F4}" name="CL" dataDxfId="2">
      <calculatedColumnFormula>$H$1</calculatedColumnFormula>
    </tableColumn>
    <tableColumn id="3" xr3:uid="{411E7967-741F-49FA-A973-37A01427CE27}" name="UCL" dataDxfId="1">
      <calculatedColumnFormula>$H$1+2*$H$2</calculatedColumnFormula>
    </tableColumn>
    <tableColumn id="4" xr3:uid="{7AA482F2-7F08-4937-B3C1-7E053BD6DE38}" name="LCL" dataDxfId="0">
      <calculatedColumnFormula>$H$1-2*$H$2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112B69-975F-4411-A4C1-BF6794E1299E}" name="Verkoopdata" displayName="Verkoopdata" ref="A1:F923" totalsRowShown="0" headerRowDxfId="43">
  <autoFilter ref="A1:F923" xr:uid="{00000000-0009-0000-0100-000001000000}"/>
  <tableColumns count="6">
    <tableColumn id="1" xr3:uid="{A72D1AB8-DA4C-4211-B9CF-1ADD37CF0D1D}" name="Regio"/>
    <tableColumn id="2" xr3:uid="{E6881E7F-EC0B-454E-B44E-DD30F6DA6CA9}" name="Verkoper"/>
    <tableColumn id="3" xr3:uid="{15A04617-2E57-4F05-B04A-A89C49E867AB}" name="Factuurnr"/>
    <tableColumn id="4" xr3:uid="{046E0B3F-9DD8-49CC-87AB-1D41660560AB}" name="Factuurdatum" dataDxfId="42"/>
    <tableColumn id="8" xr3:uid="{E4F332C2-47E2-49D1-A029-7FAD1A8986DC}" name="Productcategorie" dataDxfId="41"/>
    <tableColumn id="5" xr3:uid="{D1416B49-CC60-4005-8EFA-B23279CC6389}" name="Factuurbedrag" dataDxfId="4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40B038-C307-43BC-AE4B-A943EFB5C0F1}" name="Personeelstabel" displayName="Personeelstabel" ref="A1:H115" totalsRowShown="0" headerRowDxfId="39">
  <autoFilter ref="A1:H115" xr:uid="{35E5EC79-AAF1-43B8-A4DF-47CF44CD6538}"/>
  <tableColumns count="8">
    <tableColumn id="1" xr3:uid="{2B59C4F0-DFFB-484D-8045-A945F056F821}" name="Persnr" dataDxfId="38"/>
    <tableColumn id="2" xr3:uid="{2B482A1F-B16E-4EFA-B165-AF5FBDA97B59}" name="Achternaam" dataDxfId="37"/>
    <tableColumn id="3" xr3:uid="{0B4646BD-B23C-44E0-A093-DA66348B814C}" name="Voornaam" dataDxfId="36"/>
    <tableColumn id="4" xr3:uid="{35629ED5-4DA5-4440-849D-F60DCEF1D901}" name="Functie" dataDxfId="35"/>
    <tableColumn id="5" xr3:uid="{1EA2A6C5-A835-436F-9F0B-874A0ADFA16F}" name="Afdeling" dataDxfId="34"/>
    <tableColumn id="6" xr3:uid="{9C8EF279-639F-4DA0-A81F-8DFDF6C9EEF5}" name="Divisie" dataDxfId="33"/>
    <tableColumn id="7" xr3:uid="{57AB9683-740C-4B6D-9997-22F7933C8087}" name="Salaris" dataDxfId="32"/>
    <tableColumn id="8" xr3:uid="{287EBB97-6F69-4B6E-B602-BEC3DE762DE6}" name="Begindatum" dataDxfId="3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4528A-31A1-4EA3-99F6-A00DD65CF8D2}" name="Tabel2" displayName="Tabel2" ref="A1:C6" totalsRowShown="0" headerRowCellStyle="Standaard 13" dataCellStyle="Standaard 13">
  <autoFilter ref="A1:C6" xr:uid="{B1251AFC-4B6F-45F7-87DB-17835E9C3541}"/>
  <tableColumns count="3">
    <tableColumn id="1" xr3:uid="{0AB8C3ED-CBB4-45B2-8E9C-5A4F7E57D70B}" name="score" dataCellStyle="Standaard 13"/>
    <tableColumn id="2" xr3:uid="{FBA772A5-E297-45AB-B85A-B4CE264528D3}" name="man" dataCellStyle="Standaard 13"/>
    <tableColumn id="3" xr3:uid="{89F0E6C4-E928-47F1-908F-EA6B4A1674AE}" name="vrouw" dataCellStyle="Standaard 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56D6-8FF1-41D8-8BC0-546DD0CAA581}" name="q_scores1" displayName="q_scores1" ref="A1:C11" tableType="queryTable" totalsRowShown="0">
  <autoFilter ref="A1:C11" xr:uid="{A880797C-AF82-4C03-8525-D52023973852}"/>
  <tableColumns count="3">
    <tableColumn id="1" xr3:uid="{64F2547A-C551-4D57-8432-C8C1928AF460}" uniqueName="1" name="score" queryTableFieldId="1" dataDxfId="23"/>
    <tableColumn id="2" xr3:uid="{CF2EA4C7-9142-4A94-996B-F9C000817B93}" uniqueName="2" name="geslacht" queryTableFieldId="2" dataDxfId="22"/>
    <tableColumn id="3" xr3:uid="{5E3E22EE-13AD-4EED-A255-313E59F4B272}" uniqueName="3" name="aantal" queryTableFieldId="3" dataDxfId="21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C40F8-627B-4E2F-99A8-375CD77CCBB1}" name="Tabel4" displayName="Tabel4" ref="A1:E6" totalsRowShown="0" headerRowCellStyle="Standaard 13" dataCellStyle="Standaard 13">
  <autoFilter ref="A1:E6" xr:uid="{C9FA7143-45C1-4160-B377-E78A17C9EE02}"/>
  <tableColumns count="5">
    <tableColumn id="1" xr3:uid="{B1907FC4-C5B4-45B9-88C2-255E94CDF2B8}" name="score" dataCellStyle="Standaard 13"/>
    <tableColumn id="2" xr3:uid="{3041AEA7-5FF0-4467-9CAE-24F6468B985B}" name="man_klas1" dataCellStyle="Standaard 13"/>
    <tableColumn id="3" xr3:uid="{459551E7-EC15-4F38-82F8-0505F096E96F}" name="vrouw_klas1" dataCellStyle="Standaard 13"/>
    <tableColumn id="4" xr3:uid="{38FD4EA7-BA45-43E0-AC07-91851070F50E}" name="man_klas2" dataCellStyle="Standaard 13"/>
    <tableColumn id="5" xr3:uid="{E022A67D-DDDC-4132-A252-7B5F99CDA964}" name="vrouw_klas2" dataCellStyle="Standaard 1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F85C2-4DD6-46D7-8582-959DB7E84762}" name="q_scores2" displayName="q_scores2" ref="A1:D21" tableType="queryTable" totalsRowShown="0">
  <autoFilter ref="A1:D21" xr:uid="{B0C12EB0-E28F-4447-9728-293D29CCFB3A}"/>
  <tableColumns count="4">
    <tableColumn id="1" xr3:uid="{87D75AE9-7CD1-4604-B3FA-52A1E6CE7868}" uniqueName="1" name="score" queryTableFieldId="1" dataDxfId="20"/>
    <tableColumn id="2" xr3:uid="{626DB1E3-F8DD-4685-8A8B-7681ACAF5C50}" uniqueName="2" name="geslacht" queryTableFieldId="2" dataDxfId="19"/>
    <tableColumn id="3" xr3:uid="{032724B7-09E0-4FFC-A4B9-3CC205BAF531}" uniqueName="3" name="klas" queryTableFieldId="3" dataDxfId="18"/>
    <tableColumn id="4" xr3:uid="{248BE042-A10E-4F03-A438-C8E3365110F0}" uniqueName="4" name="aantal" queryTableFieldId="4" dataDxfId="17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77E60-AB44-4567-908B-C19CDEF52F22}" name="Tabel6" displayName="Tabel6" ref="A1:G11" totalsRowShown="0" headerRowCellStyle="Standaard 13" dataCellStyle="Standaard 13">
  <autoFilter ref="A1:G11" xr:uid="{29C41C0D-EB9E-4055-BFE0-1F34535F50C0}"/>
  <tableColumns count="7">
    <tableColumn id="1" xr3:uid="{628678CF-9C9B-480B-9304-5C6DB9714541}" name="naam" dataCellStyle="Standaard 13"/>
    <tableColumn id="2" xr3:uid="{7253ECCC-BF19-4D77-A641-C7EFF05E155B}" name="toets" dataCellStyle="Standaard 13"/>
    <tableColumn id="3" xr3:uid="{3C4A5246-1229-4AFF-99E3-120D0C6961DC}" name="klas1" dataCellStyle="Standaard 13"/>
    <tableColumn id="4" xr3:uid="{2397D60E-1A7D-4E77-A160-D34598D4D91C}" name="klas2" dataCellStyle="Standaard 13"/>
    <tableColumn id="5" xr3:uid="{B904288E-2C9A-4CBB-BC53-FD45456B1CB8}" name="klas3" dataCellStyle="Standaard 13"/>
    <tableColumn id="6" xr3:uid="{41291E8F-70DA-4B25-B4B0-0609CA3E2DF6}" name="klas4" dataCellStyle="Standaard 13"/>
    <tableColumn id="7" xr3:uid="{5BA5A9BA-B03E-491C-B76B-ABCFB62B560C}" name="klas5" dataCellStyle="Standaard 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CF1145-2901-4706-8F1E-4F59A3A1653D}" name="q_scores3" displayName="q_scores3" ref="A1:D11" tableType="queryTable" totalsRowShown="0">
  <autoFilter ref="A1:D11" xr:uid="{D753C901-A39A-492C-84A7-5FFD232B6D5C}"/>
  <tableColumns count="4">
    <tableColumn id="1" xr3:uid="{8C254C9D-558F-40E6-85D2-B177E1876988}" uniqueName="1" name="naam" queryTableFieldId="1" dataDxfId="16"/>
    <tableColumn id="3" xr3:uid="{6BC3ED5C-45B3-4CC4-93BB-179633150909}" uniqueName="3" name="klas" queryTableFieldId="5" dataDxfId="15"/>
    <tableColumn id="4" xr3:uid="{971070D1-590F-479D-8521-83BCED853FFA}" uniqueName="4" name="tussentoets" queryTableFieldId="7" dataDxfId="14"/>
    <tableColumn id="5" xr3:uid="{8ECDE890-E523-4479-AC8A-9BD225169062}" uniqueName="5" name="eindtoets" queryTableFieldId="8" dataDxfId="1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FD4C4D-1B06-4657-A6E0-BDEFD295B2D6}" name="Tabel1" displayName="Tabel1" ref="A1:H115" totalsRowShown="0" headerRowDxfId="12">
  <autoFilter ref="A1:H115" xr:uid="{5529F5F5-1DF7-4804-B048-B91F4B498868}"/>
  <tableColumns count="8">
    <tableColumn id="1" xr3:uid="{57E12004-5F7F-4C43-B2AC-B09EE3CE460D}" name="Persnr" dataDxfId="11"/>
    <tableColumn id="2" xr3:uid="{D3B9DED4-1499-4A7B-9D39-555D7768BB8F}" name="Achternaam" dataDxfId="10"/>
    <tableColumn id="3" xr3:uid="{E0981F17-DA66-4C1D-B708-570CE483D16E}" name="Voornaam" dataDxfId="9"/>
    <tableColumn id="4" xr3:uid="{31DFD454-546D-4725-84FA-A06DBE65AAD1}" name="Functie" dataDxfId="8"/>
    <tableColumn id="5" xr3:uid="{D3F62677-9258-4509-8E60-D1D3F6034955}" name="Afdeling" dataDxfId="7"/>
    <tableColumn id="6" xr3:uid="{6427D8CB-61CC-427D-B129-645C26CEE16B}" name="Divisie" dataDxfId="6"/>
    <tableColumn id="7" xr3:uid="{D363103C-A894-4F44-8527-8DBBD73EAEC0}" name="Salaris" dataDxfId="5"/>
    <tableColumn id="8" xr3:uid="{76692680-195C-4E00-B250-3B7857DFEFCC}" name="Begindatum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OorspronkelijkeTijdlijn_datum" xr10:uid="{B87BD5F9-5E84-4FCD-B177-01C3A89CAA80}" sourceName="datum">
  <pivotTables>
    <pivotTable tabId="126" name="Draaitabel2"/>
  </pivotTables>
  <state minimalRefreshVersion="6" lastRefreshVersion="6" pivotCacheId="540192194" filterType="dateBetween">
    <selection startDate="2016-05-01T00:00:00" endDate="2016-05-31T00:00:00"/>
    <bounds startDate="2016-01-01T00:00:00" endDate="2018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um" xr10:uid="{99DBB5E5-D489-479E-AEB3-6772522B53C5}" cache="OorspronkelijkeTijdlijn_datum" caption="datum" level="2" selectionLevel="2" scrollPosition="2016-02-23T00:00:00"/>
</timeline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C56FE5-50C0-4DF6-BE0F-1F70A1EF3708}">
  <we:reference id="wa104381504" version="1.0.0.0" store="nl-N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6.bin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8.bin"/><Relationship Id="rId1" Type="http://schemas.openxmlformats.org/officeDocument/2006/relationships/pivotTable" Target="../pivotTables/pivotTable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3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5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pivotTable" Target="../pivotTables/pivotTable5.xm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61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63.bin"/><Relationship Id="rId1" Type="http://schemas.openxmlformats.org/officeDocument/2006/relationships/pivotTable" Target="../pivotTables/pivotTable6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7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8.bin"/><Relationship Id="rId1" Type="http://schemas.openxmlformats.org/officeDocument/2006/relationships/pivotTable" Target="../pivotTables/pivotTable7.xm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9.bin"/><Relationship Id="rId1" Type="http://schemas.openxmlformats.org/officeDocument/2006/relationships/pivotTable" Target="../pivotTables/pivotTable8.xm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70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4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5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6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7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8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9.bin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0.xml"/><Relationship Id="rId2" Type="http://schemas.openxmlformats.org/officeDocument/2006/relationships/printerSettings" Target="../printerSettings/printerSettings80.bin"/><Relationship Id="rId1" Type="http://schemas.openxmlformats.org/officeDocument/2006/relationships/pivotTable" Target="../pivotTables/pivotTable9.xml"/><Relationship Id="rId4" Type="http://schemas.microsoft.com/office/2011/relationships/timeline" Target="../timelines/timeline1.xm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5" Type="http://schemas.openxmlformats.org/officeDocument/2006/relationships/printerSettings" Target="../printerSettings/printerSettings81.bin"/><Relationship Id="rId4" Type="http://schemas.openxmlformats.org/officeDocument/2006/relationships/pivotTable" Target="../pivotTables/pivotTable13.xm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2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83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84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85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86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87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88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90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2C55-B00D-495A-8CB4-B4E30EB2D47E}">
  <dimension ref="A1:A107"/>
  <sheetViews>
    <sheetView workbookViewId="0">
      <selection activeCell="A4" sqref="A4"/>
    </sheetView>
  </sheetViews>
  <sheetFormatPr defaultRowHeight="15" x14ac:dyDescent="0.25"/>
  <cols>
    <col min="1" max="1" width="27.85546875" bestFit="1" customWidth="1"/>
  </cols>
  <sheetData>
    <row r="1" spans="1:1" x14ac:dyDescent="0.25">
      <c r="A1" s="1" t="s">
        <v>891</v>
      </c>
    </row>
    <row r="2" spans="1:1" x14ac:dyDescent="0.25">
      <c r="A2" s="230" t="s">
        <v>1047</v>
      </c>
    </row>
    <row r="3" spans="1:1" x14ac:dyDescent="0.25">
      <c r="A3" s="230" t="s">
        <v>892</v>
      </c>
    </row>
    <row r="4" spans="1:1" x14ac:dyDescent="0.25">
      <c r="A4" s="230" t="s">
        <v>893</v>
      </c>
    </row>
    <row r="5" spans="1:1" x14ac:dyDescent="0.25">
      <c r="A5" s="230" t="s">
        <v>894</v>
      </c>
    </row>
    <row r="6" spans="1:1" x14ac:dyDescent="0.25">
      <c r="A6" s="230" t="s">
        <v>895</v>
      </c>
    </row>
    <row r="7" spans="1:1" x14ac:dyDescent="0.25">
      <c r="A7" s="230" t="s">
        <v>896</v>
      </c>
    </row>
    <row r="8" spans="1:1" x14ac:dyDescent="0.25">
      <c r="A8" s="230" t="s">
        <v>897</v>
      </c>
    </row>
    <row r="9" spans="1:1" x14ac:dyDescent="0.25">
      <c r="A9" s="230" t="s">
        <v>898</v>
      </c>
    </row>
    <row r="10" spans="1:1" x14ac:dyDescent="0.25">
      <c r="A10" s="230" t="s">
        <v>899</v>
      </c>
    </row>
    <row r="11" spans="1:1" x14ac:dyDescent="0.25">
      <c r="A11" s="230" t="s">
        <v>900</v>
      </c>
    </row>
    <row r="12" spans="1:1" x14ac:dyDescent="0.25">
      <c r="A12" s="230" t="s">
        <v>901</v>
      </c>
    </row>
    <row r="13" spans="1:1" x14ac:dyDescent="0.25">
      <c r="A13" s="230" t="s">
        <v>902</v>
      </c>
    </row>
    <row r="14" spans="1:1" x14ac:dyDescent="0.25">
      <c r="A14" s="230" t="s">
        <v>903</v>
      </c>
    </row>
    <row r="15" spans="1:1" x14ac:dyDescent="0.25">
      <c r="A15" s="230" t="s">
        <v>904</v>
      </c>
    </row>
    <row r="16" spans="1:1" x14ac:dyDescent="0.25">
      <c r="A16" s="230" t="s">
        <v>905</v>
      </c>
    </row>
    <row r="17" spans="1:1" x14ac:dyDescent="0.25">
      <c r="A17" s="230" t="s">
        <v>906</v>
      </c>
    </row>
    <row r="18" spans="1:1" x14ac:dyDescent="0.25">
      <c r="A18" s="230" t="s">
        <v>907</v>
      </c>
    </row>
    <row r="19" spans="1:1" x14ac:dyDescent="0.25">
      <c r="A19" s="230" t="s">
        <v>908</v>
      </c>
    </row>
    <row r="20" spans="1:1" x14ac:dyDescent="0.25">
      <c r="A20" s="230" t="s">
        <v>909</v>
      </c>
    </row>
    <row r="21" spans="1:1" x14ac:dyDescent="0.25">
      <c r="A21" s="230" t="s">
        <v>1011</v>
      </c>
    </row>
    <row r="22" spans="1:1" x14ac:dyDescent="0.25">
      <c r="A22" s="230" t="s">
        <v>1012</v>
      </c>
    </row>
    <row r="23" spans="1:1" x14ac:dyDescent="0.25">
      <c r="A23" s="230" t="s">
        <v>910</v>
      </c>
    </row>
    <row r="24" spans="1:1" x14ac:dyDescent="0.25">
      <c r="A24" s="230" t="s">
        <v>911</v>
      </c>
    </row>
    <row r="25" spans="1:1" x14ac:dyDescent="0.25">
      <c r="A25" s="230" t="s">
        <v>912</v>
      </c>
    </row>
    <row r="26" spans="1:1" x14ac:dyDescent="0.25">
      <c r="A26" s="230" t="s">
        <v>913</v>
      </c>
    </row>
    <row r="27" spans="1:1" x14ac:dyDescent="0.25">
      <c r="A27" s="230" t="s">
        <v>914</v>
      </c>
    </row>
    <row r="28" spans="1:1" x14ac:dyDescent="0.25">
      <c r="A28" s="230" t="s">
        <v>1013</v>
      </c>
    </row>
    <row r="29" spans="1:1" x14ac:dyDescent="0.25">
      <c r="A29" s="230" t="s">
        <v>915</v>
      </c>
    </row>
    <row r="30" spans="1:1" x14ac:dyDescent="0.25">
      <c r="A30" s="230" t="s">
        <v>916</v>
      </c>
    </row>
    <row r="31" spans="1:1" x14ac:dyDescent="0.25">
      <c r="A31" s="230" t="s">
        <v>1014</v>
      </c>
    </row>
    <row r="32" spans="1:1" x14ac:dyDescent="0.25">
      <c r="A32" s="230" t="s">
        <v>1015</v>
      </c>
    </row>
    <row r="33" spans="1:1" x14ac:dyDescent="0.25">
      <c r="A33" s="230" t="s">
        <v>1016</v>
      </c>
    </row>
    <row r="34" spans="1:1" x14ac:dyDescent="0.25">
      <c r="A34" s="230" t="s">
        <v>1017</v>
      </c>
    </row>
    <row r="35" spans="1:1" x14ac:dyDescent="0.25">
      <c r="A35" s="230" t="s">
        <v>1018</v>
      </c>
    </row>
    <row r="36" spans="1:1" x14ac:dyDescent="0.25">
      <c r="A36" s="230" t="s">
        <v>1019</v>
      </c>
    </row>
    <row r="37" spans="1:1" x14ac:dyDescent="0.25">
      <c r="A37" s="230" t="s">
        <v>1020</v>
      </c>
    </row>
    <row r="38" spans="1:1" x14ac:dyDescent="0.25">
      <c r="A38" s="230" t="s">
        <v>1095</v>
      </c>
    </row>
    <row r="39" spans="1:1" x14ac:dyDescent="0.25">
      <c r="A39" s="230" t="s">
        <v>1021</v>
      </c>
    </row>
    <row r="40" spans="1:1" x14ac:dyDescent="0.25">
      <c r="A40" s="230" t="s">
        <v>1022</v>
      </c>
    </row>
    <row r="41" spans="1:1" x14ac:dyDescent="0.25">
      <c r="A41" s="230" t="s">
        <v>1023</v>
      </c>
    </row>
    <row r="42" spans="1:1" x14ac:dyDescent="0.25">
      <c r="A42" s="230" t="s">
        <v>1048</v>
      </c>
    </row>
    <row r="43" spans="1:1" x14ac:dyDescent="0.25">
      <c r="A43" s="230" t="s">
        <v>1049</v>
      </c>
    </row>
    <row r="44" spans="1:1" x14ac:dyDescent="0.25">
      <c r="A44" s="230" t="s">
        <v>917</v>
      </c>
    </row>
    <row r="45" spans="1:1" x14ac:dyDescent="0.25">
      <c r="A45" s="230" t="s">
        <v>1050</v>
      </c>
    </row>
    <row r="46" spans="1:1" x14ac:dyDescent="0.25">
      <c r="A46" s="230" t="s">
        <v>1051</v>
      </c>
    </row>
    <row r="47" spans="1:1" x14ac:dyDescent="0.25">
      <c r="A47" s="230" t="s">
        <v>918</v>
      </c>
    </row>
    <row r="48" spans="1:1" x14ac:dyDescent="0.25">
      <c r="A48" s="230" t="s">
        <v>1052</v>
      </c>
    </row>
    <row r="49" spans="1:1" x14ac:dyDescent="0.25">
      <c r="A49" s="230" t="s">
        <v>1053</v>
      </c>
    </row>
    <row r="50" spans="1:1" x14ac:dyDescent="0.25">
      <c r="A50" s="230" t="s">
        <v>919</v>
      </c>
    </row>
    <row r="51" spans="1:1" x14ac:dyDescent="0.25">
      <c r="A51" s="230" t="s">
        <v>920</v>
      </c>
    </row>
    <row r="52" spans="1:1" x14ac:dyDescent="0.25">
      <c r="A52" s="230" t="s">
        <v>921</v>
      </c>
    </row>
    <row r="53" spans="1:1" x14ac:dyDescent="0.25">
      <c r="A53" s="230" t="s">
        <v>922</v>
      </c>
    </row>
    <row r="54" spans="1:1" x14ac:dyDescent="0.25">
      <c r="A54" s="230" t="s">
        <v>923</v>
      </c>
    </row>
    <row r="55" spans="1:1" x14ac:dyDescent="0.25">
      <c r="A55" s="230" t="s">
        <v>924</v>
      </c>
    </row>
    <row r="56" spans="1:1" x14ac:dyDescent="0.25">
      <c r="A56" s="230" t="s">
        <v>925</v>
      </c>
    </row>
    <row r="57" spans="1:1" x14ac:dyDescent="0.25">
      <c r="A57" s="230" t="s">
        <v>926</v>
      </c>
    </row>
    <row r="58" spans="1:1" x14ac:dyDescent="0.25">
      <c r="A58" s="230" t="s">
        <v>927</v>
      </c>
    </row>
    <row r="59" spans="1:1" x14ac:dyDescent="0.25">
      <c r="A59" s="230" t="s">
        <v>928</v>
      </c>
    </row>
    <row r="60" spans="1:1" x14ac:dyDescent="0.25">
      <c r="A60" s="230" t="s">
        <v>929</v>
      </c>
    </row>
    <row r="61" spans="1:1" x14ac:dyDescent="0.25">
      <c r="A61" s="230" t="s">
        <v>930</v>
      </c>
    </row>
    <row r="62" spans="1:1" x14ac:dyDescent="0.25">
      <c r="A62" s="230" t="s">
        <v>931</v>
      </c>
    </row>
    <row r="63" spans="1:1" x14ac:dyDescent="0.25">
      <c r="A63" s="230" t="s">
        <v>932</v>
      </c>
    </row>
    <row r="64" spans="1:1" x14ac:dyDescent="0.25">
      <c r="A64" s="230" t="s">
        <v>933</v>
      </c>
    </row>
    <row r="65" spans="1:1" x14ac:dyDescent="0.25">
      <c r="A65" s="230" t="s">
        <v>934</v>
      </c>
    </row>
    <row r="66" spans="1:1" x14ac:dyDescent="0.25">
      <c r="A66" s="230" t="s">
        <v>935</v>
      </c>
    </row>
    <row r="67" spans="1:1" x14ac:dyDescent="0.25">
      <c r="A67" s="230" t="s">
        <v>936</v>
      </c>
    </row>
    <row r="68" spans="1:1" x14ac:dyDescent="0.25">
      <c r="A68" s="230" t="s">
        <v>937</v>
      </c>
    </row>
    <row r="69" spans="1:1" x14ac:dyDescent="0.25">
      <c r="A69" s="230" t="s">
        <v>938</v>
      </c>
    </row>
    <row r="70" spans="1:1" x14ac:dyDescent="0.25">
      <c r="A70" s="230" t="s">
        <v>939</v>
      </c>
    </row>
    <row r="71" spans="1:1" x14ac:dyDescent="0.25">
      <c r="A71" s="230" t="s">
        <v>940</v>
      </c>
    </row>
    <row r="72" spans="1:1" x14ac:dyDescent="0.25">
      <c r="A72" s="230" t="s">
        <v>941</v>
      </c>
    </row>
    <row r="73" spans="1:1" x14ac:dyDescent="0.25">
      <c r="A73" s="230" t="s">
        <v>942</v>
      </c>
    </row>
    <row r="74" spans="1:1" x14ac:dyDescent="0.25">
      <c r="A74" s="230" t="s">
        <v>1071</v>
      </c>
    </row>
    <row r="75" spans="1:1" x14ac:dyDescent="0.25">
      <c r="A75" s="230" t="s">
        <v>943</v>
      </c>
    </row>
    <row r="76" spans="1:1" x14ac:dyDescent="0.25">
      <c r="A76" s="230" t="s">
        <v>944</v>
      </c>
    </row>
    <row r="77" spans="1:1" x14ac:dyDescent="0.25">
      <c r="A77" s="230" t="s">
        <v>1054</v>
      </c>
    </row>
    <row r="78" spans="1:1" x14ac:dyDescent="0.25">
      <c r="A78" s="230" t="s">
        <v>1096</v>
      </c>
    </row>
    <row r="79" spans="1:1" x14ac:dyDescent="0.25">
      <c r="A79" s="230" t="s">
        <v>945</v>
      </c>
    </row>
    <row r="80" spans="1:1" x14ac:dyDescent="0.25">
      <c r="A80" s="230" t="s">
        <v>946</v>
      </c>
    </row>
    <row r="81" spans="1:1" x14ac:dyDescent="0.25">
      <c r="A81" s="230" t="s">
        <v>947</v>
      </c>
    </row>
    <row r="82" spans="1:1" x14ac:dyDescent="0.25">
      <c r="A82" s="230" t="s">
        <v>948</v>
      </c>
    </row>
    <row r="83" spans="1:1" x14ac:dyDescent="0.25">
      <c r="A83" s="230" t="s">
        <v>949</v>
      </c>
    </row>
    <row r="84" spans="1:1" x14ac:dyDescent="0.25">
      <c r="A84" s="230" t="s">
        <v>950</v>
      </c>
    </row>
    <row r="85" spans="1:1" x14ac:dyDescent="0.25">
      <c r="A85" s="230" t="s">
        <v>1055</v>
      </c>
    </row>
    <row r="86" spans="1:1" x14ac:dyDescent="0.25">
      <c r="A86" s="230" t="s">
        <v>951</v>
      </c>
    </row>
    <row r="87" spans="1:1" x14ac:dyDescent="0.25">
      <c r="A87" s="230" t="s">
        <v>952</v>
      </c>
    </row>
    <row r="88" spans="1:1" x14ac:dyDescent="0.25">
      <c r="A88" s="230" t="s">
        <v>953</v>
      </c>
    </row>
    <row r="89" spans="1:1" x14ac:dyDescent="0.25">
      <c r="A89" s="230" t="s">
        <v>954</v>
      </c>
    </row>
    <row r="90" spans="1:1" x14ac:dyDescent="0.25">
      <c r="A90" s="230" t="s">
        <v>955</v>
      </c>
    </row>
    <row r="91" spans="1:1" x14ac:dyDescent="0.25">
      <c r="A91" s="230" t="s">
        <v>956</v>
      </c>
    </row>
    <row r="92" spans="1:1" x14ac:dyDescent="0.25">
      <c r="A92" s="230" t="s">
        <v>957</v>
      </c>
    </row>
    <row r="93" spans="1:1" x14ac:dyDescent="0.25">
      <c r="A93" s="230" t="s">
        <v>958</v>
      </c>
    </row>
    <row r="94" spans="1:1" x14ac:dyDescent="0.25">
      <c r="A94" s="230" t="s">
        <v>959</v>
      </c>
    </row>
    <row r="95" spans="1:1" x14ac:dyDescent="0.25">
      <c r="A95" s="230" t="s">
        <v>1097</v>
      </c>
    </row>
    <row r="96" spans="1:1" x14ac:dyDescent="0.25">
      <c r="A96" s="230" t="s">
        <v>1098</v>
      </c>
    </row>
    <row r="97" spans="1:1" x14ac:dyDescent="0.25">
      <c r="A97" s="230" t="s">
        <v>1056</v>
      </c>
    </row>
    <row r="98" spans="1:1" x14ac:dyDescent="0.25">
      <c r="A98" s="230" t="s">
        <v>960</v>
      </c>
    </row>
    <row r="99" spans="1:1" x14ac:dyDescent="0.25">
      <c r="A99" s="230" t="s">
        <v>961</v>
      </c>
    </row>
    <row r="100" spans="1:1" x14ac:dyDescent="0.25">
      <c r="A100" s="230" t="s">
        <v>962</v>
      </c>
    </row>
    <row r="101" spans="1:1" x14ac:dyDescent="0.25">
      <c r="A101" s="230" t="s">
        <v>963</v>
      </c>
    </row>
    <row r="102" spans="1:1" x14ac:dyDescent="0.25">
      <c r="A102" s="230" t="s">
        <v>964</v>
      </c>
    </row>
    <row r="103" spans="1:1" x14ac:dyDescent="0.25">
      <c r="A103" s="230" t="s">
        <v>965</v>
      </c>
    </row>
    <row r="104" spans="1:1" x14ac:dyDescent="0.25">
      <c r="A104" s="230" t="s">
        <v>966</v>
      </c>
    </row>
    <row r="105" spans="1:1" x14ac:dyDescent="0.25">
      <c r="A105" s="230" t="s">
        <v>967</v>
      </c>
    </row>
    <row r="106" spans="1:1" x14ac:dyDescent="0.25">
      <c r="A106" s="230" t="s">
        <v>968</v>
      </c>
    </row>
    <row r="107" spans="1:1" x14ac:dyDescent="0.25">
      <c r="A107" s="230" t="s">
        <v>114</v>
      </c>
    </row>
  </sheetData>
  <hyperlinks>
    <hyperlink ref="A2" location="'advertising-model'!A1" display="advertising-model" xr:uid="{49727EF9-C9BB-4306-8872-FF79E442B7A9}"/>
    <hyperlink ref="A3" location="'afschrijvingen'!A1" display="afschrijvingen" xr:uid="{C0E05CAC-9BE5-4BF6-85F0-390D0DF97690}"/>
    <hyperlink ref="A4" location="'array-dyn'!A1" display="array-dyn" xr:uid="{0073B897-F811-4000-9DB5-FF8C04A53455}"/>
    <hyperlink ref="A5" location="'array-dyn-filter'!A1" display="array-dyn-filter" xr:uid="{13AA6145-B100-42CA-A980-A491583559BA}"/>
    <hyperlink ref="A6" location="'array-dyn-sequence'!A1" display="array-dyn-sequence" xr:uid="{59E237DA-9494-460C-86B9-52F4AAB9EBE3}"/>
    <hyperlink ref="A7" location="'array-dyn-sort'!A1" display="array-dyn-sort" xr:uid="{1971F0BD-1409-416A-9086-33E857CD3765}"/>
    <hyperlink ref="A8" location="'array-dyn-sortby1'!A1" display="array-dyn-sortby1" xr:uid="{53C5F283-2484-42E9-861B-0A28F3A4783A}"/>
    <hyperlink ref="A9" location="'array-dyn-sortby2'!A1" display="array-dyn-sortby2" xr:uid="{0D1D51FB-02C3-485F-878A-BD96882081F5}"/>
    <hyperlink ref="A10" location="'array-dyn-unique'!A1" display="array-dyn-unique" xr:uid="{2B5E6D7F-D776-4ADB-9DAB-28A24671B755}"/>
    <hyperlink ref="A11" location="'array-dyn-xlookup'!A1" display="array-dyn-xlookup" xr:uid="{C18F41A9-4516-409B-AC6D-6D8D5640D58B}"/>
    <hyperlink ref="A12" location="'array-dyn-xmatch'!A1" display="array-dyn-xmatch" xr:uid="{53C14D28-E7F0-43B3-841D-FBE1B06606D3}"/>
    <hyperlink ref="A13" location="'array-examples'!A1" display="array-examples" xr:uid="{37448560-2D3B-4F7C-BEDC-2147BC0C4325}"/>
    <hyperlink ref="A14" location="'array-frequency'!A1" display="array-frequency" xr:uid="{DCAFE89F-A332-4A57-80FC-384651742F2B}"/>
    <hyperlink ref="A15" location="'array-xlookup-2way'!A1" display="array-xlookup-2way" xr:uid="{2FE633CC-75C4-4B60-B39D-B8BE278D2A83}"/>
    <hyperlink ref="A16" location="'array-xlookup-multiplevalues'!A1" display="array-xlookup-multiplevalues" xr:uid="{74A84441-0BE1-49CB-9FC3-A947D1BEF4ED}"/>
    <hyperlink ref="A17" location="'ausbeer-1'!A1" display="ausbeer-1" xr:uid="{732A7079-B8EB-4761-B563-FF467EBBACE6}"/>
    <hyperlink ref="A18" location="'ausbeer-2'!A1" display="ausbeer-2" xr:uid="{BDD29214-0274-4B0E-8F4F-BFB10C56EB94}"/>
    <hyperlink ref="A19" location="'ausbeer-3'!A1" display="ausbeer-3" xr:uid="{3E31586A-B515-49EE-B9FD-E26C45893564}"/>
    <hyperlink ref="A20" location="'ausbeer56-73'!A1" display="ausbeer56-73" xr:uid="{A19CF3E1-22BE-41CF-AF8A-204951FE0580}"/>
    <hyperlink ref="A21" location="'bakery'!A1" display="bakery" xr:uid="{D815E3CA-68B9-4FD8-B2FE-4CE381975DFA}"/>
    <hyperlink ref="A22" location="'bakery-2011'!A1" display="bakery-2011" xr:uid="{1FC6C283-12A6-41ED-BA0C-85129935D235}"/>
    <hyperlink ref="A23" location="'banket'!A1" display="banket" xr:uid="{11750E82-75EC-4BC2-99E5-706D3F47BFE7}"/>
    <hyperlink ref="A24" location="'Benelux'!A1" display="Benelux" xr:uid="{1F4F82EE-4A1D-4C07-96C1-18BF657F1B85}"/>
    <hyperlink ref="A25" location="'Benelux-populatie'!A1" display="Benelux-populatie" xr:uid="{92B50A79-05C6-4CD8-B976-0C3305F030BC}"/>
    <hyperlink ref="A26" location="'Benelux-populatie-oplossing'!A1" display="Benelux-populatie-oplossing" xr:uid="{135C2FC5-329E-42EA-9C11-9C9AC3467E3A}"/>
    <hyperlink ref="A27" location="'candybox-table'!A1" display="candybox-table" xr:uid="{24F03089-B77B-4D2D-874F-30671D7E2EA4}"/>
    <hyperlink ref="A28" location="'case'!A1" display="case" xr:uid="{03FE1F56-0E9F-4095-A2D0-F8DC652032DC}"/>
    <hyperlink ref="A29" location="'cashflows'!A1" display="cashflows" xr:uid="{4C86BB75-F6AF-44BB-A76D-D38A90F532DE}"/>
    <hyperlink ref="A30" location="'cell-alignment-example'!A1" display="cell-alignment-example" xr:uid="{5D192A7C-DD59-49F9-AB65-AB6830EB1BC8}"/>
    <hyperlink ref="A31" location="'charttype-area'!A1" display="charttype-area" xr:uid="{0361D8F0-1F80-455E-820A-97BE16C89C67}"/>
    <hyperlink ref="A32" location="'charttype-bar'!A1" display="charttype-bar" xr:uid="{9E1E8702-13AE-45B6-81C6-FD008D022402}"/>
    <hyperlink ref="A33" location="'charttype-bubble'!A1" display="charttype-bubble" xr:uid="{C92F8228-251B-438F-9D54-28BD0D065285}"/>
    <hyperlink ref="A34" location="'charttype-column'!A1" display="charttype-column" xr:uid="{D702A62E-FAFF-4202-AFA4-36643D343ECD}"/>
    <hyperlink ref="A35" location="'charttype-doughnut'!A1" display="charttype-doughnut" xr:uid="{725C2C2C-DBD2-47E3-9D8D-0764B1996CCA}"/>
    <hyperlink ref="A36" location="'charttype-line'!A1" display="charttype-line" xr:uid="{4DE531E1-56E5-4844-8080-149720482DD2}"/>
    <hyperlink ref="A37" location="'charttype-line-scatter'!A1" display="charttype-line-scatter" xr:uid="{E15E77BB-1811-49E7-9B04-16243395EDB2}"/>
    <hyperlink ref="A38" location="'charttype-pareto'!A1" display="charttype-pareto" xr:uid="{49EC84FC-33A8-4AAF-876E-96B45897DBFF}"/>
    <hyperlink ref="A39" location="'charttype-pie'!A1" display="charttype-pie" xr:uid="{8E96A206-7CAB-41AA-8B6D-8747CBCC8B7D}"/>
    <hyperlink ref="A40" location="'charttype-radar'!A1" display="charttype-radar" xr:uid="{971279A8-2088-433D-BF3F-D17FC18BFF49}"/>
    <hyperlink ref="A41" location="'charttype-scatter'!A1" display="charttype-scatter" xr:uid="{90ADC4DE-B874-4091-BB73-5EFF7C7CC900}"/>
    <hyperlink ref="A42" location="'coffeebar-model'!A1" display="coffeebar-model" xr:uid="{8C7FDCD6-4ACB-4A76-B5A6-4BBAF265821B}"/>
    <hyperlink ref="A43" location="'coffeebar-scen-summary'!A1" display="coffeebar-scen-summary" xr:uid="{2B853DE8-FC80-4D6F-A849-321BCE710292}"/>
    <hyperlink ref="A44" location="'Componenten'!A1" display="Componenten" xr:uid="{FA5872A9-01D4-435C-9CB7-120C13CCD37C}"/>
    <hyperlink ref="A45" location="'cottage-rental-fixed'!A1" display="cottage-rental-fixed" xr:uid="{1A489150-A152-45A4-B060-5CEFA90D3C46}"/>
    <hyperlink ref="A46" location="'cottage-rental-variable'!A1" display="cottage-rental-variable" xr:uid="{EAE49479-C9C7-44DB-8D23-159E0A4F6FA7}"/>
    <hyperlink ref="A47" location="'data-entry-example'!A1" display="data-entry-example" xr:uid="{5E446F93-F8AE-48D3-9667-9F4DAF51A07A}"/>
    <hyperlink ref="A48" location="'datatable-formulas4'!A1" display="datatable-formulas4" xr:uid="{8F689095-7A44-4AD3-83FA-7B7241CEDEE8}"/>
    <hyperlink ref="A49" location="'datatable-layout'!A1" display="datatable-layout" xr:uid="{707C2901-E571-490D-B62D-94350CA9B4C1}"/>
    <hyperlink ref="A50" location="'Doelzoeken'!A1" display="Doelzoeken" xr:uid="{0F02F1BE-9BD8-452C-90B6-9D4458770A10}"/>
    <hyperlink ref="A51" location="'example-annuity'!A1" display="example-annuity" xr:uid="{03A11FEA-FB50-472E-87F5-DA2B3B849C63}"/>
    <hyperlink ref="A52" location="'example-autosum'!A1" display="example-autosum" xr:uid="{FD58A56E-90F7-4322-B17C-E780BD6CC4A6}"/>
    <hyperlink ref="A53" location="'example-boolean'!A1" display="example-boolean" xr:uid="{56FC6240-D9FE-4645-9505-FC17B62B4A61}"/>
    <hyperlink ref="A54" location="'example-datetime'!A1" display="example-datetime" xr:uid="{AFDC509D-1B38-455E-9BE6-15E3C95EA88F}"/>
    <hyperlink ref="A55" location="'example-dim1'!A1" display="example-dim1" xr:uid="{D80D544B-1869-4BDA-9415-AB4033C08489}"/>
    <hyperlink ref="A56" location="'example-dim2'!A1" display="example-dim2" xr:uid="{7010487B-92F0-4252-861E-EA0D1AC61E1D}"/>
    <hyperlink ref="A57" location="'example-expenses'!A1" display="example-expenses" xr:uid="{2E27B1E7-7EA5-4605-84F5-D8CBDE074090}"/>
    <hyperlink ref="A58" location="'example-hlookup'!A1" display="example-hlookup" xr:uid="{BFE87FD6-E59A-4086-B99B-C4399C4D7D16}"/>
    <hyperlink ref="A59" location="'example-insurance'!A1" display="example-insurance" xr:uid="{70603A45-BA53-46AA-8AFE-CCFFABC5E38B}"/>
    <hyperlink ref="A60" location="'example-logical-result'!A1" display="example-logical-result" xr:uid="{2FC4EF66-636F-4249-9B37-528685608EF8}"/>
    <hyperlink ref="A61" location="'example-marks'!A1" display="example-marks" xr:uid="{F635F94C-2768-462A-A683-D02CD7123A96}"/>
    <hyperlink ref="A62" location="'example-nesting'!A1" display="example-nesting" xr:uid="{AD21D933-9420-4E27-BEBC-17230A0C2055}"/>
    <hyperlink ref="A63" location="'example-nper'!A1" display="example-nper" xr:uid="{FEED5AF3-DC1D-48E2-8FFB-847E682E09AF}"/>
    <hyperlink ref="A64" location="'example-numbers'!A1" display="example-numbers" xr:uid="{BE44765B-1300-4042-9FE4-DC7EF2083E4A}"/>
    <hyperlink ref="A65" location="'example-prices'!A1" display="example-prices" xr:uid="{ABEDF390-0C20-4020-B316-05728DBC5B08}"/>
    <hyperlink ref="A66" location="'example-rounding'!A1" display="example-rounding" xr:uid="{DB277EDA-DF59-4F16-8F09-8161711F8514}"/>
    <hyperlink ref="A67" location="'example-sellings'!A1" display="example-sellings" xr:uid="{336C7160-C38F-492D-A6B5-39F4810F38C4}"/>
    <hyperlink ref="A68" location="'example-shares'!A1" display="example-shares" xr:uid="{6D705C26-3AC1-40BC-B6DC-18423562E611}"/>
    <hyperlink ref="A69" location="'example-statistical'!A1" display="example-statistical" xr:uid="{3BD37970-3DD0-41B6-A8C4-1587734E7D0B}"/>
    <hyperlink ref="A70" location="'example-studentlength'!A1" display="example-studentlength" xr:uid="{CA599A0F-9ECC-4AB8-9FB6-28EDDC0830DD}"/>
    <hyperlink ref="A71" location="'example-text-result'!A1" display="example-text-result" xr:uid="{37DF4299-C2D3-40D0-8204-10C154C16151}"/>
    <hyperlink ref="A72" location="'example-vlookup'!A1" display="example-vlookup" xr:uid="{34B754F3-7838-4976-8856-3AC8FD76A5FF}"/>
    <hyperlink ref="A73" location="'example-wages'!A1" display="example-wages" xr:uid="{08EFEB6C-56C6-4E9A-AFB7-36971275A9F0}"/>
    <hyperlink ref="A74" location="'facturen-nl'!A1" display="facturen-nl" xr:uid="{76600FE0-384C-4EBD-B1FC-D7A571272486}"/>
    <hyperlink ref="A75" location="'fcast'!A1" display="fcast" xr:uid="{77CB0D62-6211-47E5-8BFE-2A29808ABF0D}"/>
    <hyperlink ref="A76" location="'formula-copy'!A1" display="formula-copy" xr:uid="{D92172D7-4D64-49FD-8E5A-8559B70FD5D0}"/>
    <hyperlink ref="A77" location="'formula-example'!A1" display="formula-example" xr:uid="{9BD39348-98CB-47FC-9085-E1F17EEFC0B2}"/>
    <hyperlink ref="A78" location="'invoices'!A1" display="invoices" xr:uid="{9232BD55-617B-4F50-8F34-BC393B2B7444}"/>
    <hyperlink ref="A79" location="'months-names-long'!A1" display="months-names-long" xr:uid="{A974134A-81F1-4292-BA6F-C351EBD1E947}"/>
    <hyperlink ref="A80" location="'name-box'!A1" display="name-box" xr:uid="{FCC5ADE9-29A2-442D-8EC4-77AB8ED6A867}"/>
    <hyperlink ref="A81" location="'number-format-example'!A1" display="number-format-example" xr:uid="{E0F5B35D-6EE5-4D64-B7D3-FCC180EE7E45}"/>
    <hyperlink ref="A82" location="'Personeelstabel'!A1" display="Personeelstabel" xr:uid="{07B6883F-D4D3-4416-8648-F50204781686}"/>
    <hyperlink ref="A83" location="'pivot'!A1" display="pivot" xr:uid="{7DD9D2D5-A124-4B2B-A6CA-4D147FAC342C}"/>
    <hyperlink ref="A84" location="'pivot-example'!A1" display="pivot-example" xr:uid="{C44D31C8-27BC-468A-B1A6-66612D21479A}"/>
    <hyperlink ref="A85" location="'prodtime-chart'!A1" display="prodtime-chart" xr:uid="{C0550D92-E55A-415F-90CC-6628E1184148}"/>
    <hyperlink ref="A86" location="'purchase-record'!A1" display="purchase-record" xr:uid="{B0AFDD09-3065-4046-9EA8-BF082AA54B6C}"/>
    <hyperlink ref="A87" location="'rko-1'!A1" display="rko-1" xr:uid="{C51C5F8E-181D-4A8C-9E4F-D7B088F7049A}"/>
    <hyperlink ref="A88" location="'rko-2'!A1" display="rko-2" xr:uid="{413ABB93-480E-48F2-BCD1-87973AEA9DF5}"/>
    <hyperlink ref="A89" location="'scores1'!A1" display="scores1" xr:uid="{529F0CA8-2C9F-430E-845A-0BC16E003198}"/>
    <hyperlink ref="A90" location="'scores1-oplossing'!A1" display="scores1-oplossing" xr:uid="{31FCDE3C-FD7F-4843-AA6B-6961CFE28C68}"/>
    <hyperlink ref="A91" location="'scores2'!A1" display="scores2" xr:uid="{68149685-0503-40C8-8249-64E4089918B8}"/>
    <hyperlink ref="A92" location="'scores2-oplossing'!A1" display="scores2-oplossing" xr:uid="{A1EE6549-2066-43B5-95B3-F42F548FFCDD}"/>
    <hyperlink ref="A93" location="'scores3'!A1" display="scores3" xr:uid="{879B92FC-90E7-4E7A-9EA1-C5D45C342AE8}"/>
    <hyperlink ref="A94" location="'scores3-oplossing'!A1" display="scores3-oplossing" xr:uid="{D565CD0D-C816-485F-AA9D-C2370F532B48}"/>
    <hyperlink ref="A95" location="'stadiumcoffee'!A1" display="stadiumcoffee" xr:uid="{24F60348-D8A3-422F-8A39-13F955251A82}"/>
    <hyperlink ref="A96" location="'supermarket-filter'!A1" display="supermarket-filter" xr:uid="{53483FC8-AA2A-4BFA-9B8C-B33D68BC7277}"/>
    <hyperlink ref="A97" location="'supermarket-pivotreport'!A1" display="supermarket-pivotreport" xr:uid="{A565AF14-0CE3-4BE5-A2DE-E9DEDC3FED4D}"/>
    <hyperlink ref="A98" location="'tablestyle-result'!A1" display="tablestyle-result" xr:uid="{755690EF-0D3A-4B07-8E29-70A41A8D0155}"/>
    <hyperlink ref="A99" location="'Trendlijn-Exponentieel'!A1" display="Trendlijn-Exponentieel" xr:uid="{BF192768-7F69-4474-9B92-3B35BA2D77E2}"/>
    <hyperlink ref="A100" location="'Trendlijn-Lineair'!A1" display="Trendlijn-Lineair" xr:uid="{9D065FD2-6BB7-428A-8D97-3E9CB0886A6F}"/>
    <hyperlink ref="A101" location="'Trendlijn-Logaritmisch'!A1" display="Trendlijn-Logaritmisch" xr:uid="{0DF1CB1B-42C1-46B3-8619-498E30D2AA47}"/>
    <hyperlink ref="A102" location="'Trendlijn-Macht'!A1" display="Trendlijn-Macht" xr:uid="{3589BD6F-52F9-4B05-B257-7BD8C66232D8}"/>
    <hyperlink ref="A103" location="'Trendlijn-Polynoom'!A1" display="Trendlijn-Polynoom" xr:uid="{14B888E7-6033-45BA-AFA3-4AE0498E715E}"/>
    <hyperlink ref="A104" location="'Trendlijn-ZWG'!A1" display="Trendlijn-ZWG" xr:uid="{8B5BA1E6-3A09-4589-9F42-6A19A81099B5}"/>
    <hyperlink ref="A105" location="'verkopen_kw1'!A1" display="verkopen_kw1" xr:uid="{58DC9E73-7FF1-40F9-983F-8AED632679E4}"/>
    <hyperlink ref="A106" location="'vlak'!A1" display="vlak" xr:uid="{37447F37-3FE8-48B3-BA1C-B7A718FF1165}"/>
    <hyperlink ref="A107" location="'WeatherLeather'!A1" display="WeatherLeather" xr:uid="{A42009CC-6987-44B4-AA9E-AB94F2181B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H16" sqref="H16"/>
    </sheetView>
  </sheetViews>
  <sheetFormatPr defaultRowHeight="12" x14ac:dyDescent="0.2"/>
  <cols>
    <col min="1" max="1" width="21.5703125" style="140" bestFit="1" customWidth="1"/>
    <col min="2" max="2" width="7.85546875" style="140" bestFit="1" customWidth="1"/>
    <col min="3" max="9" width="7.5703125" style="140" customWidth="1"/>
    <col min="10" max="16384" width="9.140625" style="140"/>
  </cols>
  <sheetData>
    <row r="1" spans="1:9" x14ac:dyDescent="0.2">
      <c r="A1" s="138" t="s">
        <v>76</v>
      </c>
      <c r="B1" s="139">
        <v>200000</v>
      </c>
    </row>
    <row r="2" spans="1:9" x14ac:dyDescent="0.2">
      <c r="A2" s="138" t="s">
        <v>77</v>
      </c>
      <c r="B2" s="141">
        <v>2.2499999999999999E-2</v>
      </c>
    </row>
    <row r="4" spans="1:9" x14ac:dyDescent="0.2">
      <c r="A4" s="140" t="s">
        <v>78</v>
      </c>
      <c r="B4" s="142">
        <v>0.35</v>
      </c>
    </row>
    <row r="5" spans="1:9" x14ac:dyDescent="0.2">
      <c r="A5" s="140" t="s">
        <v>79</v>
      </c>
      <c r="B5" s="142">
        <v>0.55000000000000004</v>
      </c>
    </row>
    <row r="6" spans="1:9" x14ac:dyDescent="0.2">
      <c r="A6" s="140" t="s">
        <v>81</v>
      </c>
      <c r="B6" s="142">
        <v>44</v>
      </c>
    </row>
    <row r="7" spans="1:9" x14ac:dyDescent="0.2">
      <c r="B7" s="143"/>
    </row>
    <row r="8" spans="1:9" x14ac:dyDescent="0.2">
      <c r="A8" s="140" t="s">
        <v>80</v>
      </c>
      <c r="B8" s="140">
        <f>B2*B1</f>
        <v>4500</v>
      </c>
    </row>
    <row r="9" spans="1:9" x14ac:dyDescent="0.2">
      <c r="A9" s="140" t="s">
        <v>82</v>
      </c>
      <c r="B9" s="144">
        <f>B8*B6</f>
        <v>198000</v>
      </c>
    </row>
    <row r="10" spans="1:9" x14ac:dyDescent="0.2">
      <c r="A10" s="140" t="s">
        <v>83</v>
      </c>
      <c r="B10" s="144">
        <f>B1*(B4+B5)</f>
        <v>180000</v>
      </c>
    </row>
    <row r="11" spans="1:9" x14ac:dyDescent="0.2">
      <c r="A11" s="138" t="s">
        <v>84</v>
      </c>
      <c r="B11" s="145">
        <f>B9-B10</f>
        <v>18000</v>
      </c>
    </row>
    <row r="14" spans="1:9" ht="12.75" thickBot="1" x14ac:dyDescent="0.25">
      <c r="B14" s="146">
        <f>B11</f>
        <v>18000</v>
      </c>
      <c r="C14" s="147">
        <v>1.4999999999999999E-2</v>
      </c>
      <c r="D14" s="147">
        <v>1.7500000000000002E-2</v>
      </c>
      <c r="E14" s="147">
        <v>0.02</v>
      </c>
      <c r="F14" s="147">
        <v>2.2499999999999999E-2</v>
      </c>
      <c r="G14" s="147">
        <v>2.5000000000000001E-2</v>
      </c>
      <c r="H14" s="147">
        <v>2.75E-2</v>
      </c>
      <c r="I14" s="147">
        <v>0.03</v>
      </c>
    </row>
    <row r="15" spans="1:9" x14ac:dyDescent="0.2">
      <c r="B15" s="148">
        <v>100000</v>
      </c>
      <c r="C15" s="149">
        <f t="dataTable" ref="C15:I23" dt2D="1" dtr="1" r1="B2" r2="B1"/>
        <v>-24000</v>
      </c>
      <c r="D15" s="149">
        <v>-12999.999999999985</v>
      </c>
      <c r="E15" s="149">
        <v>-2000</v>
      </c>
      <c r="F15" s="149">
        <v>9000</v>
      </c>
      <c r="G15" s="149">
        <v>20000</v>
      </c>
      <c r="H15" s="149">
        <v>31000</v>
      </c>
      <c r="I15" s="149">
        <v>42000</v>
      </c>
    </row>
    <row r="16" spans="1:9" x14ac:dyDescent="0.2">
      <c r="B16" s="148">
        <v>125000</v>
      </c>
      <c r="C16" s="149">
        <v>-30000</v>
      </c>
      <c r="D16" s="149">
        <v>-16250</v>
      </c>
      <c r="E16" s="149">
        <v>-2500</v>
      </c>
      <c r="F16" s="149">
        <v>11250</v>
      </c>
      <c r="G16" s="149">
        <v>25000</v>
      </c>
      <c r="H16" s="149">
        <v>38750</v>
      </c>
      <c r="I16" s="149">
        <v>52500</v>
      </c>
    </row>
    <row r="17" spans="2:9" x14ac:dyDescent="0.2">
      <c r="B17" s="148">
        <v>150000</v>
      </c>
      <c r="C17" s="149">
        <v>-36000</v>
      </c>
      <c r="D17" s="149">
        <v>-19499.999999999985</v>
      </c>
      <c r="E17" s="149">
        <v>-3000</v>
      </c>
      <c r="F17" s="149">
        <v>13500</v>
      </c>
      <c r="G17" s="149">
        <v>30000</v>
      </c>
      <c r="H17" s="149">
        <v>46500</v>
      </c>
      <c r="I17" s="149">
        <v>63000</v>
      </c>
    </row>
    <row r="18" spans="2:9" x14ac:dyDescent="0.2">
      <c r="B18" s="148">
        <v>175000</v>
      </c>
      <c r="C18" s="149">
        <v>-42000</v>
      </c>
      <c r="D18" s="149">
        <v>-22749.999999999971</v>
      </c>
      <c r="E18" s="149">
        <v>-3500</v>
      </c>
      <c r="F18" s="149">
        <v>15750</v>
      </c>
      <c r="G18" s="149">
        <v>35000</v>
      </c>
      <c r="H18" s="149">
        <v>54250</v>
      </c>
      <c r="I18" s="149">
        <v>73500</v>
      </c>
    </row>
    <row r="19" spans="2:9" x14ac:dyDescent="0.2">
      <c r="B19" s="148">
        <v>200000</v>
      </c>
      <c r="C19" s="149">
        <v>-48000</v>
      </c>
      <c r="D19" s="149">
        <v>-25999.999999999971</v>
      </c>
      <c r="E19" s="149">
        <v>-4000</v>
      </c>
      <c r="F19" s="149">
        <v>18000</v>
      </c>
      <c r="G19" s="149">
        <v>40000</v>
      </c>
      <c r="H19" s="149">
        <v>62000</v>
      </c>
      <c r="I19" s="149">
        <v>84000</v>
      </c>
    </row>
    <row r="20" spans="2:9" x14ac:dyDescent="0.2">
      <c r="B20" s="148">
        <v>225000</v>
      </c>
      <c r="C20" s="149">
        <v>-54000</v>
      </c>
      <c r="D20" s="149">
        <v>-29249.999999999971</v>
      </c>
      <c r="E20" s="149">
        <v>-4500</v>
      </c>
      <c r="F20" s="149">
        <v>20250</v>
      </c>
      <c r="G20" s="149">
        <v>45000</v>
      </c>
      <c r="H20" s="149">
        <v>69750</v>
      </c>
      <c r="I20" s="149">
        <v>94500</v>
      </c>
    </row>
    <row r="21" spans="2:9" x14ac:dyDescent="0.2">
      <c r="B21" s="148">
        <v>250000</v>
      </c>
      <c r="C21" s="149">
        <v>-60000</v>
      </c>
      <c r="D21" s="149">
        <v>-32500</v>
      </c>
      <c r="E21" s="149">
        <v>-5000</v>
      </c>
      <c r="F21" s="149">
        <v>22500</v>
      </c>
      <c r="G21" s="149">
        <v>50000</v>
      </c>
      <c r="H21" s="149">
        <v>77500</v>
      </c>
      <c r="I21" s="149">
        <v>105000</v>
      </c>
    </row>
    <row r="22" spans="2:9" x14ac:dyDescent="0.2">
      <c r="B22" s="148">
        <v>275000</v>
      </c>
      <c r="C22" s="149">
        <v>-66000</v>
      </c>
      <c r="D22" s="149">
        <v>-35749.999999999971</v>
      </c>
      <c r="E22" s="149">
        <v>-5500</v>
      </c>
      <c r="F22" s="149">
        <v>24750</v>
      </c>
      <c r="G22" s="149">
        <v>55000</v>
      </c>
      <c r="H22" s="149">
        <v>85250</v>
      </c>
      <c r="I22" s="149">
        <v>115500</v>
      </c>
    </row>
    <row r="23" spans="2:9" x14ac:dyDescent="0.2">
      <c r="B23" s="148">
        <v>300000</v>
      </c>
      <c r="C23" s="149">
        <v>-72000</v>
      </c>
      <c r="D23" s="149">
        <v>-38999.999999999971</v>
      </c>
      <c r="E23" s="149">
        <v>-6000</v>
      </c>
      <c r="F23" s="149">
        <v>27000</v>
      </c>
      <c r="G23" s="149">
        <v>60000</v>
      </c>
      <c r="H23" s="149">
        <v>93000</v>
      </c>
      <c r="I23" s="149">
        <v>126000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02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03">
        <v>1</v>
      </c>
      <c r="C6" s="103">
        <v>2</v>
      </c>
      <c r="D6" s="103">
        <v>3</v>
      </c>
      <c r="E6" s="103">
        <v>4</v>
      </c>
      <c r="F6" s="103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03">
        <v>1</v>
      </c>
      <c r="C14" s="103">
        <v>2</v>
      </c>
      <c r="D14" s="103">
        <v>3</v>
      </c>
      <c r="E14" s="103">
        <v>4</v>
      </c>
      <c r="F14" s="103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CC9-D376-4CD2-BCA4-9CE6C3D59C43}">
  <dimension ref="A1:H3"/>
  <sheetViews>
    <sheetView workbookViewId="0"/>
  </sheetViews>
  <sheetFormatPr defaultRowHeight="15" x14ac:dyDescent="0.25"/>
  <cols>
    <col min="1" max="16384" width="9.140625" style="202"/>
  </cols>
  <sheetData>
    <row r="1" spans="1:8" ht="15.75" x14ac:dyDescent="0.3">
      <c r="A1" s="202" cm="1">
        <f t="array" ref="A1:C3">_xlfn.MUNIT(3)</f>
        <v>1</v>
      </c>
      <c r="B1" s="202">
        <v>0</v>
      </c>
      <c r="C1" s="202">
        <v>0</v>
      </c>
      <c r="E1" s="229" cm="1">
        <f t="array" aca="1" ref="E1:H3" ca="1">_xlfn.RANDARRAY(3,4,10,50,TRUE)</f>
        <v>42</v>
      </c>
      <c r="F1" s="202">
        <f ca="1"/>
        <v>31</v>
      </c>
      <c r="G1" s="202">
        <f ca="1"/>
        <v>42</v>
      </c>
      <c r="H1" s="202">
        <f ca="1"/>
        <v>45</v>
      </c>
    </row>
    <row r="2" spans="1:8" x14ac:dyDescent="0.25">
      <c r="A2" s="202">
        <v>0</v>
      </c>
      <c r="B2" s="202">
        <v>1</v>
      </c>
      <c r="C2" s="202">
        <v>0</v>
      </c>
      <c r="E2" s="202">
        <f ca="1"/>
        <v>38</v>
      </c>
      <c r="F2" s="202">
        <f ca="1"/>
        <v>19</v>
      </c>
      <c r="G2" s="202">
        <f ca="1"/>
        <v>24</v>
      </c>
      <c r="H2" s="202">
        <f ca="1"/>
        <v>24</v>
      </c>
    </row>
    <row r="3" spans="1:8" x14ac:dyDescent="0.25">
      <c r="A3" s="202">
        <v>0</v>
      </c>
      <c r="B3" s="202">
        <v>0</v>
      </c>
      <c r="C3" s="202">
        <v>1</v>
      </c>
      <c r="E3" s="202">
        <f ca="1"/>
        <v>39</v>
      </c>
      <c r="F3" s="202">
        <f ca="1"/>
        <v>43</v>
      </c>
      <c r="G3" s="202">
        <f ca="1"/>
        <v>27</v>
      </c>
      <c r="H3" s="202">
        <f ca="1"/>
        <v>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0B23-9C17-4E3A-80B9-F21478CA5FB4}">
  <dimension ref="A1:K11"/>
  <sheetViews>
    <sheetView workbookViewId="0">
      <selection activeCell="I2" sqref="I2"/>
    </sheetView>
  </sheetViews>
  <sheetFormatPr defaultRowHeight="15" x14ac:dyDescent="0.25"/>
  <cols>
    <col min="5" max="7" width="7.7109375" customWidth="1"/>
  </cols>
  <sheetData>
    <row r="1" spans="1:11" x14ac:dyDescent="0.25">
      <c r="A1" s="1" t="s">
        <v>488</v>
      </c>
      <c r="B1" s="1" t="s">
        <v>282</v>
      </c>
      <c r="C1" s="1" t="s">
        <v>177</v>
      </c>
    </row>
    <row r="2" spans="1:11" x14ac:dyDescent="0.25">
      <c r="A2" t="s">
        <v>480</v>
      </c>
      <c r="B2" t="s">
        <v>284</v>
      </c>
      <c r="C2">
        <v>163</v>
      </c>
      <c r="E2" t="str" cm="1">
        <f t="array" ref="E2:G5">_xlfn._xlws.FILTER(A2:C11,B2:B11="v","Geen")</f>
        <v>An</v>
      </c>
      <c r="F2" t="str">
        <v>v</v>
      </c>
      <c r="G2">
        <v>163</v>
      </c>
      <c r="I2" t="str" cm="1">
        <f t="array" ref="I2:K4">_xlfn._xlws.FILTER(A2:C11,(B2:B11="v")*(C2:C11&lt;170),"Geen")</f>
        <v>An</v>
      </c>
      <c r="J2" t="str">
        <v>v</v>
      </c>
      <c r="K2">
        <v>163</v>
      </c>
    </row>
    <row r="3" spans="1:11" x14ac:dyDescent="0.25">
      <c r="A3" t="s">
        <v>481</v>
      </c>
      <c r="B3" t="s">
        <v>286</v>
      </c>
      <c r="C3">
        <v>178</v>
      </c>
      <c r="E3" t="str">
        <v>Mari</v>
      </c>
      <c r="F3" t="str">
        <v>v</v>
      </c>
      <c r="G3">
        <v>167</v>
      </c>
      <c r="I3" t="str">
        <v>Mari</v>
      </c>
      <c r="J3" t="str">
        <v>v</v>
      </c>
      <c r="K3">
        <v>167</v>
      </c>
    </row>
    <row r="4" spans="1:11" x14ac:dyDescent="0.25">
      <c r="A4" t="s">
        <v>482</v>
      </c>
      <c r="B4" t="s">
        <v>286</v>
      </c>
      <c r="C4">
        <v>181</v>
      </c>
      <c r="E4" t="str">
        <v>Trudy</v>
      </c>
      <c r="F4" t="str">
        <v>v</v>
      </c>
      <c r="G4">
        <v>164</v>
      </c>
      <c r="I4" t="str">
        <v>Trudy</v>
      </c>
      <c r="J4" t="str">
        <v>v</v>
      </c>
      <c r="K4">
        <v>164</v>
      </c>
    </row>
    <row r="5" spans="1:11" x14ac:dyDescent="0.25">
      <c r="A5" t="s">
        <v>483</v>
      </c>
      <c r="B5" t="s">
        <v>284</v>
      </c>
      <c r="C5">
        <v>167</v>
      </c>
      <c r="E5" t="str">
        <v>Vicky</v>
      </c>
      <c r="F5" t="str">
        <v>v</v>
      </c>
      <c r="G5">
        <v>181</v>
      </c>
    </row>
    <row r="6" spans="1:11" x14ac:dyDescent="0.25">
      <c r="A6" t="s">
        <v>484</v>
      </c>
      <c r="B6" t="s">
        <v>286</v>
      </c>
      <c r="C6">
        <v>185</v>
      </c>
    </row>
    <row r="7" spans="1:11" x14ac:dyDescent="0.25">
      <c r="A7" t="s">
        <v>485</v>
      </c>
      <c r="B7" t="s">
        <v>286</v>
      </c>
      <c r="C7">
        <v>172</v>
      </c>
    </row>
    <row r="8" spans="1:11" x14ac:dyDescent="0.25">
      <c r="A8" t="s">
        <v>451</v>
      </c>
      <c r="B8" t="s">
        <v>286</v>
      </c>
      <c r="C8">
        <v>178</v>
      </c>
    </row>
    <row r="9" spans="1:11" x14ac:dyDescent="0.25">
      <c r="A9" t="s">
        <v>486</v>
      </c>
      <c r="B9" t="s">
        <v>286</v>
      </c>
      <c r="C9">
        <v>186</v>
      </c>
    </row>
    <row r="10" spans="1:11" x14ac:dyDescent="0.25">
      <c r="A10" t="s">
        <v>487</v>
      </c>
      <c r="B10" t="s">
        <v>284</v>
      </c>
      <c r="C10">
        <v>164</v>
      </c>
    </row>
    <row r="11" spans="1:11" x14ac:dyDescent="0.25">
      <c r="A11" t="s">
        <v>452</v>
      </c>
      <c r="B11" t="s">
        <v>284</v>
      </c>
      <c r="C11">
        <v>181</v>
      </c>
    </row>
  </sheetData>
  <sortState xmlns:xlrd2="http://schemas.microsoft.com/office/spreadsheetml/2017/richdata2" ref="A2:C11">
    <sortCondition ref="A3:A1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2360-E324-406C-BE47-7E0558159E03}">
  <dimension ref="B2:D5"/>
  <sheetViews>
    <sheetView workbookViewId="0">
      <selection activeCell="B2" sqref="B2"/>
    </sheetView>
  </sheetViews>
  <sheetFormatPr defaultRowHeight="15" x14ac:dyDescent="0.25"/>
  <cols>
    <col min="1" max="5" width="6.7109375" customWidth="1"/>
  </cols>
  <sheetData>
    <row r="2" spans="2:4" x14ac:dyDescent="0.25">
      <c r="B2" cm="1">
        <f t="array" ref="B2:D5">_xlfn.SEQUENCE(4,3,5,10)</f>
        <v>5</v>
      </c>
      <c r="C2">
        <v>15</v>
      </c>
      <c r="D2">
        <v>25</v>
      </c>
    </row>
    <row r="3" spans="2:4" x14ac:dyDescent="0.25">
      <c r="B3">
        <v>35</v>
      </c>
      <c r="C3">
        <v>45</v>
      </c>
      <c r="D3">
        <v>55</v>
      </c>
    </row>
    <row r="4" spans="2:4" x14ac:dyDescent="0.25">
      <c r="B4">
        <v>65</v>
      </c>
      <c r="C4">
        <v>75</v>
      </c>
      <c r="D4">
        <v>85</v>
      </c>
    </row>
    <row r="5" spans="2:4" x14ac:dyDescent="0.25">
      <c r="B5">
        <v>95</v>
      </c>
      <c r="C5">
        <v>105</v>
      </c>
      <c r="D5">
        <v>115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5339-7DFE-413E-8186-08F43212F17A}">
  <dimension ref="A1:G11"/>
  <sheetViews>
    <sheetView workbookViewId="0">
      <selection activeCell="E2" sqref="E2"/>
    </sheetView>
  </sheetViews>
  <sheetFormatPr defaultRowHeight="15" x14ac:dyDescent="0.25"/>
  <cols>
    <col min="5" max="7" width="7.7109375" customWidth="1"/>
  </cols>
  <sheetData>
    <row r="1" spans="1:7" x14ac:dyDescent="0.25">
      <c r="A1" s="1" t="s">
        <v>488</v>
      </c>
      <c r="B1" s="1" t="s">
        <v>282</v>
      </c>
      <c r="C1" s="1" t="s">
        <v>177</v>
      </c>
    </row>
    <row r="2" spans="1:7" x14ac:dyDescent="0.25">
      <c r="A2" t="s">
        <v>480</v>
      </c>
      <c r="B2" t="s">
        <v>284</v>
      </c>
      <c r="C2">
        <v>163</v>
      </c>
      <c r="E2" t="str" cm="1">
        <f t="array" ref="E2:G11">_xlfn._xlws.SORT(A2:C11,3)</f>
        <v>An</v>
      </c>
      <c r="F2" t="str">
        <v>v</v>
      </c>
      <c r="G2">
        <v>163</v>
      </c>
    </row>
    <row r="3" spans="1:7" x14ac:dyDescent="0.25">
      <c r="A3" t="s">
        <v>481</v>
      </c>
      <c r="B3" t="s">
        <v>286</v>
      </c>
      <c r="C3">
        <v>178</v>
      </c>
      <c r="E3" t="str">
        <v>Trudy</v>
      </c>
      <c r="F3" t="str">
        <v>v</v>
      </c>
      <c r="G3">
        <v>164</v>
      </c>
    </row>
    <row r="4" spans="1:7" x14ac:dyDescent="0.25">
      <c r="A4" t="s">
        <v>482</v>
      </c>
      <c r="B4" t="s">
        <v>286</v>
      </c>
      <c r="C4">
        <v>181</v>
      </c>
      <c r="E4" t="str">
        <v>Mari</v>
      </c>
      <c r="F4" t="str">
        <v>v</v>
      </c>
      <c r="G4">
        <v>167</v>
      </c>
    </row>
    <row r="5" spans="1:7" x14ac:dyDescent="0.25">
      <c r="A5" t="s">
        <v>483</v>
      </c>
      <c r="B5" t="s">
        <v>284</v>
      </c>
      <c r="C5">
        <v>167</v>
      </c>
      <c r="E5" t="str">
        <v>Peter</v>
      </c>
      <c r="F5" t="str">
        <v>m</v>
      </c>
      <c r="G5">
        <v>172</v>
      </c>
    </row>
    <row r="6" spans="1:7" x14ac:dyDescent="0.25">
      <c r="A6" t="s">
        <v>484</v>
      </c>
      <c r="B6" t="s">
        <v>286</v>
      </c>
      <c r="C6">
        <v>185</v>
      </c>
      <c r="E6" t="str">
        <v>Chris</v>
      </c>
      <c r="F6" t="str">
        <v>m</v>
      </c>
      <c r="G6">
        <v>178</v>
      </c>
    </row>
    <row r="7" spans="1:7" x14ac:dyDescent="0.25">
      <c r="A7" t="s">
        <v>485</v>
      </c>
      <c r="B7" t="s">
        <v>286</v>
      </c>
      <c r="C7">
        <v>172</v>
      </c>
      <c r="E7" t="str">
        <v>Roger</v>
      </c>
      <c r="F7" t="str">
        <v>m</v>
      </c>
      <c r="G7">
        <v>178</v>
      </c>
    </row>
    <row r="8" spans="1:7" x14ac:dyDescent="0.25">
      <c r="A8" t="s">
        <v>451</v>
      </c>
      <c r="B8" t="s">
        <v>286</v>
      </c>
      <c r="C8">
        <v>178</v>
      </c>
      <c r="E8" t="str">
        <v>Ivo</v>
      </c>
      <c r="F8" t="str">
        <v>m</v>
      </c>
      <c r="G8">
        <v>181</v>
      </c>
    </row>
    <row r="9" spans="1:7" x14ac:dyDescent="0.25">
      <c r="A9" t="s">
        <v>486</v>
      </c>
      <c r="B9" t="s">
        <v>286</v>
      </c>
      <c r="C9">
        <v>186</v>
      </c>
      <c r="E9" t="str">
        <v>Vicky</v>
      </c>
      <c r="F9" t="str">
        <v>v</v>
      </c>
      <c r="G9">
        <v>181</v>
      </c>
    </row>
    <row r="10" spans="1:7" x14ac:dyDescent="0.25">
      <c r="A10" t="s">
        <v>487</v>
      </c>
      <c r="B10" t="s">
        <v>284</v>
      </c>
      <c r="C10">
        <v>164</v>
      </c>
      <c r="E10" t="str">
        <v>Otto</v>
      </c>
      <c r="F10" t="str">
        <v>m</v>
      </c>
      <c r="G10">
        <v>185</v>
      </c>
    </row>
    <row r="11" spans="1:7" x14ac:dyDescent="0.25">
      <c r="A11" t="s">
        <v>452</v>
      </c>
      <c r="B11" t="s">
        <v>284</v>
      </c>
      <c r="C11">
        <v>181</v>
      </c>
      <c r="E11" t="str">
        <v>Stan</v>
      </c>
      <c r="F11" t="str">
        <v>m</v>
      </c>
      <c r="G11">
        <v>186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1777-D952-4E56-A97C-ADDD0AC34EF6}">
  <dimension ref="A1:E11"/>
  <sheetViews>
    <sheetView workbookViewId="0">
      <selection activeCell="E2" sqref="E2"/>
    </sheetView>
  </sheetViews>
  <sheetFormatPr defaultRowHeight="15" x14ac:dyDescent="0.25"/>
  <cols>
    <col min="5" max="7" width="7.7109375" customWidth="1"/>
  </cols>
  <sheetData>
    <row r="1" spans="1:5" x14ac:dyDescent="0.25">
      <c r="A1" s="1" t="s">
        <v>488</v>
      </c>
      <c r="B1" s="1" t="s">
        <v>282</v>
      </c>
      <c r="C1" s="1" t="s">
        <v>177</v>
      </c>
    </row>
    <row r="2" spans="1:5" x14ac:dyDescent="0.25">
      <c r="A2" t="s">
        <v>480</v>
      </c>
      <c r="B2" t="s">
        <v>284</v>
      </c>
      <c r="C2">
        <v>163</v>
      </c>
      <c r="E2" t="str" cm="1">
        <f t="array" ref="E2:E11">_xlfn.SORTBY(A2:A11,C2:C11)</f>
        <v>An</v>
      </c>
    </row>
    <row r="3" spans="1:5" x14ac:dyDescent="0.25">
      <c r="A3" t="s">
        <v>481</v>
      </c>
      <c r="B3" t="s">
        <v>286</v>
      </c>
      <c r="C3">
        <v>178</v>
      </c>
      <c r="E3" t="str">
        <v>Trudy</v>
      </c>
    </row>
    <row r="4" spans="1:5" x14ac:dyDescent="0.25">
      <c r="A4" t="s">
        <v>482</v>
      </c>
      <c r="B4" t="s">
        <v>286</v>
      </c>
      <c r="C4">
        <v>181</v>
      </c>
      <c r="E4" t="str">
        <v>Mari</v>
      </c>
    </row>
    <row r="5" spans="1:5" x14ac:dyDescent="0.25">
      <c r="A5" t="s">
        <v>483</v>
      </c>
      <c r="B5" t="s">
        <v>284</v>
      </c>
      <c r="C5">
        <v>167</v>
      </c>
      <c r="E5" t="str">
        <v>Peter</v>
      </c>
    </row>
    <row r="6" spans="1:5" x14ac:dyDescent="0.25">
      <c r="A6" t="s">
        <v>484</v>
      </c>
      <c r="B6" t="s">
        <v>286</v>
      </c>
      <c r="C6">
        <v>185</v>
      </c>
      <c r="E6" t="str">
        <v>Chris</v>
      </c>
    </row>
    <row r="7" spans="1:5" x14ac:dyDescent="0.25">
      <c r="A7" t="s">
        <v>485</v>
      </c>
      <c r="B7" t="s">
        <v>286</v>
      </c>
      <c r="C7">
        <v>172</v>
      </c>
      <c r="E7" t="str">
        <v>Roger</v>
      </c>
    </row>
    <row r="8" spans="1:5" x14ac:dyDescent="0.25">
      <c r="A8" t="s">
        <v>451</v>
      </c>
      <c r="B8" t="s">
        <v>286</v>
      </c>
      <c r="C8">
        <v>178</v>
      </c>
      <c r="E8" t="str">
        <v>Ivo</v>
      </c>
    </row>
    <row r="9" spans="1:5" x14ac:dyDescent="0.25">
      <c r="A9" t="s">
        <v>486</v>
      </c>
      <c r="B9" t="s">
        <v>286</v>
      </c>
      <c r="C9">
        <v>186</v>
      </c>
      <c r="E9" t="str">
        <v>Vicky</v>
      </c>
    </row>
    <row r="10" spans="1:5" x14ac:dyDescent="0.25">
      <c r="A10" t="s">
        <v>487</v>
      </c>
      <c r="B10" t="s">
        <v>284</v>
      </c>
      <c r="C10">
        <v>164</v>
      </c>
      <c r="E10" t="str">
        <v>Otto</v>
      </c>
    </row>
    <row r="11" spans="1:5" x14ac:dyDescent="0.25">
      <c r="A11" t="s">
        <v>452</v>
      </c>
      <c r="B11" t="s">
        <v>284</v>
      </c>
      <c r="C11">
        <v>181</v>
      </c>
      <c r="E11" t="str">
        <v>Stan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D103-B581-4430-B1DE-4257BA3CE245}">
  <dimension ref="A1:G11"/>
  <sheetViews>
    <sheetView workbookViewId="0">
      <selection activeCell="E2" sqref="E2"/>
    </sheetView>
  </sheetViews>
  <sheetFormatPr defaultRowHeight="15" x14ac:dyDescent="0.25"/>
  <cols>
    <col min="5" max="7" width="7.7109375" customWidth="1"/>
  </cols>
  <sheetData>
    <row r="1" spans="1:7" x14ac:dyDescent="0.25">
      <c r="A1" s="1" t="s">
        <v>488</v>
      </c>
      <c r="B1" s="1" t="s">
        <v>282</v>
      </c>
      <c r="C1" s="1" t="s">
        <v>177</v>
      </c>
    </row>
    <row r="2" spans="1:7" x14ac:dyDescent="0.25">
      <c r="A2" t="s">
        <v>480</v>
      </c>
      <c r="B2" t="s">
        <v>284</v>
      </c>
      <c r="C2">
        <v>163</v>
      </c>
      <c r="E2" t="str" cm="1">
        <f t="array" ref="E2:G11">_xlfn.SORTBY(A2:C11,B2:B11,1,C2:C11,-1)</f>
        <v>Stan</v>
      </c>
      <c r="F2" t="str">
        <v>m</v>
      </c>
      <c r="G2">
        <v>186</v>
      </c>
    </row>
    <row r="3" spans="1:7" x14ac:dyDescent="0.25">
      <c r="A3" t="s">
        <v>481</v>
      </c>
      <c r="B3" t="s">
        <v>286</v>
      </c>
      <c r="C3">
        <v>178</v>
      </c>
      <c r="E3" t="str">
        <v>Otto</v>
      </c>
      <c r="F3" t="str">
        <v>m</v>
      </c>
      <c r="G3">
        <v>185</v>
      </c>
    </row>
    <row r="4" spans="1:7" x14ac:dyDescent="0.25">
      <c r="A4" t="s">
        <v>482</v>
      </c>
      <c r="B4" t="s">
        <v>286</v>
      </c>
      <c r="C4">
        <v>181</v>
      </c>
      <c r="E4" t="str">
        <v>Ivo</v>
      </c>
      <c r="F4" t="str">
        <v>m</v>
      </c>
      <c r="G4">
        <v>181</v>
      </c>
    </row>
    <row r="5" spans="1:7" x14ac:dyDescent="0.25">
      <c r="A5" t="s">
        <v>483</v>
      </c>
      <c r="B5" t="s">
        <v>284</v>
      </c>
      <c r="C5">
        <v>167</v>
      </c>
      <c r="E5" t="str">
        <v>Chris</v>
      </c>
      <c r="F5" t="str">
        <v>m</v>
      </c>
      <c r="G5">
        <v>178</v>
      </c>
    </row>
    <row r="6" spans="1:7" x14ac:dyDescent="0.25">
      <c r="A6" t="s">
        <v>484</v>
      </c>
      <c r="B6" t="s">
        <v>286</v>
      </c>
      <c r="C6">
        <v>185</v>
      </c>
      <c r="E6" t="str">
        <v>Roger</v>
      </c>
      <c r="F6" t="str">
        <v>m</v>
      </c>
      <c r="G6">
        <v>178</v>
      </c>
    </row>
    <row r="7" spans="1:7" x14ac:dyDescent="0.25">
      <c r="A7" t="s">
        <v>485</v>
      </c>
      <c r="B7" t="s">
        <v>286</v>
      </c>
      <c r="C7">
        <v>172</v>
      </c>
      <c r="E7" t="str">
        <v>Peter</v>
      </c>
      <c r="F7" t="str">
        <v>m</v>
      </c>
      <c r="G7">
        <v>172</v>
      </c>
    </row>
    <row r="8" spans="1:7" x14ac:dyDescent="0.25">
      <c r="A8" t="s">
        <v>451</v>
      </c>
      <c r="B8" t="s">
        <v>286</v>
      </c>
      <c r="C8">
        <v>178</v>
      </c>
      <c r="E8" t="str">
        <v>Vicky</v>
      </c>
      <c r="F8" t="str">
        <v>v</v>
      </c>
      <c r="G8">
        <v>181</v>
      </c>
    </row>
    <row r="9" spans="1:7" x14ac:dyDescent="0.25">
      <c r="A9" t="s">
        <v>486</v>
      </c>
      <c r="B9" t="s">
        <v>286</v>
      </c>
      <c r="C9">
        <v>186</v>
      </c>
      <c r="E9" t="str">
        <v>Mari</v>
      </c>
      <c r="F9" t="str">
        <v>v</v>
      </c>
      <c r="G9">
        <v>167</v>
      </c>
    </row>
    <row r="10" spans="1:7" x14ac:dyDescent="0.25">
      <c r="A10" t="s">
        <v>487</v>
      </c>
      <c r="B10" t="s">
        <v>284</v>
      </c>
      <c r="C10">
        <v>164</v>
      </c>
      <c r="E10" t="str">
        <v>Trudy</v>
      </c>
      <c r="F10" t="str">
        <v>v</v>
      </c>
      <c r="G10">
        <v>164</v>
      </c>
    </row>
    <row r="11" spans="1:7" x14ac:dyDescent="0.25">
      <c r="A11" t="s">
        <v>452</v>
      </c>
      <c r="B11" t="s">
        <v>284</v>
      </c>
      <c r="C11">
        <v>181</v>
      </c>
      <c r="E11" t="str">
        <v>An</v>
      </c>
      <c r="F11" t="str">
        <v>v</v>
      </c>
      <c r="G11">
        <v>163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CA88-55E1-478B-9613-8460E0618EE4}">
  <dimension ref="A1:B10"/>
  <sheetViews>
    <sheetView workbookViewId="0">
      <selection activeCell="A14" sqref="A14"/>
    </sheetView>
  </sheetViews>
  <sheetFormatPr defaultRowHeight="15" x14ac:dyDescent="0.25"/>
  <cols>
    <col min="1" max="2" width="12.7109375" customWidth="1"/>
  </cols>
  <sheetData>
    <row r="1" spans="1:2" x14ac:dyDescent="0.25">
      <c r="A1" t="s">
        <v>475</v>
      </c>
      <c r="B1" t="str" cm="1">
        <f t="array" ref="B1:B5">_xlfn.UNIQUE(A1:A10)</f>
        <v>Appel</v>
      </c>
    </row>
    <row r="2" spans="1:2" x14ac:dyDescent="0.25">
      <c r="A2" t="s">
        <v>476</v>
      </c>
      <c r="B2" t="str">
        <v>Druif</v>
      </c>
    </row>
    <row r="3" spans="1:2" x14ac:dyDescent="0.25">
      <c r="A3" t="s">
        <v>475</v>
      </c>
      <c r="B3" t="str">
        <v>Banaan</v>
      </c>
    </row>
    <row r="4" spans="1:2" x14ac:dyDescent="0.25">
      <c r="A4" t="s">
        <v>477</v>
      </c>
      <c r="B4" t="str">
        <v>Citroen</v>
      </c>
    </row>
    <row r="5" spans="1:2" x14ac:dyDescent="0.25">
      <c r="A5" t="s">
        <v>478</v>
      </c>
      <c r="B5" t="str">
        <v>Peer</v>
      </c>
    </row>
    <row r="6" spans="1:2" x14ac:dyDescent="0.25">
      <c r="A6" t="s">
        <v>476</v>
      </c>
    </row>
    <row r="7" spans="1:2" x14ac:dyDescent="0.25">
      <c r="A7" t="s">
        <v>478</v>
      </c>
    </row>
    <row r="8" spans="1:2" x14ac:dyDescent="0.25">
      <c r="A8" t="s">
        <v>479</v>
      </c>
    </row>
    <row r="9" spans="1:2" x14ac:dyDescent="0.25">
      <c r="A9" t="s">
        <v>475</v>
      </c>
    </row>
    <row r="10" spans="1:2" x14ac:dyDescent="0.25">
      <c r="A10" t="s">
        <v>477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2A1-3125-4722-A5F4-76EF50501C5F}">
  <dimension ref="A1:E7"/>
  <sheetViews>
    <sheetView workbookViewId="0">
      <selection activeCell="A11" sqref="A11"/>
    </sheetView>
  </sheetViews>
  <sheetFormatPr defaultRowHeight="15" x14ac:dyDescent="0.25"/>
  <cols>
    <col min="1" max="1" width="12.7109375" customWidth="1"/>
    <col min="2" max="2" width="7.7109375" customWidth="1"/>
    <col min="4" max="4" width="12.7109375" customWidth="1"/>
    <col min="5" max="5" width="7.7109375" customWidth="1"/>
  </cols>
  <sheetData>
    <row r="1" spans="1:5" x14ac:dyDescent="0.25">
      <c r="A1" s="150" t="s">
        <v>724</v>
      </c>
      <c r="B1" s="150" t="s">
        <v>212</v>
      </c>
      <c r="D1" t="s">
        <v>724</v>
      </c>
      <c r="E1" t="s">
        <v>212</v>
      </c>
    </row>
    <row r="2" spans="1:5" x14ac:dyDescent="0.25">
      <c r="A2" s="111">
        <v>0</v>
      </c>
      <c r="B2" s="211">
        <v>0</v>
      </c>
      <c r="D2" s="111">
        <v>18</v>
      </c>
      <c r="E2" s="212">
        <f>_xlfn.XLOOKUP(D2,A2:A7,B2:B7,,-1)</f>
        <v>0.1</v>
      </c>
    </row>
    <row r="3" spans="1:5" x14ac:dyDescent="0.25">
      <c r="A3" s="111">
        <v>5</v>
      </c>
      <c r="B3" s="211">
        <v>0.05</v>
      </c>
    </row>
    <row r="4" spans="1:5" x14ac:dyDescent="0.25">
      <c r="A4" s="111">
        <v>10</v>
      </c>
      <c r="B4" s="211">
        <v>0.1</v>
      </c>
    </row>
    <row r="5" spans="1:5" x14ac:dyDescent="0.25">
      <c r="A5" s="111">
        <v>20</v>
      </c>
      <c r="B5" s="211">
        <v>0.15</v>
      </c>
    </row>
    <row r="6" spans="1:5" x14ac:dyDescent="0.25">
      <c r="A6" s="111">
        <v>40</v>
      </c>
      <c r="B6" s="211">
        <v>0.2</v>
      </c>
    </row>
    <row r="7" spans="1:5" x14ac:dyDescent="0.25">
      <c r="A7" s="111">
        <v>80</v>
      </c>
      <c r="B7" s="211">
        <v>0.25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22DD-0C48-46B2-A450-2D5098B931BA}">
  <dimension ref="A1:E11"/>
  <sheetViews>
    <sheetView workbookViewId="0">
      <selection activeCell="E2" sqref="E2"/>
    </sheetView>
  </sheetViews>
  <sheetFormatPr defaultRowHeight="15" x14ac:dyDescent="0.25"/>
  <cols>
    <col min="1" max="1" width="20.7109375" customWidth="1"/>
    <col min="2" max="2" width="10.7109375" customWidth="1"/>
    <col min="3" max="3" width="3.7109375" customWidth="1"/>
    <col min="4" max="4" width="7.140625" bestFit="1" customWidth="1"/>
    <col min="5" max="5" width="10.7109375" customWidth="1"/>
  </cols>
  <sheetData>
    <row r="1" spans="1:5" x14ac:dyDescent="0.25">
      <c r="A1" s="1" t="s">
        <v>454</v>
      </c>
      <c r="B1" s="1" t="s">
        <v>834</v>
      </c>
      <c r="D1" t="s">
        <v>454</v>
      </c>
      <c r="E1" s="3" t="s">
        <v>734</v>
      </c>
    </row>
    <row r="2" spans="1:5" x14ac:dyDescent="0.25">
      <c r="A2" t="s">
        <v>728</v>
      </c>
      <c r="B2">
        <v>121</v>
      </c>
      <c r="D2" t="s">
        <v>835</v>
      </c>
      <c r="E2" s="3">
        <f>_xlfn.XMATCH(E1,A2:A11)</f>
        <v>6</v>
      </c>
    </row>
    <row r="3" spans="1:5" x14ac:dyDescent="0.25">
      <c r="A3" t="s">
        <v>730</v>
      </c>
      <c r="B3">
        <v>70</v>
      </c>
    </row>
    <row r="4" spans="1:5" x14ac:dyDescent="0.25">
      <c r="A4" t="s">
        <v>729</v>
      </c>
      <c r="B4">
        <v>67</v>
      </c>
    </row>
    <row r="5" spans="1:5" x14ac:dyDescent="0.25">
      <c r="A5" t="s">
        <v>731</v>
      </c>
      <c r="B5">
        <v>56</v>
      </c>
    </row>
    <row r="6" spans="1:5" x14ac:dyDescent="0.25">
      <c r="A6" t="s">
        <v>732</v>
      </c>
      <c r="B6">
        <v>42</v>
      </c>
    </row>
    <row r="7" spans="1:5" x14ac:dyDescent="0.25">
      <c r="A7" t="s">
        <v>734</v>
      </c>
      <c r="B7">
        <v>42</v>
      </c>
    </row>
    <row r="8" spans="1:5" x14ac:dyDescent="0.25">
      <c r="A8" t="s">
        <v>733</v>
      </c>
      <c r="B8">
        <v>41</v>
      </c>
    </row>
    <row r="9" spans="1:5" x14ac:dyDescent="0.25">
      <c r="A9" t="s">
        <v>737</v>
      </c>
      <c r="B9">
        <v>29</v>
      </c>
    </row>
    <row r="10" spans="1:5" x14ac:dyDescent="0.25">
      <c r="A10" t="s">
        <v>736</v>
      </c>
      <c r="B10">
        <v>28</v>
      </c>
    </row>
    <row r="11" spans="1:5" x14ac:dyDescent="0.25">
      <c r="A11" t="s">
        <v>746</v>
      </c>
      <c r="B11">
        <v>22</v>
      </c>
    </row>
  </sheetData>
  <sortState xmlns:xlrd2="http://schemas.microsoft.com/office/spreadsheetml/2017/richdata2" ref="A2:B11">
    <sortCondition descending="1" ref="B6:B11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AD4"/>
  <sheetViews>
    <sheetView showGridLines="0" workbookViewId="0">
      <selection activeCell="J2" sqref="J2"/>
    </sheetView>
  </sheetViews>
  <sheetFormatPr defaultRowHeight="15" x14ac:dyDescent="0.25"/>
  <cols>
    <col min="1" max="31" width="4.7109375" customWidth="1"/>
  </cols>
  <sheetData>
    <row r="1" spans="2:30" ht="15.75" thickBot="1" x14ac:dyDescent="0.3"/>
    <row r="2" spans="2:30" ht="15.75" thickBot="1" x14ac:dyDescent="0.3">
      <c r="B2" s="112" cm="1">
        <f t="array" ref="B2:F2">{1,2,3,4,5}</f>
        <v>1</v>
      </c>
      <c r="C2" s="112">
        <v>2</v>
      </c>
      <c r="D2" s="112">
        <v>3</v>
      </c>
      <c r="E2" s="112">
        <v>4</v>
      </c>
      <c r="F2" s="112">
        <v>5</v>
      </c>
      <c r="H2" s="112" cm="1">
        <f t="array" ref="H2:H4">{1;3;6}</f>
        <v>1</v>
      </c>
      <c r="J2" s="112" cm="1">
        <f t="array" ref="J2:N4">{1,2,3,4,5;3,5,7,9,11;6,9,12,15,18}</f>
        <v>1</v>
      </c>
      <c r="K2" s="112">
        <v>2</v>
      </c>
      <c r="L2" s="112">
        <v>3</v>
      </c>
      <c r="M2" s="112">
        <v>4</v>
      </c>
      <c r="N2" s="112">
        <v>5</v>
      </c>
      <c r="R2" s="188" cm="1">
        <f t="array" ref="R2:V2">{1,2,3,4,5}</f>
        <v>1</v>
      </c>
      <c r="S2" s="189">
        <v>2</v>
      </c>
      <c r="T2" s="189">
        <v>3</v>
      </c>
      <c r="U2" s="189">
        <v>4</v>
      </c>
      <c r="V2" s="190">
        <v>5</v>
      </c>
      <c r="X2" s="185" cm="1">
        <f t="array" ref="X2:X4">{1;3;6}</f>
        <v>1</v>
      </c>
      <c r="Z2" s="191" cm="1">
        <f t="array" ref="Z2:AD4">{1,2,3,4,5;3,5,7,9,11;6,9,12,15,18}</f>
        <v>1</v>
      </c>
      <c r="AA2" s="192">
        <v>2</v>
      </c>
      <c r="AB2" s="192">
        <v>3</v>
      </c>
      <c r="AC2" s="192">
        <v>4</v>
      </c>
      <c r="AD2" s="193">
        <v>5</v>
      </c>
    </row>
    <row r="3" spans="2:30" x14ac:dyDescent="0.25">
      <c r="H3" s="112">
        <v>3</v>
      </c>
      <c r="J3" s="112">
        <v>3</v>
      </c>
      <c r="K3" s="112">
        <v>5</v>
      </c>
      <c r="L3" s="112">
        <v>7</v>
      </c>
      <c r="M3" s="112">
        <v>9</v>
      </c>
      <c r="N3" s="112">
        <v>11</v>
      </c>
      <c r="X3" s="186">
        <v>3</v>
      </c>
      <c r="Z3" s="194">
        <v>3</v>
      </c>
      <c r="AA3" s="112">
        <v>5</v>
      </c>
      <c r="AB3" s="112">
        <v>7</v>
      </c>
      <c r="AC3" s="112">
        <v>9</v>
      </c>
      <c r="AD3" s="195">
        <v>11</v>
      </c>
    </row>
    <row r="4" spans="2:30" ht="15.75" thickBot="1" x14ac:dyDescent="0.3">
      <c r="H4" s="112">
        <v>6</v>
      </c>
      <c r="J4" s="112">
        <v>6</v>
      </c>
      <c r="K4" s="112">
        <v>9</v>
      </c>
      <c r="L4" s="112">
        <v>12</v>
      </c>
      <c r="M4" s="112">
        <v>15</v>
      </c>
      <c r="N4" s="112">
        <v>18</v>
      </c>
      <c r="X4" s="187">
        <v>6</v>
      </c>
      <c r="Z4" s="196">
        <v>6</v>
      </c>
      <c r="AA4" s="197">
        <v>9</v>
      </c>
      <c r="AB4" s="197">
        <v>12</v>
      </c>
      <c r="AC4" s="197">
        <v>15</v>
      </c>
      <c r="AD4" s="198">
        <v>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6CEF-3319-486F-9E9A-23FAA7251A54}">
  <dimension ref="A1:E11"/>
  <sheetViews>
    <sheetView workbookViewId="0">
      <selection activeCell="E17" sqref="E17"/>
    </sheetView>
  </sheetViews>
  <sheetFormatPr defaultRowHeight="15" x14ac:dyDescent="0.25"/>
  <cols>
    <col min="1" max="1" width="5.7109375" style="202" bestFit="1" customWidth="1"/>
    <col min="2" max="2" width="7.85546875" style="202" bestFit="1" customWidth="1"/>
    <col min="3" max="3" width="10.5703125" style="202" bestFit="1" customWidth="1"/>
    <col min="4" max="4" width="2.7109375" style="202" customWidth="1"/>
    <col min="5" max="5" width="28.28515625" style="202" bestFit="1" customWidth="1"/>
    <col min="6" max="16384" width="9.140625" style="202"/>
  </cols>
  <sheetData>
    <row r="1" spans="1:5" x14ac:dyDescent="0.25">
      <c r="A1" s="202" t="s">
        <v>427</v>
      </c>
      <c r="B1" s="202" t="s">
        <v>468</v>
      </c>
      <c r="C1" s="202" t="s">
        <v>469</v>
      </c>
    </row>
    <row r="2" spans="1:5" x14ac:dyDescent="0.25">
      <c r="A2" s="202">
        <v>83</v>
      </c>
      <c r="B2" s="202">
        <v>70</v>
      </c>
      <c r="C2" s="202" cm="1">
        <f t="array" ref="C2:C6">FREQUENCY(A2:A11,B2:B5)</f>
        <v>4</v>
      </c>
      <c r="E2" s="203" t="s">
        <v>470</v>
      </c>
    </row>
    <row r="3" spans="1:5" x14ac:dyDescent="0.25">
      <c r="A3" s="202">
        <v>71</v>
      </c>
      <c r="B3" s="202">
        <v>80</v>
      </c>
      <c r="C3" s="202">
        <v>3</v>
      </c>
      <c r="E3" s="203" t="s">
        <v>471</v>
      </c>
    </row>
    <row r="4" spans="1:5" x14ac:dyDescent="0.25">
      <c r="A4" s="202">
        <v>80</v>
      </c>
      <c r="B4" s="202">
        <v>90</v>
      </c>
      <c r="C4" s="202">
        <v>2</v>
      </c>
      <c r="E4" s="203" t="s">
        <v>472</v>
      </c>
    </row>
    <row r="5" spans="1:5" x14ac:dyDescent="0.25">
      <c r="A5" s="202">
        <v>61</v>
      </c>
      <c r="B5" s="202">
        <v>100</v>
      </c>
      <c r="C5" s="202">
        <v>1</v>
      </c>
      <c r="E5" s="203" t="s">
        <v>473</v>
      </c>
    </row>
    <row r="6" spans="1:5" x14ac:dyDescent="0.25">
      <c r="A6" s="202">
        <v>72</v>
      </c>
      <c r="C6" s="202">
        <v>0</v>
      </c>
      <c r="E6" s="203" t="s">
        <v>474</v>
      </c>
    </row>
    <row r="7" spans="1:5" x14ac:dyDescent="0.25">
      <c r="A7" s="202">
        <v>64</v>
      </c>
    </row>
    <row r="8" spans="1:5" x14ac:dyDescent="0.25">
      <c r="A8" s="202">
        <v>61</v>
      </c>
    </row>
    <row r="9" spans="1:5" x14ac:dyDescent="0.25">
      <c r="A9" s="202">
        <v>91</v>
      </c>
    </row>
    <row r="10" spans="1:5" x14ac:dyDescent="0.25">
      <c r="A10" s="202">
        <v>89</v>
      </c>
    </row>
    <row r="11" spans="1:5" x14ac:dyDescent="0.25">
      <c r="A11" s="202">
        <v>64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9AF0-0405-4AE0-A1D1-C6096FA4F8E3}">
  <dimension ref="A1:G10"/>
  <sheetViews>
    <sheetView workbookViewId="0">
      <selection activeCell="X28" sqref="X28"/>
    </sheetView>
  </sheetViews>
  <sheetFormatPr defaultRowHeight="15" x14ac:dyDescent="0.25"/>
  <cols>
    <col min="1" max="1" width="18.85546875" bestFit="1" customWidth="1"/>
    <col min="2" max="4" width="7.7109375" customWidth="1"/>
    <col min="5" max="5" width="5.7109375" customWidth="1"/>
    <col min="7" max="7" width="19.85546875" customWidth="1"/>
  </cols>
  <sheetData>
    <row r="1" spans="1:7" x14ac:dyDescent="0.25">
      <c r="A1" t="s">
        <v>10</v>
      </c>
      <c r="B1" s="111" t="s">
        <v>813</v>
      </c>
      <c r="C1" s="111" t="s">
        <v>814</v>
      </c>
      <c r="D1" s="111" t="s">
        <v>815</v>
      </c>
      <c r="F1" t="s">
        <v>10</v>
      </c>
      <c r="G1" t="s">
        <v>816</v>
      </c>
    </row>
    <row r="2" spans="1:7" x14ac:dyDescent="0.25">
      <c r="A2" t="s">
        <v>817</v>
      </c>
      <c r="B2" s="213">
        <v>3.15</v>
      </c>
      <c r="C2" s="213">
        <v>3.65</v>
      </c>
      <c r="D2" s="213">
        <v>4.1500000000000004</v>
      </c>
      <c r="F2" t="s">
        <v>714</v>
      </c>
      <c r="G2" t="s">
        <v>814</v>
      </c>
    </row>
    <row r="3" spans="1:7" x14ac:dyDescent="0.25">
      <c r="A3" t="s">
        <v>816</v>
      </c>
      <c r="B3" s="213">
        <v>3.15</v>
      </c>
      <c r="C3" s="213">
        <v>3.65</v>
      </c>
      <c r="D3" s="213">
        <v>4.1500000000000004</v>
      </c>
      <c r="F3" t="s">
        <v>23</v>
      </c>
      <c r="G3" cm="1">
        <f t="array" ref="G3">_xlfn.XLOOKUP(G2,B1:D1,_xlfn.XLOOKUP(G1,A2:A10,B2:D10))</f>
        <v>3.65</v>
      </c>
    </row>
    <row r="4" spans="1:7" x14ac:dyDescent="0.25">
      <c r="A4" t="s">
        <v>818</v>
      </c>
      <c r="B4" s="213">
        <v>2.0499999999999998</v>
      </c>
      <c r="C4" s="213">
        <v>2.5499999999999998</v>
      </c>
      <c r="D4" s="213"/>
    </row>
    <row r="5" spans="1:7" x14ac:dyDescent="0.25">
      <c r="A5" t="s">
        <v>819</v>
      </c>
      <c r="B5" s="213">
        <v>4.05</v>
      </c>
      <c r="C5" s="213">
        <v>4.55</v>
      </c>
      <c r="D5" s="213">
        <v>5.05</v>
      </c>
    </row>
    <row r="6" spans="1:7" x14ac:dyDescent="0.25">
      <c r="A6" t="s">
        <v>820</v>
      </c>
      <c r="B6" s="213">
        <v>4.05</v>
      </c>
      <c r="C6" s="213">
        <v>4.55</v>
      </c>
      <c r="D6" s="213">
        <v>5.05</v>
      </c>
    </row>
    <row r="7" spans="1:7" x14ac:dyDescent="0.25">
      <c r="A7" t="s">
        <v>821</v>
      </c>
      <c r="B7" s="213">
        <v>4.05</v>
      </c>
      <c r="C7" s="213">
        <v>4.55</v>
      </c>
      <c r="D7" s="213">
        <v>5.05</v>
      </c>
    </row>
    <row r="8" spans="1:7" x14ac:dyDescent="0.25">
      <c r="A8" t="s">
        <v>822</v>
      </c>
      <c r="B8" s="213">
        <v>3.65</v>
      </c>
      <c r="C8" s="213">
        <v>4.1500000000000004</v>
      </c>
      <c r="D8" s="213">
        <v>4.6500000000000004</v>
      </c>
    </row>
    <row r="9" spans="1:7" x14ac:dyDescent="0.25">
      <c r="A9" t="s">
        <v>823</v>
      </c>
      <c r="B9" s="213">
        <v>2.5499999999999998</v>
      </c>
      <c r="C9" s="213">
        <v>3.05</v>
      </c>
      <c r="D9" s="213">
        <v>3.55</v>
      </c>
    </row>
    <row r="10" spans="1:7" x14ac:dyDescent="0.25">
      <c r="A10" t="s">
        <v>824</v>
      </c>
      <c r="B10" s="213">
        <v>2.25</v>
      </c>
      <c r="C10" s="213">
        <v>2.75</v>
      </c>
      <c r="D10" s="213">
        <v>3.05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EF55-ED21-4426-87FF-2E8A9DFC5185}">
  <dimension ref="A1:K88"/>
  <sheetViews>
    <sheetView workbookViewId="0">
      <selection activeCell="H2" sqref="H2"/>
    </sheetView>
  </sheetViews>
  <sheetFormatPr defaultRowHeight="15" x14ac:dyDescent="0.25"/>
  <cols>
    <col min="1" max="1" width="22.7109375" customWidth="1"/>
    <col min="2" max="2" width="8.140625" bestFit="1" customWidth="1"/>
    <col min="3" max="4" width="8.28515625" bestFit="1" customWidth="1"/>
    <col min="5" max="5" width="8.7109375" bestFit="1" customWidth="1"/>
    <col min="6" max="6" width="4.7109375" customWidth="1"/>
    <col min="7" max="7" width="10.42578125" bestFit="1" customWidth="1"/>
    <col min="8" max="11" width="6.140625" customWidth="1"/>
  </cols>
  <sheetData>
    <row r="1" spans="1:11" x14ac:dyDescent="0.25">
      <c r="A1" t="s">
        <v>454</v>
      </c>
      <c r="B1" t="s">
        <v>725</v>
      </c>
      <c r="C1" t="s">
        <v>726</v>
      </c>
      <c r="D1" t="s">
        <v>727</v>
      </c>
      <c r="E1" t="s">
        <v>232</v>
      </c>
      <c r="G1" t="s">
        <v>454</v>
      </c>
      <c r="H1" t="s">
        <v>725</v>
      </c>
      <c r="I1" t="s">
        <v>726</v>
      </c>
      <c r="J1" t="s">
        <v>727</v>
      </c>
      <c r="K1" t="s">
        <v>232</v>
      </c>
    </row>
    <row r="2" spans="1:11" x14ac:dyDescent="0.25">
      <c r="A2" t="s">
        <v>728</v>
      </c>
      <c r="B2">
        <v>46</v>
      </c>
      <c r="C2">
        <v>37</v>
      </c>
      <c r="D2">
        <v>38</v>
      </c>
      <c r="E2">
        <f>SUM(B2:D2)</f>
        <v>121</v>
      </c>
      <c r="G2" t="s">
        <v>460</v>
      </c>
      <c r="H2" cm="1">
        <f t="array" ref="H2:K2">_xlfn.XLOOKUP(G2,Medailles[Land],Medailles[Goud]:Medailles[Totaal])</f>
        <v>8</v>
      </c>
      <c r="I2">
        <v>7</v>
      </c>
      <c r="J2">
        <v>4</v>
      </c>
      <c r="K2">
        <v>19</v>
      </c>
    </row>
    <row r="3" spans="1:11" x14ac:dyDescent="0.25">
      <c r="A3" t="s">
        <v>729</v>
      </c>
      <c r="B3">
        <v>27</v>
      </c>
      <c r="C3">
        <v>23</v>
      </c>
      <c r="D3">
        <v>17</v>
      </c>
      <c r="E3">
        <f t="shared" ref="E3:E66" si="0">SUM(B3:D3)</f>
        <v>67</v>
      </c>
    </row>
    <row r="4" spans="1:11" x14ac:dyDescent="0.25">
      <c r="A4" t="s">
        <v>730</v>
      </c>
      <c r="B4">
        <v>26</v>
      </c>
      <c r="C4">
        <v>18</v>
      </c>
      <c r="D4">
        <v>26</v>
      </c>
      <c r="E4">
        <f t="shared" si="0"/>
        <v>70</v>
      </c>
    </row>
    <row r="5" spans="1:11" x14ac:dyDescent="0.25">
      <c r="A5" t="s">
        <v>731</v>
      </c>
      <c r="B5">
        <v>19</v>
      </c>
      <c r="C5">
        <v>18</v>
      </c>
      <c r="D5">
        <v>19</v>
      </c>
      <c r="E5">
        <f t="shared" si="0"/>
        <v>56</v>
      </c>
    </row>
    <row r="6" spans="1:11" x14ac:dyDescent="0.25">
      <c r="A6" t="s">
        <v>732</v>
      </c>
      <c r="B6">
        <v>17</v>
      </c>
      <c r="C6">
        <v>10</v>
      </c>
      <c r="D6">
        <v>15</v>
      </c>
      <c r="E6">
        <f t="shared" si="0"/>
        <v>42</v>
      </c>
    </row>
    <row r="7" spans="1:11" x14ac:dyDescent="0.25">
      <c r="A7" t="s">
        <v>733</v>
      </c>
      <c r="B7">
        <v>12</v>
      </c>
      <c r="C7">
        <v>8</v>
      </c>
      <c r="D7">
        <v>21</v>
      </c>
      <c r="E7">
        <f t="shared" si="0"/>
        <v>41</v>
      </c>
    </row>
    <row r="8" spans="1:11" x14ac:dyDescent="0.25">
      <c r="A8" t="s">
        <v>734</v>
      </c>
      <c r="B8">
        <v>10</v>
      </c>
      <c r="C8">
        <v>18</v>
      </c>
      <c r="D8">
        <v>14</v>
      </c>
      <c r="E8">
        <f t="shared" si="0"/>
        <v>42</v>
      </c>
    </row>
    <row r="9" spans="1:11" x14ac:dyDescent="0.25">
      <c r="A9" t="s">
        <v>735</v>
      </c>
      <c r="B9">
        <v>9</v>
      </c>
      <c r="C9">
        <v>3</v>
      </c>
      <c r="D9">
        <v>9</v>
      </c>
      <c r="E9">
        <f t="shared" si="0"/>
        <v>21</v>
      </c>
    </row>
    <row r="10" spans="1:11" x14ac:dyDescent="0.25">
      <c r="A10" t="s">
        <v>736</v>
      </c>
      <c r="B10">
        <v>8</v>
      </c>
      <c r="C10">
        <v>12</v>
      </c>
      <c r="D10">
        <v>8</v>
      </c>
      <c r="E10">
        <f t="shared" si="0"/>
        <v>28</v>
      </c>
    </row>
    <row r="11" spans="1:11" x14ac:dyDescent="0.25">
      <c r="A11" t="s">
        <v>737</v>
      </c>
      <c r="B11">
        <v>8</v>
      </c>
      <c r="C11">
        <v>11</v>
      </c>
      <c r="D11">
        <v>10</v>
      </c>
      <c r="E11">
        <f t="shared" si="0"/>
        <v>29</v>
      </c>
    </row>
    <row r="12" spans="1:11" x14ac:dyDescent="0.25">
      <c r="A12" t="s">
        <v>460</v>
      </c>
      <c r="B12">
        <v>8</v>
      </c>
      <c r="C12">
        <v>7</v>
      </c>
      <c r="D12">
        <v>4</v>
      </c>
      <c r="E12">
        <f t="shared" si="0"/>
        <v>19</v>
      </c>
    </row>
    <row r="13" spans="1:11" x14ac:dyDescent="0.25">
      <c r="A13" t="s">
        <v>738</v>
      </c>
      <c r="B13">
        <v>8</v>
      </c>
      <c r="C13">
        <v>3</v>
      </c>
      <c r="D13">
        <v>4</v>
      </c>
      <c r="E13">
        <f t="shared" si="0"/>
        <v>15</v>
      </c>
    </row>
    <row r="14" spans="1:11" x14ac:dyDescent="0.25">
      <c r="A14" t="s">
        <v>739</v>
      </c>
      <c r="B14">
        <v>7</v>
      </c>
      <c r="C14">
        <v>6</v>
      </c>
      <c r="D14">
        <v>6</v>
      </c>
      <c r="E14">
        <f t="shared" si="0"/>
        <v>19</v>
      </c>
    </row>
    <row r="15" spans="1:11" x14ac:dyDescent="0.25">
      <c r="A15" t="s">
        <v>740</v>
      </c>
      <c r="B15">
        <v>7</v>
      </c>
      <c r="C15">
        <v>4</v>
      </c>
      <c r="D15">
        <v>6</v>
      </c>
      <c r="E15">
        <f t="shared" si="0"/>
        <v>17</v>
      </c>
    </row>
    <row r="16" spans="1:11" x14ac:dyDescent="0.25">
      <c r="A16" t="s">
        <v>741</v>
      </c>
      <c r="B16">
        <v>6</v>
      </c>
      <c r="C16">
        <v>6</v>
      </c>
      <c r="D16">
        <v>1</v>
      </c>
      <c r="E16">
        <f t="shared" si="0"/>
        <v>13</v>
      </c>
    </row>
    <row r="17" spans="1:5" x14ac:dyDescent="0.25">
      <c r="A17" t="s">
        <v>742</v>
      </c>
      <c r="B17">
        <v>6</v>
      </c>
      <c r="C17">
        <v>3</v>
      </c>
      <c r="D17">
        <v>2</v>
      </c>
      <c r="E17">
        <f t="shared" si="0"/>
        <v>11</v>
      </c>
    </row>
    <row r="18" spans="1:5" x14ac:dyDescent="0.25">
      <c r="A18" t="s">
        <v>743</v>
      </c>
      <c r="B18">
        <v>5</v>
      </c>
      <c r="C18">
        <v>3</v>
      </c>
      <c r="D18">
        <v>2</v>
      </c>
      <c r="E18">
        <f t="shared" si="0"/>
        <v>10</v>
      </c>
    </row>
    <row r="19" spans="1:5" x14ac:dyDescent="0.25">
      <c r="A19" t="s">
        <v>744</v>
      </c>
      <c r="B19">
        <v>5</v>
      </c>
      <c r="C19">
        <v>2</v>
      </c>
      <c r="D19">
        <v>4</v>
      </c>
      <c r="E19">
        <f t="shared" si="0"/>
        <v>11</v>
      </c>
    </row>
    <row r="20" spans="1:5" x14ac:dyDescent="0.25">
      <c r="A20" t="s">
        <v>745</v>
      </c>
      <c r="B20">
        <v>4</v>
      </c>
      <c r="C20">
        <v>9</v>
      </c>
      <c r="D20">
        <v>5</v>
      </c>
      <c r="E20">
        <f t="shared" si="0"/>
        <v>18</v>
      </c>
    </row>
    <row r="21" spans="1:5" x14ac:dyDescent="0.25">
      <c r="A21" t="s">
        <v>746</v>
      </c>
      <c r="B21">
        <v>4</v>
      </c>
      <c r="C21">
        <v>3</v>
      </c>
      <c r="D21">
        <v>15</v>
      </c>
      <c r="E21">
        <f t="shared" si="0"/>
        <v>22</v>
      </c>
    </row>
    <row r="22" spans="1:5" x14ac:dyDescent="0.25">
      <c r="A22" t="s">
        <v>747</v>
      </c>
      <c r="B22">
        <v>4</v>
      </c>
      <c r="C22">
        <v>2</v>
      </c>
      <c r="D22">
        <v>7</v>
      </c>
      <c r="E22">
        <f t="shared" si="0"/>
        <v>13</v>
      </c>
    </row>
    <row r="23" spans="1:5" x14ac:dyDescent="0.25">
      <c r="A23" t="s">
        <v>748</v>
      </c>
      <c r="B23">
        <v>3</v>
      </c>
      <c r="C23">
        <v>5</v>
      </c>
      <c r="D23">
        <v>9</v>
      </c>
      <c r="E23">
        <f t="shared" si="0"/>
        <v>17</v>
      </c>
    </row>
    <row r="24" spans="1:5" x14ac:dyDescent="0.25">
      <c r="A24" t="s">
        <v>749</v>
      </c>
      <c r="B24">
        <v>3</v>
      </c>
      <c r="C24">
        <v>2</v>
      </c>
      <c r="D24">
        <v>3</v>
      </c>
      <c r="E24">
        <f t="shared" si="0"/>
        <v>8</v>
      </c>
    </row>
    <row r="25" spans="1:5" x14ac:dyDescent="0.25">
      <c r="A25" t="s">
        <v>750</v>
      </c>
      <c r="B25">
        <v>3</v>
      </c>
      <c r="C25">
        <v>2</v>
      </c>
      <c r="D25">
        <v>2</v>
      </c>
      <c r="E25">
        <f t="shared" si="0"/>
        <v>7</v>
      </c>
    </row>
    <row r="26" spans="1:5" x14ac:dyDescent="0.25">
      <c r="A26" t="s">
        <v>751</v>
      </c>
      <c r="B26">
        <v>3</v>
      </c>
      <c r="C26">
        <v>1</v>
      </c>
      <c r="D26">
        <v>4</v>
      </c>
      <c r="E26">
        <f t="shared" si="0"/>
        <v>8</v>
      </c>
    </row>
    <row r="27" spans="1:5" x14ac:dyDescent="0.25">
      <c r="A27" t="s">
        <v>752</v>
      </c>
      <c r="B27">
        <v>3</v>
      </c>
      <c r="C27">
        <v>1</v>
      </c>
      <c r="D27">
        <v>2</v>
      </c>
      <c r="E27">
        <f t="shared" si="0"/>
        <v>6</v>
      </c>
    </row>
    <row r="28" spans="1:5" x14ac:dyDescent="0.25">
      <c r="A28" t="s">
        <v>753</v>
      </c>
      <c r="B28">
        <v>3</v>
      </c>
      <c r="C28">
        <v>1</v>
      </c>
      <c r="D28">
        <v>0</v>
      </c>
      <c r="E28">
        <f t="shared" si="0"/>
        <v>4</v>
      </c>
    </row>
    <row r="29" spans="1:5" x14ac:dyDescent="0.25">
      <c r="A29" t="s">
        <v>754</v>
      </c>
      <c r="B29">
        <v>2</v>
      </c>
      <c r="C29">
        <v>6</v>
      </c>
      <c r="D29">
        <v>7</v>
      </c>
      <c r="E29">
        <f t="shared" si="0"/>
        <v>15</v>
      </c>
    </row>
    <row r="30" spans="1:5" x14ac:dyDescent="0.25">
      <c r="A30" t="s">
        <v>755</v>
      </c>
      <c r="B30">
        <v>2</v>
      </c>
      <c r="C30">
        <v>6</v>
      </c>
      <c r="D30">
        <v>3</v>
      </c>
      <c r="E30">
        <f t="shared" si="0"/>
        <v>11</v>
      </c>
    </row>
    <row r="31" spans="1:5" x14ac:dyDescent="0.25">
      <c r="A31" t="s">
        <v>756</v>
      </c>
      <c r="B31">
        <v>2</v>
      </c>
      <c r="C31">
        <v>6</v>
      </c>
      <c r="D31">
        <v>2</v>
      </c>
      <c r="E31">
        <f t="shared" si="0"/>
        <v>10</v>
      </c>
    </row>
    <row r="32" spans="1:5" x14ac:dyDescent="0.25">
      <c r="A32" t="s">
        <v>757</v>
      </c>
      <c r="B32">
        <v>2</v>
      </c>
      <c r="C32">
        <v>5</v>
      </c>
      <c r="D32">
        <v>4</v>
      </c>
      <c r="E32">
        <f t="shared" si="0"/>
        <v>11</v>
      </c>
    </row>
    <row r="33" spans="1:5" x14ac:dyDescent="0.25">
      <c r="A33" t="s">
        <v>758</v>
      </c>
      <c r="B33">
        <v>2</v>
      </c>
      <c r="C33">
        <v>4</v>
      </c>
      <c r="D33">
        <v>2</v>
      </c>
      <c r="E33">
        <f t="shared" si="0"/>
        <v>8</v>
      </c>
    </row>
    <row r="34" spans="1:5" x14ac:dyDescent="0.25">
      <c r="A34" t="s">
        <v>759</v>
      </c>
      <c r="B34">
        <v>2</v>
      </c>
      <c r="C34">
        <v>3</v>
      </c>
      <c r="D34">
        <v>6</v>
      </c>
      <c r="E34">
        <f t="shared" si="0"/>
        <v>11</v>
      </c>
    </row>
    <row r="35" spans="1:5" x14ac:dyDescent="0.25">
      <c r="A35" t="s">
        <v>760</v>
      </c>
      <c r="B35">
        <v>2</v>
      </c>
      <c r="C35">
        <v>3</v>
      </c>
      <c r="D35">
        <v>2</v>
      </c>
      <c r="E35">
        <f t="shared" si="0"/>
        <v>7</v>
      </c>
    </row>
    <row r="36" spans="1:5" x14ac:dyDescent="0.25">
      <c r="A36" t="s">
        <v>456</v>
      </c>
      <c r="B36">
        <v>2</v>
      </c>
      <c r="C36">
        <v>2</v>
      </c>
      <c r="D36">
        <v>2</v>
      </c>
      <c r="E36">
        <f t="shared" si="0"/>
        <v>6</v>
      </c>
    </row>
    <row r="37" spans="1:5" x14ac:dyDescent="0.25">
      <c r="A37" t="s">
        <v>761</v>
      </c>
      <c r="B37">
        <v>2</v>
      </c>
      <c r="C37">
        <v>2</v>
      </c>
      <c r="D37">
        <v>2</v>
      </c>
      <c r="E37">
        <f t="shared" si="0"/>
        <v>6</v>
      </c>
    </row>
    <row r="38" spans="1:5" x14ac:dyDescent="0.25">
      <c r="A38" t="s">
        <v>762</v>
      </c>
      <c r="B38">
        <v>2</v>
      </c>
      <c r="C38">
        <v>2</v>
      </c>
      <c r="D38">
        <v>0</v>
      </c>
      <c r="E38">
        <f t="shared" si="0"/>
        <v>4</v>
      </c>
    </row>
    <row r="39" spans="1:5" x14ac:dyDescent="0.25">
      <c r="A39" t="s">
        <v>763</v>
      </c>
      <c r="B39">
        <v>2</v>
      </c>
      <c r="C39">
        <v>1</v>
      </c>
      <c r="D39">
        <v>4</v>
      </c>
      <c r="E39">
        <f t="shared" si="0"/>
        <v>7</v>
      </c>
    </row>
    <row r="40" spans="1:5" x14ac:dyDescent="0.25">
      <c r="A40" t="s">
        <v>764</v>
      </c>
      <c r="B40">
        <v>1</v>
      </c>
      <c r="C40">
        <v>7</v>
      </c>
      <c r="D40">
        <v>10</v>
      </c>
      <c r="E40">
        <f t="shared" si="0"/>
        <v>18</v>
      </c>
    </row>
    <row r="41" spans="1:5" x14ac:dyDescent="0.25">
      <c r="A41" t="s">
        <v>765</v>
      </c>
      <c r="B41">
        <v>1</v>
      </c>
      <c r="C41">
        <v>4</v>
      </c>
      <c r="D41">
        <v>4</v>
      </c>
      <c r="E41">
        <f t="shared" si="0"/>
        <v>9</v>
      </c>
    </row>
    <row r="42" spans="1:5" x14ac:dyDescent="0.25">
      <c r="A42" t="s">
        <v>766</v>
      </c>
      <c r="B42">
        <v>1</v>
      </c>
      <c r="C42">
        <v>3</v>
      </c>
      <c r="D42">
        <v>4</v>
      </c>
      <c r="E42">
        <f t="shared" si="0"/>
        <v>8</v>
      </c>
    </row>
    <row r="43" spans="1:5" x14ac:dyDescent="0.25">
      <c r="A43" t="s">
        <v>767</v>
      </c>
      <c r="B43">
        <v>1</v>
      </c>
      <c r="C43">
        <v>3</v>
      </c>
      <c r="D43">
        <v>0</v>
      </c>
      <c r="E43">
        <f t="shared" si="0"/>
        <v>4</v>
      </c>
    </row>
    <row r="44" spans="1:5" x14ac:dyDescent="0.25">
      <c r="A44" t="s">
        <v>768</v>
      </c>
      <c r="B44">
        <v>1</v>
      </c>
      <c r="C44">
        <v>2</v>
      </c>
      <c r="D44">
        <v>7</v>
      </c>
      <c r="E44">
        <f t="shared" si="0"/>
        <v>10</v>
      </c>
    </row>
    <row r="45" spans="1:5" x14ac:dyDescent="0.25">
      <c r="A45" t="s">
        <v>769</v>
      </c>
      <c r="B45">
        <v>1</v>
      </c>
      <c r="C45">
        <v>2</v>
      </c>
      <c r="D45">
        <v>5</v>
      </c>
      <c r="E45">
        <f t="shared" si="0"/>
        <v>8</v>
      </c>
    </row>
    <row r="46" spans="1:5" x14ac:dyDescent="0.25">
      <c r="A46" t="s">
        <v>770</v>
      </c>
      <c r="B46">
        <v>1</v>
      </c>
      <c r="C46">
        <v>2</v>
      </c>
      <c r="D46">
        <v>1</v>
      </c>
      <c r="E46">
        <f t="shared" si="0"/>
        <v>4</v>
      </c>
    </row>
    <row r="47" spans="1:5" x14ac:dyDescent="0.25">
      <c r="A47" t="s">
        <v>771</v>
      </c>
      <c r="B47">
        <v>1</v>
      </c>
      <c r="C47">
        <v>2</v>
      </c>
      <c r="D47">
        <v>0</v>
      </c>
      <c r="E47">
        <f t="shared" si="0"/>
        <v>3</v>
      </c>
    </row>
    <row r="48" spans="1:5" x14ac:dyDescent="0.25">
      <c r="A48" t="s">
        <v>772</v>
      </c>
      <c r="B48">
        <v>1</v>
      </c>
      <c r="C48">
        <v>1</v>
      </c>
      <c r="D48">
        <v>3</v>
      </c>
      <c r="E48">
        <f t="shared" si="0"/>
        <v>5</v>
      </c>
    </row>
    <row r="49" spans="1:5" x14ac:dyDescent="0.25">
      <c r="A49" t="s">
        <v>773</v>
      </c>
      <c r="B49">
        <v>1</v>
      </c>
      <c r="C49">
        <v>1</v>
      </c>
      <c r="D49">
        <v>0</v>
      </c>
      <c r="E49">
        <f t="shared" si="0"/>
        <v>2</v>
      </c>
    </row>
    <row r="50" spans="1:5" x14ac:dyDescent="0.25">
      <c r="A50" t="s">
        <v>774</v>
      </c>
      <c r="B50">
        <v>1</v>
      </c>
      <c r="C50">
        <v>1</v>
      </c>
      <c r="D50">
        <v>0</v>
      </c>
      <c r="E50">
        <f t="shared" si="0"/>
        <v>2</v>
      </c>
    </row>
    <row r="51" spans="1:5" x14ac:dyDescent="0.25">
      <c r="A51" t="s">
        <v>775</v>
      </c>
      <c r="B51">
        <v>1</v>
      </c>
      <c r="C51">
        <v>0</v>
      </c>
      <c r="D51">
        <v>2</v>
      </c>
      <c r="E51">
        <f t="shared" si="0"/>
        <v>3</v>
      </c>
    </row>
    <row r="52" spans="1:5" x14ac:dyDescent="0.25">
      <c r="A52" t="s">
        <v>776</v>
      </c>
      <c r="B52">
        <v>1</v>
      </c>
      <c r="C52">
        <v>0</v>
      </c>
      <c r="D52">
        <v>1</v>
      </c>
      <c r="E52">
        <f t="shared" si="0"/>
        <v>2</v>
      </c>
    </row>
    <row r="53" spans="1:5" x14ac:dyDescent="0.25">
      <c r="A53" t="s">
        <v>777</v>
      </c>
      <c r="B53">
        <v>1</v>
      </c>
      <c r="C53">
        <v>0</v>
      </c>
      <c r="D53">
        <v>1</v>
      </c>
      <c r="E53">
        <f t="shared" si="0"/>
        <v>2</v>
      </c>
    </row>
    <row r="54" spans="1:5" x14ac:dyDescent="0.25">
      <c r="A54" t="s">
        <v>778</v>
      </c>
      <c r="B54">
        <v>1</v>
      </c>
      <c r="C54">
        <v>0</v>
      </c>
      <c r="D54">
        <v>1</v>
      </c>
      <c r="E54">
        <f t="shared" si="0"/>
        <v>2</v>
      </c>
    </row>
    <row r="55" spans="1:5" x14ac:dyDescent="0.25">
      <c r="A55" t="s">
        <v>779</v>
      </c>
      <c r="B55">
        <v>1</v>
      </c>
      <c r="C55">
        <v>0</v>
      </c>
      <c r="D55">
        <v>0</v>
      </c>
      <c r="E55">
        <f t="shared" si="0"/>
        <v>1</v>
      </c>
    </row>
    <row r="56" spans="1:5" x14ac:dyDescent="0.25">
      <c r="A56" t="s">
        <v>780</v>
      </c>
      <c r="B56">
        <v>1</v>
      </c>
      <c r="C56">
        <v>0</v>
      </c>
      <c r="D56">
        <v>0</v>
      </c>
      <c r="E56">
        <f t="shared" si="0"/>
        <v>1</v>
      </c>
    </row>
    <row r="57" spans="1:5" x14ac:dyDescent="0.25">
      <c r="A57" t="s">
        <v>781</v>
      </c>
      <c r="B57">
        <v>1</v>
      </c>
      <c r="C57">
        <v>0</v>
      </c>
      <c r="D57">
        <v>0</v>
      </c>
      <c r="E57">
        <f t="shared" si="0"/>
        <v>1</v>
      </c>
    </row>
    <row r="58" spans="1:5" x14ac:dyDescent="0.25">
      <c r="A58" t="s">
        <v>782</v>
      </c>
      <c r="B58">
        <v>1</v>
      </c>
      <c r="C58">
        <v>0</v>
      </c>
      <c r="D58">
        <v>0</v>
      </c>
      <c r="E58">
        <f t="shared" si="0"/>
        <v>1</v>
      </c>
    </row>
    <row r="59" spans="1:5" x14ac:dyDescent="0.25">
      <c r="A59" t="s">
        <v>783</v>
      </c>
      <c r="B59">
        <v>1</v>
      </c>
      <c r="C59">
        <v>0</v>
      </c>
      <c r="D59">
        <v>0</v>
      </c>
      <c r="E59">
        <f t="shared" si="0"/>
        <v>1</v>
      </c>
    </row>
    <row r="60" spans="1:5" x14ac:dyDescent="0.25">
      <c r="A60" t="s">
        <v>784</v>
      </c>
      <c r="B60">
        <v>1</v>
      </c>
      <c r="C60">
        <v>0</v>
      </c>
      <c r="D60">
        <v>0</v>
      </c>
      <c r="E60">
        <f t="shared" si="0"/>
        <v>1</v>
      </c>
    </row>
    <row r="61" spans="1:5" x14ac:dyDescent="0.25">
      <c r="A61" t="s">
        <v>785</v>
      </c>
      <c r="B61">
        <v>0</v>
      </c>
      <c r="C61">
        <v>4</v>
      </c>
      <c r="D61">
        <v>1</v>
      </c>
      <c r="E61">
        <f t="shared" si="0"/>
        <v>5</v>
      </c>
    </row>
    <row r="62" spans="1:5" x14ac:dyDescent="0.25">
      <c r="A62" t="s">
        <v>786</v>
      </c>
      <c r="B62">
        <v>0</v>
      </c>
      <c r="C62">
        <v>3</v>
      </c>
      <c r="D62">
        <v>2</v>
      </c>
      <c r="E62">
        <f t="shared" si="0"/>
        <v>5</v>
      </c>
    </row>
    <row r="63" spans="1:5" x14ac:dyDescent="0.25">
      <c r="A63" t="s">
        <v>787</v>
      </c>
      <c r="B63">
        <v>0</v>
      </c>
      <c r="C63">
        <v>2</v>
      </c>
      <c r="D63">
        <v>0</v>
      </c>
      <c r="E63">
        <f t="shared" si="0"/>
        <v>2</v>
      </c>
    </row>
    <row r="64" spans="1:5" x14ac:dyDescent="0.25">
      <c r="A64" t="s">
        <v>788</v>
      </c>
      <c r="B64">
        <v>0</v>
      </c>
      <c r="C64">
        <v>2</v>
      </c>
      <c r="D64">
        <v>0</v>
      </c>
      <c r="E64">
        <f t="shared" si="0"/>
        <v>2</v>
      </c>
    </row>
    <row r="65" spans="1:5" x14ac:dyDescent="0.25">
      <c r="A65" t="s">
        <v>789</v>
      </c>
      <c r="B65">
        <v>0</v>
      </c>
      <c r="C65">
        <v>1</v>
      </c>
      <c r="D65">
        <v>3</v>
      </c>
      <c r="E65">
        <f t="shared" si="0"/>
        <v>4</v>
      </c>
    </row>
    <row r="66" spans="1:5" x14ac:dyDescent="0.25">
      <c r="A66" t="s">
        <v>790</v>
      </c>
      <c r="B66">
        <v>0</v>
      </c>
      <c r="C66">
        <v>1</v>
      </c>
      <c r="D66">
        <v>2</v>
      </c>
      <c r="E66">
        <f t="shared" si="0"/>
        <v>3</v>
      </c>
    </row>
    <row r="67" spans="1:5" x14ac:dyDescent="0.25">
      <c r="A67" t="s">
        <v>791</v>
      </c>
      <c r="B67">
        <v>0</v>
      </c>
      <c r="C67">
        <v>1</v>
      </c>
      <c r="D67">
        <v>2</v>
      </c>
      <c r="E67">
        <f t="shared" ref="E67:E88" si="1">SUM(B67:D67)</f>
        <v>3</v>
      </c>
    </row>
    <row r="68" spans="1:5" x14ac:dyDescent="0.25">
      <c r="A68" t="s">
        <v>792</v>
      </c>
      <c r="B68">
        <v>0</v>
      </c>
      <c r="C68">
        <v>1</v>
      </c>
      <c r="D68">
        <v>1</v>
      </c>
      <c r="E68">
        <f t="shared" si="1"/>
        <v>2</v>
      </c>
    </row>
    <row r="69" spans="1:5" x14ac:dyDescent="0.25">
      <c r="A69" t="s">
        <v>793</v>
      </c>
      <c r="B69">
        <v>0</v>
      </c>
      <c r="C69">
        <v>1</v>
      </c>
      <c r="D69">
        <v>1</v>
      </c>
      <c r="E69">
        <f t="shared" si="1"/>
        <v>2</v>
      </c>
    </row>
    <row r="70" spans="1:5" x14ac:dyDescent="0.25">
      <c r="A70" t="s">
        <v>794</v>
      </c>
      <c r="B70">
        <v>0</v>
      </c>
      <c r="C70">
        <v>1</v>
      </c>
      <c r="D70">
        <v>0</v>
      </c>
      <c r="E70">
        <f t="shared" si="1"/>
        <v>1</v>
      </c>
    </row>
    <row r="71" spans="1:5" x14ac:dyDescent="0.25">
      <c r="A71" t="s">
        <v>795</v>
      </c>
      <c r="B71">
        <v>0</v>
      </c>
      <c r="C71">
        <v>1</v>
      </c>
      <c r="D71">
        <v>0</v>
      </c>
      <c r="E71">
        <f t="shared" si="1"/>
        <v>1</v>
      </c>
    </row>
    <row r="72" spans="1:5" x14ac:dyDescent="0.25">
      <c r="A72" t="s">
        <v>796</v>
      </c>
      <c r="B72">
        <v>0</v>
      </c>
      <c r="C72">
        <v>1</v>
      </c>
      <c r="D72">
        <v>0</v>
      </c>
      <c r="E72">
        <f t="shared" si="1"/>
        <v>1</v>
      </c>
    </row>
    <row r="73" spans="1:5" x14ac:dyDescent="0.25">
      <c r="A73" t="s">
        <v>797</v>
      </c>
      <c r="B73">
        <v>0</v>
      </c>
      <c r="C73">
        <v>1</v>
      </c>
      <c r="D73">
        <v>0</v>
      </c>
      <c r="E73">
        <f t="shared" si="1"/>
        <v>1</v>
      </c>
    </row>
    <row r="74" spans="1:5" x14ac:dyDescent="0.25">
      <c r="A74" t="s">
        <v>798</v>
      </c>
      <c r="B74">
        <v>0</v>
      </c>
      <c r="C74">
        <v>1</v>
      </c>
      <c r="D74">
        <v>0</v>
      </c>
      <c r="E74">
        <f t="shared" si="1"/>
        <v>1</v>
      </c>
    </row>
    <row r="75" spans="1:5" x14ac:dyDescent="0.25">
      <c r="A75" t="s">
        <v>799</v>
      </c>
      <c r="B75">
        <v>0</v>
      </c>
      <c r="C75">
        <v>0</v>
      </c>
      <c r="D75">
        <v>4</v>
      </c>
      <c r="E75">
        <f t="shared" si="1"/>
        <v>4</v>
      </c>
    </row>
    <row r="76" spans="1:5" x14ac:dyDescent="0.25">
      <c r="A76" t="s">
        <v>800</v>
      </c>
      <c r="B76">
        <v>0</v>
      </c>
      <c r="C76">
        <v>0</v>
      </c>
      <c r="D76">
        <v>3</v>
      </c>
      <c r="E76">
        <f t="shared" si="1"/>
        <v>3</v>
      </c>
    </row>
    <row r="77" spans="1:5" x14ac:dyDescent="0.25">
      <c r="A77" t="s">
        <v>801</v>
      </c>
      <c r="B77">
        <v>0</v>
      </c>
      <c r="C77">
        <v>0</v>
      </c>
      <c r="D77">
        <v>3</v>
      </c>
      <c r="E77">
        <f t="shared" si="1"/>
        <v>3</v>
      </c>
    </row>
    <row r="78" spans="1:5" x14ac:dyDescent="0.25">
      <c r="A78" t="s">
        <v>802</v>
      </c>
      <c r="B78">
        <v>0</v>
      </c>
      <c r="C78">
        <v>0</v>
      </c>
      <c r="D78">
        <v>2</v>
      </c>
      <c r="E78">
        <f t="shared" si="1"/>
        <v>2</v>
      </c>
    </row>
    <row r="79" spans="1:5" x14ac:dyDescent="0.25">
      <c r="A79" t="s">
        <v>803</v>
      </c>
      <c r="B79">
        <v>0</v>
      </c>
      <c r="C79">
        <v>0</v>
      </c>
      <c r="D79">
        <v>1</v>
      </c>
      <c r="E79">
        <f t="shared" si="1"/>
        <v>1</v>
      </c>
    </row>
    <row r="80" spans="1:5" x14ac:dyDescent="0.25">
      <c r="A80" t="s">
        <v>804</v>
      </c>
      <c r="B80">
        <v>0</v>
      </c>
      <c r="C80">
        <v>0</v>
      </c>
      <c r="D80">
        <v>1</v>
      </c>
      <c r="E80">
        <f t="shared" si="1"/>
        <v>1</v>
      </c>
    </row>
    <row r="81" spans="1:5" x14ac:dyDescent="0.25">
      <c r="A81" t="s">
        <v>805</v>
      </c>
      <c r="B81">
        <v>0</v>
      </c>
      <c r="C81">
        <v>0</v>
      </c>
      <c r="D81">
        <v>1</v>
      </c>
      <c r="E81">
        <f t="shared" si="1"/>
        <v>1</v>
      </c>
    </row>
    <row r="82" spans="1:5" x14ac:dyDescent="0.25">
      <c r="A82" t="s">
        <v>806</v>
      </c>
      <c r="B82">
        <v>0</v>
      </c>
      <c r="C82">
        <v>0</v>
      </c>
      <c r="D82">
        <v>1</v>
      </c>
      <c r="E82">
        <f t="shared" si="1"/>
        <v>1</v>
      </c>
    </row>
    <row r="83" spans="1:5" x14ac:dyDescent="0.25">
      <c r="A83" t="s">
        <v>807</v>
      </c>
      <c r="B83">
        <v>0</v>
      </c>
      <c r="C83">
        <v>0</v>
      </c>
      <c r="D83">
        <v>1</v>
      </c>
      <c r="E83">
        <f t="shared" si="1"/>
        <v>1</v>
      </c>
    </row>
    <row r="84" spans="1:5" x14ac:dyDescent="0.25">
      <c r="A84" t="s">
        <v>808</v>
      </c>
      <c r="B84">
        <v>0</v>
      </c>
      <c r="C84">
        <v>0</v>
      </c>
      <c r="D84">
        <v>1</v>
      </c>
      <c r="E84">
        <f t="shared" si="1"/>
        <v>1</v>
      </c>
    </row>
    <row r="85" spans="1:5" x14ac:dyDescent="0.25">
      <c r="A85" t="s">
        <v>809</v>
      </c>
      <c r="B85">
        <v>0</v>
      </c>
      <c r="C85">
        <v>0</v>
      </c>
      <c r="D85">
        <v>1</v>
      </c>
      <c r="E85">
        <f t="shared" si="1"/>
        <v>1</v>
      </c>
    </row>
    <row r="86" spans="1:5" x14ac:dyDescent="0.25">
      <c r="A86" t="s">
        <v>810</v>
      </c>
      <c r="B86">
        <v>0</v>
      </c>
      <c r="C86">
        <v>0</v>
      </c>
      <c r="D86">
        <v>1</v>
      </c>
      <c r="E86">
        <f t="shared" si="1"/>
        <v>1</v>
      </c>
    </row>
    <row r="87" spans="1:5" x14ac:dyDescent="0.25">
      <c r="A87" t="s">
        <v>811</v>
      </c>
      <c r="B87">
        <v>0</v>
      </c>
      <c r="C87">
        <v>0</v>
      </c>
      <c r="D87">
        <v>1</v>
      </c>
      <c r="E87">
        <f t="shared" si="1"/>
        <v>1</v>
      </c>
    </row>
    <row r="88" spans="1:5" x14ac:dyDescent="0.25">
      <c r="A88" t="s">
        <v>812</v>
      </c>
      <c r="B88">
        <v>0</v>
      </c>
      <c r="C88">
        <v>0</v>
      </c>
      <c r="D88">
        <v>1</v>
      </c>
      <c r="E88">
        <f t="shared" si="1"/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topLeftCell="A15" workbookViewId="0">
      <selection activeCell="B51" sqref="B51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86</v>
      </c>
      <c r="B1" t="s">
        <v>426</v>
      </c>
    </row>
    <row r="2" spans="1:2" x14ac:dyDescent="0.25">
      <c r="A2" s="3" t="s">
        <v>408</v>
      </c>
      <c r="B2" s="178">
        <v>1032</v>
      </c>
    </row>
    <row r="3" spans="1:2" x14ac:dyDescent="0.25">
      <c r="A3" s="177" t="s">
        <v>99</v>
      </c>
      <c r="B3" s="178">
        <v>284</v>
      </c>
    </row>
    <row r="4" spans="1:2" x14ac:dyDescent="0.25">
      <c r="A4" s="177" t="s">
        <v>100</v>
      </c>
      <c r="B4" s="178">
        <v>213</v>
      </c>
    </row>
    <row r="5" spans="1:2" x14ac:dyDescent="0.25">
      <c r="A5" s="177" t="s">
        <v>101</v>
      </c>
      <c r="B5" s="178">
        <v>227</v>
      </c>
    </row>
    <row r="6" spans="1:2" x14ac:dyDescent="0.25">
      <c r="A6" s="177" t="s">
        <v>102</v>
      </c>
      <c r="B6" s="178">
        <v>308</v>
      </c>
    </row>
    <row r="7" spans="1:2" x14ac:dyDescent="0.25">
      <c r="A7" s="3" t="s">
        <v>409</v>
      </c>
      <c r="B7" s="178">
        <v>1046</v>
      </c>
    </row>
    <row r="8" spans="1:2" x14ac:dyDescent="0.25">
      <c r="A8" s="177" t="s">
        <v>99</v>
      </c>
      <c r="B8" s="178">
        <v>262</v>
      </c>
    </row>
    <row r="9" spans="1:2" x14ac:dyDescent="0.25">
      <c r="A9" s="177" t="s">
        <v>100</v>
      </c>
      <c r="B9" s="178">
        <v>228</v>
      </c>
    </row>
    <row r="10" spans="1:2" x14ac:dyDescent="0.25">
      <c r="A10" s="177" t="s">
        <v>101</v>
      </c>
      <c r="B10" s="178">
        <v>236</v>
      </c>
    </row>
    <row r="11" spans="1:2" x14ac:dyDescent="0.25">
      <c r="A11" s="177" t="s">
        <v>102</v>
      </c>
      <c r="B11" s="178">
        <v>320</v>
      </c>
    </row>
    <row r="12" spans="1:2" x14ac:dyDescent="0.25">
      <c r="A12" s="3" t="s">
        <v>410</v>
      </c>
      <c r="B12" s="178">
        <v>1055</v>
      </c>
    </row>
    <row r="13" spans="1:2" x14ac:dyDescent="0.25">
      <c r="A13" s="177" t="s">
        <v>99</v>
      </c>
      <c r="B13" s="178">
        <v>272</v>
      </c>
    </row>
    <row r="14" spans="1:2" x14ac:dyDescent="0.25">
      <c r="A14" s="177" t="s">
        <v>100</v>
      </c>
      <c r="B14" s="178">
        <v>233</v>
      </c>
    </row>
    <row r="15" spans="1:2" x14ac:dyDescent="0.25">
      <c r="A15" s="177" t="s">
        <v>101</v>
      </c>
      <c r="B15" s="178">
        <v>237</v>
      </c>
    </row>
    <row r="16" spans="1:2" x14ac:dyDescent="0.25">
      <c r="A16" s="177" t="s">
        <v>102</v>
      </c>
      <c r="B16" s="178">
        <v>313</v>
      </c>
    </row>
    <row r="17" spans="1:2" x14ac:dyDescent="0.25">
      <c r="A17" s="3" t="s">
        <v>411</v>
      </c>
      <c r="B17" s="178">
        <v>1052</v>
      </c>
    </row>
    <row r="18" spans="1:2" x14ac:dyDescent="0.25">
      <c r="A18" s="177" t="s">
        <v>99</v>
      </c>
      <c r="B18" s="178">
        <v>261</v>
      </c>
    </row>
    <row r="19" spans="1:2" x14ac:dyDescent="0.25">
      <c r="A19" s="177" t="s">
        <v>100</v>
      </c>
      <c r="B19" s="178">
        <v>227</v>
      </c>
    </row>
    <row r="20" spans="1:2" x14ac:dyDescent="0.25">
      <c r="A20" s="177" t="s">
        <v>101</v>
      </c>
      <c r="B20" s="178">
        <v>250</v>
      </c>
    </row>
    <row r="21" spans="1:2" x14ac:dyDescent="0.25">
      <c r="A21" s="177" t="s">
        <v>102</v>
      </c>
      <c r="B21" s="178">
        <v>314</v>
      </c>
    </row>
    <row r="22" spans="1:2" x14ac:dyDescent="0.25">
      <c r="A22" s="3" t="s">
        <v>412</v>
      </c>
      <c r="B22" s="178">
        <v>1084</v>
      </c>
    </row>
    <row r="23" spans="1:2" x14ac:dyDescent="0.25">
      <c r="A23" s="177" t="s">
        <v>99</v>
      </c>
      <c r="B23" s="178">
        <v>286</v>
      </c>
    </row>
    <row r="24" spans="1:2" x14ac:dyDescent="0.25">
      <c r="A24" s="177" t="s">
        <v>100</v>
      </c>
      <c r="B24" s="178">
        <v>227</v>
      </c>
    </row>
    <row r="25" spans="1:2" x14ac:dyDescent="0.25">
      <c r="A25" s="177" t="s">
        <v>101</v>
      </c>
      <c r="B25" s="178">
        <v>260</v>
      </c>
    </row>
    <row r="26" spans="1:2" x14ac:dyDescent="0.25">
      <c r="A26" s="177" t="s">
        <v>102</v>
      </c>
      <c r="B26" s="178">
        <v>311</v>
      </c>
    </row>
    <row r="27" spans="1:2" x14ac:dyDescent="0.25">
      <c r="A27" s="3" t="s">
        <v>413</v>
      </c>
      <c r="B27" s="178">
        <v>1124</v>
      </c>
    </row>
    <row r="28" spans="1:2" x14ac:dyDescent="0.25">
      <c r="A28" s="177" t="s">
        <v>99</v>
      </c>
      <c r="B28" s="178">
        <v>295</v>
      </c>
    </row>
    <row r="29" spans="1:2" x14ac:dyDescent="0.25">
      <c r="A29" s="177" t="s">
        <v>100</v>
      </c>
      <c r="B29" s="178">
        <v>233</v>
      </c>
    </row>
    <row r="30" spans="1:2" x14ac:dyDescent="0.25">
      <c r="A30" s="177" t="s">
        <v>101</v>
      </c>
      <c r="B30" s="178">
        <v>257</v>
      </c>
    </row>
    <row r="31" spans="1:2" x14ac:dyDescent="0.25">
      <c r="A31" s="177" t="s">
        <v>102</v>
      </c>
      <c r="B31" s="178">
        <v>339</v>
      </c>
    </row>
    <row r="32" spans="1:2" x14ac:dyDescent="0.25">
      <c r="A32" s="3" t="s">
        <v>414</v>
      </c>
      <c r="B32" s="178">
        <v>1145</v>
      </c>
    </row>
    <row r="33" spans="1:2" x14ac:dyDescent="0.25">
      <c r="A33" s="177" t="s">
        <v>99</v>
      </c>
      <c r="B33" s="178">
        <v>279</v>
      </c>
    </row>
    <row r="34" spans="1:2" x14ac:dyDescent="0.25">
      <c r="A34" s="177" t="s">
        <v>100</v>
      </c>
      <c r="B34" s="178">
        <v>250</v>
      </c>
    </row>
    <row r="35" spans="1:2" x14ac:dyDescent="0.25">
      <c r="A35" s="177" t="s">
        <v>101</v>
      </c>
      <c r="B35" s="178">
        <v>270</v>
      </c>
    </row>
    <row r="36" spans="1:2" x14ac:dyDescent="0.25">
      <c r="A36" s="177" t="s">
        <v>102</v>
      </c>
      <c r="B36" s="178">
        <v>346</v>
      </c>
    </row>
    <row r="37" spans="1:2" x14ac:dyDescent="0.25">
      <c r="A37" s="3" t="s">
        <v>415</v>
      </c>
      <c r="B37" s="178">
        <v>1190</v>
      </c>
    </row>
    <row r="38" spans="1:2" x14ac:dyDescent="0.25">
      <c r="A38" s="177" t="s">
        <v>99</v>
      </c>
      <c r="B38" s="178">
        <v>294</v>
      </c>
    </row>
    <row r="39" spans="1:2" x14ac:dyDescent="0.25">
      <c r="A39" s="177" t="s">
        <v>100</v>
      </c>
      <c r="B39" s="178">
        <v>255</v>
      </c>
    </row>
    <row r="40" spans="1:2" x14ac:dyDescent="0.25">
      <c r="A40" s="177" t="s">
        <v>101</v>
      </c>
      <c r="B40" s="178">
        <v>278</v>
      </c>
    </row>
    <row r="41" spans="1:2" x14ac:dyDescent="0.25">
      <c r="A41" s="177" t="s">
        <v>102</v>
      </c>
      <c r="B41" s="178">
        <v>363</v>
      </c>
    </row>
    <row r="42" spans="1:2" x14ac:dyDescent="0.25">
      <c r="A42" s="3" t="s">
        <v>416</v>
      </c>
      <c r="B42" s="178">
        <v>1256</v>
      </c>
    </row>
    <row r="43" spans="1:2" x14ac:dyDescent="0.25">
      <c r="A43" s="177" t="s">
        <v>99</v>
      </c>
      <c r="B43" s="178">
        <v>313</v>
      </c>
    </row>
    <row r="44" spans="1:2" x14ac:dyDescent="0.25">
      <c r="A44" s="177" t="s">
        <v>100</v>
      </c>
      <c r="B44" s="178">
        <v>273</v>
      </c>
    </row>
    <row r="45" spans="1:2" x14ac:dyDescent="0.25">
      <c r="A45" s="177" t="s">
        <v>101</v>
      </c>
      <c r="B45" s="178">
        <v>300</v>
      </c>
    </row>
    <row r="46" spans="1:2" x14ac:dyDescent="0.25">
      <c r="A46" s="177" t="s">
        <v>102</v>
      </c>
      <c r="B46" s="178">
        <v>370</v>
      </c>
    </row>
    <row r="47" spans="1:2" x14ac:dyDescent="0.25">
      <c r="A47" s="3" t="s">
        <v>417</v>
      </c>
      <c r="B47" s="178">
        <v>1311</v>
      </c>
    </row>
    <row r="48" spans="1:2" x14ac:dyDescent="0.25">
      <c r="A48" s="177" t="s">
        <v>99</v>
      </c>
      <c r="B48" s="178">
        <v>331</v>
      </c>
    </row>
    <row r="49" spans="1:2" x14ac:dyDescent="0.25">
      <c r="A49" s="177" t="s">
        <v>100</v>
      </c>
      <c r="B49" s="178">
        <v>288</v>
      </c>
    </row>
    <row r="50" spans="1:2" x14ac:dyDescent="0.25">
      <c r="A50" s="177" t="s">
        <v>101</v>
      </c>
      <c r="B50" s="178">
        <v>306</v>
      </c>
    </row>
    <row r="51" spans="1:2" x14ac:dyDescent="0.25">
      <c r="A51" s="177" t="s">
        <v>102</v>
      </c>
      <c r="B51" s="178">
        <v>386</v>
      </c>
    </row>
    <row r="52" spans="1:2" x14ac:dyDescent="0.25">
      <c r="A52" s="3" t="s">
        <v>418</v>
      </c>
      <c r="B52" s="178">
        <v>1333</v>
      </c>
    </row>
    <row r="53" spans="1:2" x14ac:dyDescent="0.25">
      <c r="A53" s="177" t="s">
        <v>99</v>
      </c>
      <c r="B53" s="178">
        <v>335</v>
      </c>
    </row>
    <row r="54" spans="1:2" x14ac:dyDescent="0.25">
      <c r="A54" s="177" t="s">
        <v>100</v>
      </c>
      <c r="B54" s="178">
        <v>288</v>
      </c>
    </row>
    <row r="55" spans="1:2" x14ac:dyDescent="0.25">
      <c r="A55" s="177" t="s">
        <v>101</v>
      </c>
      <c r="B55" s="178">
        <v>308</v>
      </c>
    </row>
    <row r="56" spans="1:2" x14ac:dyDescent="0.25">
      <c r="A56" s="177" t="s">
        <v>102</v>
      </c>
      <c r="B56" s="178">
        <v>402</v>
      </c>
    </row>
    <row r="57" spans="1:2" x14ac:dyDescent="0.25">
      <c r="A57" s="3" t="s">
        <v>419</v>
      </c>
      <c r="B57" s="178">
        <v>1399</v>
      </c>
    </row>
    <row r="58" spans="1:2" x14ac:dyDescent="0.25">
      <c r="A58" s="177" t="s">
        <v>99</v>
      </c>
      <c r="B58" s="178">
        <v>353</v>
      </c>
    </row>
    <row r="59" spans="1:2" x14ac:dyDescent="0.25">
      <c r="A59" s="177" t="s">
        <v>100</v>
      </c>
      <c r="B59" s="178">
        <v>316</v>
      </c>
    </row>
    <row r="60" spans="1:2" x14ac:dyDescent="0.25">
      <c r="A60" s="177" t="s">
        <v>101</v>
      </c>
      <c r="B60" s="178">
        <v>325</v>
      </c>
    </row>
    <row r="61" spans="1:2" x14ac:dyDescent="0.25">
      <c r="A61" s="177" t="s">
        <v>102</v>
      </c>
      <c r="B61" s="178">
        <v>405</v>
      </c>
    </row>
    <row r="62" spans="1:2" x14ac:dyDescent="0.25">
      <c r="A62" s="3" t="s">
        <v>420</v>
      </c>
      <c r="B62" s="178">
        <v>1481</v>
      </c>
    </row>
    <row r="63" spans="1:2" x14ac:dyDescent="0.25">
      <c r="A63" s="177" t="s">
        <v>99</v>
      </c>
      <c r="B63" s="178">
        <v>393</v>
      </c>
    </row>
    <row r="64" spans="1:2" x14ac:dyDescent="0.25">
      <c r="A64" s="177" t="s">
        <v>100</v>
      </c>
      <c r="B64" s="178">
        <v>319</v>
      </c>
    </row>
    <row r="65" spans="1:2" x14ac:dyDescent="0.25">
      <c r="A65" s="177" t="s">
        <v>101</v>
      </c>
      <c r="B65" s="178">
        <v>327</v>
      </c>
    </row>
    <row r="66" spans="1:2" x14ac:dyDescent="0.25">
      <c r="A66" s="177" t="s">
        <v>102</v>
      </c>
      <c r="B66" s="178">
        <v>442</v>
      </c>
    </row>
    <row r="67" spans="1:2" x14ac:dyDescent="0.25">
      <c r="A67" s="3" t="s">
        <v>421</v>
      </c>
      <c r="B67" s="178">
        <v>1522</v>
      </c>
    </row>
    <row r="68" spans="1:2" x14ac:dyDescent="0.25">
      <c r="A68" s="177" t="s">
        <v>99</v>
      </c>
      <c r="B68" s="178">
        <v>383</v>
      </c>
    </row>
    <row r="69" spans="1:2" x14ac:dyDescent="0.25">
      <c r="A69" s="177" t="s">
        <v>100</v>
      </c>
      <c r="B69" s="178">
        <v>332</v>
      </c>
    </row>
    <row r="70" spans="1:2" x14ac:dyDescent="0.25">
      <c r="A70" s="177" t="s">
        <v>101</v>
      </c>
      <c r="B70" s="178">
        <v>361</v>
      </c>
    </row>
    <row r="71" spans="1:2" x14ac:dyDescent="0.25">
      <c r="A71" s="177" t="s">
        <v>102</v>
      </c>
      <c r="B71" s="178">
        <v>446</v>
      </c>
    </row>
    <row r="72" spans="1:2" x14ac:dyDescent="0.25">
      <c r="A72" s="3" t="s">
        <v>422</v>
      </c>
      <c r="B72" s="178">
        <v>1584</v>
      </c>
    </row>
    <row r="73" spans="1:2" x14ac:dyDescent="0.25">
      <c r="A73" s="177" t="s">
        <v>99</v>
      </c>
      <c r="B73" s="178">
        <v>387</v>
      </c>
    </row>
    <row r="74" spans="1:2" x14ac:dyDescent="0.25">
      <c r="A74" s="177" t="s">
        <v>100</v>
      </c>
      <c r="B74" s="178">
        <v>357</v>
      </c>
    </row>
    <row r="75" spans="1:2" x14ac:dyDescent="0.25">
      <c r="A75" s="177" t="s">
        <v>101</v>
      </c>
      <c r="B75" s="178">
        <v>374</v>
      </c>
    </row>
    <row r="76" spans="1:2" x14ac:dyDescent="0.25">
      <c r="A76" s="177" t="s">
        <v>102</v>
      </c>
      <c r="B76" s="178">
        <v>466</v>
      </c>
    </row>
    <row r="77" spans="1:2" x14ac:dyDescent="0.25">
      <c r="A77" s="3" t="s">
        <v>423</v>
      </c>
      <c r="B77" s="178">
        <v>1646</v>
      </c>
    </row>
    <row r="78" spans="1:2" x14ac:dyDescent="0.25">
      <c r="A78" s="177" t="s">
        <v>99</v>
      </c>
      <c r="B78" s="178">
        <v>410</v>
      </c>
    </row>
    <row r="79" spans="1:2" x14ac:dyDescent="0.25">
      <c r="A79" s="177" t="s">
        <v>100</v>
      </c>
      <c r="B79" s="178">
        <v>370</v>
      </c>
    </row>
    <row r="80" spans="1:2" x14ac:dyDescent="0.25">
      <c r="A80" s="177" t="s">
        <v>101</v>
      </c>
      <c r="B80" s="178">
        <v>379</v>
      </c>
    </row>
    <row r="81" spans="1:2" x14ac:dyDescent="0.25">
      <c r="A81" s="177" t="s">
        <v>102</v>
      </c>
      <c r="B81" s="178">
        <v>487</v>
      </c>
    </row>
    <row r="82" spans="1:2" x14ac:dyDescent="0.25">
      <c r="A82" s="3" t="s">
        <v>424</v>
      </c>
      <c r="B82" s="178">
        <v>1695</v>
      </c>
    </row>
    <row r="83" spans="1:2" x14ac:dyDescent="0.25">
      <c r="A83" s="177" t="s">
        <v>99</v>
      </c>
      <c r="B83" s="178">
        <v>419</v>
      </c>
    </row>
    <row r="84" spans="1:2" x14ac:dyDescent="0.25">
      <c r="A84" s="177" t="s">
        <v>100</v>
      </c>
      <c r="B84" s="178">
        <v>377</v>
      </c>
    </row>
    <row r="85" spans="1:2" x14ac:dyDescent="0.25">
      <c r="A85" s="177" t="s">
        <v>101</v>
      </c>
      <c r="B85" s="178">
        <v>393</v>
      </c>
    </row>
    <row r="86" spans="1:2" x14ac:dyDescent="0.25">
      <c r="A86" s="177" t="s">
        <v>102</v>
      </c>
      <c r="B86" s="178">
        <v>506</v>
      </c>
    </row>
    <row r="87" spans="1:2" x14ac:dyDescent="0.25">
      <c r="A87" s="3" t="s">
        <v>425</v>
      </c>
      <c r="B87" s="178">
        <v>1837</v>
      </c>
    </row>
    <row r="88" spans="1:2" x14ac:dyDescent="0.25">
      <c r="A88" s="177" t="s">
        <v>99</v>
      </c>
      <c r="B88" s="178">
        <v>458</v>
      </c>
    </row>
    <row r="89" spans="1:2" x14ac:dyDescent="0.25">
      <c r="A89" s="177" t="s">
        <v>100</v>
      </c>
      <c r="B89" s="178">
        <v>387</v>
      </c>
    </row>
    <row r="90" spans="1:2" x14ac:dyDescent="0.25">
      <c r="A90" s="177" t="s">
        <v>101</v>
      </c>
      <c r="B90" s="178">
        <v>427</v>
      </c>
    </row>
    <row r="91" spans="1:2" x14ac:dyDescent="0.25">
      <c r="A91" s="177" t="s">
        <v>102</v>
      </c>
      <c r="B91" s="178">
        <v>565</v>
      </c>
    </row>
    <row r="92" spans="1:2" x14ac:dyDescent="0.25">
      <c r="A92" s="3" t="s">
        <v>8</v>
      </c>
      <c r="B92" s="178">
        <v>23792</v>
      </c>
    </row>
  </sheetData>
  <pageMargins left="0.7" right="0.7" top="0.75" bottom="0.75" header="0.3" footer="0.3"/>
  <pageSetup paperSize="9"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426</v>
      </c>
      <c r="B1" s="11" t="s">
        <v>98</v>
      </c>
    </row>
    <row r="2" spans="1:20" x14ac:dyDescent="0.25">
      <c r="A2" s="11" t="s">
        <v>86</v>
      </c>
      <c r="B2" t="s">
        <v>408</v>
      </c>
      <c r="C2" t="s">
        <v>409</v>
      </c>
      <c r="D2" t="s">
        <v>410</v>
      </c>
      <c r="E2" t="s">
        <v>411</v>
      </c>
      <c r="F2" t="s">
        <v>412</v>
      </c>
      <c r="G2" t="s">
        <v>413</v>
      </c>
      <c r="H2" t="s">
        <v>414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8</v>
      </c>
    </row>
    <row r="3" spans="1:20" x14ac:dyDescent="0.25">
      <c r="A3" s="3" t="s">
        <v>99</v>
      </c>
      <c r="B3" s="178">
        <v>284</v>
      </c>
      <c r="C3" s="178">
        <v>262</v>
      </c>
      <c r="D3" s="178">
        <v>272</v>
      </c>
      <c r="E3" s="178">
        <v>261</v>
      </c>
      <c r="F3" s="178">
        <v>286</v>
      </c>
      <c r="G3" s="178">
        <v>295</v>
      </c>
      <c r="H3" s="178">
        <v>279</v>
      </c>
      <c r="I3" s="178">
        <v>294</v>
      </c>
      <c r="J3" s="178">
        <v>313</v>
      </c>
      <c r="K3" s="178">
        <v>331</v>
      </c>
      <c r="L3" s="178">
        <v>335</v>
      </c>
      <c r="M3" s="178">
        <v>353</v>
      </c>
      <c r="N3" s="178">
        <v>393</v>
      </c>
      <c r="O3" s="178">
        <v>383</v>
      </c>
      <c r="P3" s="178">
        <v>387</v>
      </c>
      <c r="Q3" s="178">
        <v>410</v>
      </c>
      <c r="R3" s="178">
        <v>419</v>
      </c>
      <c r="S3" s="178">
        <v>458</v>
      </c>
      <c r="T3" s="178">
        <v>6015</v>
      </c>
    </row>
    <row r="4" spans="1:20" x14ac:dyDescent="0.25">
      <c r="A4" s="3" t="s">
        <v>100</v>
      </c>
      <c r="B4" s="178">
        <v>213</v>
      </c>
      <c r="C4" s="178">
        <v>228</v>
      </c>
      <c r="D4" s="178">
        <v>233</v>
      </c>
      <c r="E4" s="178">
        <v>227</v>
      </c>
      <c r="F4" s="178">
        <v>227</v>
      </c>
      <c r="G4" s="178">
        <v>233</v>
      </c>
      <c r="H4" s="178">
        <v>250</v>
      </c>
      <c r="I4" s="178">
        <v>255</v>
      </c>
      <c r="J4" s="178">
        <v>273</v>
      </c>
      <c r="K4" s="178">
        <v>288</v>
      </c>
      <c r="L4" s="178">
        <v>288</v>
      </c>
      <c r="M4" s="178">
        <v>316</v>
      </c>
      <c r="N4" s="178">
        <v>319</v>
      </c>
      <c r="O4" s="178">
        <v>332</v>
      </c>
      <c r="P4" s="178">
        <v>357</v>
      </c>
      <c r="Q4" s="178">
        <v>370</v>
      </c>
      <c r="R4" s="178">
        <v>377</v>
      </c>
      <c r="S4" s="178">
        <v>387</v>
      </c>
      <c r="T4" s="178">
        <v>5173</v>
      </c>
    </row>
    <row r="5" spans="1:20" x14ac:dyDescent="0.25">
      <c r="A5" s="3" t="s">
        <v>101</v>
      </c>
      <c r="B5" s="178">
        <v>227</v>
      </c>
      <c r="C5" s="178">
        <v>236</v>
      </c>
      <c r="D5" s="178">
        <v>237</v>
      </c>
      <c r="E5" s="178">
        <v>250</v>
      </c>
      <c r="F5" s="178">
        <v>260</v>
      </c>
      <c r="G5" s="178">
        <v>257</v>
      </c>
      <c r="H5" s="178">
        <v>270</v>
      </c>
      <c r="I5" s="178">
        <v>278</v>
      </c>
      <c r="J5" s="178">
        <v>300</v>
      </c>
      <c r="K5" s="178">
        <v>306</v>
      </c>
      <c r="L5" s="178">
        <v>308</v>
      </c>
      <c r="M5" s="178">
        <v>325</v>
      </c>
      <c r="N5" s="178">
        <v>327</v>
      </c>
      <c r="O5" s="178">
        <v>361</v>
      </c>
      <c r="P5" s="178">
        <v>374</v>
      </c>
      <c r="Q5" s="178">
        <v>379</v>
      </c>
      <c r="R5" s="178">
        <v>393</v>
      </c>
      <c r="S5" s="178">
        <v>427</v>
      </c>
      <c r="T5" s="178">
        <v>5515</v>
      </c>
    </row>
    <row r="6" spans="1:20" x14ac:dyDescent="0.25">
      <c r="A6" s="3" t="s">
        <v>102</v>
      </c>
      <c r="B6" s="178">
        <v>308</v>
      </c>
      <c r="C6" s="178">
        <v>320</v>
      </c>
      <c r="D6" s="178">
        <v>313</v>
      </c>
      <c r="E6" s="178">
        <v>314</v>
      </c>
      <c r="F6" s="178">
        <v>311</v>
      </c>
      <c r="G6" s="178">
        <v>339</v>
      </c>
      <c r="H6" s="178">
        <v>346</v>
      </c>
      <c r="I6" s="178">
        <v>363</v>
      </c>
      <c r="J6" s="178">
        <v>370</v>
      </c>
      <c r="K6" s="178">
        <v>386</v>
      </c>
      <c r="L6" s="178">
        <v>402</v>
      </c>
      <c r="M6" s="178">
        <v>405</v>
      </c>
      <c r="N6" s="178">
        <v>442</v>
      </c>
      <c r="O6" s="178">
        <v>446</v>
      </c>
      <c r="P6" s="178">
        <v>466</v>
      </c>
      <c r="Q6" s="178">
        <v>487</v>
      </c>
      <c r="R6" s="178">
        <v>506</v>
      </c>
      <c r="S6" s="178">
        <v>565</v>
      </c>
      <c r="T6" s="178">
        <v>7089</v>
      </c>
    </row>
    <row r="7" spans="1:20" x14ac:dyDescent="0.25">
      <c r="A7" s="3" t="s">
        <v>8</v>
      </c>
      <c r="B7" s="178">
        <v>1032</v>
      </c>
      <c r="C7" s="178">
        <v>1046</v>
      </c>
      <c r="D7" s="178">
        <v>1055</v>
      </c>
      <c r="E7" s="178">
        <v>1052</v>
      </c>
      <c r="F7" s="178">
        <v>1084</v>
      </c>
      <c r="G7" s="178">
        <v>1124</v>
      </c>
      <c r="H7" s="178">
        <v>1145</v>
      </c>
      <c r="I7" s="178">
        <v>1190</v>
      </c>
      <c r="J7" s="178">
        <v>1256</v>
      </c>
      <c r="K7" s="178">
        <v>1311</v>
      </c>
      <c r="L7" s="178">
        <v>1333</v>
      </c>
      <c r="M7" s="178">
        <v>1399</v>
      </c>
      <c r="N7" s="178">
        <v>1481</v>
      </c>
      <c r="O7" s="178">
        <v>1522</v>
      </c>
      <c r="P7" s="178">
        <v>1584</v>
      </c>
      <c r="Q7" s="178">
        <v>1646</v>
      </c>
      <c r="R7" s="178">
        <v>1695</v>
      </c>
      <c r="S7" s="178">
        <v>1837</v>
      </c>
      <c r="T7" s="178">
        <v>23792</v>
      </c>
    </row>
  </sheetData>
  <pageMargins left="0.7" right="0.7" top="0.75" bottom="0.75" header="0.3" footer="0.3"/>
  <pageSetup paperSize="9" orientation="portrait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426</v>
      </c>
      <c r="B1" s="11" t="s">
        <v>98</v>
      </c>
    </row>
    <row r="2" spans="1:6" x14ac:dyDescent="0.25">
      <c r="A2" s="11" t="s">
        <v>86</v>
      </c>
      <c r="B2" t="s">
        <v>99</v>
      </c>
      <c r="C2" t="s">
        <v>100</v>
      </c>
      <c r="D2" t="s">
        <v>101</v>
      </c>
      <c r="E2" t="s">
        <v>102</v>
      </c>
      <c r="F2" t="s">
        <v>8</v>
      </c>
    </row>
    <row r="3" spans="1:6" x14ac:dyDescent="0.25">
      <c r="A3" s="3" t="s">
        <v>408</v>
      </c>
      <c r="B3" s="178">
        <v>284</v>
      </c>
      <c r="C3" s="178">
        <v>213</v>
      </c>
      <c r="D3" s="178">
        <v>227</v>
      </c>
      <c r="E3" s="178">
        <v>308</v>
      </c>
      <c r="F3" s="178">
        <v>1032</v>
      </c>
    </row>
    <row r="4" spans="1:6" x14ac:dyDescent="0.25">
      <c r="A4" s="3" t="s">
        <v>409</v>
      </c>
      <c r="B4" s="178">
        <v>262</v>
      </c>
      <c r="C4" s="178">
        <v>228</v>
      </c>
      <c r="D4" s="178">
        <v>236</v>
      </c>
      <c r="E4" s="178">
        <v>320</v>
      </c>
      <c r="F4" s="178">
        <v>1046</v>
      </c>
    </row>
    <row r="5" spans="1:6" x14ac:dyDescent="0.25">
      <c r="A5" s="3" t="s">
        <v>410</v>
      </c>
      <c r="B5" s="178">
        <v>272</v>
      </c>
      <c r="C5" s="178">
        <v>233</v>
      </c>
      <c r="D5" s="178">
        <v>237</v>
      </c>
      <c r="E5" s="178">
        <v>313</v>
      </c>
      <c r="F5" s="178">
        <v>1055</v>
      </c>
    </row>
    <row r="6" spans="1:6" x14ac:dyDescent="0.25">
      <c r="A6" s="3" t="s">
        <v>411</v>
      </c>
      <c r="B6" s="178">
        <v>261</v>
      </c>
      <c r="C6" s="178">
        <v>227</v>
      </c>
      <c r="D6" s="178">
        <v>250</v>
      </c>
      <c r="E6" s="178">
        <v>314</v>
      </c>
      <c r="F6" s="178">
        <v>1052</v>
      </c>
    </row>
    <row r="7" spans="1:6" x14ac:dyDescent="0.25">
      <c r="A7" s="3" t="s">
        <v>412</v>
      </c>
      <c r="B7" s="178">
        <v>286</v>
      </c>
      <c r="C7" s="178">
        <v>227</v>
      </c>
      <c r="D7" s="178">
        <v>260</v>
      </c>
      <c r="E7" s="178">
        <v>311</v>
      </c>
      <c r="F7" s="178">
        <v>1084</v>
      </c>
    </row>
    <row r="8" spans="1:6" x14ac:dyDescent="0.25">
      <c r="A8" s="3" t="s">
        <v>413</v>
      </c>
      <c r="B8" s="178">
        <v>295</v>
      </c>
      <c r="C8" s="178">
        <v>233</v>
      </c>
      <c r="D8" s="178">
        <v>257</v>
      </c>
      <c r="E8" s="178">
        <v>339</v>
      </c>
      <c r="F8" s="178">
        <v>1124</v>
      </c>
    </row>
    <row r="9" spans="1:6" x14ac:dyDescent="0.25">
      <c r="A9" s="3" t="s">
        <v>414</v>
      </c>
      <c r="B9" s="178">
        <v>279</v>
      </c>
      <c r="C9" s="178">
        <v>250</v>
      </c>
      <c r="D9" s="178">
        <v>270</v>
      </c>
      <c r="E9" s="178">
        <v>346</v>
      </c>
      <c r="F9" s="178">
        <v>1145</v>
      </c>
    </row>
    <row r="10" spans="1:6" x14ac:dyDescent="0.25">
      <c r="A10" s="3" t="s">
        <v>415</v>
      </c>
      <c r="B10" s="178">
        <v>294</v>
      </c>
      <c r="C10" s="178">
        <v>255</v>
      </c>
      <c r="D10" s="178">
        <v>278</v>
      </c>
      <c r="E10" s="178">
        <v>363</v>
      </c>
      <c r="F10" s="178">
        <v>1190</v>
      </c>
    </row>
    <row r="11" spans="1:6" x14ac:dyDescent="0.25">
      <c r="A11" s="3" t="s">
        <v>416</v>
      </c>
      <c r="B11" s="178">
        <v>313</v>
      </c>
      <c r="C11" s="178">
        <v>273</v>
      </c>
      <c r="D11" s="178">
        <v>300</v>
      </c>
      <c r="E11" s="178">
        <v>370</v>
      </c>
      <c r="F11" s="178">
        <v>1256</v>
      </c>
    </row>
    <row r="12" spans="1:6" x14ac:dyDescent="0.25">
      <c r="A12" s="3" t="s">
        <v>417</v>
      </c>
      <c r="B12" s="178">
        <v>331</v>
      </c>
      <c r="C12" s="178">
        <v>288</v>
      </c>
      <c r="D12" s="178">
        <v>306</v>
      </c>
      <c r="E12" s="178">
        <v>386</v>
      </c>
      <c r="F12" s="178">
        <v>1311</v>
      </c>
    </row>
    <row r="13" spans="1:6" x14ac:dyDescent="0.25">
      <c r="A13" s="3" t="s">
        <v>418</v>
      </c>
      <c r="B13" s="178">
        <v>335</v>
      </c>
      <c r="C13" s="178">
        <v>288</v>
      </c>
      <c r="D13" s="178">
        <v>308</v>
      </c>
      <c r="E13" s="178">
        <v>402</v>
      </c>
      <c r="F13" s="178">
        <v>1333</v>
      </c>
    </row>
    <row r="14" spans="1:6" x14ac:dyDescent="0.25">
      <c r="A14" s="3" t="s">
        <v>419</v>
      </c>
      <c r="B14" s="178">
        <v>353</v>
      </c>
      <c r="C14" s="178">
        <v>316</v>
      </c>
      <c r="D14" s="178">
        <v>325</v>
      </c>
      <c r="E14" s="178">
        <v>405</v>
      </c>
      <c r="F14" s="178">
        <v>1399</v>
      </c>
    </row>
    <row r="15" spans="1:6" x14ac:dyDescent="0.25">
      <c r="A15" s="3" t="s">
        <v>420</v>
      </c>
      <c r="B15" s="178">
        <v>393</v>
      </c>
      <c r="C15" s="178">
        <v>319</v>
      </c>
      <c r="D15" s="178">
        <v>327</v>
      </c>
      <c r="E15" s="178">
        <v>442</v>
      </c>
      <c r="F15" s="178">
        <v>1481</v>
      </c>
    </row>
    <row r="16" spans="1:6" x14ac:dyDescent="0.25">
      <c r="A16" s="3" t="s">
        <v>421</v>
      </c>
      <c r="B16" s="178">
        <v>383</v>
      </c>
      <c r="C16" s="178">
        <v>332</v>
      </c>
      <c r="D16" s="178">
        <v>361</v>
      </c>
      <c r="E16" s="178">
        <v>446</v>
      </c>
      <c r="F16" s="178">
        <v>1522</v>
      </c>
    </row>
    <row r="17" spans="1:6" x14ac:dyDescent="0.25">
      <c r="A17" s="3" t="s">
        <v>422</v>
      </c>
      <c r="B17" s="178">
        <v>387</v>
      </c>
      <c r="C17" s="178">
        <v>357</v>
      </c>
      <c r="D17" s="178">
        <v>374</v>
      </c>
      <c r="E17" s="178">
        <v>466</v>
      </c>
      <c r="F17" s="178">
        <v>1584</v>
      </c>
    </row>
    <row r="18" spans="1:6" x14ac:dyDescent="0.25">
      <c r="A18" s="3" t="s">
        <v>423</v>
      </c>
      <c r="B18" s="178">
        <v>410</v>
      </c>
      <c r="C18" s="178">
        <v>370</v>
      </c>
      <c r="D18" s="178">
        <v>379</v>
      </c>
      <c r="E18" s="178">
        <v>487</v>
      </c>
      <c r="F18" s="178">
        <v>1646</v>
      </c>
    </row>
    <row r="19" spans="1:6" x14ac:dyDescent="0.25">
      <c r="A19" s="3" t="s">
        <v>424</v>
      </c>
      <c r="B19" s="178">
        <v>419</v>
      </c>
      <c r="C19" s="178">
        <v>377</v>
      </c>
      <c r="D19" s="178">
        <v>393</v>
      </c>
      <c r="E19" s="178">
        <v>506</v>
      </c>
      <c r="F19" s="178">
        <v>1695</v>
      </c>
    </row>
    <row r="20" spans="1:6" x14ac:dyDescent="0.25">
      <c r="A20" s="3" t="s">
        <v>425</v>
      </c>
      <c r="B20" s="178">
        <v>458</v>
      </c>
      <c r="C20" s="178">
        <v>387</v>
      </c>
      <c r="D20" s="178">
        <v>427</v>
      </c>
      <c r="E20" s="178">
        <v>565</v>
      </c>
      <c r="F20" s="178">
        <v>1837</v>
      </c>
    </row>
    <row r="21" spans="1:6" x14ac:dyDescent="0.25">
      <c r="A21" s="3" t="s">
        <v>8</v>
      </c>
      <c r="B21" s="178">
        <v>6015</v>
      </c>
      <c r="C21" s="178">
        <v>5173</v>
      </c>
      <c r="D21" s="178">
        <v>5515</v>
      </c>
      <c r="E21" s="178">
        <v>7089</v>
      </c>
      <c r="F21" s="178">
        <v>23792</v>
      </c>
    </row>
  </sheetData>
  <pageMargins left="0.7" right="0.7" top="0.75" bottom="0.75" header="0.3" footer="0.3"/>
  <pageSetup paperSize="9" orientation="portrait" r:id="rId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workbookViewId="0">
      <selection activeCell="C2" sqref="C2"/>
    </sheetView>
  </sheetViews>
  <sheetFormatPr defaultRowHeight="15" x14ac:dyDescent="0.25"/>
  <cols>
    <col min="1" max="1" width="9.42578125" style="153" bestFit="1" customWidth="1"/>
    <col min="2" max="2" width="10.28515625" style="153" bestFit="1" customWidth="1"/>
    <col min="3" max="16384" width="9.140625" style="153"/>
  </cols>
  <sheetData>
    <row r="1" spans="1:2" x14ac:dyDescent="0.25">
      <c r="A1" s="153" t="s">
        <v>85</v>
      </c>
      <c r="B1" s="153" t="s">
        <v>406</v>
      </c>
    </row>
    <row r="2" spans="1:2" x14ac:dyDescent="0.25">
      <c r="A2" s="176">
        <v>20455</v>
      </c>
      <c r="B2" s="153">
        <v>284</v>
      </c>
    </row>
    <row r="3" spans="1:2" x14ac:dyDescent="0.25">
      <c r="A3" s="176">
        <v>20546</v>
      </c>
      <c r="B3" s="153">
        <v>213</v>
      </c>
    </row>
    <row r="4" spans="1:2" x14ac:dyDescent="0.25">
      <c r="A4" s="176">
        <v>20637</v>
      </c>
      <c r="B4" s="153">
        <v>227</v>
      </c>
    </row>
    <row r="5" spans="1:2" x14ac:dyDescent="0.25">
      <c r="A5" s="176">
        <v>20729</v>
      </c>
      <c r="B5" s="153">
        <v>308</v>
      </c>
    </row>
    <row r="6" spans="1:2" x14ac:dyDescent="0.25">
      <c r="A6" s="176">
        <v>20821</v>
      </c>
      <c r="B6" s="153">
        <v>262</v>
      </c>
    </row>
    <row r="7" spans="1:2" x14ac:dyDescent="0.25">
      <c r="A7" s="176">
        <v>20911</v>
      </c>
      <c r="B7" s="153">
        <v>228</v>
      </c>
    </row>
    <row r="8" spans="1:2" x14ac:dyDescent="0.25">
      <c r="A8" s="176">
        <v>21002</v>
      </c>
      <c r="B8" s="153">
        <v>236</v>
      </c>
    </row>
    <row r="9" spans="1:2" x14ac:dyDescent="0.25">
      <c r="A9" s="176">
        <v>21094</v>
      </c>
      <c r="B9" s="153">
        <v>320</v>
      </c>
    </row>
    <row r="10" spans="1:2" x14ac:dyDescent="0.25">
      <c r="A10" s="176">
        <v>21186</v>
      </c>
      <c r="B10" s="153">
        <v>272</v>
      </c>
    </row>
    <row r="11" spans="1:2" x14ac:dyDescent="0.25">
      <c r="A11" s="176">
        <v>21276</v>
      </c>
      <c r="B11" s="153">
        <v>233</v>
      </c>
    </row>
    <row r="12" spans="1:2" x14ac:dyDescent="0.25">
      <c r="A12" s="176">
        <v>21367</v>
      </c>
      <c r="B12" s="153">
        <v>237</v>
      </c>
    </row>
    <row r="13" spans="1:2" x14ac:dyDescent="0.25">
      <c r="A13" s="176">
        <v>21459</v>
      </c>
      <c r="B13" s="153">
        <v>313</v>
      </c>
    </row>
    <row r="14" spans="1:2" x14ac:dyDescent="0.25">
      <c r="A14" s="176">
        <v>21551</v>
      </c>
      <c r="B14" s="153">
        <v>261</v>
      </c>
    </row>
    <row r="15" spans="1:2" x14ac:dyDescent="0.25">
      <c r="A15" s="176">
        <v>21641</v>
      </c>
      <c r="B15" s="153">
        <v>227</v>
      </c>
    </row>
    <row r="16" spans="1:2" x14ac:dyDescent="0.25">
      <c r="A16" s="176">
        <v>21732</v>
      </c>
      <c r="B16" s="153">
        <v>250</v>
      </c>
    </row>
    <row r="17" spans="1:2" x14ac:dyDescent="0.25">
      <c r="A17" s="176">
        <v>21824</v>
      </c>
      <c r="B17" s="153">
        <v>314</v>
      </c>
    </row>
    <row r="18" spans="1:2" x14ac:dyDescent="0.25">
      <c r="A18" s="176">
        <v>21916</v>
      </c>
      <c r="B18" s="153">
        <v>286</v>
      </c>
    </row>
    <row r="19" spans="1:2" x14ac:dyDescent="0.25">
      <c r="A19" s="176">
        <v>22007</v>
      </c>
      <c r="B19" s="153">
        <v>227</v>
      </c>
    </row>
    <row r="20" spans="1:2" x14ac:dyDescent="0.25">
      <c r="A20" s="176">
        <v>22098</v>
      </c>
      <c r="B20" s="153">
        <v>260</v>
      </c>
    </row>
    <row r="21" spans="1:2" x14ac:dyDescent="0.25">
      <c r="A21" s="176">
        <v>22190</v>
      </c>
      <c r="B21" s="153">
        <v>311</v>
      </c>
    </row>
    <row r="22" spans="1:2" x14ac:dyDescent="0.25">
      <c r="A22" s="176">
        <v>22282</v>
      </c>
      <c r="B22" s="153">
        <v>295</v>
      </c>
    </row>
    <row r="23" spans="1:2" x14ac:dyDescent="0.25">
      <c r="A23" s="176">
        <v>22372</v>
      </c>
      <c r="B23" s="153">
        <v>233</v>
      </c>
    </row>
    <row r="24" spans="1:2" x14ac:dyDescent="0.25">
      <c r="A24" s="176">
        <v>22463</v>
      </c>
      <c r="B24" s="153">
        <v>257</v>
      </c>
    </row>
    <row r="25" spans="1:2" x14ac:dyDescent="0.25">
      <c r="A25" s="176">
        <v>22555</v>
      </c>
      <c r="B25" s="153">
        <v>339</v>
      </c>
    </row>
    <row r="26" spans="1:2" x14ac:dyDescent="0.25">
      <c r="A26" s="176">
        <v>22647</v>
      </c>
      <c r="B26" s="153">
        <v>279</v>
      </c>
    </row>
    <row r="27" spans="1:2" x14ac:dyDescent="0.25">
      <c r="A27" s="176">
        <v>22737</v>
      </c>
      <c r="B27" s="153">
        <v>250</v>
      </c>
    </row>
    <row r="28" spans="1:2" x14ac:dyDescent="0.25">
      <c r="A28" s="176">
        <v>22828</v>
      </c>
      <c r="B28" s="153">
        <v>270</v>
      </c>
    </row>
    <row r="29" spans="1:2" x14ac:dyDescent="0.25">
      <c r="A29" s="176">
        <v>22920</v>
      </c>
      <c r="B29" s="153">
        <v>346</v>
      </c>
    </row>
    <row r="30" spans="1:2" x14ac:dyDescent="0.25">
      <c r="A30" s="176">
        <v>23012</v>
      </c>
      <c r="B30" s="153">
        <v>294</v>
      </c>
    </row>
    <row r="31" spans="1:2" x14ac:dyDescent="0.25">
      <c r="A31" s="176">
        <v>23102</v>
      </c>
      <c r="B31" s="153">
        <v>255</v>
      </c>
    </row>
    <row r="32" spans="1:2" x14ac:dyDescent="0.25">
      <c r="A32" s="176">
        <v>23193</v>
      </c>
      <c r="B32" s="153">
        <v>278</v>
      </c>
    </row>
    <row r="33" spans="1:2" x14ac:dyDescent="0.25">
      <c r="A33" s="176">
        <v>23285</v>
      </c>
      <c r="B33" s="153">
        <v>363</v>
      </c>
    </row>
    <row r="34" spans="1:2" x14ac:dyDescent="0.25">
      <c r="A34" s="176">
        <v>23377</v>
      </c>
      <c r="B34" s="153">
        <v>313</v>
      </c>
    </row>
    <row r="35" spans="1:2" x14ac:dyDescent="0.25">
      <c r="A35" s="176">
        <v>23468</v>
      </c>
      <c r="B35" s="153">
        <v>273</v>
      </c>
    </row>
    <row r="36" spans="1:2" x14ac:dyDescent="0.25">
      <c r="A36" s="176">
        <v>23559</v>
      </c>
      <c r="B36" s="153">
        <v>300</v>
      </c>
    </row>
    <row r="37" spans="1:2" x14ac:dyDescent="0.25">
      <c r="A37" s="176">
        <v>23651</v>
      </c>
      <c r="B37" s="153">
        <v>370</v>
      </c>
    </row>
    <row r="38" spans="1:2" x14ac:dyDescent="0.25">
      <c r="A38" s="176">
        <v>23743</v>
      </c>
      <c r="B38" s="153">
        <v>331</v>
      </c>
    </row>
    <row r="39" spans="1:2" x14ac:dyDescent="0.25">
      <c r="A39" s="176">
        <v>23833</v>
      </c>
      <c r="B39" s="153">
        <v>288</v>
      </c>
    </row>
    <row r="40" spans="1:2" x14ac:dyDescent="0.25">
      <c r="A40" s="176">
        <v>23924</v>
      </c>
      <c r="B40" s="153">
        <v>306</v>
      </c>
    </row>
    <row r="41" spans="1:2" x14ac:dyDescent="0.25">
      <c r="A41" s="176">
        <v>24016</v>
      </c>
      <c r="B41" s="153">
        <v>386</v>
      </c>
    </row>
    <row r="42" spans="1:2" x14ac:dyDescent="0.25">
      <c r="A42" s="176">
        <v>24108</v>
      </c>
      <c r="B42" s="153">
        <v>335</v>
      </c>
    </row>
    <row r="43" spans="1:2" x14ac:dyDescent="0.25">
      <c r="A43" s="176">
        <v>24198</v>
      </c>
      <c r="B43" s="153">
        <v>288</v>
      </c>
    </row>
    <row r="44" spans="1:2" x14ac:dyDescent="0.25">
      <c r="A44" s="176">
        <v>24289</v>
      </c>
      <c r="B44" s="153">
        <v>308</v>
      </c>
    </row>
    <row r="45" spans="1:2" x14ac:dyDescent="0.25">
      <c r="A45" s="176">
        <v>24381</v>
      </c>
      <c r="B45" s="153">
        <v>402</v>
      </c>
    </row>
    <row r="46" spans="1:2" x14ac:dyDescent="0.25">
      <c r="A46" s="176">
        <v>24473</v>
      </c>
      <c r="B46" s="153">
        <v>353</v>
      </c>
    </row>
    <row r="47" spans="1:2" x14ac:dyDescent="0.25">
      <c r="A47" s="176">
        <v>24563</v>
      </c>
      <c r="B47" s="153">
        <v>316</v>
      </c>
    </row>
    <row r="48" spans="1:2" x14ac:dyDescent="0.25">
      <c r="A48" s="176">
        <v>24654</v>
      </c>
      <c r="B48" s="153">
        <v>325</v>
      </c>
    </row>
    <row r="49" spans="1:2" x14ac:dyDescent="0.25">
      <c r="A49" s="176">
        <v>24746</v>
      </c>
      <c r="B49" s="153">
        <v>405</v>
      </c>
    </row>
    <row r="50" spans="1:2" x14ac:dyDescent="0.25">
      <c r="A50" s="176">
        <v>24838</v>
      </c>
      <c r="B50" s="153">
        <v>393</v>
      </c>
    </row>
    <row r="51" spans="1:2" x14ac:dyDescent="0.25">
      <c r="A51" s="176">
        <v>24929</v>
      </c>
      <c r="B51" s="153">
        <v>319</v>
      </c>
    </row>
    <row r="52" spans="1:2" x14ac:dyDescent="0.25">
      <c r="A52" s="176">
        <v>25020</v>
      </c>
      <c r="B52" s="153">
        <v>327</v>
      </c>
    </row>
    <row r="53" spans="1:2" x14ac:dyDescent="0.25">
      <c r="A53" s="176">
        <v>25112</v>
      </c>
      <c r="B53" s="153">
        <v>442</v>
      </c>
    </row>
    <row r="54" spans="1:2" x14ac:dyDescent="0.25">
      <c r="A54" s="176">
        <v>25204</v>
      </c>
      <c r="B54" s="153">
        <v>383</v>
      </c>
    </row>
    <row r="55" spans="1:2" x14ac:dyDescent="0.25">
      <c r="A55" s="176">
        <v>25294</v>
      </c>
      <c r="B55" s="153">
        <v>332</v>
      </c>
    </row>
    <row r="56" spans="1:2" x14ac:dyDescent="0.25">
      <c r="A56" s="176">
        <v>25385</v>
      </c>
      <c r="B56" s="153">
        <v>361</v>
      </c>
    </row>
    <row r="57" spans="1:2" x14ac:dyDescent="0.25">
      <c r="A57" s="176">
        <v>25477</v>
      </c>
      <c r="B57" s="153">
        <v>446</v>
      </c>
    </row>
    <row r="58" spans="1:2" x14ac:dyDescent="0.25">
      <c r="A58" s="176">
        <v>25569</v>
      </c>
      <c r="B58" s="153">
        <v>387</v>
      </c>
    </row>
    <row r="59" spans="1:2" x14ac:dyDescent="0.25">
      <c r="A59" s="176">
        <v>25659</v>
      </c>
      <c r="B59" s="153">
        <v>357</v>
      </c>
    </row>
    <row r="60" spans="1:2" x14ac:dyDescent="0.25">
      <c r="A60" s="176">
        <v>25750</v>
      </c>
      <c r="B60" s="153">
        <v>374</v>
      </c>
    </row>
    <row r="61" spans="1:2" x14ac:dyDescent="0.25">
      <c r="A61" s="176">
        <v>25842</v>
      </c>
      <c r="B61" s="153">
        <v>466</v>
      </c>
    </row>
    <row r="62" spans="1:2" x14ac:dyDescent="0.25">
      <c r="A62" s="176">
        <v>25934</v>
      </c>
      <c r="B62" s="153">
        <v>410</v>
      </c>
    </row>
    <row r="63" spans="1:2" x14ac:dyDescent="0.25">
      <c r="A63" s="176">
        <v>26024</v>
      </c>
      <c r="B63" s="153">
        <v>370</v>
      </c>
    </row>
    <row r="64" spans="1:2" x14ac:dyDescent="0.25">
      <c r="A64" s="176">
        <v>26115</v>
      </c>
      <c r="B64" s="153">
        <v>379</v>
      </c>
    </row>
    <row r="65" spans="1:2" x14ac:dyDescent="0.25">
      <c r="A65" s="176">
        <v>26207</v>
      </c>
      <c r="B65" s="153">
        <v>487</v>
      </c>
    </row>
    <row r="66" spans="1:2" x14ac:dyDescent="0.25">
      <c r="A66" s="176">
        <v>26299</v>
      </c>
      <c r="B66" s="153">
        <v>419</v>
      </c>
    </row>
    <row r="67" spans="1:2" x14ac:dyDescent="0.25">
      <c r="A67" s="176">
        <v>26390</v>
      </c>
      <c r="B67" s="153">
        <v>377</v>
      </c>
    </row>
    <row r="68" spans="1:2" x14ac:dyDescent="0.25">
      <c r="A68" s="176">
        <v>26481</v>
      </c>
      <c r="B68" s="153">
        <v>393</v>
      </c>
    </row>
    <row r="69" spans="1:2" x14ac:dyDescent="0.25">
      <c r="A69" s="176">
        <v>26573</v>
      </c>
      <c r="B69" s="153">
        <v>506</v>
      </c>
    </row>
    <row r="70" spans="1:2" x14ac:dyDescent="0.25">
      <c r="A70" s="176">
        <v>26665</v>
      </c>
      <c r="B70" s="153">
        <v>458</v>
      </c>
    </row>
    <row r="71" spans="1:2" x14ac:dyDescent="0.25">
      <c r="A71" s="176">
        <v>26755</v>
      </c>
      <c r="B71" s="153">
        <v>387</v>
      </c>
    </row>
    <row r="72" spans="1:2" x14ac:dyDescent="0.25">
      <c r="A72" s="176">
        <v>26846</v>
      </c>
      <c r="B72" s="153">
        <v>427</v>
      </c>
    </row>
    <row r="73" spans="1:2" x14ac:dyDescent="0.25">
      <c r="A73" s="176">
        <v>26938</v>
      </c>
      <c r="B73" s="153">
        <v>565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D3AF-F8A8-4326-877A-FD4DB27CAE75}">
  <dimension ref="A1:D5"/>
  <sheetViews>
    <sheetView workbookViewId="0"/>
  </sheetViews>
  <sheetFormatPr defaultRowHeight="12.75" x14ac:dyDescent="0.2"/>
  <cols>
    <col min="1" max="1" width="7.7109375" style="90" customWidth="1"/>
    <col min="2" max="4" width="6.7109375" style="90" customWidth="1"/>
    <col min="5" max="16384" width="9.140625" style="90"/>
  </cols>
  <sheetData>
    <row r="1" spans="1:4" x14ac:dyDescent="0.2">
      <c r="B1" s="92">
        <v>2008</v>
      </c>
      <c r="C1" s="92">
        <v>2009</v>
      </c>
      <c r="D1" s="92">
        <v>2010</v>
      </c>
    </row>
    <row r="2" spans="1:4" x14ac:dyDescent="0.2">
      <c r="A2" s="92" t="s">
        <v>254</v>
      </c>
      <c r="B2" s="90">
        <v>14</v>
      </c>
      <c r="C2" s="90">
        <v>15</v>
      </c>
      <c r="D2" s="90">
        <v>17</v>
      </c>
    </row>
    <row r="3" spans="1:4" x14ac:dyDescent="0.2">
      <c r="A3" s="92" t="s">
        <v>255</v>
      </c>
      <c r="B3" s="90">
        <v>12</v>
      </c>
      <c r="C3" s="90">
        <v>17</v>
      </c>
      <c r="D3" s="90">
        <v>16</v>
      </c>
    </row>
    <row r="4" spans="1:4" x14ac:dyDescent="0.2">
      <c r="A4" s="92" t="s">
        <v>256</v>
      </c>
      <c r="B4" s="90">
        <v>10</v>
      </c>
      <c r="C4" s="90">
        <v>14</v>
      </c>
      <c r="D4" s="90">
        <v>16</v>
      </c>
    </row>
    <row r="5" spans="1:4" x14ac:dyDescent="0.2">
      <c r="A5" s="92" t="s">
        <v>257</v>
      </c>
      <c r="B5" s="90">
        <v>16</v>
      </c>
      <c r="C5" s="90">
        <v>19</v>
      </c>
      <c r="D5" s="90">
        <v>20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5635-C6D1-4197-8B09-A19172079C4F}">
  <dimension ref="A1:E5"/>
  <sheetViews>
    <sheetView workbookViewId="0">
      <selection activeCell="A65" sqref="A65"/>
    </sheetView>
  </sheetViews>
  <sheetFormatPr defaultRowHeight="12.75" x14ac:dyDescent="0.2"/>
  <cols>
    <col min="1" max="1" width="7.7109375" style="90" customWidth="1"/>
    <col min="2" max="4" width="6.7109375" style="90" customWidth="1"/>
    <col min="5" max="16384" width="9.140625" style="90"/>
  </cols>
  <sheetData>
    <row r="1" spans="1:5" x14ac:dyDescent="0.2">
      <c r="B1" s="92">
        <v>2008</v>
      </c>
      <c r="C1" s="92">
        <v>2009</v>
      </c>
      <c r="D1" s="92">
        <v>2010</v>
      </c>
      <c r="E1" s="92">
        <v>2011</v>
      </c>
    </row>
    <row r="2" spans="1:5" x14ac:dyDescent="0.2">
      <c r="A2" s="92" t="s">
        <v>254</v>
      </c>
      <c r="B2" s="90">
        <v>14</v>
      </c>
      <c r="C2" s="90">
        <v>15</v>
      </c>
      <c r="D2" s="90">
        <v>17</v>
      </c>
      <c r="E2" s="90">
        <v>18</v>
      </c>
    </row>
    <row r="3" spans="1:5" x14ac:dyDescent="0.2">
      <c r="A3" s="92" t="s">
        <v>255</v>
      </c>
      <c r="B3" s="90">
        <v>12</v>
      </c>
      <c r="C3" s="90">
        <v>17</v>
      </c>
      <c r="D3" s="90">
        <v>16</v>
      </c>
      <c r="E3" s="90">
        <v>17</v>
      </c>
    </row>
    <row r="4" spans="1:5" x14ac:dyDescent="0.2">
      <c r="A4" s="92" t="s">
        <v>256</v>
      </c>
      <c r="B4" s="90">
        <v>10</v>
      </c>
      <c r="C4" s="90">
        <v>14</v>
      </c>
      <c r="D4" s="90">
        <v>16</v>
      </c>
      <c r="E4" s="90">
        <v>18</v>
      </c>
    </row>
    <row r="5" spans="1:5" x14ac:dyDescent="0.2">
      <c r="A5" s="92" t="s">
        <v>257</v>
      </c>
      <c r="B5" s="90">
        <v>16</v>
      </c>
      <c r="C5" s="90">
        <v>19</v>
      </c>
      <c r="D5" s="90">
        <v>20</v>
      </c>
      <c r="E5" s="90">
        <v>21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2.75" x14ac:dyDescent="0.2"/>
  <cols>
    <col min="1" max="1" width="7.7109375" style="79" customWidth="1"/>
    <col min="2" max="4" width="5.7109375" style="79" customWidth="1"/>
    <col min="5" max="16384" width="9.140625" style="79"/>
  </cols>
  <sheetData>
    <row r="1" spans="1:4" x14ac:dyDescent="0.2">
      <c r="B1" s="80" t="s">
        <v>121</v>
      </c>
      <c r="C1" s="80" t="s">
        <v>122</v>
      </c>
      <c r="D1" s="80" t="s">
        <v>123</v>
      </c>
    </row>
    <row r="2" spans="1:4" x14ac:dyDescent="0.2">
      <c r="A2" s="81" t="s">
        <v>250</v>
      </c>
      <c r="B2" s="105">
        <v>1255</v>
      </c>
      <c r="C2" s="105">
        <v>948</v>
      </c>
      <c r="D2" s="105">
        <v>1269</v>
      </c>
    </row>
    <row r="3" spans="1:4" x14ac:dyDescent="0.2">
      <c r="A3" s="81" t="s">
        <v>251</v>
      </c>
      <c r="B3" s="105">
        <v>2544</v>
      </c>
      <c r="C3" s="105">
        <v>1306</v>
      </c>
      <c r="D3" s="105">
        <v>379</v>
      </c>
    </row>
    <row r="4" spans="1:4" x14ac:dyDescent="0.2">
      <c r="A4" s="81" t="s">
        <v>252</v>
      </c>
      <c r="B4" s="105">
        <v>1655</v>
      </c>
      <c r="C4" s="105">
        <v>781</v>
      </c>
      <c r="D4" s="105">
        <v>1943</v>
      </c>
    </row>
    <row r="5" spans="1:4" x14ac:dyDescent="0.2">
      <c r="A5" s="81" t="s">
        <v>253</v>
      </c>
      <c r="B5" s="105">
        <v>2144</v>
      </c>
      <c r="C5" s="105">
        <v>931</v>
      </c>
      <c r="D5" s="105">
        <v>2463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85" customWidth="1"/>
    <col min="2" max="3" width="6.7109375" style="85" customWidth="1"/>
    <col min="4" max="16384" width="9.140625" style="85"/>
  </cols>
  <sheetData>
    <row r="1" spans="1:3" x14ac:dyDescent="0.2">
      <c r="B1" s="106">
        <v>2009</v>
      </c>
      <c r="C1" s="106">
        <v>2010</v>
      </c>
    </row>
    <row r="2" spans="1:3" x14ac:dyDescent="0.2">
      <c r="A2" s="86" t="s">
        <v>254</v>
      </c>
      <c r="B2" s="107">
        <v>15</v>
      </c>
      <c r="C2" s="107">
        <v>17</v>
      </c>
    </row>
    <row r="3" spans="1:3" x14ac:dyDescent="0.2">
      <c r="A3" s="86" t="s">
        <v>255</v>
      </c>
      <c r="B3" s="107">
        <v>17</v>
      </c>
      <c r="C3" s="107">
        <v>16</v>
      </c>
    </row>
    <row r="4" spans="1:3" x14ac:dyDescent="0.2">
      <c r="A4" s="86" t="s">
        <v>256</v>
      </c>
      <c r="B4" s="107">
        <v>14</v>
      </c>
      <c r="C4" s="107">
        <v>16</v>
      </c>
    </row>
    <row r="5" spans="1:3" x14ac:dyDescent="0.2">
      <c r="A5" s="86" t="s">
        <v>257</v>
      </c>
      <c r="B5" s="107">
        <v>19</v>
      </c>
      <c r="C5" s="107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CAF8-CFBC-43BC-9100-C74E1F686366}">
  <dimension ref="A1:F7"/>
  <sheetViews>
    <sheetView workbookViewId="0">
      <selection activeCell="L24" sqref="L24"/>
    </sheetView>
  </sheetViews>
  <sheetFormatPr defaultRowHeight="15" x14ac:dyDescent="0.25"/>
  <cols>
    <col min="1" max="1" width="10.85546875" style="182" bestFit="1" customWidth="1"/>
    <col min="2" max="2" width="10.85546875" style="182" customWidth="1"/>
    <col min="3" max="6" width="8" style="182" bestFit="1" customWidth="1"/>
    <col min="7" max="16384" width="9.140625" style="182"/>
  </cols>
  <sheetData>
    <row r="1" spans="1:6" x14ac:dyDescent="0.25">
      <c r="A1" s="179" t="s">
        <v>454</v>
      </c>
      <c r="B1" s="180" t="s">
        <v>455</v>
      </c>
      <c r="C1" s="181" t="s">
        <v>461</v>
      </c>
      <c r="D1" s="181" t="s">
        <v>462</v>
      </c>
      <c r="E1" s="181" t="s">
        <v>463</v>
      </c>
      <c r="F1" s="181" t="s">
        <v>464</v>
      </c>
    </row>
    <row r="2" spans="1:6" x14ac:dyDescent="0.25">
      <c r="A2" s="179" t="s">
        <v>456</v>
      </c>
      <c r="B2" s="179" t="s">
        <v>457</v>
      </c>
      <c r="C2" s="183">
        <v>5247226</v>
      </c>
      <c r="D2" s="183">
        <v>5372650</v>
      </c>
      <c r="E2" s="183">
        <v>5566774</v>
      </c>
      <c r="F2" s="183">
        <v>5739297</v>
      </c>
    </row>
    <row r="3" spans="1:6" x14ac:dyDescent="0.25">
      <c r="A3" s="179" t="s">
        <v>456</v>
      </c>
      <c r="B3" s="179" t="s">
        <v>458</v>
      </c>
      <c r="C3" s="183">
        <v>5034820</v>
      </c>
      <c r="D3" s="183">
        <v>5174235</v>
      </c>
      <c r="E3" s="183">
        <v>5371961</v>
      </c>
      <c r="F3" s="183">
        <v>5548634</v>
      </c>
    </row>
    <row r="4" spans="1:6" x14ac:dyDescent="0.25">
      <c r="A4" s="179" t="s">
        <v>459</v>
      </c>
      <c r="B4" s="179" t="s">
        <v>457</v>
      </c>
      <c r="C4" s="183">
        <v>221319</v>
      </c>
      <c r="D4" s="183">
        <v>231913</v>
      </c>
      <c r="E4" s="183">
        <v>255593</v>
      </c>
      <c r="F4" s="183">
        <v>282300</v>
      </c>
    </row>
    <row r="5" spans="1:6" x14ac:dyDescent="0.25">
      <c r="A5" s="179" t="s">
        <v>459</v>
      </c>
      <c r="B5" s="179" t="s">
        <v>458</v>
      </c>
      <c r="C5" s="183">
        <v>214787</v>
      </c>
      <c r="D5" s="183">
        <v>225935</v>
      </c>
      <c r="E5" s="183">
        <v>252297</v>
      </c>
      <c r="F5" s="183">
        <v>284441</v>
      </c>
    </row>
    <row r="6" spans="1:6" x14ac:dyDescent="0.25">
      <c r="A6" s="179" t="s">
        <v>460</v>
      </c>
      <c r="B6" s="179" t="s">
        <v>457</v>
      </c>
      <c r="C6" s="183">
        <v>8037448</v>
      </c>
      <c r="D6" s="183">
        <v>8251078</v>
      </c>
      <c r="E6" s="183">
        <v>8398523</v>
      </c>
      <c r="F6" s="183">
        <v>8518105</v>
      </c>
    </row>
    <row r="7" spans="1:6" x14ac:dyDescent="0.25">
      <c r="A7" s="179" t="s">
        <v>460</v>
      </c>
      <c r="B7" s="179" t="s">
        <v>458</v>
      </c>
      <c r="C7" s="183">
        <v>7888740</v>
      </c>
      <c r="D7" s="183">
        <v>8116075</v>
      </c>
      <c r="E7" s="183">
        <v>8284404</v>
      </c>
      <c r="F7" s="183">
        <v>8420387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960-1BB9-4E7A-9F89-6371E6CA0CBE}">
  <dimension ref="A1:K33"/>
  <sheetViews>
    <sheetView workbookViewId="0">
      <selection activeCell="A28" sqref="A28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6.7109375" bestFit="1" customWidth="1"/>
    <col min="4" max="4" width="11.85546875" bestFit="1" customWidth="1"/>
    <col min="8" max="8" width="17.7109375" bestFit="1" customWidth="1"/>
    <col min="9" max="11" width="14.7109375" customWidth="1"/>
  </cols>
  <sheetData>
    <row r="1" spans="1:4" x14ac:dyDescent="0.25">
      <c r="A1" t="s">
        <v>454</v>
      </c>
      <c r="B1" t="s">
        <v>455</v>
      </c>
      <c r="C1" t="s">
        <v>120</v>
      </c>
      <c r="D1" t="s">
        <v>465</v>
      </c>
    </row>
    <row r="2" spans="1:4" x14ac:dyDescent="0.25">
      <c r="A2" t="s">
        <v>456</v>
      </c>
      <c r="B2" t="s">
        <v>457</v>
      </c>
      <c r="C2" t="s">
        <v>461</v>
      </c>
      <c r="D2" s="178">
        <v>5247226</v>
      </c>
    </row>
    <row r="3" spans="1:4" x14ac:dyDescent="0.25">
      <c r="A3" t="s">
        <v>456</v>
      </c>
      <c r="B3" t="s">
        <v>457</v>
      </c>
      <c r="C3" t="s">
        <v>462</v>
      </c>
      <c r="D3" s="178">
        <v>5372650</v>
      </c>
    </row>
    <row r="4" spans="1:4" x14ac:dyDescent="0.25">
      <c r="A4" t="s">
        <v>456</v>
      </c>
      <c r="B4" t="s">
        <v>457</v>
      </c>
      <c r="C4" t="s">
        <v>463</v>
      </c>
      <c r="D4" s="178">
        <v>5566774</v>
      </c>
    </row>
    <row r="5" spans="1:4" x14ac:dyDescent="0.25">
      <c r="A5" t="s">
        <v>456</v>
      </c>
      <c r="B5" t="s">
        <v>457</v>
      </c>
      <c r="C5" t="s">
        <v>464</v>
      </c>
      <c r="D5" s="178">
        <v>5739297</v>
      </c>
    </row>
    <row r="6" spans="1:4" x14ac:dyDescent="0.25">
      <c r="A6" t="s">
        <v>456</v>
      </c>
      <c r="B6" t="s">
        <v>458</v>
      </c>
      <c r="C6" t="s">
        <v>461</v>
      </c>
      <c r="D6" s="178">
        <v>5034820</v>
      </c>
    </row>
    <row r="7" spans="1:4" x14ac:dyDescent="0.25">
      <c r="A7" t="s">
        <v>456</v>
      </c>
      <c r="B7" t="s">
        <v>458</v>
      </c>
      <c r="C7" t="s">
        <v>462</v>
      </c>
      <c r="D7" s="178">
        <v>5174235</v>
      </c>
    </row>
    <row r="8" spans="1:4" x14ac:dyDescent="0.25">
      <c r="A8" t="s">
        <v>456</v>
      </c>
      <c r="B8" t="s">
        <v>458</v>
      </c>
      <c r="C8" t="s">
        <v>463</v>
      </c>
      <c r="D8" s="178">
        <v>5371961</v>
      </c>
    </row>
    <row r="9" spans="1:4" x14ac:dyDescent="0.25">
      <c r="A9" t="s">
        <v>456</v>
      </c>
      <c r="B9" t="s">
        <v>458</v>
      </c>
      <c r="C9" t="s">
        <v>464</v>
      </c>
      <c r="D9" s="178">
        <v>5548634</v>
      </c>
    </row>
    <row r="10" spans="1:4" x14ac:dyDescent="0.25">
      <c r="A10" t="s">
        <v>459</v>
      </c>
      <c r="B10" t="s">
        <v>457</v>
      </c>
      <c r="C10" t="s">
        <v>461</v>
      </c>
      <c r="D10" s="178">
        <v>221319</v>
      </c>
    </row>
    <row r="11" spans="1:4" x14ac:dyDescent="0.25">
      <c r="A11" t="s">
        <v>459</v>
      </c>
      <c r="B11" t="s">
        <v>457</v>
      </c>
      <c r="C11" t="s">
        <v>462</v>
      </c>
      <c r="D11" s="178">
        <v>231913</v>
      </c>
    </row>
    <row r="12" spans="1:4" x14ac:dyDescent="0.25">
      <c r="A12" t="s">
        <v>459</v>
      </c>
      <c r="B12" t="s">
        <v>457</v>
      </c>
      <c r="C12" t="s">
        <v>463</v>
      </c>
      <c r="D12" s="178">
        <v>255593</v>
      </c>
    </row>
    <row r="13" spans="1:4" x14ac:dyDescent="0.25">
      <c r="A13" t="s">
        <v>459</v>
      </c>
      <c r="B13" t="s">
        <v>457</v>
      </c>
      <c r="C13" t="s">
        <v>464</v>
      </c>
      <c r="D13" s="178">
        <v>282300</v>
      </c>
    </row>
    <row r="14" spans="1:4" x14ac:dyDescent="0.25">
      <c r="A14" t="s">
        <v>459</v>
      </c>
      <c r="B14" t="s">
        <v>458</v>
      </c>
      <c r="C14" t="s">
        <v>461</v>
      </c>
      <c r="D14" s="178">
        <v>214787</v>
      </c>
    </row>
    <row r="15" spans="1:4" x14ac:dyDescent="0.25">
      <c r="A15" t="s">
        <v>459</v>
      </c>
      <c r="B15" t="s">
        <v>458</v>
      </c>
      <c r="C15" t="s">
        <v>462</v>
      </c>
      <c r="D15" s="178">
        <v>225935</v>
      </c>
    </row>
    <row r="16" spans="1:4" x14ac:dyDescent="0.25">
      <c r="A16" t="s">
        <v>459</v>
      </c>
      <c r="B16" t="s">
        <v>458</v>
      </c>
      <c r="C16" t="s">
        <v>463</v>
      </c>
      <c r="D16" s="178">
        <v>252297</v>
      </c>
    </row>
    <row r="17" spans="1:11" x14ac:dyDescent="0.25">
      <c r="A17" t="s">
        <v>459</v>
      </c>
      <c r="B17" t="s">
        <v>458</v>
      </c>
      <c r="C17" t="s">
        <v>464</v>
      </c>
      <c r="D17" s="178">
        <v>284441</v>
      </c>
    </row>
    <row r="18" spans="1:11" x14ac:dyDescent="0.25">
      <c r="A18" t="s">
        <v>460</v>
      </c>
      <c r="B18" t="s">
        <v>457</v>
      </c>
      <c r="C18" t="s">
        <v>461</v>
      </c>
      <c r="D18" s="178">
        <v>8037448</v>
      </c>
    </row>
    <row r="19" spans="1:11" x14ac:dyDescent="0.25">
      <c r="A19" t="s">
        <v>460</v>
      </c>
      <c r="B19" t="s">
        <v>457</v>
      </c>
      <c r="C19" t="s">
        <v>462</v>
      </c>
      <c r="D19" s="178">
        <v>8251078</v>
      </c>
    </row>
    <row r="20" spans="1:11" x14ac:dyDescent="0.25">
      <c r="A20" t="s">
        <v>460</v>
      </c>
      <c r="B20" t="s">
        <v>457</v>
      </c>
      <c r="C20" t="s">
        <v>463</v>
      </c>
      <c r="D20" s="178">
        <v>8398523</v>
      </c>
    </row>
    <row r="21" spans="1:11" x14ac:dyDescent="0.25">
      <c r="A21" t="s">
        <v>460</v>
      </c>
      <c r="B21" t="s">
        <v>457</v>
      </c>
      <c r="C21" t="s">
        <v>464</v>
      </c>
      <c r="D21" s="178">
        <v>8518105</v>
      </c>
    </row>
    <row r="22" spans="1:11" x14ac:dyDescent="0.25">
      <c r="A22" t="s">
        <v>460</v>
      </c>
      <c r="B22" t="s">
        <v>458</v>
      </c>
      <c r="C22" t="s">
        <v>461</v>
      </c>
      <c r="D22" s="178">
        <v>7888740</v>
      </c>
    </row>
    <row r="23" spans="1:11" x14ac:dyDescent="0.25">
      <c r="A23" t="s">
        <v>460</v>
      </c>
      <c r="B23" t="s">
        <v>458</v>
      </c>
      <c r="C23" t="s">
        <v>462</v>
      </c>
      <c r="D23" s="178">
        <v>8116075</v>
      </c>
    </row>
    <row r="24" spans="1:11" x14ac:dyDescent="0.25">
      <c r="A24" t="s">
        <v>460</v>
      </c>
      <c r="B24" t="s">
        <v>458</v>
      </c>
      <c r="C24" t="s">
        <v>463</v>
      </c>
      <c r="D24" s="178">
        <v>8284404</v>
      </c>
    </row>
    <row r="25" spans="1:11" x14ac:dyDescent="0.25">
      <c r="A25" t="s">
        <v>460</v>
      </c>
      <c r="B25" t="s">
        <v>458</v>
      </c>
      <c r="C25" t="s">
        <v>464</v>
      </c>
      <c r="D25" s="178">
        <v>8420387</v>
      </c>
      <c r="H25" s="11" t="s">
        <v>454</v>
      </c>
      <c r="I25" t="s">
        <v>466</v>
      </c>
    </row>
    <row r="27" spans="1:11" x14ac:dyDescent="0.25">
      <c r="H27" s="11" t="s">
        <v>467</v>
      </c>
      <c r="I27" s="11" t="s">
        <v>98</v>
      </c>
    </row>
    <row r="28" spans="1:11" x14ac:dyDescent="0.25">
      <c r="H28" s="11" t="s">
        <v>86</v>
      </c>
      <c r="I28" s="111" t="s">
        <v>458</v>
      </c>
      <c r="J28" s="111" t="s">
        <v>457</v>
      </c>
      <c r="K28" s="111" t="s">
        <v>8</v>
      </c>
    </row>
    <row r="29" spans="1:11" x14ac:dyDescent="0.25">
      <c r="H29" s="3" t="s">
        <v>461</v>
      </c>
      <c r="I29" s="184">
        <v>13138347</v>
      </c>
      <c r="J29" s="184">
        <v>13505993</v>
      </c>
      <c r="K29" s="184">
        <v>26644340</v>
      </c>
    </row>
    <row r="30" spans="1:11" x14ac:dyDescent="0.25">
      <c r="H30" s="3" t="s">
        <v>462</v>
      </c>
      <c r="I30" s="184">
        <v>13516245</v>
      </c>
      <c r="J30" s="184">
        <v>13855641</v>
      </c>
      <c r="K30" s="184">
        <v>27371886</v>
      </c>
    </row>
    <row r="31" spans="1:11" x14ac:dyDescent="0.25">
      <c r="H31" s="3" t="s">
        <v>463</v>
      </c>
      <c r="I31" s="184">
        <v>13908662</v>
      </c>
      <c r="J31" s="184">
        <v>14220890</v>
      </c>
      <c r="K31" s="184">
        <v>28129552</v>
      </c>
    </row>
    <row r="32" spans="1:11" x14ac:dyDescent="0.25">
      <c r="H32" s="3" t="s">
        <v>464</v>
      </c>
      <c r="I32" s="184">
        <v>14253462</v>
      </c>
      <c r="J32" s="184">
        <v>14539702</v>
      </c>
      <c r="K32" s="184">
        <v>28793164</v>
      </c>
    </row>
    <row r="33" spans="8:11" x14ac:dyDescent="0.25">
      <c r="H33" s="3" t="s">
        <v>8</v>
      </c>
      <c r="I33" s="184">
        <v>54816716</v>
      </c>
      <c r="J33" s="184">
        <v>56122226</v>
      </c>
      <c r="K33" s="184">
        <v>110938942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B704-AB62-46FA-8777-E810238B9ADE}">
  <dimension ref="A1:E19"/>
  <sheetViews>
    <sheetView workbookViewId="0">
      <selection activeCell="C1" sqref="C1"/>
    </sheetView>
  </sheetViews>
  <sheetFormatPr defaultRowHeight="15" x14ac:dyDescent="0.25"/>
  <cols>
    <col min="1" max="1" width="11.85546875" customWidth="1"/>
    <col min="2" max="2" width="25" bestFit="1" customWidth="1"/>
    <col min="3" max="3" width="10.5703125" customWidth="1"/>
    <col min="4" max="4" width="11.42578125" customWidth="1"/>
    <col min="5" max="5" width="19" customWidth="1"/>
  </cols>
  <sheetData>
    <row r="1" spans="1:5" x14ac:dyDescent="0.25">
      <c r="A1" s="220" t="s">
        <v>850</v>
      </c>
      <c r="B1" s="220" t="s">
        <v>851</v>
      </c>
      <c r="C1" t="s">
        <v>852</v>
      </c>
      <c r="D1" t="s">
        <v>853</v>
      </c>
      <c r="E1" t="s">
        <v>854</v>
      </c>
    </row>
    <row r="2" spans="1:5" x14ac:dyDescent="0.25">
      <c r="A2" s="221" t="s">
        <v>855</v>
      </c>
      <c r="B2" s="221" t="s">
        <v>856</v>
      </c>
      <c r="C2" s="222">
        <v>150</v>
      </c>
      <c r="D2" s="223">
        <v>14</v>
      </c>
      <c r="E2" s="224">
        <v>700</v>
      </c>
    </row>
    <row r="3" spans="1:5" x14ac:dyDescent="0.25">
      <c r="A3" s="221" t="s">
        <v>857</v>
      </c>
      <c r="B3" s="221" t="s">
        <v>858</v>
      </c>
      <c r="C3" s="222">
        <v>300</v>
      </c>
      <c r="D3" s="223">
        <v>20.75</v>
      </c>
      <c r="E3" s="224">
        <v>400</v>
      </c>
    </row>
    <row r="4" spans="1:5" x14ac:dyDescent="0.25">
      <c r="A4" s="221" t="s">
        <v>859</v>
      </c>
      <c r="B4" s="221" t="s">
        <v>860</v>
      </c>
      <c r="C4" s="222">
        <v>500</v>
      </c>
      <c r="D4" s="223">
        <v>27.75</v>
      </c>
      <c r="E4" s="224">
        <v>200</v>
      </c>
    </row>
    <row r="5" spans="1:5" x14ac:dyDescent="0.25">
      <c r="A5" s="221" t="s">
        <v>861</v>
      </c>
      <c r="B5" s="221" t="s">
        <v>862</v>
      </c>
      <c r="C5" s="222">
        <v>500</v>
      </c>
      <c r="D5" s="223">
        <v>35</v>
      </c>
      <c r="E5" s="224">
        <v>400</v>
      </c>
    </row>
    <row r="6" spans="1:5" x14ac:dyDescent="0.25">
      <c r="A6" s="221" t="s">
        <v>863</v>
      </c>
      <c r="B6" s="221" t="s">
        <v>864</v>
      </c>
      <c r="C6" s="222">
        <v>150</v>
      </c>
      <c r="D6" s="223">
        <v>15.75</v>
      </c>
      <c r="E6" s="224">
        <v>300</v>
      </c>
    </row>
    <row r="7" spans="1:5" x14ac:dyDescent="0.25">
      <c r="A7" s="221" t="s">
        <v>865</v>
      </c>
      <c r="B7" s="221" t="s">
        <v>866</v>
      </c>
      <c r="C7" s="222">
        <v>500</v>
      </c>
      <c r="D7" s="223">
        <v>34</v>
      </c>
      <c r="E7" s="224">
        <v>500</v>
      </c>
    </row>
    <row r="8" spans="1:5" x14ac:dyDescent="0.25">
      <c r="A8" s="221" t="s">
        <v>867</v>
      </c>
      <c r="B8" s="221" t="s">
        <v>868</v>
      </c>
      <c r="C8" s="222">
        <v>150</v>
      </c>
      <c r="D8" s="223">
        <v>16.25</v>
      </c>
      <c r="E8" s="224">
        <v>500</v>
      </c>
    </row>
    <row r="9" spans="1:5" x14ac:dyDescent="0.25">
      <c r="A9" s="221" t="s">
        <v>869</v>
      </c>
      <c r="B9" s="221" t="s">
        <v>870</v>
      </c>
      <c r="C9" s="222">
        <v>300</v>
      </c>
      <c r="D9" s="223">
        <v>32.25</v>
      </c>
      <c r="E9" s="224">
        <v>500</v>
      </c>
    </row>
    <row r="10" spans="1:5" x14ac:dyDescent="0.25">
      <c r="A10" s="221" t="s">
        <v>871</v>
      </c>
      <c r="B10" s="221" t="s">
        <v>872</v>
      </c>
      <c r="C10" s="222">
        <v>500</v>
      </c>
      <c r="D10" s="223">
        <v>43</v>
      </c>
      <c r="E10" s="224">
        <v>200</v>
      </c>
    </row>
    <row r="11" spans="1:5" x14ac:dyDescent="0.25">
      <c r="A11" s="221" t="s">
        <v>873</v>
      </c>
      <c r="B11" s="221" t="s">
        <v>874</v>
      </c>
      <c r="C11" s="222">
        <v>500</v>
      </c>
      <c r="D11" s="223">
        <v>33.25</v>
      </c>
      <c r="E11" s="224">
        <v>700</v>
      </c>
    </row>
    <row r="12" spans="1:5" x14ac:dyDescent="0.25">
      <c r="A12" s="221" t="s">
        <v>875</v>
      </c>
      <c r="B12" s="221" t="s">
        <v>876</v>
      </c>
      <c r="C12" s="222">
        <v>150</v>
      </c>
      <c r="D12" s="223">
        <v>18.25</v>
      </c>
      <c r="E12" s="224">
        <v>400</v>
      </c>
    </row>
    <row r="13" spans="1:5" x14ac:dyDescent="0.25">
      <c r="A13" s="221" t="s">
        <v>877</v>
      </c>
      <c r="B13" s="221" t="s">
        <v>878</v>
      </c>
      <c r="C13" s="222">
        <v>300</v>
      </c>
      <c r="D13" s="223">
        <v>19</v>
      </c>
      <c r="E13" s="224">
        <v>900</v>
      </c>
    </row>
    <row r="14" spans="1:5" x14ac:dyDescent="0.25">
      <c r="A14" s="221" t="s">
        <v>879</v>
      </c>
      <c r="B14" s="221" t="s">
        <v>880</v>
      </c>
      <c r="C14" s="222">
        <v>500</v>
      </c>
      <c r="D14" s="223">
        <v>34.25</v>
      </c>
      <c r="E14" s="224">
        <v>700</v>
      </c>
    </row>
    <row r="15" spans="1:5" x14ac:dyDescent="0.25">
      <c r="A15" s="221" t="s">
        <v>881</v>
      </c>
      <c r="B15" s="221" t="s">
        <v>882</v>
      </c>
      <c r="C15" s="222">
        <v>300</v>
      </c>
      <c r="D15" s="223">
        <v>18</v>
      </c>
      <c r="E15" s="224">
        <v>400</v>
      </c>
    </row>
    <row r="16" spans="1:5" x14ac:dyDescent="0.25">
      <c r="A16" s="221" t="s">
        <v>883</v>
      </c>
      <c r="B16" s="221" t="s">
        <v>884</v>
      </c>
      <c r="C16" s="222">
        <v>150</v>
      </c>
      <c r="D16" s="223">
        <v>21</v>
      </c>
      <c r="E16" s="224">
        <v>500</v>
      </c>
    </row>
    <row r="17" spans="1:5" x14ac:dyDescent="0.25">
      <c r="A17" s="221" t="s">
        <v>885</v>
      </c>
      <c r="B17" s="221" t="s">
        <v>886</v>
      </c>
      <c r="C17" s="222">
        <v>150</v>
      </c>
      <c r="D17" s="223">
        <v>17.5</v>
      </c>
      <c r="E17" s="224">
        <v>300</v>
      </c>
    </row>
    <row r="18" spans="1:5" x14ac:dyDescent="0.25">
      <c r="A18" s="221" t="s">
        <v>887</v>
      </c>
      <c r="B18" s="221" t="s">
        <v>888</v>
      </c>
      <c r="C18" s="222">
        <v>300</v>
      </c>
      <c r="D18" s="223">
        <v>23</v>
      </c>
      <c r="E18" s="224">
        <v>200</v>
      </c>
    </row>
    <row r="19" spans="1:5" x14ac:dyDescent="0.25">
      <c r="A19" s="225" t="s">
        <v>889</v>
      </c>
      <c r="B19" s="225" t="s">
        <v>890</v>
      </c>
      <c r="C19" s="226">
        <v>500</v>
      </c>
      <c r="D19" s="227">
        <v>27.75</v>
      </c>
      <c r="E19" s="228">
        <v>300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Q15" sqref="Q15"/>
    </sheetView>
  </sheetViews>
  <sheetFormatPr defaultRowHeight="12.75" x14ac:dyDescent="0.2"/>
  <cols>
    <col min="1" max="1" width="5.7109375" style="79" customWidth="1"/>
    <col min="2" max="5" width="8.7109375" style="79" customWidth="1"/>
    <col min="6" max="16384" width="9.140625" style="79"/>
  </cols>
  <sheetData>
    <row r="1" spans="1:5" x14ac:dyDescent="0.2">
      <c r="B1" s="82" t="s">
        <v>258</v>
      </c>
      <c r="C1" s="82" t="s">
        <v>259</v>
      </c>
      <c r="D1" s="82" t="s">
        <v>260</v>
      </c>
      <c r="E1" s="82" t="s">
        <v>261</v>
      </c>
    </row>
    <row r="2" spans="1:5" x14ac:dyDescent="0.2">
      <c r="A2" s="79" t="s">
        <v>121</v>
      </c>
      <c r="B2" s="110">
        <v>152</v>
      </c>
      <c r="C2" s="110">
        <v>36</v>
      </c>
      <c r="D2" s="110">
        <v>123</v>
      </c>
      <c r="E2" s="110">
        <v>67</v>
      </c>
    </row>
    <row r="3" spans="1:5" x14ac:dyDescent="0.2">
      <c r="A3" s="79" t="s">
        <v>122</v>
      </c>
      <c r="B3" s="110">
        <v>160</v>
      </c>
      <c r="C3" s="110">
        <v>46</v>
      </c>
      <c r="D3" s="110">
        <v>133</v>
      </c>
      <c r="E3" s="110">
        <v>75</v>
      </c>
    </row>
    <row r="4" spans="1:5" x14ac:dyDescent="0.2">
      <c r="A4" s="79" t="s">
        <v>123</v>
      </c>
      <c r="B4" s="110">
        <v>148</v>
      </c>
      <c r="C4" s="110">
        <v>46</v>
      </c>
      <c r="D4" s="110">
        <v>137</v>
      </c>
      <c r="E4" s="110">
        <v>78</v>
      </c>
    </row>
    <row r="5" spans="1:5" x14ac:dyDescent="0.2">
      <c r="A5" s="79" t="s">
        <v>124</v>
      </c>
      <c r="B5" s="110">
        <v>155</v>
      </c>
      <c r="C5" s="110">
        <v>42</v>
      </c>
      <c r="D5" s="110">
        <v>124</v>
      </c>
      <c r="E5" s="110">
        <v>83</v>
      </c>
    </row>
  </sheetData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bestFit="1" customWidth="1"/>
    <col min="2" max="2" width="8.85546875" bestFit="1" customWidth="1"/>
    <col min="3" max="3" width="11.140625" bestFit="1" customWidth="1"/>
    <col min="4" max="4" width="10.28515625" bestFit="1" customWidth="1"/>
  </cols>
  <sheetData>
    <row r="1" spans="1:4" x14ac:dyDescent="0.25">
      <c r="B1" s="1" t="s">
        <v>345</v>
      </c>
      <c r="C1" s="157">
        <v>0.08</v>
      </c>
    </row>
    <row r="2" spans="1:4" x14ac:dyDescent="0.25">
      <c r="A2" s="1" t="s">
        <v>342</v>
      </c>
      <c r="B2" s="1" t="s">
        <v>343</v>
      </c>
      <c r="C2" s="1" t="s">
        <v>344</v>
      </c>
    </row>
    <row r="3" spans="1:4" x14ac:dyDescent="0.25">
      <c r="A3">
        <v>0</v>
      </c>
      <c r="B3" s="156">
        <v>-5000</v>
      </c>
      <c r="C3" s="24">
        <f>PV($C$1,A3,,-B3)</f>
        <v>-5000</v>
      </c>
    </row>
    <row r="4" spans="1:4" x14ac:dyDescent="0.25">
      <c r="A4">
        <v>1</v>
      </c>
      <c r="B4" s="156">
        <v>1400</v>
      </c>
      <c r="C4" s="24">
        <f t="shared" ref="C4:C7" si="0">PV($C$1,A4,,-B4)</f>
        <v>1296.2962962962963</v>
      </c>
    </row>
    <row r="5" spans="1:4" x14ac:dyDescent="0.25">
      <c r="A5">
        <v>2</v>
      </c>
      <c r="B5" s="156">
        <v>1500</v>
      </c>
      <c r="C5" s="24">
        <f t="shared" si="0"/>
        <v>1286.0082304526748</v>
      </c>
    </row>
    <row r="6" spans="1:4" x14ac:dyDescent="0.25">
      <c r="A6">
        <v>3</v>
      </c>
      <c r="B6" s="156">
        <v>1900</v>
      </c>
      <c r="C6" s="24">
        <f t="shared" si="0"/>
        <v>1508.2812579383221</v>
      </c>
    </row>
    <row r="7" spans="1:4" x14ac:dyDescent="0.25">
      <c r="A7">
        <v>4</v>
      </c>
      <c r="B7" s="156">
        <v>2000</v>
      </c>
      <c r="C7" s="24">
        <f t="shared" si="0"/>
        <v>1470.0597055929065</v>
      </c>
    </row>
    <row r="8" spans="1:4" x14ac:dyDescent="0.25">
      <c r="B8" t="s">
        <v>347</v>
      </c>
      <c r="C8" s="24">
        <f>SUM(C3:C7)</f>
        <v>560.64549028020019</v>
      </c>
      <c r="D8" s="158"/>
    </row>
    <row r="9" spans="1:4" x14ac:dyDescent="0.25">
      <c r="B9" t="s">
        <v>347</v>
      </c>
      <c r="C9" s="24">
        <f>B3+NPV($C$1,B4,B5,B6,B7)</f>
        <v>560.64549028019974</v>
      </c>
      <c r="D9" s="158"/>
    </row>
    <row r="10" spans="1:4" x14ac:dyDescent="0.25">
      <c r="B10" t="s">
        <v>346</v>
      </c>
      <c r="C10" s="159">
        <f>IRR(B3:B7)</f>
        <v>0.12613066814771079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C14" sqref="C14"/>
    </sheetView>
  </sheetViews>
  <sheetFormatPr defaultRowHeight="10.5" x14ac:dyDescent="0.15"/>
  <cols>
    <col min="1" max="1" width="24.7109375" style="51" customWidth="1"/>
    <col min="2" max="2" width="5.7109375" style="51" customWidth="1"/>
    <col min="3" max="3" width="12.7109375" style="51" customWidth="1"/>
    <col min="4" max="7" width="7.28515625" style="51" customWidth="1"/>
    <col min="8" max="16384" width="9.140625" style="51"/>
  </cols>
  <sheetData>
    <row r="1" spans="1:6" ht="30" customHeight="1" x14ac:dyDescent="0.15">
      <c r="A1" s="50" t="s">
        <v>187</v>
      </c>
    </row>
    <row r="2" spans="1:6" ht="30" customHeight="1" x14ac:dyDescent="0.15">
      <c r="A2" s="52" t="s">
        <v>188</v>
      </c>
    </row>
    <row r="3" spans="1:6" ht="30" customHeight="1" x14ac:dyDescent="0.15">
      <c r="A3" s="51" t="s">
        <v>189</v>
      </c>
      <c r="D3" s="53" t="s">
        <v>200</v>
      </c>
      <c r="E3" s="53" t="s">
        <v>201</v>
      </c>
      <c r="F3" s="53" t="s">
        <v>202</v>
      </c>
    </row>
    <row r="4" spans="1:6" x14ac:dyDescent="0.15">
      <c r="C4" s="51" t="s">
        <v>197</v>
      </c>
      <c r="D4" s="51">
        <v>375</v>
      </c>
      <c r="E4" s="51">
        <v>360</v>
      </c>
      <c r="F4" s="51">
        <f>E4-D4</f>
        <v>-15</v>
      </c>
    </row>
    <row r="5" spans="1:6" x14ac:dyDescent="0.15">
      <c r="A5" s="54" t="s">
        <v>190</v>
      </c>
      <c r="C5" s="51" t="s">
        <v>198</v>
      </c>
      <c r="D5" s="51">
        <v>150</v>
      </c>
      <c r="E5" s="51">
        <v>90</v>
      </c>
      <c r="F5" s="51">
        <f t="shared" ref="F5:F6" si="0">E5-D5</f>
        <v>-60</v>
      </c>
    </row>
    <row r="6" spans="1:6" x14ac:dyDescent="0.15">
      <c r="A6" s="55" t="s">
        <v>191</v>
      </c>
      <c r="C6" s="51" t="s">
        <v>199</v>
      </c>
      <c r="D6" s="51">
        <v>75</v>
      </c>
      <c r="E6" s="51">
        <v>145</v>
      </c>
      <c r="F6" s="51">
        <f t="shared" si="0"/>
        <v>70</v>
      </c>
    </row>
    <row r="7" spans="1:6" ht="11.25" thickBot="1" x14ac:dyDescent="0.2">
      <c r="A7" s="56" t="s">
        <v>192</v>
      </c>
      <c r="D7" s="115">
        <f>SUM(D4:D6)</f>
        <v>600</v>
      </c>
      <c r="E7" s="115">
        <f t="shared" ref="E7:F7" si="1">SUM(E4:E6)</f>
        <v>595</v>
      </c>
      <c r="F7" s="115">
        <f t="shared" si="1"/>
        <v>-5</v>
      </c>
    </row>
    <row r="9" spans="1:6" x14ac:dyDescent="0.15">
      <c r="A9" s="51" t="s">
        <v>193</v>
      </c>
    </row>
    <row r="10" spans="1:6" x14ac:dyDescent="0.15">
      <c r="A10" s="60" t="s">
        <v>194</v>
      </c>
    </row>
    <row r="11" spans="1:6" x14ac:dyDescent="0.15">
      <c r="A11" s="60" t="s">
        <v>195</v>
      </c>
    </row>
    <row r="12" spans="1:6" x14ac:dyDescent="0.15">
      <c r="A12" s="60" t="s">
        <v>196</v>
      </c>
    </row>
    <row r="13" spans="1:6" ht="30" customHeight="1" x14ac:dyDescent="0.15">
      <c r="C13" s="57"/>
      <c r="D13" s="58" t="s">
        <v>206</v>
      </c>
      <c r="E13" s="58" t="s">
        <v>207</v>
      </c>
      <c r="F13" s="58" t="s">
        <v>208</v>
      </c>
    </row>
    <row r="14" spans="1:6" ht="10.5" customHeight="1" x14ac:dyDescent="0.15">
      <c r="B14" s="256" t="s">
        <v>209</v>
      </c>
      <c r="C14" s="59" t="s">
        <v>203</v>
      </c>
      <c r="D14" s="59"/>
      <c r="E14" s="59"/>
      <c r="F14" s="59"/>
    </row>
    <row r="15" spans="1:6" x14ac:dyDescent="0.15">
      <c r="B15" s="257"/>
      <c r="C15" s="59" t="s">
        <v>204</v>
      </c>
      <c r="D15" s="59"/>
      <c r="E15" s="59"/>
      <c r="F15" s="59"/>
    </row>
    <row r="16" spans="1:6" x14ac:dyDescent="0.15">
      <c r="B16" s="258"/>
      <c r="C16" s="59" t="s">
        <v>205</v>
      </c>
      <c r="D16" s="59"/>
      <c r="E16" s="59"/>
      <c r="F16" s="59"/>
    </row>
  </sheetData>
  <mergeCells count="1">
    <mergeCell ref="B14:B16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9E98-7B5E-4FE5-B8A4-316A7DA204D9}">
  <dimension ref="A1:G4"/>
  <sheetViews>
    <sheetView workbookViewId="0">
      <selection activeCell="B17" sqref="B17"/>
    </sheetView>
  </sheetViews>
  <sheetFormatPr defaultRowHeight="12.75" x14ac:dyDescent="0.2"/>
  <cols>
    <col min="1" max="1" width="9.140625" style="236"/>
    <col min="2" max="7" width="4.7109375" style="236" customWidth="1"/>
    <col min="8" max="16384" width="9.140625" style="236"/>
  </cols>
  <sheetData>
    <row r="1" spans="1:7" x14ac:dyDescent="0.2">
      <c r="B1" s="237" t="s">
        <v>121</v>
      </c>
      <c r="C1" s="237" t="s">
        <v>122</v>
      </c>
      <c r="D1" s="237" t="s">
        <v>123</v>
      </c>
      <c r="E1" s="237" t="s">
        <v>124</v>
      </c>
      <c r="F1" s="237" t="s">
        <v>125</v>
      </c>
      <c r="G1" s="237" t="s">
        <v>126</v>
      </c>
    </row>
    <row r="2" spans="1:7" x14ac:dyDescent="0.2">
      <c r="A2" s="236" t="s">
        <v>127</v>
      </c>
      <c r="B2" s="236">
        <v>100</v>
      </c>
      <c r="C2" s="236">
        <v>190</v>
      </c>
      <c r="D2" s="236">
        <v>280</v>
      </c>
      <c r="E2" s="236">
        <v>410</v>
      </c>
      <c r="F2" s="236">
        <v>500</v>
      </c>
      <c r="G2" s="236">
        <v>530</v>
      </c>
    </row>
    <row r="3" spans="1:7" x14ac:dyDescent="0.2">
      <c r="A3" s="236" t="s">
        <v>128</v>
      </c>
      <c r="B3" s="236">
        <v>340</v>
      </c>
      <c r="C3" s="236">
        <v>420</v>
      </c>
      <c r="D3" s="236">
        <v>430</v>
      </c>
      <c r="E3" s="236">
        <v>410</v>
      </c>
      <c r="F3" s="236">
        <v>450</v>
      </c>
      <c r="G3" s="236">
        <v>480</v>
      </c>
    </row>
    <row r="4" spans="1:7" x14ac:dyDescent="0.2">
      <c r="A4" s="236" t="s">
        <v>129</v>
      </c>
      <c r="B4" s="236">
        <v>210</v>
      </c>
      <c r="C4" s="236">
        <v>230</v>
      </c>
      <c r="D4" s="236">
        <v>230</v>
      </c>
      <c r="E4" s="236">
        <v>240</v>
      </c>
      <c r="F4" s="236">
        <v>280</v>
      </c>
      <c r="G4" s="236">
        <v>290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2648-DE8E-49F7-ADC7-E8EF389C656E}">
  <dimension ref="A1:B6"/>
  <sheetViews>
    <sheetView workbookViewId="0">
      <selection activeCell="O21" sqref="O21"/>
    </sheetView>
  </sheetViews>
  <sheetFormatPr defaultRowHeight="12.75" x14ac:dyDescent="0.2"/>
  <cols>
    <col min="1" max="1" width="14.42578125" style="90" bestFit="1" customWidth="1"/>
    <col min="2" max="2" width="12.7109375" style="90" bestFit="1" customWidth="1"/>
    <col min="3" max="16384" width="9.140625" style="90"/>
  </cols>
  <sheetData>
    <row r="1" spans="1:2" x14ac:dyDescent="0.2">
      <c r="A1" s="92" t="s">
        <v>58</v>
      </c>
      <c r="B1" s="92" t="s">
        <v>974</v>
      </c>
    </row>
    <row r="2" spans="1:2" x14ac:dyDescent="0.2">
      <c r="A2" s="90" t="s">
        <v>977</v>
      </c>
      <c r="B2" s="90">
        <v>33.299999999999997</v>
      </c>
    </row>
    <row r="3" spans="1:2" x14ac:dyDescent="0.2">
      <c r="A3" s="90" t="s">
        <v>978</v>
      </c>
      <c r="B3" s="90">
        <v>29.2</v>
      </c>
    </row>
    <row r="4" spans="1:2" x14ac:dyDescent="0.2">
      <c r="A4" s="90" t="s">
        <v>976</v>
      </c>
      <c r="B4" s="90">
        <v>29.1</v>
      </c>
    </row>
    <row r="5" spans="1:2" x14ac:dyDescent="0.2">
      <c r="A5" s="90" t="s">
        <v>979</v>
      </c>
      <c r="B5" s="90">
        <v>15</v>
      </c>
    </row>
    <row r="6" spans="1:2" x14ac:dyDescent="0.2">
      <c r="A6" s="90" t="s">
        <v>975</v>
      </c>
      <c r="B6" s="90">
        <v>4.4000000000000004</v>
      </c>
    </row>
  </sheetData>
  <sortState xmlns:xlrd2="http://schemas.microsoft.com/office/spreadsheetml/2017/richdata2" ref="A2:B6">
    <sortCondition descending="1" ref="B3:B6"/>
  </sortState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A1B-0644-40EF-922C-ACB170948E30}">
  <dimension ref="A1:C6"/>
  <sheetViews>
    <sheetView workbookViewId="0">
      <selection activeCell="A9" sqref="A9"/>
    </sheetView>
  </sheetViews>
  <sheetFormatPr defaultRowHeight="12.75" x14ac:dyDescent="0.2"/>
  <cols>
    <col min="1" max="1" width="15.7109375" style="236" customWidth="1"/>
    <col min="2" max="2" width="9.7109375" style="236" customWidth="1"/>
    <col min="3" max="3" width="12.7109375" style="236" customWidth="1"/>
    <col min="4" max="16384" width="9.140625" style="236"/>
  </cols>
  <sheetData>
    <row r="1" spans="1:3" x14ac:dyDescent="0.2">
      <c r="A1" s="236" t="s">
        <v>1007</v>
      </c>
      <c r="B1" s="236" t="s">
        <v>1008</v>
      </c>
      <c r="C1" s="236" t="s">
        <v>1009</v>
      </c>
    </row>
    <row r="2" spans="1:3" x14ac:dyDescent="0.2">
      <c r="A2" s="236">
        <v>5</v>
      </c>
      <c r="B2" s="238">
        <v>5500</v>
      </c>
      <c r="C2" s="239">
        <v>0.03</v>
      </c>
    </row>
    <row r="3" spans="1:3" x14ac:dyDescent="0.2">
      <c r="A3" s="236">
        <v>14</v>
      </c>
      <c r="B3" s="238">
        <v>12200</v>
      </c>
      <c r="C3" s="239">
        <v>0.12</v>
      </c>
    </row>
    <row r="4" spans="1:3" x14ac:dyDescent="0.2">
      <c r="A4" s="236">
        <v>20</v>
      </c>
      <c r="B4" s="238">
        <v>60000</v>
      </c>
      <c r="C4" s="239">
        <v>0.33</v>
      </c>
    </row>
    <row r="5" spans="1:3" x14ac:dyDescent="0.2">
      <c r="A5" s="236">
        <v>18</v>
      </c>
      <c r="B5" s="238">
        <v>24400</v>
      </c>
      <c r="C5" s="239">
        <v>0.1</v>
      </c>
    </row>
    <row r="6" spans="1:3" x14ac:dyDescent="0.2">
      <c r="A6" s="236">
        <v>22</v>
      </c>
      <c r="B6" s="238">
        <v>32000</v>
      </c>
      <c r="C6" s="239">
        <v>0.42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0A4F-284C-4A1C-BC8D-38A8AA2F1DD4}">
  <dimension ref="A1:F6"/>
  <sheetViews>
    <sheetView workbookViewId="0">
      <selection activeCell="B12" sqref="B12"/>
    </sheetView>
  </sheetViews>
  <sheetFormatPr defaultRowHeight="12.75" x14ac:dyDescent="0.2"/>
  <cols>
    <col min="1" max="1" width="10.7109375" style="90" customWidth="1"/>
    <col min="2" max="6" width="6.7109375" style="90" customWidth="1"/>
    <col min="7" max="16384" width="9.140625" style="90"/>
  </cols>
  <sheetData>
    <row r="1" spans="1:6" x14ac:dyDescent="0.2">
      <c r="B1" s="231">
        <v>2012</v>
      </c>
      <c r="C1" s="231">
        <v>2013</v>
      </c>
      <c r="D1" s="231">
        <v>2014</v>
      </c>
      <c r="E1" s="231">
        <v>2015</v>
      </c>
      <c r="F1" s="231">
        <v>2016</v>
      </c>
    </row>
    <row r="2" spans="1:6" x14ac:dyDescent="0.2">
      <c r="A2" s="90" t="s">
        <v>969</v>
      </c>
      <c r="B2" s="232">
        <v>33.700000000000003</v>
      </c>
      <c r="C2" s="232">
        <v>34</v>
      </c>
      <c r="D2" s="232">
        <v>34.1</v>
      </c>
      <c r="E2" s="232">
        <v>35</v>
      </c>
      <c r="F2" s="232">
        <v>35.200000000000003</v>
      </c>
    </row>
    <row r="3" spans="1:6" x14ac:dyDescent="0.2">
      <c r="A3" s="90" t="s">
        <v>970</v>
      </c>
      <c r="B3" s="232">
        <v>9.6</v>
      </c>
      <c r="C3" s="232">
        <v>11.2</v>
      </c>
      <c r="D3" s="232">
        <v>14</v>
      </c>
      <c r="E3" s="232">
        <v>17.399999999999999</v>
      </c>
      <c r="F3" s="232">
        <v>18.399999999999999</v>
      </c>
    </row>
    <row r="4" spans="1:6" x14ac:dyDescent="0.2">
      <c r="A4" s="90" t="s">
        <v>971</v>
      </c>
      <c r="B4" s="232">
        <v>5.8</v>
      </c>
      <c r="C4" s="232">
        <v>5.8</v>
      </c>
      <c r="D4" s="232">
        <v>5.9</v>
      </c>
      <c r="E4" s="232">
        <v>6.2</v>
      </c>
      <c r="F4" s="232">
        <v>6.2</v>
      </c>
    </row>
    <row r="5" spans="1:6" x14ac:dyDescent="0.2">
      <c r="A5" s="90" t="s">
        <v>972</v>
      </c>
      <c r="B5" s="232">
        <v>7.6</v>
      </c>
      <c r="C5" s="232">
        <v>7.4</v>
      </c>
      <c r="D5" s="232">
        <v>7.4</v>
      </c>
      <c r="E5" s="232">
        <v>7.3</v>
      </c>
      <c r="F5" s="232">
        <v>7</v>
      </c>
    </row>
    <row r="6" spans="1:6" x14ac:dyDescent="0.2">
      <c r="A6" s="90" t="s">
        <v>973</v>
      </c>
      <c r="B6" s="232">
        <v>7.5</v>
      </c>
      <c r="C6" s="232">
        <v>9</v>
      </c>
      <c r="D6" s="232">
        <v>9.6999999999999993</v>
      </c>
      <c r="E6" s="232">
        <v>10</v>
      </c>
      <c r="F6" s="232">
        <v>10.3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5542-0992-4E25-A79E-9FD0E06B63FA}">
  <dimension ref="A1:H26"/>
  <sheetViews>
    <sheetView showGridLines="0" tabSelected="1" workbookViewId="0">
      <selection activeCell="B28" sqref="B28"/>
    </sheetView>
  </sheetViews>
  <sheetFormatPr defaultRowHeight="15" x14ac:dyDescent="0.25"/>
  <cols>
    <col min="1" max="1" width="6.7109375" customWidth="1"/>
    <col min="2" max="2" width="8" bestFit="1" customWidth="1"/>
    <col min="3" max="5" width="6.7109375" customWidth="1"/>
    <col min="6" max="6" width="2.7109375" customWidth="1"/>
    <col min="7" max="7" width="13.7109375" bestFit="1" customWidth="1"/>
    <col min="8" max="8" width="5.7109375" customWidth="1"/>
    <col min="9" max="9" width="6.42578125" customWidth="1"/>
  </cols>
  <sheetData>
    <row r="1" spans="1:8" x14ac:dyDescent="0.25">
      <c r="A1" t="s">
        <v>1099</v>
      </c>
      <c r="B1" t="s">
        <v>1100</v>
      </c>
      <c r="C1" t="s">
        <v>1101</v>
      </c>
      <c r="D1" t="s">
        <v>1102</v>
      </c>
      <c r="E1" t="s">
        <v>1103</v>
      </c>
      <c r="G1" t="s">
        <v>161</v>
      </c>
      <c r="H1" s="265">
        <f>AVERAGE(tblData[temp])</f>
        <v>34.929166666666667</v>
      </c>
    </row>
    <row r="2" spans="1:8" x14ac:dyDescent="0.25">
      <c r="A2">
        <v>1</v>
      </c>
      <c r="B2" s="265">
        <v>35.6</v>
      </c>
      <c r="C2" s="265">
        <f t="shared" ref="C2:C25" si="0">$H$1</f>
        <v>34.929166666666667</v>
      </c>
      <c r="D2" s="265">
        <f t="shared" ref="D2:D25" si="1">$H$1+2*$H$2</f>
        <v>37.48870410223153</v>
      </c>
      <c r="E2" s="265">
        <f>$H$1-2*$H$2</f>
        <v>32.369629231101804</v>
      </c>
      <c r="F2" s="265"/>
      <c r="G2" t="s">
        <v>1104</v>
      </c>
      <c r="H2" s="266">
        <f>_xlfn.STDEV.S(tblData[temp])</f>
        <v>1.2797687177824331</v>
      </c>
    </row>
    <row r="3" spans="1:8" x14ac:dyDescent="0.25">
      <c r="A3">
        <v>2</v>
      </c>
      <c r="B3" s="265">
        <v>33.799999999999997</v>
      </c>
      <c r="C3" s="265">
        <f t="shared" si="0"/>
        <v>34.929166666666667</v>
      </c>
      <c r="D3" s="265">
        <f t="shared" si="1"/>
        <v>37.48870410223153</v>
      </c>
      <c r="E3" s="265">
        <f t="shared" ref="E3:E25" si="2">$H$1-2*$H$2</f>
        <v>32.369629231101804</v>
      </c>
      <c r="F3" s="265"/>
    </row>
    <row r="4" spans="1:8" x14ac:dyDescent="0.25">
      <c r="A4">
        <v>3</v>
      </c>
      <c r="B4" s="265">
        <v>34.4</v>
      </c>
      <c r="C4" s="265">
        <f t="shared" si="0"/>
        <v>34.929166666666667</v>
      </c>
      <c r="D4" s="265">
        <f t="shared" si="1"/>
        <v>37.48870410223153</v>
      </c>
      <c r="E4" s="265">
        <f t="shared" si="2"/>
        <v>32.369629231101804</v>
      </c>
      <c r="F4" s="265"/>
    </row>
    <row r="5" spans="1:8" x14ac:dyDescent="0.25">
      <c r="A5">
        <v>4</v>
      </c>
      <c r="B5" s="265">
        <v>35</v>
      </c>
      <c r="C5" s="265">
        <f t="shared" si="0"/>
        <v>34.929166666666667</v>
      </c>
      <c r="D5" s="265">
        <f t="shared" si="1"/>
        <v>37.48870410223153</v>
      </c>
      <c r="E5" s="265">
        <f t="shared" si="2"/>
        <v>32.369629231101804</v>
      </c>
      <c r="F5" s="265"/>
    </row>
    <row r="6" spans="1:8" x14ac:dyDescent="0.25">
      <c r="A6">
        <v>5</v>
      </c>
      <c r="B6" s="265">
        <v>35.6</v>
      </c>
      <c r="C6" s="265">
        <f t="shared" si="0"/>
        <v>34.929166666666667</v>
      </c>
      <c r="D6" s="265">
        <f t="shared" si="1"/>
        <v>37.48870410223153</v>
      </c>
      <c r="E6" s="265">
        <f t="shared" si="2"/>
        <v>32.369629231101804</v>
      </c>
      <c r="F6" s="265"/>
    </row>
    <row r="7" spans="1:8" x14ac:dyDescent="0.25">
      <c r="A7">
        <v>6</v>
      </c>
      <c r="B7" s="265">
        <v>33.4</v>
      </c>
      <c r="C7" s="265">
        <f t="shared" si="0"/>
        <v>34.929166666666667</v>
      </c>
      <c r="D7" s="265">
        <f t="shared" si="1"/>
        <v>37.48870410223153</v>
      </c>
      <c r="E7" s="265">
        <f t="shared" si="2"/>
        <v>32.369629231101804</v>
      </c>
      <c r="F7" s="265"/>
    </row>
    <row r="8" spans="1:8" x14ac:dyDescent="0.25">
      <c r="A8">
        <v>7</v>
      </c>
      <c r="B8" s="265">
        <v>33</v>
      </c>
      <c r="C8" s="265">
        <f t="shared" si="0"/>
        <v>34.929166666666667</v>
      </c>
      <c r="D8" s="265">
        <f t="shared" si="1"/>
        <v>37.48870410223153</v>
      </c>
      <c r="E8" s="265">
        <f t="shared" si="2"/>
        <v>32.369629231101804</v>
      </c>
      <c r="F8" s="265"/>
    </row>
    <row r="9" spans="1:8" x14ac:dyDescent="0.25">
      <c r="A9">
        <v>8</v>
      </c>
      <c r="B9" s="265">
        <v>34.4</v>
      </c>
      <c r="C9" s="265">
        <f t="shared" si="0"/>
        <v>34.929166666666667</v>
      </c>
      <c r="D9" s="265">
        <f t="shared" si="1"/>
        <v>37.48870410223153</v>
      </c>
      <c r="E9" s="265">
        <f t="shared" si="2"/>
        <v>32.369629231101804</v>
      </c>
      <c r="F9" s="265"/>
    </row>
    <row r="10" spans="1:8" x14ac:dyDescent="0.25">
      <c r="A10">
        <v>9</v>
      </c>
      <c r="B10" s="265">
        <v>36</v>
      </c>
      <c r="C10" s="265">
        <f t="shared" si="0"/>
        <v>34.929166666666667</v>
      </c>
      <c r="D10" s="265">
        <f t="shared" si="1"/>
        <v>37.48870410223153</v>
      </c>
      <c r="E10" s="265">
        <f t="shared" si="2"/>
        <v>32.369629231101804</v>
      </c>
      <c r="F10" s="265"/>
    </row>
    <row r="11" spans="1:8" x14ac:dyDescent="0.25">
      <c r="A11">
        <v>10</v>
      </c>
      <c r="B11" s="265">
        <v>34</v>
      </c>
      <c r="C11" s="265">
        <f t="shared" si="0"/>
        <v>34.929166666666667</v>
      </c>
      <c r="D11" s="265">
        <f t="shared" si="1"/>
        <v>37.48870410223153</v>
      </c>
      <c r="E11" s="265">
        <f t="shared" si="2"/>
        <v>32.369629231101804</v>
      </c>
      <c r="F11" s="265"/>
    </row>
    <row r="12" spans="1:8" x14ac:dyDescent="0.25">
      <c r="A12">
        <v>11</v>
      </c>
      <c r="B12" s="265">
        <v>35</v>
      </c>
      <c r="C12" s="265">
        <f t="shared" si="0"/>
        <v>34.929166666666667</v>
      </c>
      <c r="D12" s="265">
        <f t="shared" si="1"/>
        <v>37.48870410223153</v>
      </c>
      <c r="E12" s="265">
        <f t="shared" si="2"/>
        <v>32.369629231101804</v>
      </c>
      <c r="F12" s="265"/>
    </row>
    <row r="13" spans="1:8" x14ac:dyDescent="0.25">
      <c r="A13">
        <v>12</v>
      </c>
      <c r="B13" s="265">
        <v>35.6</v>
      </c>
      <c r="C13" s="265">
        <f t="shared" si="0"/>
        <v>34.929166666666667</v>
      </c>
      <c r="D13" s="265">
        <f t="shared" si="1"/>
        <v>37.48870410223153</v>
      </c>
      <c r="E13" s="265">
        <f t="shared" si="2"/>
        <v>32.369629231101804</v>
      </c>
      <c r="F13" s="265"/>
    </row>
    <row r="14" spans="1:8" x14ac:dyDescent="0.25">
      <c r="A14">
        <v>13</v>
      </c>
      <c r="B14" s="265">
        <v>33.9</v>
      </c>
      <c r="C14" s="265">
        <f t="shared" si="0"/>
        <v>34.929166666666667</v>
      </c>
      <c r="D14" s="265">
        <f t="shared" si="1"/>
        <v>37.48870410223153</v>
      </c>
      <c r="E14" s="265">
        <f t="shared" si="2"/>
        <v>32.369629231101804</v>
      </c>
      <c r="F14" s="265"/>
    </row>
    <row r="15" spans="1:8" x14ac:dyDescent="0.25">
      <c r="A15">
        <v>14</v>
      </c>
      <c r="B15" s="265">
        <v>36.1</v>
      </c>
      <c r="C15" s="265">
        <f t="shared" si="0"/>
        <v>34.929166666666667</v>
      </c>
      <c r="D15" s="265">
        <f t="shared" si="1"/>
        <v>37.48870410223153</v>
      </c>
      <c r="E15" s="265">
        <f t="shared" si="2"/>
        <v>32.369629231101804</v>
      </c>
      <c r="F15" s="265"/>
    </row>
    <row r="16" spans="1:8" x14ac:dyDescent="0.25">
      <c r="A16">
        <v>15</v>
      </c>
      <c r="B16" s="265">
        <v>37.4</v>
      </c>
      <c r="C16" s="265">
        <f t="shared" si="0"/>
        <v>34.929166666666667</v>
      </c>
      <c r="D16" s="265">
        <f t="shared" si="1"/>
        <v>37.48870410223153</v>
      </c>
      <c r="E16" s="265">
        <f t="shared" si="2"/>
        <v>32.369629231101804</v>
      </c>
      <c r="F16" s="265"/>
    </row>
    <row r="17" spans="1:6" x14ac:dyDescent="0.25">
      <c r="A17">
        <v>16</v>
      </c>
      <c r="B17" s="265">
        <v>35.200000000000003</v>
      </c>
      <c r="C17" s="265">
        <f t="shared" si="0"/>
        <v>34.929166666666667</v>
      </c>
      <c r="D17" s="265">
        <f t="shared" si="1"/>
        <v>37.48870410223153</v>
      </c>
      <c r="E17" s="265">
        <f t="shared" si="2"/>
        <v>32.369629231101804</v>
      </c>
      <c r="F17" s="265"/>
    </row>
    <row r="18" spans="1:6" x14ac:dyDescent="0.25">
      <c r="A18">
        <v>17</v>
      </c>
      <c r="B18" s="265">
        <v>33.200000000000003</v>
      </c>
      <c r="C18" s="265">
        <f t="shared" si="0"/>
        <v>34.929166666666667</v>
      </c>
      <c r="D18" s="265">
        <f t="shared" si="1"/>
        <v>37.48870410223153</v>
      </c>
      <c r="E18" s="265">
        <f t="shared" si="2"/>
        <v>32.369629231101804</v>
      </c>
      <c r="F18" s="265"/>
    </row>
    <row r="19" spans="1:6" x14ac:dyDescent="0.25">
      <c r="A19">
        <v>18</v>
      </c>
      <c r="B19" s="265">
        <v>36.4</v>
      </c>
      <c r="C19" s="265">
        <f t="shared" si="0"/>
        <v>34.929166666666667</v>
      </c>
      <c r="D19" s="265">
        <f t="shared" si="1"/>
        <v>37.48870410223153</v>
      </c>
      <c r="E19" s="265">
        <f t="shared" si="2"/>
        <v>32.369629231101804</v>
      </c>
      <c r="F19" s="265"/>
    </row>
    <row r="20" spans="1:6" x14ac:dyDescent="0.25">
      <c r="A20">
        <v>19</v>
      </c>
      <c r="B20" s="265">
        <v>34.200000000000003</v>
      </c>
      <c r="C20" s="265">
        <f t="shared" si="0"/>
        <v>34.929166666666667</v>
      </c>
      <c r="D20" s="265">
        <f t="shared" si="1"/>
        <v>37.48870410223153</v>
      </c>
      <c r="E20" s="265">
        <f t="shared" si="2"/>
        <v>32.369629231101804</v>
      </c>
      <c r="F20" s="265"/>
    </row>
    <row r="21" spans="1:6" x14ac:dyDescent="0.25">
      <c r="A21">
        <v>20</v>
      </c>
      <c r="B21" s="265">
        <v>36</v>
      </c>
      <c r="C21" s="265">
        <f t="shared" si="0"/>
        <v>34.929166666666667</v>
      </c>
      <c r="D21" s="265">
        <f t="shared" si="1"/>
        <v>37.48870410223153</v>
      </c>
      <c r="E21" s="265">
        <f t="shared" si="2"/>
        <v>32.369629231101804</v>
      </c>
      <c r="F21" s="265"/>
    </row>
    <row r="22" spans="1:6" x14ac:dyDescent="0.25">
      <c r="A22">
        <v>21</v>
      </c>
      <c r="B22" s="265">
        <v>35.799999999999997</v>
      </c>
      <c r="C22" s="265">
        <f t="shared" si="0"/>
        <v>34.929166666666667</v>
      </c>
      <c r="D22" s="265">
        <f t="shared" si="1"/>
        <v>37.48870410223153</v>
      </c>
      <c r="E22" s="265">
        <f t="shared" si="2"/>
        <v>32.369629231101804</v>
      </c>
      <c r="F22" s="265"/>
    </row>
    <row r="23" spans="1:6" x14ac:dyDescent="0.25">
      <c r="A23">
        <v>22</v>
      </c>
      <c r="B23" s="265">
        <v>32.5</v>
      </c>
      <c r="C23" s="265">
        <f t="shared" si="0"/>
        <v>34.929166666666667</v>
      </c>
      <c r="D23" s="265">
        <f t="shared" si="1"/>
        <v>37.48870410223153</v>
      </c>
      <c r="E23" s="265">
        <f t="shared" si="2"/>
        <v>32.369629231101804</v>
      </c>
      <c r="F23" s="265"/>
    </row>
    <row r="24" spans="1:6" x14ac:dyDescent="0.25">
      <c r="A24">
        <v>23</v>
      </c>
      <c r="B24" s="265">
        <v>37</v>
      </c>
      <c r="C24" s="265">
        <f t="shared" si="0"/>
        <v>34.929166666666667</v>
      </c>
      <c r="D24" s="265">
        <f t="shared" si="1"/>
        <v>37.48870410223153</v>
      </c>
      <c r="E24" s="265">
        <f t="shared" si="2"/>
        <v>32.369629231101804</v>
      </c>
      <c r="F24" s="265"/>
    </row>
    <row r="25" spans="1:6" x14ac:dyDescent="0.25">
      <c r="A25">
        <v>24</v>
      </c>
      <c r="B25" s="265">
        <v>34.799999999999997</v>
      </c>
      <c r="C25" s="265">
        <f t="shared" si="0"/>
        <v>34.929166666666667</v>
      </c>
      <c r="D25" s="265">
        <f t="shared" si="1"/>
        <v>37.48870410223153</v>
      </c>
      <c r="E25" s="265">
        <f t="shared" si="2"/>
        <v>32.369629231101804</v>
      </c>
      <c r="F25" s="265"/>
    </row>
    <row r="26" spans="1:6" x14ac:dyDescent="0.25">
      <c r="F26" s="265"/>
    </row>
  </sheetData>
  <pageMargins left="0.7" right="0.7" top="0.75" bottom="0.75" header="0.3" footer="0.3"/>
  <drawing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446D-22EA-409F-9E28-DBF77A6CD23B}">
  <dimension ref="A1:C5"/>
  <sheetViews>
    <sheetView workbookViewId="0">
      <selection activeCell="A7" sqref="A7"/>
    </sheetView>
  </sheetViews>
  <sheetFormatPr defaultRowHeight="12.75" x14ac:dyDescent="0.2"/>
  <cols>
    <col min="1" max="1" width="9.5703125" style="236" bestFit="1" customWidth="1"/>
    <col min="2" max="16384" width="9.140625" style="236"/>
  </cols>
  <sheetData>
    <row r="1" spans="1:3" x14ac:dyDescent="0.2">
      <c r="B1" s="236">
        <v>2008</v>
      </c>
      <c r="C1" s="236">
        <v>2009</v>
      </c>
    </row>
    <row r="2" spans="1:3" x14ac:dyDescent="0.2">
      <c r="A2" s="236" t="s">
        <v>992</v>
      </c>
      <c r="B2" s="236">
        <v>0.24</v>
      </c>
      <c r="C2" s="236">
        <v>0.21</v>
      </c>
    </row>
    <row r="3" spans="1:3" x14ac:dyDescent="0.2">
      <c r="A3" s="236" t="s">
        <v>993</v>
      </c>
      <c r="B3" s="236">
        <v>0.25</v>
      </c>
      <c r="C3" s="236">
        <v>0.23</v>
      </c>
    </row>
    <row r="4" spans="1:3" x14ac:dyDescent="0.2">
      <c r="A4" s="236" t="s">
        <v>994</v>
      </c>
      <c r="B4" s="236">
        <v>0.25</v>
      </c>
      <c r="C4" s="236">
        <v>0.27</v>
      </c>
    </row>
    <row r="5" spans="1:3" x14ac:dyDescent="0.2">
      <c r="A5" s="236" t="s">
        <v>995</v>
      </c>
      <c r="B5" s="236">
        <v>0.26</v>
      </c>
      <c r="C5" s="236">
        <v>0.28999999999999998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B458-D376-4AF2-9A4C-A64BCFB1EBF0}">
  <dimension ref="A1:D16"/>
  <sheetViews>
    <sheetView workbookViewId="0">
      <selection activeCell="B24" sqref="B24"/>
    </sheetView>
  </sheetViews>
  <sheetFormatPr defaultRowHeight="12.75" x14ac:dyDescent="0.2"/>
  <cols>
    <col min="1" max="4" width="6.7109375" style="90" customWidth="1"/>
    <col min="5" max="16384" width="9.140625" style="90"/>
  </cols>
  <sheetData>
    <row r="1" spans="1:4" x14ac:dyDescent="0.2">
      <c r="A1" s="92" t="s">
        <v>342</v>
      </c>
      <c r="B1" s="234" t="s">
        <v>987</v>
      </c>
      <c r="C1" s="234" t="s">
        <v>988</v>
      </c>
      <c r="D1" s="234" t="s">
        <v>989</v>
      </c>
    </row>
    <row r="2" spans="1:4" x14ac:dyDescent="0.2">
      <c r="A2" s="235">
        <v>2006</v>
      </c>
      <c r="B2" s="232">
        <v>11.3</v>
      </c>
      <c r="C2" s="232">
        <v>15</v>
      </c>
      <c r="D2" s="232">
        <v>7.4</v>
      </c>
    </row>
    <row r="3" spans="1:4" x14ac:dyDescent="0.2">
      <c r="A3" s="235">
        <v>2007</v>
      </c>
      <c r="B3" s="232">
        <v>11.4</v>
      </c>
      <c r="C3" s="232">
        <v>15.1</v>
      </c>
      <c r="D3" s="232">
        <v>7.7</v>
      </c>
    </row>
    <row r="4" spans="1:4" x14ac:dyDescent="0.2">
      <c r="A4" s="235">
        <v>2008</v>
      </c>
      <c r="B4" s="232">
        <v>10.8</v>
      </c>
      <c r="C4" s="232">
        <v>14.4</v>
      </c>
      <c r="D4" s="232">
        <v>6.9</v>
      </c>
    </row>
    <row r="5" spans="1:4" x14ac:dyDescent="0.2">
      <c r="A5" s="235">
        <v>2009</v>
      </c>
      <c r="B5" s="232">
        <v>10.7</v>
      </c>
      <c r="C5" s="232">
        <v>14.6</v>
      </c>
      <c r="D5" s="232">
        <v>6.6</v>
      </c>
    </row>
    <row r="6" spans="1:4" x14ac:dyDescent="0.2">
      <c r="A6" s="235">
        <v>2010</v>
      </c>
      <c r="B6" s="232">
        <v>9.1999999999999993</v>
      </c>
      <c r="C6" s="232">
        <v>12.9</v>
      </c>
      <c r="D6" s="232">
        <v>5.2</v>
      </c>
    </row>
    <row r="7" spans="1:4" x14ac:dyDescent="0.2">
      <c r="A7" s="235">
        <v>2011</v>
      </c>
      <c r="B7" s="232">
        <v>11</v>
      </c>
      <c r="C7" s="232">
        <v>14.9</v>
      </c>
      <c r="D7" s="232">
        <v>7.1</v>
      </c>
    </row>
    <row r="8" spans="1:4" x14ac:dyDescent="0.2">
      <c r="A8" s="235">
        <v>2012</v>
      </c>
      <c r="B8" s="232">
        <v>10.4</v>
      </c>
      <c r="C8" s="232">
        <v>14.1</v>
      </c>
      <c r="D8" s="232">
        <v>6.6</v>
      </c>
    </row>
    <row r="9" spans="1:4" x14ac:dyDescent="0.2">
      <c r="A9" s="235">
        <v>2013</v>
      </c>
      <c r="B9" s="232">
        <v>10</v>
      </c>
      <c r="C9" s="232">
        <v>13.6</v>
      </c>
      <c r="D9" s="232">
        <v>6.1</v>
      </c>
    </row>
    <row r="10" spans="1:4" x14ac:dyDescent="0.2">
      <c r="A10" s="235">
        <v>2014</v>
      </c>
      <c r="B10" s="232">
        <v>11.9</v>
      </c>
      <c r="C10" s="232">
        <v>15.6</v>
      </c>
      <c r="D10" s="232">
        <v>8</v>
      </c>
    </row>
    <row r="11" spans="1:4" x14ac:dyDescent="0.2">
      <c r="A11" s="235">
        <v>2015</v>
      </c>
      <c r="B11" s="232">
        <v>11</v>
      </c>
      <c r="C11" s="232">
        <v>14.7</v>
      </c>
      <c r="D11" s="232">
        <v>7.1</v>
      </c>
    </row>
    <row r="12" spans="1:4" x14ac:dyDescent="0.2">
      <c r="A12" s="235">
        <v>2016</v>
      </c>
      <c r="B12" s="232">
        <v>11</v>
      </c>
      <c r="C12" s="232">
        <v>14.7</v>
      </c>
      <c r="D12" s="232">
        <v>7.1</v>
      </c>
    </row>
    <row r="13" spans="1:4" x14ac:dyDescent="0.2">
      <c r="A13" s="235">
        <v>2017</v>
      </c>
      <c r="B13" s="90">
        <v>11.2</v>
      </c>
      <c r="C13" s="90">
        <v>14.8</v>
      </c>
      <c r="D13" s="90">
        <v>7.1</v>
      </c>
    </row>
    <row r="14" spans="1:4" x14ac:dyDescent="0.2">
      <c r="A14" s="235">
        <v>2018</v>
      </c>
      <c r="B14" s="90">
        <v>11.7</v>
      </c>
      <c r="C14" s="90">
        <v>15.7</v>
      </c>
      <c r="D14" s="90">
        <v>7.4</v>
      </c>
    </row>
    <row r="15" spans="1:4" x14ac:dyDescent="0.2">
      <c r="A15" s="235">
        <v>2019</v>
      </c>
      <c r="B15" s="90">
        <v>11.3</v>
      </c>
      <c r="C15" s="90">
        <v>15.2</v>
      </c>
      <c r="D15" s="90">
        <v>7.2</v>
      </c>
    </row>
    <row r="16" spans="1:4" x14ac:dyDescent="0.2">
      <c r="A16" s="235">
        <v>2020</v>
      </c>
      <c r="B16" s="90">
        <v>11.9</v>
      </c>
      <c r="C16" s="90">
        <v>15.4</v>
      </c>
      <c r="D16" s="90">
        <v>7.7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E5CA-0A39-410D-9599-7B173F49D6D4}">
  <dimension ref="A1:L11"/>
  <sheetViews>
    <sheetView workbookViewId="0">
      <selection activeCell="A13" sqref="A13"/>
    </sheetView>
  </sheetViews>
  <sheetFormatPr defaultRowHeight="15" x14ac:dyDescent="0.25"/>
  <cols>
    <col min="1" max="1" width="5" style="241" bestFit="1" customWidth="1"/>
    <col min="2" max="2" width="6.85546875" style="241" bestFit="1" customWidth="1"/>
    <col min="3" max="9" width="9.140625" style="241"/>
    <col min="10" max="10" width="1.7109375" style="241" customWidth="1"/>
    <col min="11" max="16384" width="9.140625" style="241"/>
  </cols>
  <sheetData>
    <row r="1" spans="1:12" x14ac:dyDescent="0.25">
      <c r="A1" s="240" t="s">
        <v>120</v>
      </c>
      <c r="B1" s="240" t="s">
        <v>1010</v>
      </c>
    </row>
    <row r="2" spans="1:12" x14ac:dyDescent="0.25">
      <c r="A2" s="242">
        <v>1970</v>
      </c>
      <c r="B2" s="243">
        <v>79</v>
      </c>
      <c r="D2" s="244"/>
      <c r="L2" s="244"/>
    </row>
    <row r="3" spans="1:12" x14ac:dyDescent="0.25">
      <c r="A3" s="242">
        <v>1980</v>
      </c>
      <c r="B3" s="243">
        <v>125</v>
      </c>
    </row>
    <row r="4" spans="1:12" x14ac:dyDescent="0.25">
      <c r="A4" s="242">
        <v>1990</v>
      </c>
      <c r="B4" s="243">
        <v>189</v>
      </c>
    </row>
    <row r="5" spans="1:12" x14ac:dyDescent="0.25">
      <c r="A5" s="242">
        <v>1995</v>
      </c>
      <c r="B5" s="243">
        <v>255</v>
      </c>
    </row>
    <row r="6" spans="1:12" x14ac:dyDescent="0.25">
      <c r="A6" s="242">
        <v>2000</v>
      </c>
      <c r="B6" s="243">
        <v>294</v>
      </c>
    </row>
    <row r="7" spans="1:12" x14ac:dyDescent="0.25">
      <c r="A7" s="242">
        <v>2005</v>
      </c>
      <c r="B7" s="243">
        <v>302</v>
      </c>
    </row>
    <row r="8" spans="1:12" x14ac:dyDescent="0.25">
      <c r="A8" s="242">
        <v>2007</v>
      </c>
      <c r="B8" s="243">
        <v>320</v>
      </c>
    </row>
    <row r="9" spans="1:12" x14ac:dyDescent="0.25">
      <c r="A9" s="242">
        <v>2008</v>
      </c>
      <c r="B9" s="243">
        <v>328</v>
      </c>
    </row>
    <row r="10" spans="1:12" x14ac:dyDescent="0.25">
      <c r="A10" s="242">
        <v>2009</v>
      </c>
      <c r="B10" s="243">
        <v>341</v>
      </c>
    </row>
    <row r="11" spans="1:12" x14ac:dyDescent="0.25">
      <c r="A11" s="242">
        <v>2010</v>
      </c>
      <c r="B11" s="243">
        <v>351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516E-4110-4E29-837E-F0DF6121AD61}">
  <dimension ref="A1:B7"/>
  <sheetViews>
    <sheetView workbookViewId="0">
      <selection activeCell="C35" sqref="C35"/>
    </sheetView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1088</v>
      </c>
      <c r="B1" s="1" t="s">
        <v>162</v>
      </c>
    </row>
    <row r="2" spans="1:2" x14ac:dyDescent="0.25">
      <c r="A2" t="s">
        <v>1089</v>
      </c>
      <c r="B2">
        <v>13962</v>
      </c>
    </row>
    <row r="3" spans="1:2" x14ac:dyDescent="0.25">
      <c r="A3" t="s">
        <v>1090</v>
      </c>
      <c r="B3">
        <v>38897</v>
      </c>
    </row>
    <row r="4" spans="1:2" x14ac:dyDescent="0.25">
      <c r="A4" t="s">
        <v>1091</v>
      </c>
      <c r="B4">
        <v>42396</v>
      </c>
    </row>
    <row r="5" spans="1:2" x14ac:dyDescent="0.25">
      <c r="A5" t="s">
        <v>1092</v>
      </c>
      <c r="B5">
        <v>683</v>
      </c>
    </row>
    <row r="6" spans="1:2" x14ac:dyDescent="0.25">
      <c r="A6" t="s">
        <v>1093</v>
      </c>
      <c r="B6">
        <v>11566</v>
      </c>
    </row>
    <row r="7" spans="1:2" x14ac:dyDescent="0.25">
      <c r="A7" t="s">
        <v>1094</v>
      </c>
      <c r="B7">
        <v>26731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5A87-5574-4EAD-93E2-0EF0E452A1DE}">
  <dimension ref="A1:B6"/>
  <sheetViews>
    <sheetView workbookViewId="0">
      <selection activeCell="B21" sqref="B21"/>
    </sheetView>
  </sheetViews>
  <sheetFormatPr defaultRowHeight="12.75" x14ac:dyDescent="0.2"/>
  <cols>
    <col min="1" max="1" width="9.140625" style="90"/>
    <col min="2" max="2" width="10.85546875" style="90" bestFit="1" customWidth="1"/>
    <col min="3" max="16384" width="9.140625" style="90"/>
  </cols>
  <sheetData>
    <row r="1" spans="1:2" ht="15" x14ac:dyDescent="0.25">
      <c r="A1" s="233" t="s">
        <v>980</v>
      </c>
      <c r="B1" s="233" t="s">
        <v>981</v>
      </c>
    </row>
    <row r="2" spans="1:2" x14ac:dyDescent="0.2">
      <c r="A2" s="90" t="s">
        <v>982</v>
      </c>
      <c r="B2" s="90">
        <v>70</v>
      </c>
    </row>
    <row r="3" spans="1:2" x14ac:dyDescent="0.2">
      <c r="A3" s="90" t="s">
        <v>983</v>
      </c>
      <c r="B3" s="90">
        <v>38</v>
      </c>
    </row>
    <row r="4" spans="1:2" x14ac:dyDescent="0.2">
      <c r="A4" s="90" t="s">
        <v>984</v>
      </c>
      <c r="B4" s="90">
        <v>22</v>
      </c>
    </row>
    <row r="5" spans="1:2" x14ac:dyDescent="0.2">
      <c r="A5" s="90" t="s">
        <v>985</v>
      </c>
      <c r="B5" s="90">
        <v>13</v>
      </c>
    </row>
    <row r="6" spans="1:2" x14ac:dyDescent="0.2">
      <c r="A6" s="90" t="s">
        <v>986</v>
      </c>
      <c r="B6" s="90">
        <v>7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7412-417A-4B32-9199-3B080356259B}">
  <dimension ref="A1:B11"/>
  <sheetViews>
    <sheetView workbookViewId="0">
      <selection activeCell="A14" sqref="A14"/>
    </sheetView>
  </sheetViews>
  <sheetFormatPr defaultRowHeight="12.75" x14ac:dyDescent="0.2"/>
  <cols>
    <col min="1" max="1" width="20" style="236" bestFit="1" customWidth="1"/>
    <col min="2" max="16384" width="9.140625" style="236"/>
  </cols>
  <sheetData>
    <row r="1" spans="1:2" x14ac:dyDescent="0.2">
      <c r="A1" s="236" t="s">
        <v>996</v>
      </c>
      <c r="B1" s="236" t="s">
        <v>427</v>
      </c>
    </row>
    <row r="2" spans="1:2" x14ac:dyDescent="0.2">
      <c r="A2" s="236" t="s">
        <v>997</v>
      </c>
      <c r="B2" s="236">
        <v>3</v>
      </c>
    </row>
    <row r="3" spans="1:2" x14ac:dyDescent="0.2">
      <c r="A3" s="236" t="s">
        <v>998</v>
      </c>
      <c r="B3" s="236">
        <v>2</v>
      </c>
    </row>
    <row r="4" spans="1:2" x14ac:dyDescent="0.2">
      <c r="A4" s="236" t="s">
        <v>999</v>
      </c>
      <c r="B4" s="236">
        <v>4</v>
      </c>
    </row>
    <row r="5" spans="1:2" x14ac:dyDescent="0.2">
      <c r="A5" s="236" t="s">
        <v>1000</v>
      </c>
      <c r="B5" s="236">
        <v>4</v>
      </c>
    </row>
    <row r="6" spans="1:2" x14ac:dyDescent="0.2">
      <c r="A6" s="236" t="s">
        <v>1001</v>
      </c>
      <c r="B6" s="236">
        <v>2</v>
      </c>
    </row>
    <row r="7" spans="1:2" x14ac:dyDescent="0.2">
      <c r="A7" s="236" t="s">
        <v>1002</v>
      </c>
      <c r="B7" s="236">
        <v>5</v>
      </c>
    </row>
    <row r="8" spans="1:2" x14ac:dyDescent="0.2">
      <c r="A8" s="236" t="s">
        <v>1003</v>
      </c>
      <c r="B8" s="236">
        <v>4</v>
      </c>
    </row>
    <row r="9" spans="1:2" x14ac:dyDescent="0.2">
      <c r="A9" s="236" t="s">
        <v>1004</v>
      </c>
      <c r="B9" s="236">
        <v>3</v>
      </c>
    </row>
    <row r="10" spans="1:2" x14ac:dyDescent="0.2">
      <c r="A10" s="236" t="s">
        <v>1005</v>
      </c>
      <c r="B10" s="236">
        <v>3</v>
      </c>
    </row>
    <row r="11" spans="1:2" x14ac:dyDescent="0.2">
      <c r="A11" s="236" t="s">
        <v>1006</v>
      </c>
      <c r="B11" s="236">
        <v>1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E80C-9342-4899-84E3-778B9E51B2CB}">
  <dimension ref="A1:B11"/>
  <sheetViews>
    <sheetView workbookViewId="0">
      <selection activeCell="T13" sqref="T13"/>
    </sheetView>
  </sheetViews>
  <sheetFormatPr defaultRowHeight="12.75" x14ac:dyDescent="0.2"/>
  <cols>
    <col min="1" max="1" width="11.7109375" style="90" bestFit="1" customWidth="1"/>
    <col min="2" max="2" width="12.7109375" style="90" bestFit="1" customWidth="1"/>
    <col min="3" max="16384" width="9.140625" style="90"/>
  </cols>
  <sheetData>
    <row r="1" spans="1:2" x14ac:dyDescent="0.2">
      <c r="A1" s="92" t="s">
        <v>990</v>
      </c>
      <c r="B1" s="92" t="s">
        <v>991</v>
      </c>
    </row>
    <row r="2" spans="1:2" x14ac:dyDescent="0.2">
      <c r="A2" s="90">
        <v>185</v>
      </c>
      <c r="B2" s="90">
        <v>71</v>
      </c>
    </row>
    <row r="3" spans="1:2" x14ac:dyDescent="0.2">
      <c r="A3" s="90">
        <v>167</v>
      </c>
      <c r="B3" s="90">
        <v>48</v>
      </c>
    </row>
    <row r="4" spans="1:2" x14ac:dyDescent="0.2">
      <c r="A4" s="90">
        <v>175</v>
      </c>
      <c r="B4" s="90">
        <v>64</v>
      </c>
    </row>
    <row r="5" spans="1:2" x14ac:dyDescent="0.2">
      <c r="A5" s="90">
        <v>185</v>
      </c>
      <c r="B5" s="90">
        <v>68</v>
      </c>
    </row>
    <row r="6" spans="1:2" x14ac:dyDescent="0.2">
      <c r="A6" s="90">
        <v>179</v>
      </c>
      <c r="B6" s="90">
        <v>65</v>
      </c>
    </row>
    <row r="7" spans="1:2" x14ac:dyDescent="0.2">
      <c r="A7" s="90">
        <v>183</v>
      </c>
      <c r="B7" s="90">
        <v>62</v>
      </c>
    </row>
    <row r="8" spans="1:2" x14ac:dyDescent="0.2">
      <c r="A8" s="90">
        <v>178</v>
      </c>
      <c r="B8" s="90">
        <v>60</v>
      </c>
    </row>
    <row r="9" spans="1:2" x14ac:dyDescent="0.2">
      <c r="A9" s="90">
        <v>188</v>
      </c>
      <c r="B9" s="90">
        <v>66</v>
      </c>
    </row>
    <row r="10" spans="1:2" x14ac:dyDescent="0.2">
      <c r="A10" s="90">
        <v>161</v>
      </c>
      <c r="B10" s="90">
        <v>54</v>
      </c>
    </row>
    <row r="11" spans="1:2" x14ac:dyDescent="0.2">
      <c r="A11" s="90">
        <v>164</v>
      </c>
      <c r="B11" s="90">
        <v>61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sqref="A1:C1"/>
    </sheetView>
  </sheetViews>
  <sheetFormatPr defaultRowHeight="10.5" x14ac:dyDescent="0.15"/>
  <cols>
    <col min="1" max="1" width="26.42578125" style="118" customWidth="1"/>
    <col min="2" max="3" width="14.42578125" style="118" customWidth="1"/>
    <col min="4" max="16384" width="9.140625" style="118"/>
  </cols>
  <sheetData>
    <row r="1" spans="1:3" ht="18" x14ac:dyDescent="0.15">
      <c r="A1" s="259" t="s">
        <v>324</v>
      </c>
      <c r="B1" s="259"/>
      <c r="C1" s="259"/>
    </row>
    <row r="3" spans="1:3" x14ac:dyDescent="0.15">
      <c r="A3" s="133" t="s">
        <v>325</v>
      </c>
      <c r="B3" s="133"/>
    </row>
    <row r="4" spans="1:3" ht="15" x14ac:dyDescent="0.25">
      <c r="A4" s="118" t="s">
        <v>326</v>
      </c>
      <c r="B4" s="134">
        <v>2.5</v>
      </c>
    </row>
    <row r="5" spans="1:3" ht="15" x14ac:dyDescent="0.25">
      <c r="A5" s="118" t="s">
        <v>327</v>
      </c>
      <c r="B5" s="134">
        <v>1.7</v>
      </c>
    </row>
    <row r="6" spans="1:3" ht="15" x14ac:dyDescent="0.25">
      <c r="A6" s="118" t="s">
        <v>328</v>
      </c>
      <c r="B6" s="135">
        <v>30000</v>
      </c>
    </row>
    <row r="8" spans="1:3" x14ac:dyDescent="0.15">
      <c r="A8" s="136" t="s">
        <v>329</v>
      </c>
      <c r="B8" s="83"/>
      <c r="C8" s="83">
        <f>52*Aantal_Orders*(Opbrengst_per_Order-Kosten_per_Order)</f>
        <v>1248000</v>
      </c>
    </row>
    <row r="9" spans="1:3" ht="15" x14ac:dyDescent="0.25">
      <c r="A9" s="133"/>
      <c r="B9" s="83"/>
      <c r="C9" s="76"/>
    </row>
    <row r="10" spans="1:3" x14ac:dyDescent="0.15">
      <c r="A10" s="133" t="s">
        <v>330</v>
      </c>
      <c r="B10" s="83"/>
    </row>
    <row r="11" spans="1:3" ht="15" x14ac:dyDescent="0.25">
      <c r="A11" s="118" t="s">
        <v>194</v>
      </c>
      <c r="B11" s="134">
        <v>300000</v>
      </c>
    </row>
    <row r="12" spans="1:3" ht="15" x14ac:dyDescent="0.25">
      <c r="A12" s="118" t="s">
        <v>316</v>
      </c>
      <c r="B12" s="134">
        <v>72000</v>
      </c>
    </row>
    <row r="13" spans="1:3" ht="15" x14ac:dyDescent="0.25">
      <c r="A13" s="118" t="s">
        <v>317</v>
      </c>
      <c r="B13" s="134">
        <v>20000</v>
      </c>
    </row>
    <row r="14" spans="1:3" ht="15" x14ac:dyDescent="0.25">
      <c r="A14" s="118" t="s">
        <v>318</v>
      </c>
      <c r="B14" s="134">
        <v>200000</v>
      </c>
    </row>
    <row r="15" spans="1:3" x14ac:dyDescent="0.15">
      <c r="A15" s="136" t="s">
        <v>331</v>
      </c>
      <c r="C15" s="137">
        <f>SUM(B11:B14)</f>
        <v>592000</v>
      </c>
    </row>
    <row r="17" spans="1:3" x14ac:dyDescent="0.15">
      <c r="A17" s="136" t="s">
        <v>332</v>
      </c>
      <c r="C17" s="137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A19" sqref="A19"/>
    </sheetView>
  </sheetViews>
  <sheetFormatPr defaultRowHeight="10.5" outlineLevelRow="1" outlineLevelCol="1" x14ac:dyDescent="0.15"/>
  <cols>
    <col min="1" max="2" width="9.140625" style="118"/>
    <col min="3" max="3" width="19.140625" style="118" customWidth="1"/>
    <col min="4" max="7" width="12.7109375" style="118" customWidth="1" outlineLevel="1"/>
    <col min="8" max="16384" width="9.140625" style="118"/>
  </cols>
  <sheetData>
    <row r="1" spans="2:7" ht="11.25" thickBot="1" x14ac:dyDescent="0.2"/>
    <row r="2" spans="2:7" ht="11.25" x14ac:dyDescent="0.15">
      <c r="B2" s="119" t="s">
        <v>304</v>
      </c>
      <c r="C2" s="119"/>
      <c r="D2" s="120"/>
      <c r="E2" s="120"/>
      <c r="F2" s="120"/>
      <c r="G2" s="120"/>
    </row>
    <row r="3" spans="2:7" ht="31.5" collapsed="1" x14ac:dyDescent="0.15">
      <c r="B3" s="121"/>
      <c r="C3" s="121"/>
      <c r="D3" s="122" t="s">
        <v>305</v>
      </c>
      <c r="E3" s="122" t="s">
        <v>306</v>
      </c>
      <c r="F3" s="122" t="s">
        <v>307</v>
      </c>
      <c r="G3" s="122" t="s">
        <v>308</v>
      </c>
    </row>
    <row r="4" spans="2:7" ht="94.5" hidden="1" outlineLevel="1" x14ac:dyDescent="0.15">
      <c r="B4" s="123"/>
      <c r="C4" s="123"/>
      <c r="E4" s="124" t="s">
        <v>309</v>
      </c>
      <c r="F4" s="124" t="s">
        <v>310</v>
      </c>
      <c r="G4" s="124" t="s">
        <v>311</v>
      </c>
    </row>
    <row r="5" spans="2:7" x14ac:dyDescent="0.15">
      <c r="B5" s="125" t="s">
        <v>312</v>
      </c>
      <c r="C5" s="125"/>
      <c r="D5" s="126"/>
      <c r="E5" s="126"/>
      <c r="F5" s="126"/>
      <c r="G5" s="126"/>
    </row>
    <row r="6" spans="2:7" outlineLevel="1" x14ac:dyDescent="0.15">
      <c r="B6" s="123"/>
      <c r="C6" s="123" t="s">
        <v>313</v>
      </c>
      <c r="D6" s="127">
        <v>2.5</v>
      </c>
      <c r="E6" s="128">
        <v>2.5</v>
      </c>
      <c r="F6" s="128">
        <v>2.75</v>
      </c>
      <c r="G6" s="128">
        <v>2.625</v>
      </c>
    </row>
    <row r="7" spans="2:7" outlineLevel="1" x14ac:dyDescent="0.15">
      <c r="B7" s="123"/>
      <c r="C7" s="123" t="s">
        <v>314</v>
      </c>
      <c r="D7" s="127">
        <v>1.7</v>
      </c>
      <c r="E7" s="128">
        <v>1.7</v>
      </c>
      <c r="F7" s="128">
        <v>1.7</v>
      </c>
      <c r="G7" s="128">
        <v>1.615</v>
      </c>
    </row>
    <row r="8" spans="2:7" outlineLevel="1" x14ac:dyDescent="0.15">
      <c r="B8" s="123"/>
      <c r="C8" s="123" t="s">
        <v>315</v>
      </c>
      <c r="D8" s="129">
        <v>30000</v>
      </c>
      <c r="E8" s="130">
        <v>30000</v>
      </c>
      <c r="F8" s="130">
        <v>30000</v>
      </c>
      <c r="G8" s="130">
        <v>30000</v>
      </c>
    </row>
    <row r="9" spans="2:7" outlineLevel="1" x14ac:dyDescent="0.15">
      <c r="B9" s="123"/>
      <c r="C9" s="123" t="s">
        <v>194</v>
      </c>
      <c r="D9" s="127">
        <v>300000</v>
      </c>
      <c r="E9" s="128">
        <v>300000</v>
      </c>
      <c r="F9" s="128">
        <v>270000</v>
      </c>
      <c r="G9" s="128">
        <v>300000</v>
      </c>
    </row>
    <row r="10" spans="2:7" outlineLevel="1" x14ac:dyDescent="0.15">
      <c r="B10" s="123"/>
      <c r="C10" s="123" t="s">
        <v>316</v>
      </c>
      <c r="D10" s="127">
        <v>72000</v>
      </c>
      <c r="E10" s="128">
        <v>72000</v>
      </c>
      <c r="F10" s="128">
        <v>72000</v>
      </c>
      <c r="G10" s="128">
        <v>72000</v>
      </c>
    </row>
    <row r="11" spans="2:7" outlineLevel="1" x14ac:dyDescent="0.15">
      <c r="B11" s="123"/>
      <c r="C11" s="123" t="s">
        <v>317</v>
      </c>
      <c r="D11" s="127">
        <v>20000</v>
      </c>
      <c r="E11" s="128">
        <v>20000</v>
      </c>
      <c r="F11" s="128">
        <v>15000</v>
      </c>
      <c r="G11" s="128">
        <v>22000</v>
      </c>
    </row>
    <row r="12" spans="2:7" outlineLevel="1" x14ac:dyDescent="0.15">
      <c r="B12" s="123"/>
      <c r="C12" s="123" t="s">
        <v>318</v>
      </c>
      <c r="D12" s="127">
        <v>200000</v>
      </c>
      <c r="E12" s="128">
        <v>200000</v>
      </c>
      <c r="F12" s="128">
        <v>200000</v>
      </c>
      <c r="G12" s="128">
        <v>200000</v>
      </c>
    </row>
    <row r="13" spans="2:7" x14ac:dyDescent="0.15">
      <c r="B13" s="125" t="s">
        <v>319</v>
      </c>
      <c r="C13" s="125"/>
      <c r="D13" s="126"/>
      <c r="E13" s="126"/>
      <c r="F13" s="126"/>
      <c r="G13" s="126"/>
    </row>
    <row r="14" spans="2:7" ht="11.25" outlineLevel="1" thickBot="1" x14ac:dyDescent="0.2">
      <c r="B14" s="131"/>
      <c r="C14" s="131" t="s">
        <v>320</v>
      </c>
      <c r="D14" s="132">
        <v>656000</v>
      </c>
      <c r="E14" s="132">
        <v>656000</v>
      </c>
      <c r="F14" s="132">
        <v>1081000</v>
      </c>
      <c r="G14" s="132">
        <v>981600</v>
      </c>
    </row>
    <row r="15" spans="2:7" x14ac:dyDescent="0.15">
      <c r="B15" s="118" t="s">
        <v>321</v>
      </c>
    </row>
    <row r="16" spans="2:7" x14ac:dyDescent="0.15">
      <c r="B16" s="118" t="s">
        <v>322</v>
      </c>
    </row>
    <row r="17" spans="2:2" x14ac:dyDescent="0.15">
      <c r="B17" s="118" t="s">
        <v>323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175"/>
  </cols>
  <sheetData>
    <row r="1" spans="1:1" x14ac:dyDescent="0.25">
      <c r="A1" s="175" t="s">
        <v>407</v>
      </c>
    </row>
  </sheetData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/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>
        <v>450</v>
      </c>
    </row>
    <row r="4" spans="1:2" x14ac:dyDescent="0.25">
      <c r="A4" t="s">
        <v>67</v>
      </c>
      <c r="B4">
        <v>175</v>
      </c>
    </row>
    <row r="5" spans="1:2" x14ac:dyDescent="0.25">
      <c r="A5" t="s">
        <v>68</v>
      </c>
      <c r="B5">
        <v>5</v>
      </c>
    </row>
    <row r="7" spans="1:2" x14ac:dyDescent="0.25">
      <c r="A7" s="26" t="s">
        <v>69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N34" sqref="N34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>
        <v>450</v>
      </c>
    </row>
    <row r="4" spans="1:7" x14ac:dyDescent="0.25">
      <c r="A4" t="s">
        <v>67</v>
      </c>
      <c r="B4">
        <v>175</v>
      </c>
    </row>
    <row r="5" spans="1:7" x14ac:dyDescent="0.25">
      <c r="A5" t="s">
        <v>68</v>
      </c>
      <c r="B5">
        <v>5</v>
      </c>
    </row>
    <row r="7" spans="1:7" x14ac:dyDescent="0.25">
      <c r="A7" s="26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  <c r="B8">
        <f t="dataTable" ref="B8:G17" dt2D="1" dtr="1" r1="B3" r2="B5"/>
        <v>875</v>
      </c>
      <c r="C8">
        <v>1125</v>
      </c>
      <c r="D8">
        <v>1375</v>
      </c>
      <c r="E8">
        <v>1625</v>
      </c>
      <c r="F8">
        <v>1875</v>
      </c>
      <c r="G8">
        <v>2125</v>
      </c>
    </row>
    <row r="9" spans="1:7" x14ac:dyDescent="0.25">
      <c r="A9">
        <v>10</v>
      </c>
      <c r="B9">
        <v>1750</v>
      </c>
      <c r="C9">
        <v>2250</v>
      </c>
      <c r="D9">
        <v>2750</v>
      </c>
      <c r="E9">
        <v>3250</v>
      </c>
      <c r="F9">
        <v>3750</v>
      </c>
      <c r="G9">
        <v>4250</v>
      </c>
    </row>
    <row r="10" spans="1:7" x14ac:dyDescent="0.25">
      <c r="A10">
        <v>15</v>
      </c>
      <c r="B10">
        <v>2625</v>
      </c>
      <c r="C10">
        <v>3375</v>
      </c>
      <c r="D10">
        <v>4125</v>
      </c>
      <c r="E10">
        <v>4875</v>
      </c>
      <c r="F10">
        <v>5625</v>
      </c>
      <c r="G10">
        <v>6375</v>
      </c>
    </row>
    <row r="11" spans="1:7" x14ac:dyDescent="0.25">
      <c r="A11">
        <v>20</v>
      </c>
      <c r="B11">
        <v>3500</v>
      </c>
      <c r="C11">
        <v>4500</v>
      </c>
      <c r="D11">
        <v>5500</v>
      </c>
      <c r="E11">
        <v>6500</v>
      </c>
      <c r="F11">
        <v>7500</v>
      </c>
      <c r="G11">
        <v>8500</v>
      </c>
    </row>
    <row r="12" spans="1:7" x14ac:dyDescent="0.25">
      <c r="A12">
        <v>25</v>
      </c>
      <c r="B12">
        <v>4375</v>
      </c>
      <c r="C12">
        <v>5625</v>
      </c>
      <c r="D12">
        <v>6875</v>
      </c>
      <c r="E12">
        <v>8125</v>
      </c>
      <c r="F12">
        <v>9375</v>
      </c>
      <c r="G12">
        <v>10625</v>
      </c>
    </row>
    <row r="13" spans="1:7" x14ac:dyDescent="0.25">
      <c r="A13">
        <v>30</v>
      </c>
      <c r="B13">
        <v>5250</v>
      </c>
      <c r="C13">
        <v>6750</v>
      </c>
      <c r="D13">
        <v>8250</v>
      </c>
      <c r="E13">
        <v>9750</v>
      </c>
      <c r="F13">
        <v>11250</v>
      </c>
      <c r="G13">
        <v>12750</v>
      </c>
    </row>
    <row r="14" spans="1:7" x14ac:dyDescent="0.25">
      <c r="A14">
        <v>35</v>
      </c>
      <c r="B14">
        <v>6125</v>
      </c>
      <c r="C14">
        <v>7875</v>
      </c>
      <c r="D14">
        <v>9625</v>
      </c>
      <c r="E14">
        <v>11375</v>
      </c>
      <c r="F14">
        <v>13125</v>
      </c>
      <c r="G14">
        <v>14875</v>
      </c>
    </row>
    <row r="15" spans="1:7" x14ac:dyDescent="0.25">
      <c r="A15">
        <v>40</v>
      </c>
      <c r="B15">
        <v>7000</v>
      </c>
      <c r="C15">
        <v>9000</v>
      </c>
      <c r="D15">
        <v>11000</v>
      </c>
      <c r="E15">
        <v>13000</v>
      </c>
      <c r="F15">
        <v>15000</v>
      </c>
      <c r="G15">
        <v>17000</v>
      </c>
    </row>
    <row r="16" spans="1:7" x14ac:dyDescent="0.25">
      <c r="A16">
        <v>45</v>
      </c>
      <c r="B16">
        <v>7875</v>
      </c>
      <c r="C16">
        <v>10125</v>
      </c>
      <c r="D16">
        <v>12375</v>
      </c>
      <c r="E16">
        <v>14625</v>
      </c>
      <c r="F16">
        <v>16875</v>
      </c>
      <c r="G16">
        <v>19125</v>
      </c>
    </row>
    <row r="17" spans="1:7" x14ac:dyDescent="0.25">
      <c r="A17">
        <v>50</v>
      </c>
      <c r="B17">
        <v>8750</v>
      </c>
      <c r="C17">
        <v>11250</v>
      </c>
      <c r="D17">
        <v>13750</v>
      </c>
      <c r="E17">
        <v>16250</v>
      </c>
      <c r="F17">
        <v>18750</v>
      </c>
      <c r="G17">
        <v>21250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86A6-5C49-487F-9F36-50FEF22B258E}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836</v>
      </c>
    </row>
    <row r="2" spans="1:2" x14ac:dyDescent="0.25">
      <c r="A2" t="s">
        <v>837</v>
      </c>
      <c r="B2" s="157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838</v>
      </c>
    </row>
    <row r="6" spans="1:2" x14ac:dyDescent="0.25">
      <c r="A6" s="32">
        <v>40575</v>
      </c>
    </row>
    <row r="7" spans="1:2" x14ac:dyDescent="0.25">
      <c r="A7">
        <f>2+3</f>
        <v>5</v>
      </c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A12" sqref="A1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5:M32"/>
  <sheetViews>
    <sheetView showGridLines="0" topLeftCell="A4" workbookViewId="0">
      <selection activeCell="T22" sqref="T22"/>
    </sheetView>
  </sheetViews>
  <sheetFormatPr defaultRowHeight="15" x14ac:dyDescent="0.25"/>
  <cols>
    <col min="1" max="7" width="9.140625" style="153"/>
    <col min="8" max="8" width="2.7109375" style="153" customWidth="1"/>
    <col min="9" max="16384" width="9.140625" style="153"/>
  </cols>
  <sheetData>
    <row r="5" spans="4:13" x14ac:dyDescent="0.25">
      <c r="D5" s="162" t="s">
        <v>348</v>
      </c>
      <c r="I5" s="162" t="s">
        <v>349</v>
      </c>
    </row>
    <row r="6" spans="4:13" ht="8.1" customHeight="1" x14ac:dyDescent="0.25"/>
    <row r="9" spans="4:13" x14ac:dyDescent="0.25">
      <c r="D9" s="160"/>
      <c r="E9" s="161"/>
      <c r="F9" s="161"/>
      <c r="G9" s="161"/>
      <c r="I9" s="160"/>
      <c r="J9" s="161"/>
      <c r="K9" s="161"/>
      <c r="L9" s="161"/>
    </row>
    <row r="10" spans="4:13" x14ac:dyDescent="0.25">
      <c r="D10" s="161"/>
      <c r="E10" s="160"/>
      <c r="F10" s="160"/>
      <c r="G10" s="160"/>
      <c r="I10" s="161"/>
      <c r="J10" s="160"/>
      <c r="K10" s="160"/>
      <c r="L10" s="160"/>
    </row>
    <row r="11" spans="4:13" x14ac:dyDescent="0.25">
      <c r="D11" s="161"/>
      <c r="E11" s="160"/>
      <c r="F11" s="160"/>
      <c r="G11" s="160"/>
      <c r="I11" s="161"/>
      <c r="J11" s="160"/>
      <c r="K11" s="160"/>
      <c r="L11" s="160"/>
      <c r="M11" s="162"/>
    </row>
    <row r="12" spans="4:13" x14ac:dyDescent="0.25">
      <c r="D12" s="161"/>
      <c r="E12" s="160"/>
      <c r="F12" s="160"/>
      <c r="G12" s="160"/>
      <c r="I12" s="161"/>
      <c r="J12" s="160"/>
      <c r="K12" s="160"/>
      <c r="L12" s="160"/>
    </row>
    <row r="13" spans="4:13" x14ac:dyDescent="0.25">
      <c r="D13" s="161"/>
      <c r="E13" s="160"/>
      <c r="F13" s="160"/>
      <c r="G13" s="160"/>
      <c r="I13" s="161"/>
      <c r="J13" s="160"/>
      <c r="K13" s="160"/>
      <c r="L13" s="160"/>
    </row>
    <row r="14" spans="4:13" x14ac:dyDescent="0.25">
      <c r="D14" s="161"/>
      <c r="E14" s="160"/>
      <c r="F14" s="160"/>
      <c r="G14" s="160"/>
      <c r="I14" s="161"/>
      <c r="J14" s="160"/>
      <c r="K14" s="160"/>
      <c r="L14" s="160"/>
    </row>
    <row r="15" spans="4:13" x14ac:dyDescent="0.25">
      <c r="D15" s="161"/>
      <c r="E15" s="160"/>
      <c r="F15" s="160"/>
      <c r="G15" s="160"/>
      <c r="I15" s="161"/>
      <c r="J15" s="160"/>
      <c r="K15" s="160"/>
      <c r="L15" s="160"/>
    </row>
    <row r="16" spans="4:13" x14ac:dyDescent="0.25">
      <c r="D16" s="161"/>
      <c r="E16" s="160"/>
      <c r="F16" s="160"/>
      <c r="G16" s="160"/>
      <c r="I16" s="161"/>
      <c r="J16" s="160"/>
      <c r="K16" s="160"/>
      <c r="L16" s="160"/>
    </row>
    <row r="25" spans="4:7" x14ac:dyDescent="0.25">
      <c r="D25" s="160"/>
      <c r="E25" s="161"/>
      <c r="F25" s="161"/>
      <c r="G25" s="161"/>
    </row>
    <row r="26" spans="4:7" x14ac:dyDescent="0.25">
      <c r="D26" s="161"/>
      <c r="E26" s="160"/>
      <c r="F26" s="160"/>
      <c r="G26" s="160"/>
    </row>
    <row r="27" spans="4:7" x14ac:dyDescent="0.25">
      <c r="D27" s="161"/>
      <c r="E27" s="160"/>
      <c r="F27" s="160"/>
      <c r="G27" s="160"/>
    </row>
    <row r="28" spans="4:7" x14ac:dyDescent="0.25">
      <c r="D28" s="161"/>
      <c r="E28" s="160"/>
      <c r="F28" s="160"/>
      <c r="G28" s="160"/>
    </row>
    <row r="29" spans="4:7" x14ac:dyDescent="0.25">
      <c r="D29" s="161"/>
      <c r="E29" s="160"/>
      <c r="F29" s="160"/>
      <c r="G29" s="160"/>
    </row>
    <row r="30" spans="4:7" x14ac:dyDescent="0.25">
      <c r="D30" s="161"/>
      <c r="E30" s="160"/>
      <c r="F30" s="160"/>
      <c r="G30" s="160"/>
    </row>
    <row r="31" spans="4:7" x14ac:dyDescent="0.25">
      <c r="D31" s="161"/>
      <c r="E31" s="160"/>
      <c r="F31" s="160"/>
      <c r="G31" s="160"/>
    </row>
    <row r="32" spans="4:7" x14ac:dyDescent="0.25">
      <c r="D32" s="161"/>
      <c r="E32" s="160"/>
      <c r="F32" s="160"/>
      <c r="G32" s="160"/>
    </row>
  </sheetData>
  <pageMargins left="0.7" right="0.7" top="0.75" bottom="0.75" header="0.3" footer="0.3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C14" sqref="C14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247</v>
      </c>
      <c r="B1" s="76">
        <v>1000</v>
      </c>
    </row>
    <row r="2" spans="1:3" x14ac:dyDescent="0.15">
      <c r="A2" s="15" t="s">
        <v>248</v>
      </c>
      <c r="B2" s="78">
        <v>7.0000000000000007E-2</v>
      </c>
    </row>
    <row r="4" spans="1:3" x14ac:dyDescent="0.15">
      <c r="A4" s="16" t="s">
        <v>120</v>
      </c>
      <c r="B4" s="16" t="s">
        <v>249</v>
      </c>
      <c r="C4" s="16" t="s">
        <v>33</v>
      </c>
    </row>
    <row r="5" spans="1:3" ht="15" x14ac:dyDescent="0.25">
      <c r="A5" s="108">
        <v>2010</v>
      </c>
      <c r="C5" s="76">
        <f>inleg</f>
        <v>1000</v>
      </c>
    </row>
    <row r="6" spans="1:3" x14ac:dyDescent="0.15">
      <c r="A6" s="108">
        <v>2011</v>
      </c>
      <c r="B6" s="77">
        <f t="shared" ref="B6:B15" si="0">jaarrente*C5</f>
        <v>70</v>
      </c>
      <c r="C6" s="77">
        <f>C5+B6</f>
        <v>1070</v>
      </c>
    </row>
    <row r="7" spans="1:3" x14ac:dyDescent="0.15">
      <c r="A7" s="108">
        <v>2012</v>
      </c>
      <c r="B7" s="77">
        <f t="shared" si="0"/>
        <v>74.900000000000006</v>
      </c>
      <c r="C7" s="77">
        <f>C6+B7</f>
        <v>1144.9000000000001</v>
      </c>
    </row>
    <row r="8" spans="1:3" x14ac:dyDescent="0.15">
      <c r="A8" s="108">
        <v>2013</v>
      </c>
      <c r="B8" s="77">
        <f t="shared" si="0"/>
        <v>80.143000000000015</v>
      </c>
      <c r="C8" s="77">
        <f t="shared" ref="C8:C15" si="1">C7+B8</f>
        <v>1225.0430000000001</v>
      </c>
    </row>
    <row r="9" spans="1:3" x14ac:dyDescent="0.15">
      <c r="A9" s="108">
        <v>2014</v>
      </c>
      <c r="B9" s="77">
        <f t="shared" si="0"/>
        <v>85.753010000000017</v>
      </c>
      <c r="C9" s="77">
        <f t="shared" si="1"/>
        <v>1310.79601</v>
      </c>
    </row>
    <row r="10" spans="1:3" x14ac:dyDescent="0.15">
      <c r="A10" s="108">
        <v>2015</v>
      </c>
      <c r="B10" s="77">
        <f t="shared" si="0"/>
        <v>91.755720700000012</v>
      </c>
      <c r="C10" s="77">
        <f t="shared" si="1"/>
        <v>1402.5517307</v>
      </c>
    </row>
    <row r="11" spans="1:3" x14ac:dyDescent="0.15">
      <c r="A11" s="108">
        <v>2016</v>
      </c>
      <c r="B11" s="77">
        <f t="shared" si="0"/>
        <v>98.178621149000008</v>
      </c>
      <c r="C11" s="77">
        <f t="shared" si="1"/>
        <v>1500.730351849</v>
      </c>
    </row>
    <row r="12" spans="1:3" x14ac:dyDescent="0.15">
      <c r="A12" s="108">
        <v>2017</v>
      </c>
      <c r="B12" s="77">
        <f t="shared" si="0"/>
        <v>105.05112462943001</v>
      </c>
      <c r="C12" s="77">
        <f t="shared" si="1"/>
        <v>1605.78147647843</v>
      </c>
    </row>
    <row r="13" spans="1:3" x14ac:dyDescent="0.15">
      <c r="A13" s="108">
        <v>2018</v>
      </c>
      <c r="B13" s="77">
        <f t="shared" si="0"/>
        <v>112.40470335349011</v>
      </c>
      <c r="C13" s="77">
        <f t="shared" si="1"/>
        <v>1718.1861798319201</v>
      </c>
    </row>
    <row r="14" spans="1:3" x14ac:dyDescent="0.15">
      <c r="A14" s="108">
        <v>2019</v>
      </c>
      <c r="B14" s="77">
        <f t="shared" si="0"/>
        <v>120.27303258823441</v>
      </c>
      <c r="C14" s="77">
        <f t="shared" si="1"/>
        <v>1838.4592124201545</v>
      </c>
    </row>
    <row r="15" spans="1:3" x14ac:dyDescent="0.15">
      <c r="A15" s="108">
        <v>2020</v>
      </c>
      <c r="B15" s="77">
        <f t="shared" si="0"/>
        <v>128.69214486941084</v>
      </c>
      <c r="C15" s="77">
        <f t="shared" si="1"/>
        <v>1967.1513572895653</v>
      </c>
    </row>
  </sheetData>
  <pageMargins left="0.7" right="0.7" top="0.75" bottom="0.75" header="0.3" footer="0.3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/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04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58F5-D7C4-45F3-949E-074B427C94D9}">
  <dimension ref="A1:A7"/>
  <sheetViews>
    <sheetView workbookViewId="0">
      <selection activeCell="F10" sqref="F10"/>
    </sheetView>
  </sheetViews>
  <sheetFormatPr defaultRowHeight="15" x14ac:dyDescent="0.25"/>
  <sheetData>
    <row r="1" spans="1:1" x14ac:dyDescent="0.25">
      <c r="A1">
        <v>120</v>
      </c>
    </row>
    <row r="2" spans="1:1" x14ac:dyDescent="0.25">
      <c r="A2">
        <v>121</v>
      </c>
    </row>
    <row r="3" spans="1:1" x14ac:dyDescent="0.25">
      <c r="A3">
        <v>122</v>
      </c>
    </row>
    <row r="4" spans="1:1" x14ac:dyDescent="0.25">
      <c r="A4">
        <v>123</v>
      </c>
    </row>
    <row r="5" spans="1:1" x14ac:dyDescent="0.25">
      <c r="A5">
        <v>124</v>
      </c>
    </row>
    <row r="6" spans="1:1" x14ac:dyDescent="0.25">
      <c r="A6">
        <v>125</v>
      </c>
    </row>
    <row r="7" spans="1:1" x14ac:dyDescent="0.25">
      <c r="A7">
        <f>SUM(A1:A6)</f>
        <v>735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G12" sqref="G12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233</v>
      </c>
      <c r="B1" s="24">
        <v>3.5</v>
      </c>
    </row>
    <row r="2" spans="1:2" x14ac:dyDescent="0.25">
      <c r="A2" t="s">
        <v>229</v>
      </c>
      <c r="B2" s="24">
        <v>25</v>
      </c>
    </row>
    <row r="3" spans="1:2" x14ac:dyDescent="0.25">
      <c r="B3" s="24"/>
    </row>
    <row r="4" spans="1:2" x14ac:dyDescent="0.25">
      <c r="A4" s="1" t="s">
        <v>234</v>
      </c>
    </row>
    <row r="5" spans="1:2" x14ac:dyDescent="0.25">
      <c r="A5" t="s">
        <v>230</v>
      </c>
      <c r="B5" s="24">
        <v>20</v>
      </c>
    </row>
    <row r="6" spans="1:2" x14ac:dyDescent="0.25">
      <c r="A6" t="s">
        <v>231</v>
      </c>
      <c r="B6" s="24">
        <f>(B5&lt;$B$2)*$B$1</f>
        <v>3.5</v>
      </c>
    </row>
    <row r="7" spans="1:2" x14ac:dyDescent="0.25">
      <c r="A7" s="74" t="s">
        <v>232</v>
      </c>
      <c r="B7" s="75">
        <f>B5+B6</f>
        <v>23.5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120</v>
      </c>
      <c r="D1" s="26" t="s">
        <v>9</v>
      </c>
      <c r="E1" s="26" t="s">
        <v>172</v>
      </c>
    </row>
    <row r="2" spans="1:5" x14ac:dyDescent="0.25">
      <c r="A2" t="s">
        <v>168</v>
      </c>
      <c r="B2" s="32">
        <v>40575</v>
      </c>
      <c r="C2" s="99">
        <f>YEAR(B2)</f>
        <v>2011</v>
      </c>
      <c r="D2" s="99">
        <f>MONTH(B2)</f>
        <v>2</v>
      </c>
      <c r="E2" s="99">
        <f>DAY(B2)</f>
        <v>1</v>
      </c>
    </row>
    <row r="3" spans="1:5" x14ac:dyDescent="0.25">
      <c r="A3" t="s">
        <v>169</v>
      </c>
      <c r="B3" s="32">
        <v>40602</v>
      </c>
      <c r="C3" s="99">
        <f>YEAR(B3)</f>
        <v>2011</v>
      </c>
      <c r="D3" s="99">
        <f>MONTH(B3)</f>
        <v>2</v>
      </c>
      <c r="E3" s="99">
        <f>DAY(B3)</f>
        <v>28</v>
      </c>
    </row>
    <row r="4" spans="1:5" x14ac:dyDescent="0.25">
      <c r="A4" t="s">
        <v>170</v>
      </c>
      <c r="B4" s="99">
        <f>B3-B2</f>
        <v>27</v>
      </c>
    </row>
    <row r="5" spans="1:5" x14ac:dyDescent="0.25">
      <c r="A5" t="s">
        <v>171</v>
      </c>
      <c r="B5" s="99">
        <f>NETWORKDAYS(B2,B3)</f>
        <v>20</v>
      </c>
    </row>
    <row r="7" spans="1:5" x14ac:dyDescent="0.25">
      <c r="C7" s="26" t="s">
        <v>173</v>
      </c>
      <c r="D7" s="26" t="s">
        <v>175</v>
      </c>
      <c r="E7" s="26" t="s">
        <v>174</v>
      </c>
    </row>
    <row r="8" spans="1:5" x14ac:dyDescent="0.25">
      <c r="A8" t="s">
        <v>165</v>
      </c>
      <c r="B8" s="47">
        <v>0.38217592592592592</v>
      </c>
      <c r="C8" s="99">
        <f>HOUR(B8)</f>
        <v>9</v>
      </c>
      <c r="D8" s="99">
        <f>MINUTE(B8)</f>
        <v>10</v>
      </c>
      <c r="E8" s="99">
        <f>SECOND(B8)</f>
        <v>20</v>
      </c>
    </row>
    <row r="9" spans="1:5" x14ac:dyDescent="0.25">
      <c r="A9" t="s">
        <v>166</v>
      </c>
      <c r="B9" s="47">
        <v>0.63923611111111112</v>
      </c>
      <c r="C9" s="99">
        <f>HOUR(B9)</f>
        <v>15</v>
      </c>
      <c r="D9" s="99">
        <f>MINUTE(B9)</f>
        <v>20</v>
      </c>
      <c r="E9" s="99">
        <f>SECOND(B9)</f>
        <v>30</v>
      </c>
    </row>
    <row r="10" spans="1:5" x14ac:dyDescent="0.25">
      <c r="A10" t="s">
        <v>167</v>
      </c>
      <c r="B10" s="47">
        <f>B9-B8</f>
        <v>0.2570601851851852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G1" sqref="G1"/>
    </sheetView>
  </sheetViews>
  <sheetFormatPr defaultRowHeight="10.5" x14ac:dyDescent="0.15"/>
  <cols>
    <col min="1" max="3" width="5" style="89" customWidth="1"/>
    <col min="4" max="4" width="3.28515625" style="89" customWidth="1"/>
    <col min="5" max="5" width="5" style="89" customWidth="1"/>
    <col min="6" max="6" width="3.28515625" style="89" customWidth="1"/>
    <col min="7" max="9" width="5" style="89" customWidth="1"/>
    <col min="10" max="16384" width="9.140625" style="89"/>
  </cols>
  <sheetData>
    <row r="1" spans="1:9" x14ac:dyDescent="0.15">
      <c r="A1" s="108">
        <v>1</v>
      </c>
      <c r="B1" s="108">
        <v>2</v>
      </c>
      <c r="C1" s="108">
        <v>3</v>
      </c>
      <c r="D1" s="108" t="s">
        <v>75</v>
      </c>
      <c r="E1" s="108">
        <v>4</v>
      </c>
      <c r="F1" s="113" t="s">
        <v>266</v>
      </c>
      <c r="G1" s="108" cm="1">
        <f t="array" ref="G1:I1">A1:C1*E1</f>
        <v>4</v>
      </c>
      <c r="H1" s="108">
        <v>8</v>
      </c>
      <c r="I1" s="108">
        <v>12</v>
      </c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G1" sqref="G1"/>
    </sheetView>
  </sheetViews>
  <sheetFormatPr defaultRowHeight="10.5" x14ac:dyDescent="0.15"/>
  <cols>
    <col min="1" max="3" width="5" style="89" customWidth="1"/>
    <col min="4" max="4" width="3.28515625" style="89" customWidth="1"/>
    <col min="5" max="5" width="5" style="89" customWidth="1"/>
    <col min="6" max="6" width="3.28515625" style="89" customWidth="1"/>
    <col min="7" max="9" width="5" style="89" customWidth="1"/>
    <col min="10" max="16384" width="9.140625" style="89"/>
  </cols>
  <sheetData>
    <row r="1" spans="1:9" x14ac:dyDescent="0.15">
      <c r="A1" s="89">
        <v>1</v>
      </c>
      <c r="B1" s="89">
        <v>5</v>
      </c>
      <c r="C1" s="89">
        <v>9</v>
      </c>
      <c r="D1" s="108" t="s">
        <v>75</v>
      </c>
      <c r="E1" s="89">
        <v>10</v>
      </c>
      <c r="F1" s="113" t="s">
        <v>266</v>
      </c>
      <c r="G1" s="89" cm="1">
        <f t="array" ref="G1:I4">A1:C4*E1:E4</f>
        <v>10</v>
      </c>
      <c r="H1" s="89">
        <v>50</v>
      </c>
      <c r="I1" s="89">
        <v>90</v>
      </c>
    </row>
    <row r="2" spans="1:9" x14ac:dyDescent="0.15">
      <c r="A2" s="89">
        <v>2</v>
      </c>
      <c r="B2" s="89">
        <v>6</v>
      </c>
      <c r="C2" s="89">
        <v>10</v>
      </c>
      <c r="D2" s="108" t="s">
        <v>75</v>
      </c>
      <c r="E2" s="89">
        <v>20</v>
      </c>
      <c r="F2" s="113" t="s">
        <v>266</v>
      </c>
      <c r="G2" s="89">
        <v>40</v>
      </c>
      <c r="H2" s="89">
        <v>120</v>
      </c>
      <c r="I2" s="89">
        <v>200</v>
      </c>
    </row>
    <row r="3" spans="1:9" x14ac:dyDescent="0.15">
      <c r="A3" s="89">
        <v>3</v>
      </c>
      <c r="B3" s="89">
        <v>7</v>
      </c>
      <c r="C3" s="89">
        <v>11</v>
      </c>
      <c r="D3" s="108" t="s">
        <v>75</v>
      </c>
      <c r="E3" s="89">
        <v>30</v>
      </c>
      <c r="F3" s="113" t="s">
        <v>266</v>
      </c>
      <c r="G3" s="89">
        <v>90</v>
      </c>
      <c r="H3" s="89">
        <v>210</v>
      </c>
      <c r="I3" s="89">
        <v>330</v>
      </c>
    </row>
    <row r="4" spans="1:9" x14ac:dyDescent="0.15">
      <c r="A4" s="89">
        <v>4</v>
      </c>
      <c r="B4" s="89">
        <v>8</v>
      </c>
      <c r="C4" s="89">
        <v>12</v>
      </c>
      <c r="D4" s="108" t="s">
        <v>75</v>
      </c>
      <c r="E4" s="89">
        <v>40</v>
      </c>
      <c r="F4" s="113" t="s">
        <v>266</v>
      </c>
      <c r="G4" s="89">
        <v>160</v>
      </c>
      <c r="H4" s="89">
        <v>320</v>
      </c>
      <c r="I4" s="89">
        <v>480</v>
      </c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73EA-971B-4D84-BB02-D90C2C0E5083}">
  <dimension ref="A1:B5"/>
  <sheetViews>
    <sheetView workbookViewId="0">
      <selection activeCell="B5" sqref="B5"/>
    </sheetView>
  </sheetViews>
  <sheetFormatPr defaultRowHeight="12.75" x14ac:dyDescent="0.2"/>
  <cols>
    <col min="1" max="1" width="12.7109375" style="90" customWidth="1"/>
    <col min="2" max="2" width="8.7109375" style="90" customWidth="1"/>
    <col min="3" max="16384" width="9.140625" style="90"/>
  </cols>
  <sheetData>
    <row r="1" spans="1:2" x14ac:dyDescent="0.2">
      <c r="A1" s="92" t="s">
        <v>847</v>
      </c>
    </row>
    <row r="2" spans="1:2" ht="15" x14ac:dyDescent="0.25">
      <c r="A2" s="90" t="s">
        <v>848</v>
      </c>
      <c r="B2" s="217">
        <v>100</v>
      </c>
    </row>
    <row r="3" spans="1:2" ht="15" x14ac:dyDescent="0.25">
      <c r="A3" s="90" t="s">
        <v>317</v>
      </c>
      <c r="B3" s="217">
        <v>200</v>
      </c>
    </row>
    <row r="4" spans="1:2" ht="15" x14ac:dyDescent="0.25">
      <c r="A4" s="90" t="s">
        <v>849</v>
      </c>
      <c r="B4" s="217">
        <v>300</v>
      </c>
    </row>
    <row r="5" spans="1:2" x14ac:dyDescent="0.2">
      <c r="A5" s="92" t="s">
        <v>232</v>
      </c>
      <c r="B5" s="218">
        <f>B2+B3+B4</f>
        <v>600</v>
      </c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/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>
        <f>HLOOKUP($C$2,$C$8:$E$11,2,FALSE)</f>
        <v>42</v>
      </c>
    </row>
    <row r="5" spans="2:5" x14ac:dyDescent="0.25">
      <c r="B5" t="s">
        <v>59</v>
      </c>
      <c r="C5">
        <f>HLOOKUP($C$2,$C$8:$E$11,3,FALSE)</f>
        <v>182</v>
      </c>
    </row>
    <row r="6" spans="2:5" x14ac:dyDescent="0.25">
      <c r="B6" t="s">
        <v>60</v>
      </c>
      <c r="C6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>
        <v>35</v>
      </c>
      <c r="D9">
        <v>42</v>
      </c>
      <c r="E9">
        <v>56</v>
      </c>
    </row>
    <row r="10" spans="2:5" x14ac:dyDescent="0.25">
      <c r="B10" t="s">
        <v>59</v>
      </c>
      <c r="C10">
        <v>178</v>
      </c>
      <c r="D10">
        <v>182</v>
      </c>
      <c r="E10">
        <v>174</v>
      </c>
    </row>
    <row r="11" spans="2:5" x14ac:dyDescent="0.25">
      <c r="B11" t="s">
        <v>60</v>
      </c>
      <c r="C11">
        <v>43</v>
      </c>
      <c r="D11">
        <v>44</v>
      </c>
      <c r="E11">
        <v>41</v>
      </c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/>
  </sheetViews>
  <sheetFormatPr defaultRowHeight="12.75" x14ac:dyDescent="0.2"/>
  <cols>
    <col min="1" max="1" width="14.42578125" style="40" bestFit="1" customWidth="1"/>
    <col min="2" max="2" width="10.85546875" style="40" bestFit="1" customWidth="1"/>
    <col min="3" max="3" width="14" style="40" bestFit="1" customWidth="1"/>
    <col min="4" max="16384" width="9.140625" style="40"/>
  </cols>
  <sheetData>
    <row r="1" spans="1:4" ht="15" x14ac:dyDescent="0.25">
      <c r="A1" s="40" t="s">
        <v>141</v>
      </c>
      <c r="B1" s="42">
        <v>1000</v>
      </c>
      <c r="C1" s="40" t="s">
        <v>140</v>
      </c>
      <c r="D1" s="42">
        <v>45</v>
      </c>
    </row>
    <row r="4" spans="1:4" x14ac:dyDescent="0.2">
      <c r="A4" s="40" t="s">
        <v>139</v>
      </c>
      <c r="B4" s="40" t="s">
        <v>138</v>
      </c>
    </row>
    <row r="5" spans="1:4" ht="15" x14ac:dyDescent="0.25">
      <c r="A5" s="42">
        <v>10000</v>
      </c>
      <c r="B5" s="42">
        <v>675</v>
      </c>
    </row>
    <row r="6" spans="1:4" x14ac:dyDescent="0.2">
      <c r="A6" s="41">
        <f t="shared" ref="A6:A20" si="0">A5+$B$1</f>
        <v>11000</v>
      </c>
      <c r="B6" s="41">
        <f t="shared" ref="B6:B20" si="1">B5+$D$1</f>
        <v>720</v>
      </c>
    </row>
    <row r="7" spans="1:4" x14ac:dyDescent="0.2">
      <c r="A7" s="41">
        <f t="shared" si="0"/>
        <v>12000</v>
      </c>
      <c r="B7" s="41">
        <f t="shared" si="1"/>
        <v>765</v>
      </c>
    </row>
    <row r="8" spans="1:4" x14ac:dyDescent="0.2">
      <c r="A8" s="41">
        <f t="shared" si="0"/>
        <v>13000</v>
      </c>
      <c r="B8" s="41">
        <f t="shared" si="1"/>
        <v>810</v>
      </c>
    </row>
    <row r="9" spans="1:4" x14ac:dyDescent="0.2">
      <c r="A9" s="41">
        <f t="shared" si="0"/>
        <v>14000</v>
      </c>
      <c r="B9" s="41">
        <f t="shared" si="1"/>
        <v>855</v>
      </c>
    </row>
    <row r="10" spans="1:4" x14ac:dyDescent="0.2">
      <c r="A10" s="41">
        <f t="shared" si="0"/>
        <v>15000</v>
      </c>
      <c r="B10" s="41">
        <f t="shared" si="1"/>
        <v>900</v>
      </c>
    </row>
    <row r="11" spans="1:4" x14ac:dyDescent="0.2">
      <c r="A11" s="41">
        <f t="shared" si="0"/>
        <v>16000</v>
      </c>
      <c r="B11" s="41">
        <f t="shared" si="1"/>
        <v>945</v>
      </c>
    </row>
    <row r="12" spans="1:4" x14ac:dyDescent="0.2">
      <c r="A12" s="41">
        <f t="shared" si="0"/>
        <v>17000</v>
      </c>
      <c r="B12" s="41">
        <f t="shared" si="1"/>
        <v>990</v>
      </c>
    </row>
    <row r="13" spans="1:4" x14ac:dyDescent="0.2">
      <c r="A13" s="41">
        <f t="shared" si="0"/>
        <v>18000</v>
      </c>
      <c r="B13" s="41">
        <f t="shared" si="1"/>
        <v>1035</v>
      </c>
    </row>
    <row r="14" spans="1:4" x14ac:dyDescent="0.2">
      <c r="A14" s="41">
        <f t="shared" si="0"/>
        <v>19000</v>
      </c>
      <c r="B14" s="41">
        <f t="shared" si="1"/>
        <v>1080</v>
      </c>
    </row>
    <row r="15" spans="1:4" x14ac:dyDescent="0.2">
      <c r="A15" s="41">
        <f t="shared" si="0"/>
        <v>20000</v>
      </c>
      <c r="B15" s="41">
        <f t="shared" si="1"/>
        <v>1125</v>
      </c>
    </row>
    <row r="16" spans="1:4" x14ac:dyDescent="0.2">
      <c r="A16" s="41">
        <f t="shared" si="0"/>
        <v>21000</v>
      </c>
      <c r="B16" s="41">
        <f t="shared" si="1"/>
        <v>1170</v>
      </c>
    </row>
    <row r="17" spans="1:2" x14ac:dyDescent="0.2">
      <c r="A17" s="41">
        <f t="shared" si="0"/>
        <v>22000</v>
      </c>
      <c r="B17" s="41">
        <f t="shared" si="1"/>
        <v>1215</v>
      </c>
    </row>
    <row r="18" spans="1:2" x14ac:dyDescent="0.2">
      <c r="A18" s="41">
        <f t="shared" si="0"/>
        <v>23000</v>
      </c>
      <c r="B18" s="41">
        <f t="shared" si="1"/>
        <v>1260</v>
      </c>
    </row>
    <row r="19" spans="1:2" x14ac:dyDescent="0.2">
      <c r="A19" s="41">
        <f t="shared" si="0"/>
        <v>24000</v>
      </c>
      <c r="B19" s="41">
        <f t="shared" si="1"/>
        <v>1305</v>
      </c>
    </row>
    <row r="20" spans="1:2" x14ac:dyDescent="0.2">
      <c r="A20" s="41">
        <f t="shared" si="0"/>
        <v>25000</v>
      </c>
      <c r="B20" s="41">
        <f t="shared" si="1"/>
        <v>1350</v>
      </c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45" customWidth="1"/>
    <col min="2" max="2" width="14.7109375" style="45" customWidth="1"/>
    <col min="3" max="244" width="9.140625" style="45"/>
    <col min="245" max="245" width="27.85546875" style="45" customWidth="1"/>
    <col min="246" max="248" width="9.140625" style="45"/>
    <col min="249" max="249" width="17.7109375" style="45" customWidth="1"/>
    <col min="250" max="250" width="7.42578125" style="45" customWidth="1"/>
    <col min="251" max="500" width="9.140625" style="45"/>
    <col min="501" max="501" width="27.85546875" style="45" customWidth="1"/>
    <col min="502" max="504" width="9.140625" style="45"/>
    <col min="505" max="505" width="17.7109375" style="45" customWidth="1"/>
    <col min="506" max="506" width="7.42578125" style="45" customWidth="1"/>
    <col min="507" max="756" width="9.140625" style="45"/>
    <col min="757" max="757" width="27.85546875" style="45" customWidth="1"/>
    <col min="758" max="760" width="9.140625" style="45"/>
    <col min="761" max="761" width="17.7109375" style="45" customWidth="1"/>
    <col min="762" max="762" width="7.42578125" style="45" customWidth="1"/>
    <col min="763" max="1012" width="9.140625" style="45"/>
    <col min="1013" max="1013" width="27.85546875" style="45" customWidth="1"/>
    <col min="1014" max="1016" width="9.140625" style="45"/>
    <col min="1017" max="1017" width="17.7109375" style="45" customWidth="1"/>
    <col min="1018" max="1018" width="7.42578125" style="45" customWidth="1"/>
    <col min="1019" max="1268" width="9.140625" style="45"/>
    <col min="1269" max="1269" width="27.85546875" style="45" customWidth="1"/>
    <col min="1270" max="1272" width="9.140625" style="45"/>
    <col min="1273" max="1273" width="17.7109375" style="45" customWidth="1"/>
    <col min="1274" max="1274" width="7.42578125" style="45" customWidth="1"/>
    <col min="1275" max="1524" width="9.140625" style="45"/>
    <col min="1525" max="1525" width="27.85546875" style="45" customWidth="1"/>
    <col min="1526" max="1528" width="9.140625" style="45"/>
    <col min="1529" max="1529" width="17.7109375" style="45" customWidth="1"/>
    <col min="1530" max="1530" width="7.42578125" style="45" customWidth="1"/>
    <col min="1531" max="1780" width="9.140625" style="45"/>
    <col min="1781" max="1781" width="27.85546875" style="45" customWidth="1"/>
    <col min="1782" max="1784" width="9.140625" style="45"/>
    <col min="1785" max="1785" width="17.7109375" style="45" customWidth="1"/>
    <col min="1786" max="1786" width="7.42578125" style="45" customWidth="1"/>
    <col min="1787" max="2036" width="9.140625" style="45"/>
    <col min="2037" max="2037" width="27.85546875" style="45" customWidth="1"/>
    <col min="2038" max="2040" width="9.140625" style="45"/>
    <col min="2041" max="2041" width="17.7109375" style="45" customWidth="1"/>
    <col min="2042" max="2042" width="7.42578125" style="45" customWidth="1"/>
    <col min="2043" max="2292" width="9.140625" style="45"/>
    <col min="2293" max="2293" width="27.85546875" style="45" customWidth="1"/>
    <col min="2294" max="2296" width="9.140625" style="45"/>
    <col min="2297" max="2297" width="17.7109375" style="45" customWidth="1"/>
    <col min="2298" max="2298" width="7.42578125" style="45" customWidth="1"/>
    <col min="2299" max="2548" width="9.140625" style="45"/>
    <col min="2549" max="2549" width="27.85546875" style="45" customWidth="1"/>
    <col min="2550" max="2552" width="9.140625" style="45"/>
    <col min="2553" max="2553" width="17.7109375" style="45" customWidth="1"/>
    <col min="2554" max="2554" width="7.42578125" style="45" customWidth="1"/>
    <col min="2555" max="2804" width="9.140625" style="45"/>
    <col min="2805" max="2805" width="27.85546875" style="45" customWidth="1"/>
    <col min="2806" max="2808" width="9.140625" style="45"/>
    <col min="2809" max="2809" width="17.7109375" style="45" customWidth="1"/>
    <col min="2810" max="2810" width="7.42578125" style="45" customWidth="1"/>
    <col min="2811" max="3060" width="9.140625" style="45"/>
    <col min="3061" max="3061" width="27.85546875" style="45" customWidth="1"/>
    <col min="3062" max="3064" width="9.140625" style="45"/>
    <col min="3065" max="3065" width="17.7109375" style="45" customWidth="1"/>
    <col min="3066" max="3066" width="7.42578125" style="45" customWidth="1"/>
    <col min="3067" max="3316" width="9.140625" style="45"/>
    <col min="3317" max="3317" width="27.85546875" style="45" customWidth="1"/>
    <col min="3318" max="3320" width="9.140625" style="45"/>
    <col min="3321" max="3321" width="17.7109375" style="45" customWidth="1"/>
    <col min="3322" max="3322" width="7.42578125" style="45" customWidth="1"/>
    <col min="3323" max="3572" width="9.140625" style="45"/>
    <col min="3573" max="3573" width="27.85546875" style="45" customWidth="1"/>
    <col min="3574" max="3576" width="9.140625" style="45"/>
    <col min="3577" max="3577" width="17.7109375" style="45" customWidth="1"/>
    <col min="3578" max="3578" width="7.42578125" style="45" customWidth="1"/>
    <col min="3579" max="3828" width="9.140625" style="45"/>
    <col min="3829" max="3829" width="27.85546875" style="45" customWidth="1"/>
    <col min="3830" max="3832" width="9.140625" style="45"/>
    <col min="3833" max="3833" width="17.7109375" style="45" customWidth="1"/>
    <col min="3834" max="3834" width="7.42578125" style="45" customWidth="1"/>
    <col min="3835" max="4084" width="9.140625" style="45"/>
    <col min="4085" max="4085" width="27.85546875" style="45" customWidth="1"/>
    <col min="4086" max="4088" width="9.140625" style="45"/>
    <col min="4089" max="4089" width="17.7109375" style="45" customWidth="1"/>
    <col min="4090" max="4090" width="7.42578125" style="45" customWidth="1"/>
    <col min="4091" max="4340" width="9.140625" style="45"/>
    <col min="4341" max="4341" width="27.85546875" style="45" customWidth="1"/>
    <col min="4342" max="4344" width="9.140625" style="45"/>
    <col min="4345" max="4345" width="17.7109375" style="45" customWidth="1"/>
    <col min="4346" max="4346" width="7.42578125" style="45" customWidth="1"/>
    <col min="4347" max="4596" width="9.140625" style="45"/>
    <col min="4597" max="4597" width="27.85546875" style="45" customWidth="1"/>
    <col min="4598" max="4600" width="9.140625" style="45"/>
    <col min="4601" max="4601" width="17.7109375" style="45" customWidth="1"/>
    <col min="4602" max="4602" width="7.42578125" style="45" customWidth="1"/>
    <col min="4603" max="4852" width="9.140625" style="45"/>
    <col min="4853" max="4853" width="27.85546875" style="45" customWidth="1"/>
    <col min="4854" max="4856" width="9.140625" style="45"/>
    <col min="4857" max="4857" width="17.7109375" style="45" customWidth="1"/>
    <col min="4858" max="4858" width="7.42578125" style="45" customWidth="1"/>
    <col min="4859" max="5108" width="9.140625" style="45"/>
    <col min="5109" max="5109" width="27.85546875" style="45" customWidth="1"/>
    <col min="5110" max="5112" width="9.140625" style="45"/>
    <col min="5113" max="5113" width="17.7109375" style="45" customWidth="1"/>
    <col min="5114" max="5114" width="7.42578125" style="45" customWidth="1"/>
    <col min="5115" max="5364" width="9.140625" style="45"/>
    <col min="5365" max="5365" width="27.85546875" style="45" customWidth="1"/>
    <col min="5366" max="5368" width="9.140625" style="45"/>
    <col min="5369" max="5369" width="17.7109375" style="45" customWidth="1"/>
    <col min="5370" max="5370" width="7.42578125" style="45" customWidth="1"/>
    <col min="5371" max="5620" width="9.140625" style="45"/>
    <col min="5621" max="5621" width="27.85546875" style="45" customWidth="1"/>
    <col min="5622" max="5624" width="9.140625" style="45"/>
    <col min="5625" max="5625" width="17.7109375" style="45" customWidth="1"/>
    <col min="5626" max="5626" width="7.42578125" style="45" customWidth="1"/>
    <col min="5627" max="5876" width="9.140625" style="45"/>
    <col min="5877" max="5877" width="27.85546875" style="45" customWidth="1"/>
    <col min="5878" max="5880" width="9.140625" style="45"/>
    <col min="5881" max="5881" width="17.7109375" style="45" customWidth="1"/>
    <col min="5882" max="5882" width="7.42578125" style="45" customWidth="1"/>
    <col min="5883" max="6132" width="9.140625" style="45"/>
    <col min="6133" max="6133" width="27.85546875" style="45" customWidth="1"/>
    <col min="6134" max="6136" width="9.140625" style="45"/>
    <col min="6137" max="6137" width="17.7109375" style="45" customWidth="1"/>
    <col min="6138" max="6138" width="7.42578125" style="45" customWidth="1"/>
    <col min="6139" max="6388" width="9.140625" style="45"/>
    <col min="6389" max="6389" width="27.85546875" style="45" customWidth="1"/>
    <col min="6390" max="6392" width="9.140625" style="45"/>
    <col min="6393" max="6393" width="17.7109375" style="45" customWidth="1"/>
    <col min="6394" max="6394" width="7.42578125" style="45" customWidth="1"/>
    <col min="6395" max="6644" width="9.140625" style="45"/>
    <col min="6645" max="6645" width="27.85546875" style="45" customWidth="1"/>
    <col min="6646" max="6648" width="9.140625" style="45"/>
    <col min="6649" max="6649" width="17.7109375" style="45" customWidth="1"/>
    <col min="6650" max="6650" width="7.42578125" style="45" customWidth="1"/>
    <col min="6651" max="6900" width="9.140625" style="45"/>
    <col min="6901" max="6901" width="27.85546875" style="45" customWidth="1"/>
    <col min="6902" max="6904" width="9.140625" style="45"/>
    <col min="6905" max="6905" width="17.7109375" style="45" customWidth="1"/>
    <col min="6906" max="6906" width="7.42578125" style="45" customWidth="1"/>
    <col min="6907" max="7156" width="9.140625" style="45"/>
    <col min="7157" max="7157" width="27.85546875" style="45" customWidth="1"/>
    <col min="7158" max="7160" width="9.140625" style="45"/>
    <col min="7161" max="7161" width="17.7109375" style="45" customWidth="1"/>
    <col min="7162" max="7162" width="7.42578125" style="45" customWidth="1"/>
    <col min="7163" max="7412" width="9.140625" style="45"/>
    <col min="7413" max="7413" width="27.85546875" style="45" customWidth="1"/>
    <col min="7414" max="7416" width="9.140625" style="45"/>
    <col min="7417" max="7417" width="17.7109375" style="45" customWidth="1"/>
    <col min="7418" max="7418" width="7.42578125" style="45" customWidth="1"/>
    <col min="7419" max="7668" width="9.140625" style="45"/>
    <col min="7669" max="7669" width="27.85546875" style="45" customWidth="1"/>
    <col min="7670" max="7672" width="9.140625" style="45"/>
    <col min="7673" max="7673" width="17.7109375" style="45" customWidth="1"/>
    <col min="7674" max="7674" width="7.42578125" style="45" customWidth="1"/>
    <col min="7675" max="7924" width="9.140625" style="45"/>
    <col min="7925" max="7925" width="27.85546875" style="45" customWidth="1"/>
    <col min="7926" max="7928" width="9.140625" style="45"/>
    <col min="7929" max="7929" width="17.7109375" style="45" customWidth="1"/>
    <col min="7930" max="7930" width="7.42578125" style="45" customWidth="1"/>
    <col min="7931" max="8180" width="9.140625" style="45"/>
    <col min="8181" max="8181" width="27.85546875" style="45" customWidth="1"/>
    <col min="8182" max="8184" width="9.140625" style="45"/>
    <col min="8185" max="8185" width="17.7109375" style="45" customWidth="1"/>
    <col min="8186" max="8186" width="7.42578125" style="45" customWidth="1"/>
    <col min="8187" max="8436" width="9.140625" style="45"/>
    <col min="8437" max="8437" width="27.85546875" style="45" customWidth="1"/>
    <col min="8438" max="8440" width="9.140625" style="45"/>
    <col min="8441" max="8441" width="17.7109375" style="45" customWidth="1"/>
    <col min="8442" max="8442" width="7.42578125" style="45" customWidth="1"/>
    <col min="8443" max="8692" width="9.140625" style="45"/>
    <col min="8693" max="8693" width="27.85546875" style="45" customWidth="1"/>
    <col min="8694" max="8696" width="9.140625" style="45"/>
    <col min="8697" max="8697" width="17.7109375" style="45" customWidth="1"/>
    <col min="8698" max="8698" width="7.42578125" style="45" customWidth="1"/>
    <col min="8699" max="8948" width="9.140625" style="45"/>
    <col min="8949" max="8949" width="27.85546875" style="45" customWidth="1"/>
    <col min="8950" max="8952" width="9.140625" style="45"/>
    <col min="8953" max="8953" width="17.7109375" style="45" customWidth="1"/>
    <col min="8954" max="8954" width="7.42578125" style="45" customWidth="1"/>
    <col min="8955" max="9204" width="9.140625" style="45"/>
    <col min="9205" max="9205" width="27.85546875" style="45" customWidth="1"/>
    <col min="9206" max="9208" width="9.140625" style="45"/>
    <col min="9209" max="9209" width="17.7109375" style="45" customWidth="1"/>
    <col min="9210" max="9210" width="7.42578125" style="45" customWidth="1"/>
    <col min="9211" max="9460" width="9.140625" style="45"/>
    <col min="9461" max="9461" width="27.85546875" style="45" customWidth="1"/>
    <col min="9462" max="9464" width="9.140625" style="45"/>
    <col min="9465" max="9465" width="17.7109375" style="45" customWidth="1"/>
    <col min="9466" max="9466" width="7.42578125" style="45" customWidth="1"/>
    <col min="9467" max="9716" width="9.140625" style="45"/>
    <col min="9717" max="9717" width="27.85546875" style="45" customWidth="1"/>
    <col min="9718" max="9720" width="9.140625" style="45"/>
    <col min="9721" max="9721" width="17.7109375" style="45" customWidth="1"/>
    <col min="9722" max="9722" width="7.42578125" style="45" customWidth="1"/>
    <col min="9723" max="9972" width="9.140625" style="45"/>
    <col min="9973" max="9973" width="27.85546875" style="45" customWidth="1"/>
    <col min="9974" max="9976" width="9.140625" style="45"/>
    <col min="9977" max="9977" width="17.7109375" style="45" customWidth="1"/>
    <col min="9978" max="9978" width="7.42578125" style="45" customWidth="1"/>
    <col min="9979" max="10228" width="9.140625" style="45"/>
    <col min="10229" max="10229" width="27.85546875" style="45" customWidth="1"/>
    <col min="10230" max="10232" width="9.140625" style="45"/>
    <col min="10233" max="10233" width="17.7109375" style="45" customWidth="1"/>
    <col min="10234" max="10234" width="7.42578125" style="45" customWidth="1"/>
    <col min="10235" max="10484" width="9.140625" style="45"/>
    <col min="10485" max="10485" width="27.85546875" style="45" customWidth="1"/>
    <col min="10486" max="10488" width="9.140625" style="45"/>
    <col min="10489" max="10489" width="17.7109375" style="45" customWidth="1"/>
    <col min="10490" max="10490" width="7.42578125" style="45" customWidth="1"/>
    <col min="10491" max="10740" width="9.140625" style="45"/>
    <col min="10741" max="10741" width="27.85546875" style="45" customWidth="1"/>
    <col min="10742" max="10744" width="9.140625" style="45"/>
    <col min="10745" max="10745" width="17.7109375" style="45" customWidth="1"/>
    <col min="10746" max="10746" width="7.42578125" style="45" customWidth="1"/>
    <col min="10747" max="10996" width="9.140625" style="45"/>
    <col min="10997" max="10997" width="27.85546875" style="45" customWidth="1"/>
    <col min="10998" max="11000" width="9.140625" style="45"/>
    <col min="11001" max="11001" width="17.7109375" style="45" customWidth="1"/>
    <col min="11002" max="11002" width="7.42578125" style="45" customWidth="1"/>
    <col min="11003" max="11252" width="9.140625" style="45"/>
    <col min="11253" max="11253" width="27.85546875" style="45" customWidth="1"/>
    <col min="11254" max="11256" width="9.140625" style="45"/>
    <col min="11257" max="11257" width="17.7109375" style="45" customWidth="1"/>
    <col min="11258" max="11258" width="7.42578125" style="45" customWidth="1"/>
    <col min="11259" max="11508" width="9.140625" style="45"/>
    <col min="11509" max="11509" width="27.85546875" style="45" customWidth="1"/>
    <col min="11510" max="11512" width="9.140625" style="45"/>
    <col min="11513" max="11513" width="17.7109375" style="45" customWidth="1"/>
    <col min="11514" max="11514" width="7.42578125" style="45" customWidth="1"/>
    <col min="11515" max="11764" width="9.140625" style="45"/>
    <col min="11765" max="11765" width="27.85546875" style="45" customWidth="1"/>
    <col min="11766" max="11768" width="9.140625" style="45"/>
    <col min="11769" max="11769" width="17.7109375" style="45" customWidth="1"/>
    <col min="11770" max="11770" width="7.42578125" style="45" customWidth="1"/>
    <col min="11771" max="12020" width="9.140625" style="45"/>
    <col min="12021" max="12021" width="27.85546875" style="45" customWidth="1"/>
    <col min="12022" max="12024" width="9.140625" style="45"/>
    <col min="12025" max="12025" width="17.7109375" style="45" customWidth="1"/>
    <col min="12026" max="12026" width="7.42578125" style="45" customWidth="1"/>
    <col min="12027" max="12276" width="9.140625" style="45"/>
    <col min="12277" max="12277" width="27.85546875" style="45" customWidth="1"/>
    <col min="12278" max="12280" width="9.140625" style="45"/>
    <col min="12281" max="12281" width="17.7109375" style="45" customWidth="1"/>
    <col min="12282" max="12282" width="7.42578125" style="45" customWidth="1"/>
    <col min="12283" max="12532" width="9.140625" style="45"/>
    <col min="12533" max="12533" width="27.85546875" style="45" customWidth="1"/>
    <col min="12534" max="12536" width="9.140625" style="45"/>
    <col min="12537" max="12537" width="17.7109375" style="45" customWidth="1"/>
    <col min="12538" max="12538" width="7.42578125" style="45" customWidth="1"/>
    <col min="12539" max="12788" width="9.140625" style="45"/>
    <col min="12789" max="12789" width="27.85546875" style="45" customWidth="1"/>
    <col min="12790" max="12792" width="9.140625" style="45"/>
    <col min="12793" max="12793" width="17.7109375" style="45" customWidth="1"/>
    <col min="12794" max="12794" width="7.42578125" style="45" customWidth="1"/>
    <col min="12795" max="13044" width="9.140625" style="45"/>
    <col min="13045" max="13045" width="27.85546875" style="45" customWidth="1"/>
    <col min="13046" max="13048" width="9.140625" style="45"/>
    <col min="13049" max="13049" width="17.7109375" style="45" customWidth="1"/>
    <col min="13050" max="13050" width="7.42578125" style="45" customWidth="1"/>
    <col min="13051" max="13300" width="9.140625" style="45"/>
    <col min="13301" max="13301" width="27.85546875" style="45" customWidth="1"/>
    <col min="13302" max="13304" width="9.140625" style="45"/>
    <col min="13305" max="13305" width="17.7109375" style="45" customWidth="1"/>
    <col min="13306" max="13306" width="7.42578125" style="45" customWidth="1"/>
    <col min="13307" max="13556" width="9.140625" style="45"/>
    <col min="13557" max="13557" width="27.85546875" style="45" customWidth="1"/>
    <col min="13558" max="13560" width="9.140625" style="45"/>
    <col min="13561" max="13561" width="17.7109375" style="45" customWidth="1"/>
    <col min="13562" max="13562" width="7.42578125" style="45" customWidth="1"/>
    <col min="13563" max="13812" width="9.140625" style="45"/>
    <col min="13813" max="13813" width="27.85546875" style="45" customWidth="1"/>
    <col min="13814" max="13816" width="9.140625" style="45"/>
    <col min="13817" max="13817" width="17.7109375" style="45" customWidth="1"/>
    <col min="13818" max="13818" width="7.42578125" style="45" customWidth="1"/>
    <col min="13819" max="14068" width="9.140625" style="45"/>
    <col min="14069" max="14069" width="27.85546875" style="45" customWidth="1"/>
    <col min="14070" max="14072" width="9.140625" style="45"/>
    <col min="14073" max="14073" width="17.7109375" style="45" customWidth="1"/>
    <col min="14074" max="14074" width="7.42578125" style="45" customWidth="1"/>
    <col min="14075" max="14324" width="9.140625" style="45"/>
    <col min="14325" max="14325" width="27.85546875" style="45" customWidth="1"/>
    <col min="14326" max="14328" width="9.140625" style="45"/>
    <col min="14329" max="14329" width="17.7109375" style="45" customWidth="1"/>
    <col min="14330" max="14330" width="7.42578125" style="45" customWidth="1"/>
    <col min="14331" max="14580" width="9.140625" style="45"/>
    <col min="14581" max="14581" width="27.85546875" style="45" customWidth="1"/>
    <col min="14582" max="14584" width="9.140625" style="45"/>
    <col min="14585" max="14585" width="17.7109375" style="45" customWidth="1"/>
    <col min="14586" max="14586" width="7.42578125" style="45" customWidth="1"/>
    <col min="14587" max="14836" width="9.140625" style="45"/>
    <col min="14837" max="14837" width="27.85546875" style="45" customWidth="1"/>
    <col min="14838" max="14840" width="9.140625" style="45"/>
    <col min="14841" max="14841" width="17.7109375" style="45" customWidth="1"/>
    <col min="14842" max="14842" width="7.42578125" style="45" customWidth="1"/>
    <col min="14843" max="15092" width="9.140625" style="45"/>
    <col min="15093" max="15093" width="27.85546875" style="45" customWidth="1"/>
    <col min="15094" max="15096" width="9.140625" style="45"/>
    <col min="15097" max="15097" width="17.7109375" style="45" customWidth="1"/>
    <col min="15098" max="15098" width="7.42578125" style="45" customWidth="1"/>
    <col min="15099" max="15348" width="9.140625" style="45"/>
    <col min="15349" max="15349" width="27.85546875" style="45" customWidth="1"/>
    <col min="15350" max="15352" width="9.140625" style="45"/>
    <col min="15353" max="15353" width="17.7109375" style="45" customWidth="1"/>
    <col min="15354" max="15354" width="7.42578125" style="45" customWidth="1"/>
    <col min="15355" max="15604" width="9.140625" style="45"/>
    <col min="15605" max="15605" width="27.85546875" style="45" customWidth="1"/>
    <col min="15606" max="15608" width="9.140625" style="45"/>
    <col min="15609" max="15609" width="17.7109375" style="45" customWidth="1"/>
    <col min="15610" max="15610" width="7.42578125" style="45" customWidth="1"/>
    <col min="15611" max="15860" width="9.140625" style="45"/>
    <col min="15861" max="15861" width="27.85546875" style="45" customWidth="1"/>
    <col min="15862" max="15864" width="9.140625" style="45"/>
    <col min="15865" max="15865" width="17.7109375" style="45" customWidth="1"/>
    <col min="15866" max="15866" width="7.42578125" style="45" customWidth="1"/>
    <col min="15867" max="16116" width="9.140625" style="45"/>
    <col min="16117" max="16117" width="27.85546875" style="45" customWidth="1"/>
    <col min="16118" max="16120" width="9.140625" style="45"/>
    <col min="16121" max="16121" width="17.7109375" style="45" customWidth="1"/>
    <col min="16122" max="16122" width="7.42578125" style="45" customWidth="1"/>
    <col min="16123" max="16384" width="9.140625" style="45"/>
  </cols>
  <sheetData>
    <row r="1" spans="1:2" ht="15" x14ac:dyDescent="0.25">
      <c r="A1" s="1" t="s">
        <v>181</v>
      </c>
      <c r="B1" s="1" t="s">
        <v>182</v>
      </c>
    </row>
    <row r="2" spans="1:2" ht="15" x14ac:dyDescent="0.25">
      <c r="A2">
        <v>4</v>
      </c>
      <c r="B2" t="str">
        <f>IF(A2&lt;5.5,"onvoldoende","voldoende")</f>
        <v>onvoldoende</v>
      </c>
    </row>
    <row r="3" spans="1:2" ht="15" x14ac:dyDescent="0.25">
      <c r="A3">
        <v>6</v>
      </c>
      <c r="B3" t="str">
        <f t="shared" ref="B3:B6" si="0">IF(A3&lt;5.5,"onvoldoende","voldoende")</f>
        <v>voldoende</v>
      </c>
    </row>
    <row r="4" spans="1:2" ht="15" x14ac:dyDescent="0.25">
      <c r="A4">
        <v>5.5</v>
      </c>
      <c r="B4" t="str">
        <f t="shared" si="0"/>
        <v>voldoende</v>
      </c>
    </row>
    <row r="5" spans="1:2" ht="15" x14ac:dyDescent="0.25">
      <c r="A5">
        <v>7</v>
      </c>
      <c r="B5" t="str">
        <f t="shared" si="0"/>
        <v>voldoende</v>
      </c>
    </row>
    <row r="6" spans="1:2" ht="15" x14ac:dyDescent="0.25">
      <c r="A6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verticalDpi="300" r:id="rId1"/>
  <headerFooter alignWithMargins="0">
    <oddHeader>&amp;A</oddHeader>
    <oddFooter>Pagina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A7" sqref="A7"/>
    </sheetView>
  </sheetViews>
  <sheetFormatPr defaultRowHeight="15" x14ac:dyDescent="0.25"/>
  <cols>
    <col min="1" max="1" width="11" style="202" bestFit="1" customWidth="1"/>
    <col min="2" max="6" width="7.5703125" style="202" customWidth="1"/>
    <col min="7" max="16384" width="9.140625" style="202"/>
  </cols>
  <sheetData>
    <row r="1" spans="1:6" x14ac:dyDescent="0.25">
      <c r="A1" s="202" t="s">
        <v>274</v>
      </c>
      <c r="B1" s="214">
        <v>2</v>
      </c>
      <c r="C1" s="214">
        <v>2</v>
      </c>
      <c r="D1" s="214">
        <v>3</v>
      </c>
      <c r="E1" s="214">
        <v>2</v>
      </c>
      <c r="F1" s="214"/>
    </row>
    <row r="2" spans="1:6" x14ac:dyDescent="0.25">
      <c r="B2" s="215" t="s">
        <v>275</v>
      </c>
      <c r="C2" s="215" t="s">
        <v>276</v>
      </c>
      <c r="D2" s="215" t="s">
        <v>277</v>
      </c>
      <c r="E2" s="215" t="s">
        <v>278</v>
      </c>
      <c r="F2" s="215" t="s">
        <v>279</v>
      </c>
    </row>
    <row r="3" spans="1:6" x14ac:dyDescent="0.25">
      <c r="A3" s="202" t="s">
        <v>280</v>
      </c>
      <c r="B3" s="214">
        <v>6</v>
      </c>
      <c r="C3" s="214">
        <v>7</v>
      </c>
      <c r="D3" s="214">
        <v>5</v>
      </c>
      <c r="E3" s="214">
        <v>4</v>
      </c>
      <c r="F3" s="216" cm="1">
        <f t="array" ref="F3">SUM(B3:E3*$B$1:$E$1)/SUM($B$1:$E$1)</f>
        <v>5.4444444444444446</v>
      </c>
    </row>
    <row r="4" spans="1:6" x14ac:dyDescent="0.25">
      <c r="A4" s="202" t="s">
        <v>281</v>
      </c>
      <c r="B4" s="214">
        <v>7</v>
      </c>
      <c r="C4" s="214">
        <v>5</v>
      </c>
      <c r="D4" s="214">
        <v>6</v>
      </c>
      <c r="E4" s="214">
        <v>6</v>
      </c>
      <c r="F4" s="216" cm="1">
        <f t="array" ref="F4">SUM(B4:E4*$B$1:$E$1)/SUM($B$1:$E$1)</f>
        <v>6</v>
      </c>
    </row>
    <row r="5" spans="1:6" x14ac:dyDescent="0.25">
      <c r="A5" s="202" t="s">
        <v>252</v>
      </c>
      <c r="B5" s="214">
        <v>8</v>
      </c>
      <c r="C5" s="214">
        <v>8</v>
      </c>
      <c r="D5" s="214">
        <v>6</v>
      </c>
      <c r="E5" s="214">
        <v>7</v>
      </c>
      <c r="F5" s="216" cm="1">
        <f t="array" ref="F5">SUM(B5:E5*$B$1:$E$1)/SUM($B$1:$E$1)</f>
        <v>7.1111111111111107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>
        <v>1.1100000000000001</v>
      </c>
    </row>
    <row r="2" spans="1:1" x14ac:dyDescent="0.25">
      <c r="A2">
        <v>2.2200000000000002</v>
      </c>
    </row>
    <row r="3" spans="1:1" x14ac:dyDescent="0.25">
      <c r="A3">
        <v>3.33</v>
      </c>
    </row>
    <row r="4" spans="1:1" x14ac:dyDescent="0.25">
      <c r="A4">
        <v>4.4400000000000004</v>
      </c>
    </row>
    <row r="5" spans="1:1" x14ac:dyDescent="0.25">
      <c r="A5">
        <v>5.55</v>
      </c>
    </row>
    <row r="6" spans="1:1" x14ac:dyDescent="0.25">
      <c r="A6">
        <f>ROUNDDOWN(SUM(A1:A5),0)</f>
        <v>16</v>
      </c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D2" sqref="D2"/>
    </sheetView>
  </sheetViews>
  <sheetFormatPr defaultRowHeight="10.5" x14ac:dyDescent="0.15"/>
  <cols>
    <col min="1" max="2" width="6.7109375" style="89" customWidth="1"/>
    <col min="3" max="3" width="4.140625" style="89" customWidth="1"/>
    <col min="4" max="5" width="6.7109375" style="89" customWidth="1"/>
    <col min="6" max="16384" width="9.140625" style="89"/>
  </cols>
  <sheetData>
    <row r="1" spans="1:5" x14ac:dyDescent="0.15">
      <c r="A1" s="108" t="s">
        <v>262</v>
      </c>
      <c r="B1" s="108" t="s">
        <v>263</v>
      </c>
      <c r="C1" s="108"/>
      <c r="D1" s="108" t="s">
        <v>264</v>
      </c>
      <c r="E1" s="108" t="s">
        <v>265</v>
      </c>
    </row>
    <row r="2" spans="1:5" x14ac:dyDescent="0.15">
      <c r="A2" s="108">
        <v>5</v>
      </c>
      <c r="B2" s="108">
        <v>7</v>
      </c>
      <c r="C2" s="108"/>
      <c r="D2" s="108" cm="1">
        <f t="array" ref="D2:D4">A2:A4+B2:B4</f>
        <v>12</v>
      </c>
      <c r="E2" s="108" cm="1">
        <f t="array" ref="E2:E4">A2:A4*B2:B4</f>
        <v>35</v>
      </c>
    </row>
    <row r="3" spans="1:5" x14ac:dyDescent="0.15">
      <c r="A3" s="108">
        <v>8</v>
      </c>
      <c r="B3" s="108">
        <v>6</v>
      </c>
      <c r="C3" s="108"/>
      <c r="D3" s="108">
        <v>14</v>
      </c>
      <c r="E3" s="108">
        <v>48</v>
      </c>
    </row>
    <row r="4" spans="1:5" x14ac:dyDescent="0.15">
      <c r="A4" s="108">
        <v>9</v>
      </c>
      <c r="B4" s="108">
        <v>2</v>
      </c>
      <c r="C4" s="108"/>
      <c r="D4" s="108">
        <v>11</v>
      </c>
      <c r="E4" s="108">
        <v>18</v>
      </c>
    </row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B1" sqref="B1"/>
    </sheetView>
  </sheetViews>
  <sheetFormatPr defaultRowHeight="12.75" x14ac:dyDescent="0.2"/>
  <cols>
    <col min="1" max="1" width="10.7109375" style="40" customWidth="1"/>
    <col min="2" max="3" width="10.85546875" style="40" bestFit="1" customWidth="1"/>
    <col min="4" max="4" width="9.7109375" style="40" customWidth="1"/>
    <col min="5" max="5" width="10.28515625" style="40" bestFit="1" customWidth="1"/>
    <col min="6" max="16384" width="9.140625" style="40"/>
  </cols>
  <sheetData>
    <row r="1" spans="1:5" x14ac:dyDescent="0.2">
      <c r="A1" s="40" t="s">
        <v>158</v>
      </c>
      <c r="B1" s="88">
        <v>0.70379999999999998</v>
      </c>
    </row>
    <row r="2" spans="1:5" x14ac:dyDescent="0.2">
      <c r="A2" s="40" t="s">
        <v>157</v>
      </c>
      <c r="B2" s="44">
        <v>0.21</v>
      </c>
    </row>
    <row r="5" spans="1:5" x14ac:dyDescent="0.2">
      <c r="A5" s="43" t="s">
        <v>40</v>
      </c>
      <c r="B5" s="43" t="s">
        <v>160</v>
      </c>
      <c r="C5" s="43" t="s">
        <v>160</v>
      </c>
      <c r="D5" s="43" t="s">
        <v>157</v>
      </c>
      <c r="E5" s="43" t="s">
        <v>159</v>
      </c>
    </row>
    <row r="6" spans="1:5" ht="15" x14ac:dyDescent="0.25">
      <c r="A6" s="40" t="s">
        <v>156</v>
      </c>
      <c r="B6" s="95">
        <v>120</v>
      </c>
      <c r="C6" s="42">
        <f t="shared" ref="C6:C20" si="0">$B$1*B6</f>
        <v>84.456000000000003</v>
      </c>
      <c r="D6" s="41">
        <f t="shared" ref="D6:D20" si="1">$B$2*C6</f>
        <v>17.735759999999999</v>
      </c>
      <c r="E6" s="41">
        <f t="shared" ref="E6:E20" si="2">C6+D6</f>
        <v>102.19176</v>
      </c>
    </row>
    <row r="7" spans="1:5" ht="15" x14ac:dyDescent="0.25">
      <c r="A7" s="40" t="s">
        <v>155</v>
      </c>
      <c r="B7" s="95">
        <v>122.5</v>
      </c>
      <c r="C7" s="42">
        <f t="shared" si="0"/>
        <v>86.215499999999992</v>
      </c>
      <c r="D7" s="41">
        <f t="shared" si="1"/>
        <v>18.105254999999996</v>
      </c>
      <c r="E7" s="41">
        <f t="shared" si="2"/>
        <v>104.32075499999999</v>
      </c>
    </row>
    <row r="8" spans="1:5" ht="15" x14ac:dyDescent="0.25">
      <c r="A8" s="40" t="s">
        <v>154</v>
      </c>
      <c r="B8" s="95">
        <v>125</v>
      </c>
      <c r="C8" s="42">
        <f t="shared" si="0"/>
        <v>87.974999999999994</v>
      </c>
      <c r="D8" s="41">
        <f t="shared" si="1"/>
        <v>18.474749999999997</v>
      </c>
      <c r="E8" s="41">
        <f t="shared" si="2"/>
        <v>106.44974999999999</v>
      </c>
    </row>
    <row r="9" spans="1:5" ht="15" x14ac:dyDescent="0.25">
      <c r="A9" s="40" t="s">
        <v>153</v>
      </c>
      <c r="B9" s="95">
        <v>127.5</v>
      </c>
      <c r="C9" s="42">
        <f t="shared" si="0"/>
        <v>89.734499999999997</v>
      </c>
      <c r="D9" s="41">
        <f t="shared" si="1"/>
        <v>18.844244999999997</v>
      </c>
      <c r="E9" s="41">
        <f t="shared" si="2"/>
        <v>108.578745</v>
      </c>
    </row>
    <row r="10" spans="1:5" ht="15" x14ac:dyDescent="0.25">
      <c r="A10" s="40" t="s">
        <v>152</v>
      </c>
      <c r="B10" s="95">
        <v>130</v>
      </c>
      <c r="C10" s="42">
        <f t="shared" si="0"/>
        <v>91.494</v>
      </c>
      <c r="D10" s="41">
        <f t="shared" si="1"/>
        <v>19.213739999999998</v>
      </c>
      <c r="E10" s="41">
        <f t="shared" si="2"/>
        <v>110.70774</v>
      </c>
    </row>
    <row r="11" spans="1:5" ht="15" x14ac:dyDescent="0.25">
      <c r="A11" s="40" t="s">
        <v>151</v>
      </c>
      <c r="B11" s="95">
        <v>132.5</v>
      </c>
      <c r="C11" s="42">
        <f t="shared" si="0"/>
        <v>93.253500000000003</v>
      </c>
      <c r="D11" s="41">
        <f t="shared" si="1"/>
        <v>19.583234999999998</v>
      </c>
      <c r="E11" s="41">
        <f t="shared" si="2"/>
        <v>112.836735</v>
      </c>
    </row>
    <row r="12" spans="1:5" ht="15" x14ac:dyDescent="0.25">
      <c r="A12" s="40" t="s">
        <v>150</v>
      </c>
      <c r="B12" s="95">
        <v>135</v>
      </c>
      <c r="C12" s="42">
        <f t="shared" si="0"/>
        <v>95.012999999999991</v>
      </c>
      <c r="D12" s="41">
        <f t="shared" si="1"/>
        <v>19.952729999999999</v>
      </c>
      <c r="E12" s="41">
        <f t="shared" si="2"/>
        <v>114.96572999999999</v>
      </c>
    </row>
    <row r="13" spans="1:5" ht="15" x14ac:dyDescent="0.25">
      <c r="A13" s="40" t="s">
        <v>149</v>
      </c>
      <c r="B13" s="95">
        <v>137.5</v>
      </c>
      <c r="C13" s="42">
        <f t="shared" si="0"/>
        <v>96.772499999999994</v>
      </c>
      <c r="D13" s="41">
        <f t="shared" si="1"/>
        <v>20.322225</v>
      </c>
      <c r="E13" s="41">
        <f t="shared" si="2"/>
        <v>117.094725</v>
      </c>
    </row>
    <row r="14" spans="1:5" ht="15" x14ac:dyDescent="0.25">
      <c r="A14" s="40" t="s">
        <v>148</v>
      </c>
      <c r="B14" s="95">
        <v>140</v>
      </c>
      <c r="C14" s="42">
        <f t="shared" si="0"/>
        <v>98.531999999999996</v>
      </c>
      <c r="D14" s="41">
        <f t="shared" si="1"/>
        <v>20.69172</v>
      </c>
      <c r="E14" s="41">
        <f t="shared" si="2"/>
        <v>119.22372</v>
      </c>
    </row>
    <row r="15" spans="1:5" ht="15" x14ac:dyDescent="0.25">
      <c r="A15" s="40" t="s">
        <v>147</v>
      </c>
      <c r="B15" s="95">
        <v>142.5</v>
      </c>
      <c r="C15" s="42">
        <f t="shared" si="0"/>
        <v>100.2915</v>
      </c>
      <c r="D15" s="41">
        <f t="shared" si="1"/>
        <v>21.061215000000001</v>
      </c>
      <c r="E15" s="41">
        <f t="shared" si="2"/>
        <v>121.352715</v>
      </c>
    </row>
    <row r="16" spans="1:5" ht="15" x14ac:dyDescent="0.25">
      <c r="A16" s="40" t="s">
        <v>146</v>
      </c>
      <c r="B16" s="95">
        <v>145</v>
      </c>
      <c r="C16" s="42">
        <f t="shared" si="0"/>
        <v>102.051</v>
      </c>
      <c r="D16" s="41">
        <f t="shared" si="1"/>
        <v>21.430710000000001</v>
      </c>
      <c r="E16" s="41">
        <f t="shared" si="2"/>
        <v>123.48171000000001</v>
      </c>
    </row>
    <row r="17" spans="1:5" ht="15" x14ac:dyDescent="0.25">
      <c r="A17" s="40" t="s">
        <v>145</v>
      </c>
      <c r="B17" s="95">
        <v>147.5</v>
      </c>
      <c r="C17" s="42">
        <f t="shared" si="0"/>
        <v>103.81049999999999</v>
      </c>
      <c r="D17" s="41">
        <f t="shared" si="1"/>
        <v>21.800204999999998</v>
      </c>
      <c r="E17" s="41">
        <f t="shared" si="2"/>
        <v>125.610705</v>
      </c>
    </row>
    <row r="18" spans="1:5" ht="15" x14ac:dyDescent="0.25">
      <c r="A18" s="40" t="s">
        <v>144</v>
      </c>
      <c r="B18" s="95">
        <v>150</v>
      </c>
      <c r="C18" s="42">
        <f t="shared" si="0"/>
        <v>105.57</v>
      </c>
      <c r="D18" s="41">
        <f t="shared" si="1"/>
        <v>22.169699999999999</v>
      </c>
      <c r="E18" s="41">
        <f t="shared" si="2"/>
        <v>127.7397</v>
      </c>
    </row>
    <row r="19" spans="1:5" ht="15" x14ac:dyDescent="0.25">
      <c r="A19" s="40" t="s">
        <v>143</v>
      </c>
      <c r="B19" s="95">
        <v>152.5</v>
      </c>
      <c r="C19" s="42">
        <f t="shared" si="0"/>
        <v>107.3295</v>
      </c>
      <c r="D19" s="41">
        <f t="shared" si="1"/>
        <v>22.539194999999999</v>
      </c>
      <c r="E19" s="41">
        <f t="shared" si="2"/>
        <v>129.868695</v>
      </c>
    </row>
    <row r="20" spans="1:5" ht="15" x14ac:dyDescent="0.25">
      <c r="A20" s="40" t="s">
        <v>142</v>
      </c>
      <c r="B20" s="95">
        <v>155</v>
      </c>
      <c r="C20" s="42">
        <f t="shared" si="0"/>
        <v>109.089</v>
      </c>
      <c r="D20" s="41">
        <f t="shared" si="1"/>
        <v>22.90869</v>
      </c>
      <c r="E20" s="41">
        <f t="shared" si="2"/>
        <v>131.99769000000001</v>
      </c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F7A7-F777-42CA-8F23-7FB9BF86283D}">
  <dimension ref="A1:C9"/>
  <sheetViews>
    <sheetView workbookViewId="0">
      <selection activeCell="E24" sqref="E24"/>
    </sheetView>
  </sheetViews>
  <sheetFormatPr defaultRowHeight="12.75" x14ac:dyDescent="0.2"/>
  <cols>
    <col min="1" max="1" width="20.140625" style="90" bestFit="1" customWidth="1"/>
    <col min="2" max="2" width="9.140625" style="90"/>
    <col min="3" max="3" width="30.28515625" style="90" bestFit="1" customWidth="1"/>
    <col min="4" max="16384" width="9.140625" style="90"/>
  </cols>
  <sheetData>
    <row r="1" spans="1:3" x14ac:dyDescent="0.2">
      <c r="A1" s="90" t="s">
        <v>825</v>
      </c>
      <c r="B1" s="90">
        <v>123.654</v>
      </c>
    </row>
    <row r="2" spans="1:3" x14ac:dyDescent="0.2">
      <c r="A2" s="90" t="s">
        <v>826</v>
      </c>
    </row>
    <row r="3" spans="1:3" x14ac:dyDescent="0.2">
      <c r="A3" s="90" t="s">
        <v>827</v>
      </c>
      <c r="B3" s="90">
        <f>ROUND(B1,0)</f>
        <v>124</v>
      </c>
      <c r="C3" s="90" t="str">
        <f ca="1">_xlfn.FORMULATEXT(B3)</f>
        <v>=AFRONDEN(B1;0)</v>
      </c>
    </row>
    <row r="4" spans="1:3" x14ac:dyDescent="0.2">
      <c r="A4" s="90" t="s">
        <v>828</v>
      </c>
      <c r="B4" s="90">
        <f>ROUND(B1,1)</f>
        <v>123.7</v>
      </c>
      <c r="C4" s="90" t="str">
        <f t="shared" ref="C4:C9" ca="1" si="0">_xlfn.FORMULATEXT(B4)</f>
        <v>=AFRONDEN(B1;1)</v>
      </c>
    </row>
    <row r="5" spans="1:3" x14ac:dyDescent="0.2">
      <c r="A5" s="90" t="s">
        <v>829</v>
      </c>
      <c r="B5" s="90">
        <f>ROUND(B1,2)</f>
        <v>123.65</v>
      </c>
      <c r="C5" s="90" t="str">
        <f t="shared" ca="1" si="0"/>
        <v>=AFRONDEN(B1;2)</v>
      </c>
    </row>
    <row r="6" spans="1:3" x14ac:dyDescent="0.2">
      <c r="A6" s="90" t="s">
        <v>830</v>
      </c>
      <c r="B6" s="90">
        <f>ROUNDDOWN(B1,1)</f>
        <v>123.6</v>
      </c>
      <c r="C6" s="90" t="str">
        <f t="shared" ca="1" si="0"/>
        <v>=AFRONDEN.NAAR.BENEDEN(B1;1)</v>
      </c>
    </row>
    <row r="7" spans="1:3" x14ac:dyDescent="0.2">
      <c r="A7" s="90" t="s">
        <v>831</v>
      </c>
      <c r="B7" s="90">
        <f>ROUNDUP(B1,2)</f>
        <v>123.66000000000001</v>
      </c>
      <c r="C7" s="90" t="str">
        <f t="shared" ca="1" si="0"/>
        <v>=AFRONDEN.NAAR.BOVEN(B1;2)</v>
      </c>
    </row>
    <row r="8" spans="1:3" x14ac:dyDescent="0.2">
      <c r="A8" s="90" t="s">
        <v>832</v>
      </c>
      <c r="B8" s="90">
        <f>MROUND(B1,5)</f>
        <v>125</v>
      </c>
      <c r="C8" s="90" t="str">
        <f t="shared" ca="1" si="0"/>
        <v>=AFRONDEN.N.VEELVOUD(B1;5)</v>
      </c>
    </row>
    <row r="9" spans="1:3" x14ac:dyDescent="0.2">
      <c r="A9" s="90" t="s">
        <v>833</v>
      </c>
      <c r="B9" s="90">
        <f>MROUND(B1,10)</f>
        <v>120</v>
      </c>
      <c r="C9" s="90" t="str">
        <f t="shared" ca="1" si="0"/>
        <v>=AFRONDEN.N.VEELVOUD(B1;10)</v>
      </c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3" sqref="C3"/>
    </sheetView>
  </sheetViews>
  <sheetFormatPr defaultRowHeight="15" x14ac:dyDescent="0.25"/>
  <cols>
    <col min="1" max="3" width="9.140625" customWidth="1"/>
  </cols>
  <sheetData>
    <row r="1" spans="1:3" x14ac:dyDescent="0.25">
      <c r="A1" t="s">
        <v>130</v>
      </c>
      <c r="C1">
        <v>4000</v>
      </c>
    </row>
    <row r="2" spans="1:3" x14ac:dyDescent="0.25">
      <c r="A2" t="s">
        <v>84</v>
      </c>
      <c r="B2" s="87">
        <v>0.25</v>
      </c>
      <c r="C2">
        <f>B2*C1</f>
        <v>1000</v>
      </c>
    </row>
    <row r="3" spans="1:3" x14ac:dyDescent="0.25">
      <c r="A3" t="s">
        <v>131</v>
      </c>
      <c r="C3">
        <f>C1+C2</f>
        <v>5000</v>
      </c>
    </row>
    <row r="5" spans="1:3" x14ac:dyDescent="0.25">
      <c r="A5" t="s">
        <v>132</v>
      </c>
      <c r="B5" s="87">
        <v>0.21</v>
      </c>
      <c r="C5">
        <f>B5*C3</f>
        <v>1050</v>
      </c>
    </row>
    <row r="6" spans="1:3" x14ac:dyDescent="0.25">
      <c r="A6" t="s">
        <v>133</v>
      </c>
      <c r="C6">
        <f>C3+C5</f>
        <v>6050</v>
      </c>
    </row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C6" sqref="C6"/>
    </sheetView>
  </sheetViews>
  <sheetFormatPr defaultRowHeight="10.5" x14ac:dyDescent="0.15"/>
  <cols>
    <col min="1" max="1" width="13.140625" style="89" bestFit="1" customWidth="1"/>
    <col min="2" max="2" width="7.5703125" style="89" customWidth="1"/>
    <col min="3" max="4" width="11.85546875" style="89" customWidth="1"/>
    <col min="5" max="16384" width="9.140625" style="89"/>
  </cols>
  <sheetData>
    <row r="1" spans="1:4" x14ac:dyDescent="0.15">
      <c r="A1" s="199" t="s">
        <v>267</v>
      </c>
      <c r="B1" s="200" t="s">
        <v>162</v>
      </c>
      <c r="C1" s="200" t="s">
        <v>268</v>
      </c>
      <c r="D1" s="200" t="s">
        <v>269</v>
      </c>
    </row>
    <row r="2" spans="1:4" ht="15" x14ac:dyDescent="0.25">
      <c r="A2" s="89" t="s">
        <v>270</v>
      </c>
      <c r="B2" s="89">
        <v>1200</v>
      </c>
      <c r="C2" s="24">
        <v>5.12</v>
      </c>
      <c r="D2" s="24">
        <v>5.07</v>
      </c>
    </row>
    <row r="3" spans="1:4" ht="15" x14ac:dyDescent="0.25">
      <c r="A3" s="89" t="s">
        <v>271</v>
      </c>
      <c r="B3" s="89">
        <v>120</v>
      </c>
      <c r="C3" s="24">
        <v>42.51</v>
      </c>
      <c r="D3" s="24">
        <v>41.95</v>
      </c>
    </row>
    <row r="4" spans="1:4" ht="15" x14ac:dyDescent="0.25">
      <c r="A4" s="89" t="s">
        <v>259</v>
      </c>
      <c r="B4" s="89">
        <v>300</v>
      </c>
      <c r="C4" s="24">
        <v>22.35</v>
      </c>
      <c r="D4" s="24">
        <v>22.13</v>
      </c>
    </row>
    <row r="5" spans="1:4" ht="15" x14ac:dyDescent="0.25">
      <c r="A5" s="89" t="s">
        <v>272</v>
      </c>
      <c r="B5" s="89">
        <v>450</v>
      </c>
      <c r="C5" s="24">
        <v>24.85</v>
      </c>
      <c r="D5" s="24">
        <v>24.6</v>
      </c>
    </row>
    <row r="6" spans="1:4" x14ac:dyDescent="0.15">
      <c r="A6" s="199" t="s">
        <v>273</v>
      </c>
      <c r="C6" s="201" cm="1">
        <f t="array" ref="C6">SUM(B2:B5*C2:C5)</f>
        <v>29132.7</v>
      </c>
      <c r="D6" s="201" cm="1">
        <f t="array" ref="D6">SUM(B2:B5*D2:D5)</f>
        <v>28827</v>
      </c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2"/>
  <sheetViews>
    <sheetView workbookViewId="0">
      <selection activeCell="B1" sqref="B1"/>
    </sheetView>
  </sheetViews>
  <sheetFormatPr defaultRowHeight="12.75" x14ac:dyDescent="0.2"/>
  <cols>
    <col min="1" max="1" width="10.42578125" style="45" bestFit="1" customWidth="1"/>
    <col min="2" max="2" width="7.7109375" style="45" bestFit="1" customWidth="1"/>
    <col min="3" max="3" width="20.85546875" style="45" bestFit="1" customWidth="1"/>
    <col min="4" max="256" width="9.140625" style="45"/>
    <col min="257" max="258" width="12.7109375" style="45" customWidth="1"/>
    <col min="259" max="512" width="9.140625" style="45"/>
    <col min="513" max="514" width="12.7109375" style="45" customWidth="1"/>
    <col min="515" max="768" width="9.140625" style="45"/>
    <col min="769" max="770" width="12.7109375" style="45" customWidth="1"/>
    <col min="771" max="1024" width="9.140625" style="45"/>
    <col min="1025" max="1026" width="12.7109375" style="45" customWidth="1"/>
    <col min="1027" max="1280" width="9.140625" style="45"/>
    <col min="1281" max="1282" width="12.7109375" style="45" customWidth="1"/>
    <col min="1283" max="1536" width="9.140625" style="45"/>
    <col min="1537" max="1538" width="12.7109375" style="45" customWidth="1"/>
    <col min="1539" max="1792" width="9.140625" style="45"/>
    <col min="1793" max="1794" width="12.7109375" style="45" customWidth="1"/>
    <col min="1795" max="2048" width="9.140625" style="45"/>
    <col min="2049" max="2050" width="12.7109375" style="45" customWidth="1"/>
    <col min="2051" max="2304" width="9.140625" style="45"/>
    <col min="2305" max="2306" width="12.7109375" style="45" customWidth="1"/>
    <col min="2307" max="2560" width="9.140625" style="45"/>
    <col min="2561" max="2562" width="12.7109375" style="45" customWidth="1"/>
    <col min="2563" max="2816" width="9.140625" style="45"/>
    <col min="2817" max="2818" width="12.7109375" style="45" customWidth="1"/>
    <col min="2819" max="3072" width="9.140625" style="45"/>
    <col min="3073" max="3074" width="12.7109375" style="45" customWidth="1"/>
    <col min="3075" max="3328" width="9.140625" style="45"/>
    <col min="3329" max="3330" width="12.7109375" style="45" customWidth="1"/>
    <col min="3331" max="3584" width="9.140625" style="45"/>
    <col min="3585" max="3586" width="12.7109375" style="45" customWidth="1"/>
    <col min="3587" max="3840" width="9.140625" style="45"/>
    <col min="3841" max="3842" width="12.7109375" style="45" customWidth="1"/>
    <col min="3843" max="4096" width="9.140625" style="45"/>
    <col min="4097" max="4098" width="12.7109375" style="45" customWidth="1"/>
    <col min="4099" max="4352" width="9.140625" style="45"/>
    <col min="4353" max="4354" width="12.7109375" style="45" customWidth="1"/>
    <col min="4355" max="4608" width="9.140625" style="45"/>
    <col min="4609" max="4610" width="12.7109375" style="45" customWidth="1"/>
    <col min="4611" max="4864" width="9.140625" style="45"/>
    <col min="4865" max="4866" width="12.7109375" style="45" customWidth="1"/>
    <col min="4867" max="5120" width="9.140625" style="45"/>
    <col min="5121" max="5122" width="12.7109375" style="45" customWidth="1"/>
    <col min="5123" max="5376" width="9.140625" style="45"/>
    <col min="5377" max="5378" width="12.7109375" style="45" customWidth="1"/>
    <col min="5379" max="5632" width="9.140625" style="45"/>
    <col min="5633" max="5634" width="12.7109375" style="45" customWidth="1"/>
    <col min="5635" max="5888" width="9.140625" style="45"/>
    <col min="5889" max="5890" width="12.7109375" style="45" customWidth="1"/>
    <col min="5891" max="6144" width="9.140625" style="45"/>
    <col min="6145" max="6146" width="12.7109375" style="45" customWidth="1"/>
    <col min="6147" max="6400" width="9.140625" style="45"/>
    <col min="6401" max="6402" width="12.7109375" style="45" customWidth="1"/>
    <col min="6403" max="6656" width="9.140625" style="45"/>
    <col min="6657" max="6658" width="12.7109375" style="45" customWidth="1"/>
    <col min="6659" max="6912" width="9.140625" style="45"/>
    <col min="6913" max="6914" width="12.7109375" style="45" customWidth="1"/>
    <col min="6915" max="7168" width="9.140625" style="45"/>
    <col min="7169" max="7170" width="12.7109375" style="45" customWidth="1"/>
    <col min="7171" max="7424" width="9.140625" style="45"/>
    <col min="7425" max="7426" width="12.7109375" style="45" customWidth="1"/>
    <col min="7427" max="7680" width="9.140625" style="45"/>
    <col min="7681" max="7682" width="12.7109375" style="45" customWidth="1"/>
    <col min="7683" max="7936" width="9.140625" style="45"/>
    <col min="7937" max="7938" width="12.7109375" style="45" customWidth="1"/>
    <col min="7939" max="8192" width="9.140625" style="45"/>
    <col min="8193" max="8194" width="12.7109375" style="45" customWidth="1"/>
    <col min="8195" max="8448" width="9.140625" style="45"/>
    <col min="8449" max="8450" width="12.7109375" style="45" customWidth="1"/>
    <col min="8451" max="8704" width="9.140625" style="45"/>
    <col min="8705" max="8706" width="12.7109375" style="45" customWidth="1"/>
    <col min="8707" max="8960" width="9.140625" style="45"/>
    <col min="8961" max="8962" width="12.7109375" style="45" customWidth="1"/>
    <col min="8963" max="9216" width="9.140625" style="45"/>
    <col min="9217" max="9218" width="12.7109375" style="45" customWidth="1"/>
    <col min="9219" max="9472" width="9.140625" style="45"/>
    <col min="9473" max="9474" width="12.7109375" style="45" customWidth="1"/>
    <col min="9475" max="9728" width="9.140625" style="45"/>
    <col min="9729" max="9730" width="12.7109375" style="45" customWidth="1"/>
    <col min="9731" max="9984" width="9.140625" style="45"/>
    <col min="9985" max="9986" width="12.7109375" style="45" customWidth="1"/>
    <col min="9987" max="10240" width="9.140625" style="45"/>
    <col min="10241" max="10242" width="12.7109375" style="45" customWidth="1"/>
    <col min="10243" max="10496" width="9.140625" style="45"/>
    <col min="10497" max="10498" width="12.7109375" style="45" customWidth="1"/>
    <col min="10499" max="10752" width="9.140625" style="45"/>
    <col min="10753" max="10754" width="12.7109375" style="45" customWidth="1"/>
    <col min="10755" max="11008" width="9.140625" style="45"/>
    <col min="11009" max="11010" width="12.7109375" style="45" customWidth="1"/>
    <col min="11011" max="11264" width="9.140625" style="45"/>
    <col min="11265" max="11266" width="12.7109375" style="45" customWidth="1"/>
    <col min="11267" max="11520" width="9.140625" style="45"/>
    <col min="11521" max="11522" width="12.7109375" style="45" customWidth="1"/>
    <col min="11523" max="11776" width="9.140625" style="45"/>
    <col min="11777" max="11778" width="12.7109375" style="45" customWidth="1"/>
    <col min="11779" max="12032" width="9.140625" style="45"/>
    <col min="12033" max="12034" width="12.7109375" style="45" customWidth="1"/>
    <col min="12035" max="12288" width="9.140625" style="45"/>
    <col min="12289" max="12290" width="12.7109375" style="45" customWidth="1"/>
    <col min="12291" max="12544" width="9.140625" style="45"/>
    <col min="12545" max="12546" width="12.7109375" style="45" customWidth="1"/>
    <col min="12547" max="12800" width="9.140625" style="45"/>
    <col min="12801" max="12802" width="12.7109375" style="45" customWidth="1"/>
    <col min="12803" max="13056" width="9.140625" style="45"/>
    <col min="13057" max="13058" width="12.7109375" style="45" customWidth="1"/>
    <col min="13059" max="13312" width="9.140625" style="45"/>
    <col min="13313" max="13314" width="12.7109375" style="45" customWidth="1"/>
    <col min="13315" max="13568" width="9.140625" style="45"/>
    <col min="13569" max="13570" width="12.7109375" style="45" customWidth="1"/>
    <col min="13571" max="13824" width="9.140625" style="45"/>
    <col min="13825" max="13826" width="12.7109375" style="45" customWidth="1"/>
    <col min="13827" max="14080" width="9.140625" style="45"/>
    <col min="14081" max="14082" width="12.7109375" style="45" customWidth="1"/>
    <col min="14083" max="14336" width="9.140625" style="45"/>
    <col min="14337" max="14338" width="12.7109375" style="45" customWidth="1"/>
    <col min="14339" max="14592" width="9.140625" style="45"/>
    <col min="14593" max="14594" width="12.7109375" style="45" customWidth="1"/>
    <col min="14595" max="14848" width="9.140625" style="45"/>
    <col min="14849" max="14850" width="12.7109375" style="45" customWidth="1"/>
    <col min="14851" max="15104" width="9.140625" style="45"/>
    <col min="15105" max="15106" width="12.7109375" style="45" customWidth="1"/>
    <col min="15107" max="15360" width="9.140625" style="45"/>
    <col min="15361" max="15362" width="12.7109375" style="45" customWidth="1"/>
    <col min="15363" max="15616" width="9.140625" style="45"/>
    <col min="15617" max="15618" width="12.7109375" style="45" customWidth="1"/>
    <col min="15619" max="15872" width="9.140625" style="45"/>
    <col min="15873" max="15874" width="12.7109375" style="45" customWidth="1"/>
    <col min="15875" max="16128" width="9.140625" style="45"/>
    <col min="16129" max="16130" width="12.7109375" style="45" customWidth="1"/>
    <col min="16131" max="16384" width="9.140625" style="45"/>
  </cols>
  <sheetData>
    <row r="1" spans="1:3" x14ac:dyDescent="0.2">
      <c r="B1" s="98">
        <v>38</v>
      </c>
    </row>
    <row r="2" spans="1:3" x14ac:dyDescent="0.2">
      <c r="B2" s="98">
        <v>10</v>
      </c>
    </row>
    <row r="3" spans="1:3" x14ac:dyDescent="0.2">
      <c r="B3" s="98">
        <v>60</v>
      </c>
    </row>
    <row r="4" spans="1:3" x14ac:dyDescent="0.2">
      <c r="B4" s="98">
        <v>90</v>
      </c>
    </row>
    <row r="5" spans="1:3" x14ac:dyDescent="0.2">
      <c r="B5" s="98">
        <v>88</v>
      </c>
    </row>
    <row r="6" spans="1:3" x14ac:dyDescent="0.2">
      <c r="B6" s="98">
        <v>96</v>
      </c>
    </row>
    <row r="7" spans="1:3" x14ac:dyDescent="0.2">
      <c r="B7" s="98">
        <v>2</v>
      </c>
    </row>
    <row r="8" spans="1:3" x14ac:dyDescent="0.2">
      <c r="B8" s="98">
        <v>41</v>
      </c>
    </row>
    <row r="9" spans="1:3" x14ac:dyDescent="0.2">
      <c r="A9" s="46" t="s">
        <v>161</v>
      </c>
      <c r="B9" s="97">
        <f>AVERAGE(B1:B8)</f>
        <v>53.125</v>
      </c>
      <c r="C9" s="45" t="str">
        <f ca="1">_xlfn.FORMULATEXT(B9)</f>
        <v>=GEMIDDELDE(B1:B8)</v>
      </c>
    </row>
    <row r="10" spans="1:3" x14ac:dyDescent="0.2">
      <c r="A10" s="46" t="s">
        <v>162</v>
      </c>
      <c r="B10" s="98">
        <f>COUNT(B1:B8)</f>
        <v>8</v>
      </c>
      <c r="C10" s="45" t="str">
        <f t="shared" ref="C10:C12" ca="1" si="0">_xlfn.FORMULATEXT(B10)</f>
        <v>=AANTAL(B1:B8)</v>
      </c>
    </row>
    <row r="11" spans="1:3" x14ac:dyDescent="0.2">
      <c r="A11" s="46" t="s">
        <v>163</v>
      </c>
      <c r="B11" s="98">
        <f>MIN(B1:B8)</f>
        <v>2</v>
      </c>
      <c r="C11" s="45" t="str">
        <f t="shared" ca="1" si="0"/>
        <v>=MIN(B1:B8)</v>
      </c>
    </row>
    <row r="12" spans="1:3" x14ac:dyDescent="0.2">
      <c r="A12" s="46" t="s">
        <v>164</v>
      </c>
      <c r="B12" s="98">
        <f>MAX(B1:B8)</f>
        <v>96</v>
      </c>
      <c r="C12" s="45" t="str">
        <f t="shared" ca="1" si="0"/>
        <v>=MAX(B1:B8)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Pagina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C11" sqref="C11"/>
    </sheetView>
  </sheetViews>
  <sheetFormatPr defaultRowHeight="10.5" x14ac:dyDescent="0.15"/>
  <cols>
    <col min="1" max="1" width="9.28515625" style="89" customWidth="1"/>
    <col min="2" max="2" width="8.42578125" style="89" customWidth="1"/>
    <col min="3" max="3" width="6.7109375" style="89" customWidth="1"/>
    <col min="4" max="16384" width="9.140625" style="89"/>
  </cols>
  <sheetData>
    <row r="1" spans="1:3" x14ac:dyDescent="0.15">
      <c r="B1" s="103" t="s">
        <v>282</v>
      </c>
      <c r="C1" s="103" t="s">
        <v>177</v>
      </c>
    </row>
    <row r="2" spans="1:3" x14ac:dyDescent="0.15">
      <c r="A2" s="89" t="s">
        <v>283</v>
      </c>
      <c r="B2" s="108" t="s">
        <v>284</v>
      </c>
      <c r="C2" s="108">
        <v>164</v>
      </c>
    </row>
    <row r="3" spans="1:3" x14ac:dyDescent="0.15">
      <c r="A3" s="89" t="s">
        <v>285</v>
      </c>
      <c r="B3" s="108" t="s">
        <v>286</v>
      </c>
      <c r="C3" s="108">
        <v>186</v>
      </c>
    </row>
    <row r="4" spans="1:3" x14ac:dyDescent="0.15">
      <c r="A4" s="89" t="s">
        <v>287</v>
      </c>
      <c r="B4" s="108" t="s">
        <v>284</v>
      </c>
      <c r="C4" s="108">
        <v>169</v>
      </c>
    </row>
    <row r="5" spans="1:3" x14ac:dyDescent="0.15">
      <c r="A5" s="89" t="s">
        <v>288</v>
      </c>
      <c r="B5" s="108" t="s">
        <v>284</v>
      </c>
      <c r="C5" s="108">
        <v>178</v>
      </c>
    </row>
    <row r="6" spans="1:3" x14ac:dyDescent="0.15">
      <c r="A6" s="89" t="s">
        <v>289</v>
      </c>
      <c r="B6" s="108" t="s">
        <v>286</v>
      </c>
      <c r="C6" s="108">
        <v>180</v>
      </c>
    </row>
    <row r="7" spans="1:3" x14ac:dyDescent="0.15">
      <c r="A7" s="89" t="s">
        <v>290</v>
      </c>
      <c r="B7" s="108" t="s">
        <v>284</v>
      </c>
      <c r="C7" s="108">
        <v>170</v>
      </c>
    </row>
    <row r="8" spans="1:3" x14ac:dyDescent="0.15">
      <c r="A8" s="89" t="s">
        <v>291</v>
      </c>
      <c r="B8" s="108" t="s">
        <v>286</v>
      </c>
      <c r="C8" s="108">
        <v>178</v>
      </c>
    </row>
    <row r="9" spans="1:3" x14ac:dyDescent="0.15">
      <c r="A9" s="89" t="s">
        <v>292</v>
      </c>
      <c r="B9" s="108" t="s">
        <v>284</v>
      </c>
      <c r="C9" s="108">
        <v>161</v>
      </c>
    </row>
    <row r="11" spans="1:3" x14ac:dyDescent="0.15">
      <c r="A11" s="89" t="s">
        <v>161</v>
      </c>
      <c r="B11" s="108" t="s">
        <v>286</v>
      </c>
      <c r="C11" s="84" cm="1">
        <f t="array" ref="C11">AVERAGE(IF($B$2:$B$9="m",$C$2:$C$9))</f>
        <v>181.33333333333334</v>
      </c>
    </row>
    <row r="12" spans="1:3" x14ac:dyDescent="0.15">
      <c r="A12" s="89" t="s">
        <v>161</v>
      </c>
      <c r="B12" s="108" t="s">
        <v>284</v>
      </c>
      <c r="C12" s="84" cm="1">
        <f t="array" ref="C12">AVERAGE(IF($B$2:$B$9="v",$C$2:$C$9))</f>
        <v>168.4</v>
      </c>
    </row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45" customWidth="1"/>
    <col min="2" max="2" width="6.7109375" style="45" customWidth="1"/>
    <col min="3" max="3" width="12.42578125" style="45" customWidth="1"/>
    <col min="4" max="4" width="10.140625" style="45" customWidth="1"/>
    <col min="5" max="5" width="11.85546875" style="45" customWidth="1"/>
    <col min="6" max="256" width="9.140625" style="45"/>
    <col min="257" max="257" width="16.5703125" style="45" customWidth="1"/>
    <col min="258" max="258" width="6.7109375" style="45" customWidth="1"/>
    <col min="259" max="259" width="12.42578125" style="45" customWidth="1"/>
    <col min="260" max="260" width="10.140625" style="45" customWidth="1"/>
    <col min="261" max="261" width="11.85546875" style="45" customWidth="1"/>
    <col min="262" max="512" width="9.140625" style="45"/>
    <col min="513" max="513" width="16.5703125" style="45" customWidth="1"/>
    <col min="514" max="514" width="6.7109375" style="45" customWidth="1"/>
    <col min="515" max="515" width="12.42578125" style="45" customWidth="1"/>
    <col min="516" max="516" width="10.140625" style="45" customWidth="1"/>
    <col min="517" max="517" width="11.85546875" style="45" customWidth="1"/>
    <col min="518" max="768" width="9.140625" style="45"/>
    <col min="769" max="769" width="16.5703125" style="45" customWidth="1"/>
    <col min="770" max="770" width="6.7109375" style="45" customWidth="1"/>
    <col min="771" max="771" width="12.42578125" style="45" customWidth="1"/>
    <col min="772" max="772" width="10.140625" style="45" customWidth="1"/>
    <col min="773" max="773" width="11.85546875" style="45" customWidth="1"/>
    <col min="774" max="1024" width="9.140625" style="45"/>
    <col min="1025" max="1025" width="16.5703125" style="45" customWidth="1"/>
    <col min="1026" max="1026" width="6.7109375" style="45" customWidth="1"/>
    <col min="1027" max="1027" width="12.42578125" style="45" customWidth="1"/>
    <col min="1028" max="1028" width="10.140625" style="45" customWidth="1"/>
    <col min="1029" max="1029" width="11.85546875" style="45" customWidth="1"/>
    <col min="1030" max="1280" width="9.140625" style="45"/>
    <col min="1281" max="1281" width="16.5703125" style="45" customWidth="1"/>
    <col min="1282" max="1282" width="6.7109375" style="45" customWidth="1"/>
    <col min="1283" max="1283" width="12.42578125" style="45" customWidth="1"/>
    <col min="1284" max="1284" width="10.140625" style="45" customWidth="1"/>
    <col min="1285" max="1285" width="11.85546875" style="45" customWidth="1"/>
    <col min="1286" max="1536" width="9.140625" style="45"/>
    <col min="1537" max="1537" width="16.5703125" style="45" customWidth="1"/>
    <col min="1538" max="1538" width="6.7109375" style="45" customWidth="1"/>
    <col min="1539" max="1539" width="12.42578125" style="45" customWidth="1"/>
    <col min="1540" max="1540" width="10.140625" style="45" customWidth="1"/>
    <col min="1541" max="1541" width="11.85546875" style="45" customWidth="1"/>
    <col min="1542" max="1792" width="9.140625" style="45"/>
    <col min="1793" max="1793" width="16.5703125" style="45" customWidth="1"/>
    <col min="1794" max="1794" width="6.7109375" style="45" customWidth="1"/>
    <col min="1795" max="1795" width="12.42578125" style="45" customWidth="1"/>
    <col min="1796" max="1796" width="10.140625" style="45" customWidth="1"/>
    <col min="1797" max="1797" width="11.85546875" style="45" customWidth="1"/>
    <col min="1798" max="2048" width="9.140625" style="45"/>
    <col min="2049" max="2049" width="16.5703125" style="45" customWidth="1"/>
    <col min="2050" max="2050" width="6.7109375" style="45" customWidth="1"/>
    <col min="2051" max="2051" width="12.42578125" style="45" customWidth="1"/>
    <col min="2052" max="2052" width="10.140625" style="45" customWidth="1"/>
    <col min="2053" max="2053" width="11.85546875" style="45" customWidth="1"/>
    <col min="2054" max="2304" width="9.140625" style="45"/>
    <col min="2305" max="2305" width="16.5703125" style="45" customWidth="1"/>
    <col min="2306" max="2306" width="6.7109375" style="45" customWidth="1"/>
    <col min="2307" max="2307" width="12.42578125" style="45" customWidth="1"/>
    <col min="2308" max="2308" width="10.140625" style="45" customWidth="1"/>
    <col min="2309" max="2309" width="11.85546875" style="45" customWidth="1"/>
    <col min="2310" max="2560" width="9.140625" style="45"/>
    <col min="2561" max="2561" width="16.5703125" style="45" customWidth="1"/>
    <col min="2562" max="2562" width="6.7109375" style="45" customWidth="1"/>
    <col min="2563" max="2563" width="12.42578125" style="45" customWidth="1"/>
    <col min="2564" max="2564" width="10.140625" style="45" customWidth="1"/>
    <col min="2565" max="2565" width="11.85546875" style="45" customWidth="1"/>
    <col min="2566" max="2816" width="9.140625" style="45"/>
    <col min="2817" max="2817" width="16.5703125" style="45" customWidth="1"/>
    <col min="2818" max="2818" width="6.7109375" style="45" customWidth="1"/>
    <col min="2819" max="2819" width="12.42578125" style="45" customWidth="1"/>
    <col min="2820" max="2820" width="10.140625" style="45" customWidth="1"/>
    <col min="2821" max="2821" width="11.85546875" style="45" customWidth="1"/>
    <col min="2822" max="3072" width="9.140625" style="45"/>
    <col min="3073" max="3073" width="16.5703125" style="45" customWidth="1"/>
    <col min="3074" max="3074" width="6.7109375" style="45" customWidth="1"/>
    <col min="3075" max="3075" width="12.42578125" style="45" customWidth="1"/>
    <col min="3076" max="3076" width="10.140625" style="45" customWidth="1"/>
    <col min="3077" max="3077" width="11.85546875" style="45" customWidth="1"/>
    <col min="3078" max="3328" width="9.140625" style="45"/>
    <col min="3329" max="3329" width="16.5703125" style="45" customWidth="1"/>
    <col min="3330" max="3330" width="6.7109375" style="45" customWidth="1"/>
    <col min="3331" max="3331" width="12.42578125" style="45" customWidth="1"/>
    <col min="3332" max="3332" width="10.140625" style="45" customWidth="1"/>
    <col min="3333" max="3333" width="11.85546875" style="45" customWidth="1"/>
    <col min="3334" max="3584" width="9.140625" style="45"/>
    <col min="3585" max="3585" width="16.5703125" style="45" customWidth="1"/>
    <col min="3586" max="3586" width="6.7109375" style="45" customWidth="1"/>
    <col min="3587" max="3587" width="12.42578125" style="45" customWidth="1"/>
    <col min="3588" max="3588" width="10.140625" style="45" customWidth="1"/>
    <col min="3589" max="3589" width="11.85546875" style="45" customWidth="1"/>
    <col min="3590" max="3840" width="9.140625" style="45"/>
    <col min="3841" max="3841" width="16.5703125" style="45" customWidth="1"/>
    <col min="3842" max="3842" width="6.7109375" style="45" customWidth="1"/>
    <col min="3843" max="3843" width="12.42578125" style="45" customWidth="1"/>
    <col min="3844" max="3844" width="10.140625" style="45" customWidth="1"/>
    <col min="3845" max="3845" width="11.85546875" style="45" customWidth="1"/>
    <col min="3846" max="4096" width="9.140625" style="45"/>
    <col min="4097" max="4097" width="16.5703125" style="45" customWidth="1"/>
    <col min="4098" max="4098" width="6.7109375" style="45" customWidth="1"/>
    <col min="4099" max="4099" width="12.42578125" style="45" customWidth="1"/>
    <col min="4100" max="4100" width="10.140625" style="45" customWidth="1"/>
    <col min="4101" max="4101" width="11.85546875" style="45" customWidth="1"/>
    <col min="4102" max="4352" width="9.140625" style="45"/>
    <col min="4353" max="4353" width="16.5703125" style="45" customWidth="1"/>
    <col min="4354" max="4354" width="6.7109375" style="45" customWidth="1"/>
    <col min="4355" max="4355" width="12.42578125" style="45" customWidth="1"/>
    <col min="4356" max="4356" width="10.140625" style="45" customWidth="1"/>
    <col min="4357" max="4357" width="11.85546875" style="45" customWidth="1"/>
    <col min="4358" max="4608" width="9.140625" style="45"/>
    <col min="4609" max="4609" width="16.5703125" style="45" customWidth="1"/>
    <col min="4610" max="4610" width="6.7109375" style="45" customWidth="1"/>
    <col min="4611" max="4611" width="12.42578125" style="45" customWidth="1"/>
    <col min="4612" max="4612" width="10.140625" style="45" customWidth="1"/>
    <col min="4613" max="4613" width="11.85546875" style="45" customWidth="1"/>
    <col min="4614" max="4864" width="9.140625" style="45"/>
    <col min="4865" max="4865" width="16.5703125" style="45" customWidth="1"/>
    <col min="4866" max="4866" width="6.7109375" style="45" customWidth="1"/>
    <col min="4867" max="4867" width="12.42578125" style="45" customWidth="1"/>
    <col min="4868" max="4868" width="10.140625" style="45" customWidth="1"/>
    <col min="4869" max="4869" width="11.85546875" style="45" customWidth="1"/>
    <col min="4870" max="5120" width="9.140625" style="45"/>
    <col min="5121" max="5121" width="16.5703125" style="45" customWidth="1"/>
    <col min="5122" max="5122" width="6.7109375" style="45" customWidth="1"/>
    <col min="5123" max="5123" width="12.42578125" style="45" customWidth="1"/>
    <col min="5124" max="5124" width="10.140625" style="45" customWidth="1"/>
    <col min="5125" max="5125" width="11.85546875" style="45" customWidth="1"/>
    <col min="5126" max="5376" width="9.140625" style="45"/>
    <col min="5377" max="5377" width="16.5703125" style="45" customWidth="1"/>
    <col min="5378" max="5378" width="6.7109375" style="45" customWidth="1"/>
    <col min="5379" max="5379" width="12.42578125" style="45" customWidth="1"/>
    <col min="5380" max="5380" width="10.140625" style="45" customWidth="1"/>
    <col min="5381" max="5381" width="11.85546875" style="45" customWidth="1"/>
    <col min="5382" max="5632" width="9.140625" style="45"/>
    <col min="5633" max="5633" width="16.5703125" style="45" customWidth="1"/>
    <col min="5634" max="5634" width="6.7109375" style="45" customWidth="1"/>
    <col min="5635" max="5635" width="12.42578125" style="45" customWidth="1"/>
    <col min="5636" max="5636" width="10.140625" style="45" customWidth="1"/>
    <col min="5637" max="5637" width="11.85546875" style="45" customWidth="1"/>
    <col min="5638" max="5888" width="9.140625" style="45"/>
    <col min="5889" max="5889" width="16.5703125" style="45" customWidth="1"/>
    <col min="5890" max="5890" width="6.7109375" style="45" customWidth="1"/>
    <col min="5891" max="5891" width="12.42578125" style="45" customWidth="1"/>
    <col min="5892" max="5892" width="10.140625" style="45" customWidth="1"/>
    <col min="5893" max="5893" width="11.85546875" style="45" customWidth="1"/>
    <col min="5894" max="6144" width="9.140625" style="45"/>
    <col min="6145" max="6145" width="16.5703125" style="45" customWidth="1"/>
    <col min="6146" max="6146" width="6.7109375" style="45" customWidth="1"/>
    <col min="6147" max="6147" width="12.42578125" style="45" customWidth="1"/>
    <col min="6148" max="6148" width="10.140625" style="45" customWidth="1"/>
    <col min="6149" max="6149" width="11.85546875" style="45" customWidth="1"/>
    <col min="6150" max="6400" width="9.140625" style="45"/>
    <col min="6401" max="6401" width="16.5703125" style="45" customWidth="1"/>
    <col min="6402" max="6402" width="6.7109375" style="45" customWidth="1"/>
    <col min="6403" max="6403" width="12.42578125" style="45" customWidth="1"/>
    <col min="6404" max="6404" width="10.140625" style="45" customWidth="1"/>
    <col min="6405" max="6405" width="11.85546875" style="45" customWidth="1"/>
    <col min="6406" max="6656" width="9.140625" style="45"/>
    <col min="6657" max="6657" width="16.5703125" style="45" customWidth="1"/>
    <col min="6658" max="6658" width="6.7109375" style="45" customWidth="1"/>
    <col min="6659" max="6659" width="12.42578125" style="45" customWidth="1"/>
    <col min="6660" max="6660" width="10.140625" style="45" customWidth="1"/>
    <col min="6661" max="6661" width="11.85546875" style="45" customWidth="1"/>
    <col min="6662" max="6912" width="9.140625" style="45"/>
    <col min="6913" max="6913" width="16.5703125" style="45" customWidth="1"/>
    <col min="6914" max="6914" width="6.7109375" style="45" customWidth="1"/>
    <col min="6915" max="6915" width="12.42578125" style="45" customWidth="1"/>
    <col min="6916" max="6916" width="10.140625" style="45" customWidth="1"/>
    <col min="6917" max="6917" width="11.85546875" style="45" customWidth="1"/>
    <col min="6918" max="7168" width="9.140625" style="45"/>
    <col min="7169" max="7169" width="16.5703125" style="45" customWidth="1"/>
    <col min="7170" max="7170" width="6.7109375" style="45" customWidth="1"/>
    <col min="7171" max="7171" width="12.42578125" style="45" customWidth="1"/>
    <col min="7172" max="7172" width="10.140625" style="45" customWidth="1"/>
    <col min="7173" max="7173" width="11.85546875" style="45" customWidth="1"/>
    <col min="7174" max="7424" width="9.140625" style="45"/>
    <col min="7425" max="7425" width="16.5703125" style="45" customWidth="1"/>
    <col min="7426" max="7426" width="6.7109375" style="45" customWidth="1"/>
    <col min="7427" max="7427" width="12.42578125" style="45" customWidth="1"/>
    <col min="7428" max="7428" width="10.140625" style="45" customWidth="1"/>
    <col min="7429" max="7429" width="11.85546875" style="45" customWidth="1"/>
    <col min="7430" max="7680" width="9.140625" style="45"/>
    <col min="7681" max="7681" width="16.5703125" style="45" customWidth="1"/>
    <col min="7682" max="7682" width="6.7109375" style="45" customWidth="1"/>
    <col min="7683" max="7683" width="12.42578125" style="45" customWidth="1"/>
    <col min="7684" max="7684" width="10.140625" style="45" customWidth="1"/>
    <col min="7685" max="7685" width="11.85546875" style="45" customWidth="1"/>
    <col min="7686" max="7936" width="9.140625" style="45"/>
    <col min="7937" max="7937" width="16.5703125" style="45" customWidth="1"/>
    <col min="7938" max="7938" width="6.7109375" style="45" customWidth="1"/>
    <col min="7939" max="7939" width="12.42578125" style="45" customWidth="1"/>
    <col min="7940" max="7940" width="10.140625" style="45" customWidth="1"/>
    <col min="7941" max="7941" width="11.85546875" style="45" customWidth="1"/>
    <col min="7942" max="8192" width="9.140625" style="45"/>
    <col min="8193" max="8193" width="16.5703125" style="45" customWidth="1"/>
    <col min="8194" max="8194" width="6.7109375" style="45" customWidth="1"/>
    <col min="8195" max="8195" width="12.42578125" style="45" customWidth="1"/>
    <col min="8196" max="8196" width="10.140625" style="45" customWidth="1"/>
    <col min="8197" max="8197" width="11.85546875" style="45" customWidth="1"/>
    <col min="8198" max="8448" width="9.140625" style="45"/>
    <col min="8449" max="8449" width="16.5703125" style="45" customWidth="1"/>
    <col min="8450" max="8450" width="6.7109375" style="45" customWidth="1"/>
    <col min="8451" max="8451" width="12.42578125" style="45" customWidth="1"/>
    <col min="8452" max="8452" width="10.140625" style="45" customWidth="1"/>
    <col min="8453" max="8453" width="11.85546875" style="45" customWidth="1"/>
    <col min="8454" max="8704" width="9.140625" style="45"/>
    <col min="8705" max="8705" width="16.5703125" style="45" customWidth="1"/>
    <col min="8706" max="8706" width="6.7109375" style="45" customWidth="1"/>
    <col min="8707" max="8707" width="12.42578125" style="45" customWidth="1"/>
    <col min="8708" max="8708" width="10.140625" style="45" customWidth="1"/>
    <col min="8709" max="8709" width="11.85546875" style="45" customWidth="1"/>
    <col min="8710" max="8960" width="9.140625" style="45"/>
    <col min="8961" max="8961" width="16.5703125" style="45" customWidth="1"/>
    <col min="8962" max="8962" width="6.7109375" style="45" customWidth="1"/>
    <col min="8963" max="8963" width="12.42578125" style="45" customWidth="1"/>
    <col min="8964" max="8964" width="10.140625" style="45" customWidth="1"/>
    <col min="8965" max="8965" width="11.85546875" style="45" customWidth="1"/>
    <col min="8966" max="9216" width="9.140625" style="45"/>
    <col min="9217" max="9217" width="16.5703125" style="45" customWidth="1"/>
    <col min="9218" max="9218" width="6.7109375" style="45" customWidth="1"/>
    <col min="9219" max="9219" width="12.42578125" style="45" customWidth="1"/>
    <col min="9220" max="9220" width="10.140625" style="45" customWidth="1"/>
    <col min="9221" max="9221" width="11.85546875" style="45" customWidth="1"/>
    <col min="9222" max="9472" width="9.140625" style="45"/>
    <col min="9473" max="9473" width="16.5703125" style="45" customWidth="1"/>
    <col min="9474" max="9474" width="6.7109375" style="45" customWidth="1"/>
    <col min="9475" max="9475" width="12.42578125" style="45" customWidth="1"/>
    <col min="9476" max="9476" width="10.140625" style="45" customWidth="1"/>
    <col min="9477" max="9477" width="11.85546875" style="45" customWidth="1"/>
    <col min="9478" max="9728" width="9.140625" style="45"/>
    <col min="9729" max="9729" width="16.5703125" style="45" customWidth="1"/>
    <col min="9730" max="9730" width="6.7109375" style="45" customWidth="1"/>
    <col min="9731" max="9731" width="12.42578125" style="45" customWidth="1"/>
    <col min="9732" max="9732" width="10.140625" style="45" customWidth="1"/>
    <col min="9733" max="9733" width="11.85546875" style="45" customWidth="1"/>
    <col min="9734" max="9984" width="9.140625" style="45"/>
    <col min="9985" max="9985" width="16.5703125" style="45" customWidth="1"/>
    <col min="9986" max="9986" width="6.7109375" style="45" customWidth="1"/>
    <col min="9987" max="9987" width="12.42578125" style="45" customWidth="1"/>
    <col min="9988" max="9988" width="10.140625" style="45" customWidth="1"/>
    <col min="9989" max="9989" width="11.85546875" style="45" customWidth="1"/>
    <col min="9990" max="10240" width="9.140625" style="45"/>
    <col min="10241" max="10241" width="16.5703125" style="45" customWidth="1"/>
    <col min="10242" max="10242" width="6.7109375" style="45" customWidth="1"/>
    <col min="10243" max="10243" width="12.42578125" style="45" customWidth="1"/>
    <col min="10244" max="10244" width="10.140625" style="45" customWidth="1"/>
    <col min="10245" max="10245" width="11.85546875" style="45" customWidth="1"/>
    <col min="10246" max="10496" width="9.140625" style="45"/>
    <col min="10497" max="10497" width="16.5703125" style="45" customWidth="1"/>
    <col min="10498" max="10498" width="6.7109375" style="45" customWidth="1"/>
    <col min="10499" max="10499" width="12.42578125" style="45" customWidth="1"/>
    <col min="10500" max="10500" width="10.140625" style="45" customWidth="1"/>
    <col min="10501" max="10501" width="11.85546875" style="45" customWidth="1"/>
    <col min="10502" max="10752" width="9.140625" style="45"/>
    <col min="10753" max="10753" width="16.5703125" style="45" customWidth="1"/>
    <col min="10754" max="10754" width="6.7109375" style="45" customWidth="1"/>
    <col min="10755" max="10755" width="12.42578125" style="45" customWidth="1"/>
    <col min="10756" max="10756" width="10.140625" style="45" customWidth="1"/>
    <col min="10757" max="10757" width="11.85546875" style="45" customWidth="1"/>
    <col min="10758" max="11008" width="9.140625" style="45"/>
    <col min="11009" max="11009" width="16.5703125" style="45" customWidth="1"/>
    <col min="11010" max="11010" width="6.7109375" style="45" customWidth="1"/>
    <col min="11011" max="11011" width="12.42578125" style="45" customWidth="1"/>
    <col min="11012" max="11012" width="10.140625" style="45" customWidth="1"/>
    <col min="11013" max="11013" width="11.85546875" style="45" customWidth="1"/>
    <col min="11014" max="11264" width="9.140625" style="45"/>
    <col min="11265" max="11265" width="16.5703125" style="45" customWidth="1"/>
    <col min="11266" max="11266" width="6.7109375" style="45" customWidth="1"/>
    <col min="11267" max="11267" width="12.42578125" style="45" customWidth="1"/>
    <col min="11268" max="11268" width="10.140625" style="45" customWidth="1"/>
    <col min="11269" max="11269" width="11.85546875" style="45" customWidth="1"/>
    <col min="11270" max="11520" width="9.140625" style="45"/>
    <col min="11521" max="11521" width="16.5703125" style="45" customWidth="1"/>
    <col min="11522" max="11522" width="6.7109375" style="45" customWidth="1"/>
    <col min="11523" max="11523" width="12.42578125" style="45" customWidth="1"/>
    <col min="11524" max="11524" width="10.140625" style="45" customWidth="1"/>
    <col min="11525" max="11525" width="11.85546875" style="45" customWidth="1"/>
    <col min="11526" max="11776" width="9.140625" style="45"/>
    <col min="11777" max="11777" width="16.5703125" style="45" customWidth="1"/>
    <col min="11778" max="11778" width="6.7109375" style="45" customWidth="1"/>
    <col min="11779" max="11779" width="12.42578125" style="45" customWidth="1"/>
    <col min="11780" max="11780" width="10.140625" style="45" customWidth="1"/>
    <col min="11781" max="11781" width="11.85546875" style="45" customWidth="1"/>
    <col min="11782" max="12032" width="9.140625" style="45"/>
    <col min="12033" max="12033" width="16.5703125" style="45" customWidth="1"/>
    <col min="12034" max="12034" width="6.7109375" style="45" customWidth="1"/>
    <col min="12035" max="12035" width="12.42578125" style="45" customWidth="1"/>
    <col min="12036" max="12036" width="10.140625" style="45" customWidth="1"/>
    <col min="12037" max="12037" width="11.85546875" style="45" customWidth="1"/>
    <col min="12038" max="12288" width="9.140625" style="45"/>
    <col min="12289" max="12289" width="16.5703125" style="45" customWidth="1"/>
    <col min="12290" max="12290" width="6.7109375" style="45" customWidth="1"/>
    <col min="12291" max="12291" width="12.42578125" style="45" customWidth="1"/>
    <col min="12292" max="12292" width="10.140625" style="45" customWidth="1"/>
    <col min="12293" max="12293" width="11.85546875" style="45" customWidth="1"/>
    <col min="12294" max="12544" width="9.140625" style="45"/>
    <col min="12545" max="12545" width="16.5703125" style="45" customWidth="1"/>
    <col min="12546" max="12546" width="6.7109375" style="45" customWidth="1"/>
    <col min="12547" max="12547" width="12.42578125" style="45" customWidth="1"/>
    <col min="12548" max="12548" width="10.140625" style="45" customWidth="1"/>
    <col min="12549" max="12549" width="11.85546875" style="45" customWidth="1"/>
    <col min="12550" max="12800" width="9.140625" style="45"/>
    <col min="12801" max="12801" width="16.5703125" style="45" customWidth="1"/>
    <col min="12802" max="12802" width="6.7109375" style="45" customWidth="1"/>
    <col min="12803" max="12803" width="12.42578125" style="45" customWidth="1"/>
    <col min="12804" max="12804" width="10.140625" style="45" customWidth="1"/>
    <col min="12805" max="12805" width="11.85546875" style="45" customWidth="1"/>
    <col min="12806" max="13056" width="9.140625" style="45"/>
    <col min="13057" max="13057" width="16.5703125" style="45" customWidth="1"/>
    <col min="13058" max="13058" width="6.7109375" style="45" customWidth="1"/>
    <col min="13059" max="13059" width="12.42578125" style="45" customWidth="1"/>
    <col min="13060" max="13060" width="10.140625" style="45" customWidth="1"/>
    <col min="13061" max="13061" width="11.85546875" style="45" customWidth="1"/>
    <col min="13062" max="13312" width="9.140625" style="45"/>
    <col min="13313" max="13313" width="16.5703125" style="45" customWidth="1"/>
    <col min="13314" max="13314" width="6.7109375" style="45" customWidth="1"/>
    <col min="13315" max="13315" width="12.42578125" style="45" customWidth="1"/>
    <col min="13316" max="13316" width="10.140625" style="45" customWidth="1"/>
    <col min="13317" max="13317" width="11.85546875" style="45" customWidth="1"/>
    <col min="13318" max="13568" width="9.140625" style="45"/>
    <col min="13569" max="13569" width="16.5703125" style="45" customWidth="1"/>
    <col min="13570" max="13570" width="6.7109375" style="45" customWidth="1"/>
    <col min="13571" max="13571" width="12.42578125" style="45" customWidth="1"/>
    <col min="13572" max="13572" width="10.140625" style="45" customWidth="1"/>
    <col min="13573" max="13573" width="11.85546875" style="45" customWidth="1"/>
    <col min="13574" max="13824" width="9.140625" style="45"/>
    <col min="13825" max="13825" width="16.5703125" style="45" customWidth="1"/>
    <col min="13826" max="13826" width="6.7109375" style="45" customWidth="1"/>
    <col min="13827" max="13827" width="12.42578125" style="45" customWidth="1"/>
    <col min="13828" max="13828" width="10.140625" style="45" customWidth="1"/>
    <col min="13829" max="13829" width="11.85546875" style="45" customWidth="1"/>
    <col min="13830" max="14080" width="9.140625" style="45"/>
    <col min="14081" max="14081" width="16.5703125" style="45" customWidth="1"/>
    <col min="14082" max="14082" width="6.7109375" style="45" customWidth="1"/>
    <col min="14083" max="14083" width="12.42578125" style="45" customWidth="1"/>
    <col min="14084" max="14084" width="10.140625" style="45" customWidth="1"/>
    <col min="14085" max="14085" width="11.85546875" style="45" customWidth="1"/>
    <col min="14086" max="14336" width="9.140625" style="45"/>
    <col min="14337" max="14337" width="16.5703125" style="45" customWidth="1"/>
    <col min="14338" max="14338" width="6.7109375" style="45" customWidth="1"/>
    <col min="14339" max="14339" width="12.42578125" style="45" customWidth="1"/>
    <col min="14340" max="14340" width="10.140625" style="45" customWidth="1"/>
    <col min="14341" max="14341" width="11.85546875" style="45" customWidth="1"/>
    <col min="14342" max="14592" width="9.140625" style="45"/>
    <col min="14593" max="14593" width="16.5703125" style="45" customWidth="1"/>
    <col min="14594" max="14594" width="6.7109375" style="45" customWidth="1"/>
    <col min="14595" max="14595" width="12.42578125" style="45" customWidth="1"/>
    <col min="14596" max="14596" width="10.140625" style="45" customWidth="1"/>
    <col min="14597" max="14597" width="11.85546875" style="45" customWidth="1"/>
    <col min="14598" max="14848" width="9.140625" style="45"/>
    <col min="14849" max="14849" width="16.5703125" style="45" customWidth="1"/>
    <col min="14850" max="14850" width="6.7109375" style="45" customWidth="1"/>
    <col min="14851" max="14851" width="12.42578125" style="45" customWidth="1"/>
    <col min="14852" max="14852" width="10.140625" style="45" customWidth="1"/>
    <col min="14853" max="14853" width="11.85546875" style="45" customWidth="1"/>
    <col min="14854" max="15104" width="9.140625" style="45"/>
    <col min="15105" max="15105" width="16.5703125" style="45" customWidth="1"/>
    <col min="15106" max="15106" width="6.7109375" style="45" customWidth="1"/>
    <col min="15107" max="15107" width="12.42578125" style="45" customWidth="1"/>
    <col min="15108" max="15108" width="10.140625" style="45" customWidth="1"/>
    <col min="15109" max="15109" width="11.85546875" style="45" customWidth="1"/>
    <col min="15110" max="15360" width="9.140625" style="45"/>
    <col min="15361" max="15361" width="16.5703125" style="45" customWidth="1"/>
    <col min="15362" max="15362" width="6.7109375" style="45" customWidth="1"/>
    <col min="15363" max="15363" width="12.42578125" style="45" customWidth="1"/>
    <col min="15364" max="15364" width="10.140625" style="45" customWidth="1"/>
    <col min="15365" max="15365" width="11.85546875" style="45" customWidth="1"/>
    <col min="15366" max="15616" width="9.140625" style="45"/>
    <col min="15617" max="15617" width="16.5703125" style="45" customWidth="1"/>
    <col min="15618" max="15618" width="6.7109375" style="45" customWidth="1"/>
    <col min="15619" max="15619" width="12.42578125" style="45" customWidth="1"/>
    <col min="15620" max="15620" width="10.140625" style="45" customWidth="1"/>
    <col min="15621" max="15621" width="11.85546875" style="45" customWidth="1"/>
    <col min="15622" max="15872" width="9.140625" style="45"/>
    <col min="15873" max="15873" width="16.5703125" style="45" customWidth="1"/>
    <col min="15874" max="15874" width="6.7109375" style="45" customWidth="1"/>
    <col min="15875" max="15875" width="12.42578125" style="45" customWidth="1"/>
    <col min="15876" max="15876" width="10.140625" style="45" customWidth="1"/>
    <col min="15877" max="15877" width="11.85546875" style="45" customWidth="1"/>
    <col min="15878" max="16128" width="9.140625" style="45"/>
    <col min="16129" max="16129" width="16.5703125" style="45" customWidth="1"/>
    <col min="16130" max="16130" width="6.7109375" style="45" customWidth="1"/>
    <col min="16131" max="16131" width="12.42578125" style="45" customWidth="1"/>
    <col min="16132" max="16132" width="10.140625" style="45" customWidth="1"/>
    <col min="16133" max="16133" width="11.85546875" style="45" customWidth="1"/>
    <col min="16134" max="16384" width="9.140625" style="45"/>
  </cols>
  <sheetData>
    <row r="1" spans="1:5" x14ac:dyDescent="0.2">
      <c r="A1" s="48" t="s">
        <v>176</v>
      </c>
      <c r="B1" s="49" t="s">
        <v>177</v>
      </c>
      <c r="C1" s="49" t="s">
        <v>178</v>
      </c>
      <c r="D1" s="48" t="s">
        <v>179</v>
      </c>
      <c r="E1" s="48" t="s">
        <v>180</v>
      </c>
    </row>
    <row r="2" spans="1:5" x14ac:dyDescent="0.2">
      <c r="A2" s="45" t="s">
        <v>183</v>
      </c>
      <c r="B2" s="100">
        <f>LEN(A2)</f>
        <v>10</v>
      </c>
      <c r="C2" s="100">
        <f>SEARCH(" ",A2,1)</f>
        <v>6</v>
      </c>
      <c r="D2" s="101" t="str">
        <f>LEFT(A2,C2-1)</f>
        <v>roger</v>
      </c>
      <c r="E2" s="101" t="str">
        <f>RIGHT(A2,B2-C2)</f>
        <v>rood</v>
      </c>
    </row>
    <row r="3" spans="1:5" x14ac:dyDescent="0.2">
      <c r="A3" s="45" t="s">
        <v>184</v>
      </c>
      <c r="B3" s="100">
        <f>LEN(A3)</f>
        <v>12</v>
      </c>
      <c r="C3" s="100">
        <f>SEARCH(" ",A3,1)</f>
        <v>7</v>
      </c>
      <c r="D3" s="101" t="str">
        <f>LEFT(A3,C3-1)</f>
        <v>gerrit</v>
      </c>
      <c r="E3" s="101" t="str">
        <f>RIGHT(A3,B3-C3)</f>
        <v>groen</v>
      </c>
    </row>
    <row r="4" spans="1:5" x14ac:dyDescent="0.2">
      <c r="A4" s="45" t="s">
        <v>185</v>
      </c>
      <c r="B4" s="100">
        <f>LEN(A4)</f>
        <v>14</v>
      </c>
      <c r="C4" s="100">
        <f>SEARCH(" ",A4,1)</f>
        <v>6</v>
      </c>
      <c r="D4" s="101" t="str">
        <f>LEFT(A4,C4-1)</f>
        <v>trudy</v>
      </c>
      <c r="E4" s="101" t="str">
        <f>RIGHT(A4,B4-C4)</f>
        <v>turkoois</v>
      </c>
    </row>
    <row r="5" spans="1:5" x14ac:dyDescent="0.2">
      <c r="A5" s="45" t="s">
        <v>186</v>
      </c>
      <c r="B5" s="100">
        <f>LEN(A5)</f>
        <v>12</v>
      </c>
      <c r="C5" s="100">
        <f>SEARCH(" ",A5,1)</f>
        <v>5</v>
      </c>
      <c r="D5" s="101" t="str">
        <f>LEFT(A5,C5-1)</f>
        <v>mari</v>
      </c>
      <c r="E5" s="101" t="str">
        <f>RIGHT(A5,B5-C5)</f>
        <v>magenta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Pagina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25">
        <v>220</v>
      </c>
    </row>
    <row r="4" spans="2:5" x14ac:dyDescent="0.25">
      <c r="C4" t="s">
        <v>40</v>
      </c>
      <c r="D4" s="3">
        <f>VLOOKUP(Zoeknr,Zoeklijst,1,FALSE)</f>
        <v>220</v>
      </c>
    </row>
    <row r="5" spans="2:5" x14ac:dyDescent="0.25">
      <c r="C5" t="s">
        <v>55</v>
      </c>
      <c r="D5" s="3">
        <f>VLOOKUP(Zoeknr,Zoeklijst,2,FALSE)</f>
        <v>250</v>
      </c>
    </row>
    <row r="6" spans="2:5" x14ac:dyDescent="0.25">
      <c r="C6" t="s">
        <v>41</v>
      </c>
      <c r="D6" s="3" t="str">
        <f>VLOOKUP(Zoeknr,Zoeklijst,3,FALSE)</f>
        <v>Samsung HD25HJ</v>
      </c>
    </row>
    <row r="7" spans="2:5" x14ac:dyDescent="0.25">
      <c r="C7" t="s">
        <v>42</v>
      </c>
      <c r="D7" s="219">
        <f>VLOOKUP(Zoeknr,Zoeklijst,4,FALSE)</f>
        <v>35.130000000000003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3">
        <v>121</v>
      </c>
      <c r="C11" s="3">
        <v>120</v>
      </c>
      <c r="D11" t="s">
        <v>45</v>
      </c>
      <c r="E11" s="24">
        <v>46</v>
      </c>
    </row>
    <row r="12" spans="2:5" x14ac:dyDescent="0.25">
      <c r="B12" s="3">
        <v>143</v>
      </c>
      <c r="C12" s="3">
        <v>120</v>
      </c>
      <c r="D12" t="s">
        <v>43</v>
      </c>
      <c r="E12" s="24">
        <v>56.36</v>
      </c>
    </row>
    <row r="13" spans="2:5" x14ac:dyDescent="0.25">
      <c r="B13" s="3">
        <v>164</v>
      </c>
      <c r="C13" s="3">
        <v>147</v>
      </c>
      <c r="D13" t="s">
        <v>46</v>
      </c>
      <c r="E13" s="24">
        <v>216</v>
      </c>
    </row>
    <row r="14" spans="2:5" x14ac:dyDescent="0.25">
      <c r="B14" s="3">
        <v>191</v>
      </c>
      <c r="C14" s="3">
        <v>160</v>
      </c>
      <c r="D14" t="s">
        <v>44</v>
      </c>
      <c r="E14" s="24">
        <v>104.85</v>
      </c>
    </row>
    <row r="15" spans="2:5" x14ac:dyDescent="0.25">
      <c r="B15" s="3">
        <v>208</v>
      </c>
      <c r="C15" s="3">
        <v>250</v>
      </c>
      <c r="D15" t="s">
        <v>47</v>
      </c>
      <c r="E15" s="24">
        <v>47.49</v>
      </c>
    </row>
    <row r="16" spans="2:5" x14ac:dyDescent="0.25">
      <c r="B16" s="3">
        <v>220</v>
      </c>
      <c r="C16" s="3">
        <v>250</v>
      </c>
      <c r="D16" t="s">
        <v>49</v>
      </c>
      <c r="E16" s="24">
        <v>35.130000000000003</v>
      </c>
    </row>
    <row r="17" spans="2:5" x14ac:dyDescent="0.25">
      <c r="B17" s="3">
        <v>232</v>
      </c>
      <c r="C17" s="3">
        <v>250</v>
      </c>
      <c r="D17" t="s">
        <v>48</v>
      </c>
      <c r="E17" s="24">
        <v>59.18</v>
      </c>
    </row>
    <row r="18" spans="2:5" x14ac:dyDescent="0.25">
      <c r="B18" s="3">
        <v>343</v>
      </c>
      <c r="C18" s="3">
        <v>300</v>
      </c>
      <c r="D18" t="s">
        <v>50</v>
      </c>
      <c r="E18" s="24">
        <v>133.97999999999999</v>
      </c>
    </row>
    <row r="19" spans="2:5" x14ac:dyDescent="0.25">
      <c r="B19" s="3">
        <v>405</v>
      </c>
      <c r="C19" s="3">
        <v>400</v>
      </c>
      <c r="D19" t="s">
        <v>53</v>
      </c>
      <c r="E19" s="24">
        <v>459.35</v>
      </c>
    </row>
    <row r="20" spans="2:5" x14ac:dyDescent="0.25">
      <c r="B20" s="3">
        <v>417</v>
      </c>
      <c r="C20" s="3">
        <v>450</v>
      </c>
      <c r="D20" t="s">
        <v>51</v>
      </c>
      <c r="E20" s="24">
        <v>226.83</v>
      </c>
    </row>
    <row r="21" spans="2:5" x14ac:dyDescent="0.25">
      <c r="B21" s="3">
        <v>423</v>
      </c>
      <c r="C21" s="3">
        <v>450</v>
      </c>
      <c r="D21" t="s">
        <v>54</v>
      </c>
      <c r="E21" s="24">
        <v>379</v>
      </c>
    </row>
    <row r="22" spans="2:5" x14ac:dyDescent="0.25">
      <c r="B22" s="3">
        <v>436</v>
      </c>
      <c r="C22" s="3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134</v>
      </c>
      <c r="C1" s="26" t="s">
        <v>135</v>
      </c>
      <c r="D1" s="26" t="s">
        <v>136</v>
      </c>
    </row>
    <row r="2" spans="1:4" x14ac:dyDescent="0.25">
      <c r="A2" t="s">
        <v>62</v>
      </c>
      <c r="B2" s="96">
        <v>20</v>
      </c>
      <c r="C2" s="96">
        <v>65</v>
      </c>
      <c r="D2" s="96">
        <f>B2*C2</f>
        <v>1300</v>
      </c>
    </row>
    <row r="3" spans="1:4" x14ac:dyDescent="0.25">
      <c r="A3" t="s">
        <v>63</v>
      </c>
      <c r="B3" s="96">
        <v>10</v>
      </c>
      <c r="C3" s="96">
        <v>80</v>
      </c>
      <c r="D3" s="96">
        <f t="shared" ref="D3:D4" si="0">B3*C3</f>
        <v>800</v>
      </c>
    </row>
    <row r="4" spans="1:4" x14ac:dyDescent="0.25">
      <c r="A4" t="s">
        <v>95</v>
      </c>
      <c r="B4" s="96">
        <v>4</v>
      </c>
      <c r="C4" s="96">
        <v>70</v>
      </c>
      <c r="D4" s="96">
        <f t="shared" si="0"/>
        <v>280</v>
      </c>
    </row>
    <row r="5" spans="1:4" x14ac:dyDescent="0.25">
      <c r="A5" t="s">
        <v>137</v>
      </c>
      <c r="B5" s="96"/>
      <c r="C5" s="96"/>
      <c r="D5" s="96">
        <f>D2+D3+D4</f>
        <v>2380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28" bestFit="1" customWidth="1"/>
    <col min="2" max="2" width="10" style="28" bestFit="1" customWidth="1"/>
    <col min="3" max="3" width="14.42578125" style="28" bestFit="1" customWidth="1"/>
    <col min="4" max="4" width="9.7109375" style="28" bestFit="1" customWidth="1"/>
    <col min="5" max="5" width="13.7109375" style="28" bestFit="1" customWidth="1"/>
    <col min="6" max="6" width="9.140625" style="28"/>
    <col min="7" max="7" width="22" style="28" bestFit="1" customWidth="1"/>
    <col min="8" max="8" width="14.28515625" style="28" customWidth="1"/>
    <col min="9" max="9" width="10.5703125" style="28" bestFit="1" customWidth="1"/>
    <col min="10" max="10" width="10.5703125" style="28" customWidth="1"/>
    <col min="11" max="11" width="10.5703125" style="28" bestFit="1" customWidth="1"/>
    <col min="12" max="12" width="11.5703125" style="28" customWidth="1"/>
    <col min="13" max="16" width="9.5703125" style="28" bestFit="1" customWidth="1"/>
    <col min="17" max="18" width="9.42578125" style="28" bestFit="1" customWidth="1"/>
    <col min="19" max="19" width="9.5703125" style="28" bestFit="1" customWidth="1"/>
    <col min="20" max="20" width="9.42578125" style="28" bestFit="1" customWidth="1"/>
    <col min="21" max="24" width="9.5703125" style="28" bestFit="1" customWidth="1"/>
    <col min="25" max="26" width="9.42578125" style="28" bestFit="1" customWidth="1"/>
    <col min="27" max="28" width="9.5703125" style="28" bestFit="1" customWidth="1"/>
    <col min="29" max="29" width="8.42578125" style="28" customWidth="1"/>
    <col min="30" max="32" width="9.5703125" style="28" bestFit="1" customWidth="1"/>
    <col min="33" max="33" width="8.42578125" style="28" customWidth="1"/>
    <col min="34" max="34" width="9.5703125" style="28" bestFit="1" customWidth="1"/>
    <col min="35" max="35" width="9.42578125" style="28" bestFit="1" customWidth="1"/>
    <col min="36" max="36" width="9.5703125" style="28" bestFit="1" customWidth="1"/>
    <col min="37" max="39" width="9.42578125" style="28" bestFit="1" customWidth="1"/>
    <col min="40" max="41" width="9.5703125" style="28" bestFit="1" customWidth="1"/>
    <col min="42" max="42" width="9.42578125" style="28" bestFit="1" customWidth="1"/>
    <col min="43" max="43" width="9.5703125" style="28" bestFit="1" customWidth="1"/>
    <col min="44" max="44" width="8.42578125" style="28" customWidth="1"/>
    <col min="45" max="45" width="9.5703125" style="28" bestFit="1" customWidth="1"/>
    <col min="46" max="47" width="8.42578125" style="28" customWidth="1"/>
    <col min="48" max="48" width="9.5703125" style="28" bestFit="1" customWidth="1"/>
    <col min="49" max="52" width="9.42578125" style="28" bestFit="1" customWidth="1"/>
    <col min="53" max="56" width="9.5703125" style="28" bestFit="1" customWidth="1"/>
    <col min="57" max="59" width="9.42578125" style="28" bestFit="1" customWidth="1"/>
    <col min="60" max="63" width="9.5703125" style="28" bestFit="1" customWidth="1"/>
    <col min="64" max="64" width="8.42578125" style="28" customWidth="1"/>
    <col min="65" max="65" width="9.5703125" style="28" bestFit="1" customWidth="1"/>
    <col min="66" max="66" width="8.42578125" style="28" customWidth="1"/>
    <col min="67" max="70" width="9.5703125" style="28" bestFit="1" customWidth="1"/>
    <col min="71" max="71" width="9.42578125" style="28" bestFit="1" customWidth="1"/>
    <col min="72" max="74" width="9.5703125" style="28" bestFit="1" customWidth="1"/>
    <col min="75" max="75" width="9.42578125" style="28" bestFit="1" customWidth="1"/>
    <col min="76" max="76" width="9.5703125" style="28" bestFit="1" customWidth="1"/>
    <col min="77" max="78" width="9.42578125" style="28" bestFit="1" customWidth="1"/>
    <col min="79" max="79" width="9.5703125" style="28" bestFit="1" customWidth="1"/>
    <col min="80" max="80" width="9.42578125" style="28" bestFit="1" customWidth="1"/>
    <col min="81" max="81" width="8.42578125" style="28" customWidth="1"/>
    <col min="82" max="87" width="9.5703125" style="28" bestFit="1" customWidth="1"/>
    <col min="88" max="89" width="9.42578125" style="28" bestFit="1" customWidth="1"/>
    <col min="90" max="91" width="9.5703125" style="28" bestFit="1" customWidth="1"/>
    <col min="92" max="93" width="9.42578125" style="28" bestFit="1" customWidth="1"/>
    <col min="94" max="94" width="9.5703125" style="28" bestFit="1" customWidth="1"/>
    <col min="95" max="95" width="9.42578125" style="28" bestFit="1" customWidth="1"/>
    <col min="96" max="96" width="9.5703125" style="28" bestFit="1" customWidth="1"/>
    <col min="97" max="98" width="9.42578125" style="28" bestFit="1" customWidth="1"/>
    <col min="99" max="99" width="9.5703125" style="28" bestFit="1" customWidth="1"/>
    <col min="100" max="100" width="8.42578125" style="28" customWidth="1"/>
    <col min="101" max="101" width="9.5703125" style="28" bestFit="1" customWidth="1"/>
    <col min="102" max="102" width="8.42578125" style="28" customWidth="1"/>
    <col min="103" max="115" width="9.5703125" style="28" bestFit="1" customWidth="1"/>
    <col min="116" max="117" width="8.42578125" style="28" customWidth="1"/>
    <col min="118" max="121" width="9.42578125" style="28" bestFit="1" customWidth="1"/>
    <col min="122" max="123" width="9.5703125" style="28" bestFit="1" customWidth="1"/>
    <col min="124" max="126" width="9.42578125" style="28" bestFit="1" customWidth="1"/>
    <col min="127" max="128" width="9.5703125" style="28" bestFit="1" customWidth="1"/>
    <col min="129" max="130" width="9.42578125" style="28" bestFit="1" customWidth="1"/>
    <col min="131" max="132" width="9.5703125" style="28" bestFit="1" customWidth="1"/>
    <col min="133" max="134" width="8.42578125" style="28" customWidth="1"/>
    <col min="135" max="136" width="9.5703125" style="28" bestFit="1" customWidth="1"/>
    <col min="137" max="137" width="8.42578125" style="28" customWidth="1"/>
    <col min="138" max="138" width="9.42578125" style="28" bestFit="1" customWidth="1"/>
    <col min="139" max="140" width="9.5703125" style="28" bestFit="1" customWidth="1"/>
    <col min="141" max="142" width="9.42578125" style="28" bestFit="1" customWidth="1"/>
    <col min="143" max="147" width="9.5703125" style="28" bestFit="1" customWidth="1"/>
    <col min="148" max="148" width="9.42578125" style="28" bestFit="1" customWidth="1"/>
    <col min="149" max="150" width="9.5703125" style="28" bestFit="1" customWidth="1"/>
    <col min="151" max="151" width="8.42578125" style="28" customWidth="1"/>
    <col min="152" max="152" width="9.5703125" style="28" bestFit="1" customWidth="1"/>
    <col min="153" max="155" width="8.42578125" style="28" customWidth="1"/>
    <col min="156" max="156" width="9.5703125" style="28" bestFit="1" customWidth="1"/>
    <col min="157" max="158" width="9.42578125" style="28" bestFit="1" customWidth="1"/>
    <col min="159" max="162" width="9.5703125" style="28" bestFit="1" customWidth="1"/>
    <col min="163" max="165" width="9.42578125" style="28" bestFit="1" customWidth="1"/>
    <col min="166" max="167" width="9.5703125" style="28" bestFit="1" customWidth="1"/>
    <col min="168" max="168" width="9.42578125" style="28" bestFit="1" customWidth="1"/>
    <col min="169" max="169" width="9.5703125" style="28" bestFit="1" customWidth="1"/>
    <col min="170" max="172" width="9.42578125" style="28" bestFit="1" customWidth="1"/>
    <col min="173" max="173" width="9.5703125" style="28" bestFit="1" customWidth="1"/>
    <col min="174" max="185" width="10.42578125" style="28" bestFit="1" customWidth="1"/>
    <col min="186" max="186" width="9.5703125" style="28" bestFit="1" customWidth="1"/>
    <col min="187" max="187" width="9.42578125" style="28" bestFit="1" customWidth="1"/>
    <col min="188" max="188" width="9.5703125" style="28" bestFit="1" customWidth="1"/>
    <col min="189" max="189" width="9.42578125" style="28" bestFit="1" customWidth="1"/>
    <col min="190" max="190" width="9.5703125" style="28" bestFit="1" customWidth="1"/>
    <col min="191" max="192" width="9.42578125" style="28" bestFit="1" customWidth="1"/>
    <col min="193" max="203" width="10.42578125" style="28" bestFit="1" customWidth="1"/>
    <col min="204" max="205" width="9.5703125" style="28" bestFit="1" customWidth="1"/>
    <col min="206" max="206" width="9.42578125" style="28" bestFit="1" customWidth="1"/>
    <col min="207" max="207" width="9.5703125" style="28" bestFit="1" customWidth="1"/>
    <col min="208" max="208" width="9.42578125" style="28" bestFit="1" customWidth="1"/>
    <col min="209" max="222" width="10.42578125" style="28" bestFit="1" customWidth="1"/>
    <col min="223" max="223" width="11.5703125" style="28" bestFit="1" customWidth="1"/>
    <col min="224" max="256" width="9.140625" style="28"/>
    <col min="257" max="257" width="6.28515625" style="28" bestFit="1" customWidth="1"/>
    <col min="258" max="258" width="10.28515625" style="28" bestFit="1" customWidth="1"/>
    <col min="259" max="259" width="14.42578125" style="28" bestFit="1" customWidth="1"/>
    <col min="260" max="260" width="9.7109375" style="28" bestFit="1" customWidth="1"/>
    <col min="261" max="261" width="13.7109375" style="28" bestFit="1" customWidth="1"/>
    <col min="262" max="512" width="9.140625" style="28"/>
    <col min="513" max="513" width="6.28515625" style="28" bestFit="1" customWidth="1"/>
    <col min="514" max="514" width="10.28515625" style="28" bestFit="1" customWidth="1"/>
    <col min="515" max="515" width="14.42578125" style="28" bestFit="1" customWidth="1"/>
    <col min="516" max="516" width="9.7109375" style="28" bestFit="1" customWidth="1"/>
    <col min="517" max="517" width="13.7109375" style="28" bestFit="1" customWidth="1"/>
    <col min="518" max="768" width="9.140625" style="28"/>
    <col min="769" max="769" width="6.28515625" style="28" bestFit="1" customWidth="1"/>
    <col min="770" max="770" width="10.28515625" style="28" bestFit="1" customWidth="1"/>
    <col min="771" max="771" width="14.42578125" style="28" bestFit="1" customWidth="1"/>
    <col min="772" max="772" width="9.7109375" style="28" bestFit="1" customWidth="1"/>
    <col min="773" max="773" width="13.7109375" style="28" bestFit="1" customWidth="1"/>
    <col min="774" max="1024" width="9.140625" style="28"/>
    <col min="1025" max="1025" width="6.28515625" style="28" bestFit="1" customWidth="1"/>
    <col min="1026" max="1026" width="10.28515625" style="28" bestFit="1" customWidth="1"/>
    <col min="1027" max="1027" width="14.42578125" style="28" bestFit="1" customWidth="1"/>
    <col min="1028" max="1028" width="9.7109375" style="28" bestFit="1" customWidth="1"/>
    <col min="1029" max="1029" width="13.7109375" style="28" bestFit="1" customWidth="1"/>
    <col min="1030" max="1280" width="9.140625" style="28"/>
    <col min="1281" max="1281" width="6.28515625" style="28" bestFit="1" customWidth="1"/>
    <col min="1282" max="1282" width="10.28515625" style="28" bestFit="1" customWidth="1"/>
    <col min="1283" max="1283" width="14.42578125" style="28" bestFit="1" customWidth="1"/>
    <col min="1284" max="1284" width="9.7109375" style="28" bestFit="1" customWidth="1"/>
    <col min="1285" max="1285" width="13.7109375" style="28" bestFit="1" customWidth="1"/>
    <col min="1286" max="1536" width="9.140625" style="28"/>
    <col min="1537" max="1537" width="6.28515625" style="28" bestFit="1" customWidth="1"/>
    <col min="1538" max="1538" width="10.28515625" style="28" bestFit="1" customWidth="1"/>
    <col min="1539" max="1539" width="14.42578125" style="28" bestFit="1" customWidth="1"/>
    <col min="1540" max="1540" width="9.7109375" style="28" bestFit="1" customWidth="1"/>
    <col min="1541" max="1541" width="13.7109375" style="28" bestFit="1" customWidth="1"/>
    <col min="1542" max="1792" width="9.140625" style="28"/>
    <col min="1793" max="1793" width="6.28515625" style="28" bestFit="1" customWidth="1"/>
    <col min="1794" max="1794" width="10.28515625" style="28" bestFit="1" customWidth="1"/>
    <col min="1795" max="1795" width="14.42578125" style="28" bestFit="1" customWidth="1"/>
    <col min="1796" max="1796" width="9.7109375" style="28" bestFit="1" customWidth="1"/>
    <col min="1797" max="1797" width="13.7109375" style="28" bestFit="1" customWidth="1"/>
    <col min="1798" max="2048" width="9.140625" style="28"/>
    <col min="2049" max="2049" width="6.28515625" style="28" bestFit="1" customWidth="1"/>
    <col min="2050" max="2050" width="10.28515625" style="28" bestFit="1" customWidth="1"/>
    <col min="2051" max="2051" width="14.42578125" style="28" bestFit="1" customWidth="1"/>
    <col min="2052" max="2052" width="9.7109375" style="28" bestFit="1" customWidth="1"/>
    <col min="2053" max="2053" width="13.7109375" style="28" bestFit="1" customWidth="1"/>
    <col min="2054" max="2304" width="9.140625" style="28"/>
    <col min="2305" max="2305" width="6.28515625" style="28" bestFit="1" customWidth="1"/>
    <col min="2306" max="2306" width="10.28515625" style="28" bestFit="1" customWidth="1"/>
    <col min="2307" max="2307" width="14.42578125" style="28" bestFit="1" customWidth="1"/>
    <col min="2308" max="2308" width="9.7109375" style="28" bestFit="1" customWidth="1"/>
    <col min="2309" max="2309" width="13.7109375" style="28" bestFit="1" customWidth="1"/>
    <col min="2310" max="2560" width="9.140625" style="28"/>
    <col min="2561" max="2561" width="6.28515625" style="28" bestFit="1" customWidth="1"/>
    <col min="2562" max="2562" width="10.28515625" style="28" bestFit="1" customWidth="1"/>
    <col min="2563" max="2563" width="14.42578125" style="28" bestFit="1" customWidth="1"/>
    <col min="2564" max="2564" width="9.7109375" style="28" bestFit="1" customWidth="1"/>
    <col min="2565" max="2565" width="13.7109375" style="28" bestFit="1" customWidth="1"/>
    <col min="2566" max="2816" width="9.140625" style="28"/>
    <col min="2817" max="2817" width="6.28515625" style="28" bestFit="1" customWidth="1"/>
    <col min="2818" max="2818" width="10.28515625" style="28" bestFit="1" customWidth="1"/>
    <col min="2819" max="2819" width="14.42578125" style="28" bestFit="1" customWidth="1"/>
    <col min="2820" max="2820" width="9.7109375" style="28" bestFit="1" customWidth="1"/>
    <col min="2821" max="2821" width="13.7109375" style="28" bestFit="1" customWidth="1"/>
    <col min="2822" max="3072" width="9.140625" style="28"/>
    <col min="3073" max="3073" width="6.28515625" style="28" bestFit="1" customWidth="1"/>
    <col min="3074" max="3074" width="10.28515625" style="28" bestFit="1" customWidth="1"/>
    <col min="3075" max="3075" width="14.42578125" style="28" bestFit="1" customWidth="1"/>
    <col min="3076" max="3076" width="9.7109375" style="28" bestFit="1" customWidth="1"/>
    <col min="3077" max="3077" width="13.7109375" style="28" bestFit="1" customWidth="1"/>
    <col min="3078" max="3328" width="9.140625" style="28"/>
    <col min="3329" max="3329" width="6.28515625" style="28" bestFit="1" customWidth="1"/>
    <col min="3330" max="3330" width="10.28515625" style="28" bestFit="1" customWidth="1"/>
    <col min="3331" max="3331" width="14.42578125" style="28" bestFit="1" customWidth="1"/>
    <col min="3332" max="3332" width="9.7109375" style="28" bestFit="1" customWidth="1"/>
    <col min="3333" max="3333" width="13.7109375" style="28" bestFit="1" customWidth="1"/>
    <col min="3334" max="3584" width="9.140625" style="28"/>
    <col min="3585" max="3585" width="6.28515625" style="28" bestFit="1" customWidth="1"/>
    <col min="3586" max="3586" width="10.28515625" style="28" bestFit="1" customWidth="1"/>
    <col min="3587" max="3587" width="14.42578125" style="28" bestFit="1" customWidth="1"/>
    <col min="3588" max="3588" width="9.7109375" style="28" bestFit="1" customWidth="1"/>
    <col min="3589" max="3589" width="13.7109375" style="28" bestFit="1" customWidth="1"/>
    <col min="3590" max="3840" width="9.140625" style="28"/>
    <col min="3841" max="3841" width="6.28515625" style="28" bestFit="1" customWidth="1"/>
    <col min="3842" max="3842" width="10.28515625" style="28" bestFit="1" customWidth="1"/>
    <col min="3843" max="3843" width="14.42578125" style="28" bestFit="1" customWidth="1"/>
    <col min="3844" max="3844" width="9.7109375" style="28" bestFit="1" customWidth="1"/>
    <col min="3845" max="3845" width="13.7109375" style="28" bestFit="1" customWidth="1"/>
    <col min="3846" max="4096" width="9.140625" style="28"/>
    <col min="4097" max="4097" width="6.28515625" style="28" bestFit="1" customWidth="1"/>
    <col min="4098" max="4098" width="10.28515625" style="28" bestFit="1" customWidth="1"/>
    <col min="4099" max="4099" width="14.42578125" style="28" bestFit="1" customWidth="1"/>
    <col min="4100" max="4100" width="9.7109375" style="28" bestFit="1" customWidth="1"/>
    <col min="4101" max="4101" width="13.7109375" style="28" bestFit="1" customWidth="1"/>
    <col min="4102" max="4352" width="9.140625" style="28"/>
    <col min="4353" max="4353" width="6.28515625" style="28" bestFit="1" customWidth="1"/>
    <col min="4354" max="4354" width="10.28515625" style="28" bestFit="1" customWidth="1"/>
    <col min="4355" max="4355" width="14.42578125" style="28" bestFit="1" customWidth="1"/>
    <col min="4356" max="4356" width="9.7109375" style="28" bestFit="1" customWidth="1"/>
    <col min="4357" max="4357" width="13.7109375" style="28" bestFit="1" customWidth="1"/>
    <col min="4358" max="4608" width="9.140625" style="28"/>
    <col min="4609" max="4609" width="6.28515625" style="28" bestFit="1" customWidth="1"/>
    <col min="4610" max="4610" width="10.28515625" style="28" bestFit="1" customWidth="1"/>
    <col min="4611" max="4611" width="14.42578125" style="28" bestFit="1" customWidth="1"/>
    <col min="4612" max="4612" width="9.7109375" style="28" bestFit="1" customWidth="1"/>
    <col min="4613" max="4613" width="13.7109375" style="28" bestFit="1" customWidth="1"/>
    <col min="4614" max="4864" width="9.140625" style="28"/>
    <col min="4865" max="4865" width="6.28515625" style="28" bestFit="1" customWidth="1"/>
    <col min="4866" max="4866" width="10.28515625" style="28" bestFit="1" customWidth="1"/>
    <col min="4867" max="4867" width="14.42578125" style="28" bestFit="1" customWidth="1"/>
    <col min="4868" max="4868" width="9.7109375" style="28" bestFit="1" customWidth="1"/>
    <col min="4869" max="4869" width="13.7109375" style="28" bestFit="1" customWidth="1"/>
    <col min="4870" max="5120" width="9.140625" style="28"/>
    <col min="5121" max="5121" width="6.28515625" style="28" bestFit="1" customWidth="1"/>
    <col min="5122" max="5122" width="10.28515625" style="28" bestFit="1" customWidth="1"/>
    <col min="5123" max="5123" width="14.42578125" style="28" bestFit="1" customWidth="1"/>
    <col min="5124" max="5124" width="9.7109375" style="28" bestFit="1" customWidth="1"/>
    <col min="5125" max="5125" width="13.7109375" style="28" bestFit="1" customWidth="1"/>
    <col min="5126" max="5376" width="9.140625" style="28"/>
    <col min="5377" max="5377" width="6.28515625" style="28" bestFit="1" customWidth="1"/>
    <col min="5378" max="5378" width="10.28515625" style="28" bestFit="1" customWidth="1"/>
    <col min="5379" max="5379" width="14.42578125" style="28" bestFit="1" customWidth="1"/>
    <col min="5380" max="5380" width="9.7109375" style="28" bestFit="1" customWidth="1"/>
    <col min="5381" max="5381" width="13.7109375" style="28" bestFit="1" customWidth="1"/>
    <col min="5382" max="5632" width="9.140625" style="28"/>
    <col min="5633" max="5633" width="6.28515625" style="28" bestFit="1" customWidth="1"/>
    <col min="5634" max="5634" width="10.28515625" style="28" bestFit="1" customWidth="1"/>
    <col min="5635" max="5635" width="14.42578125" style="28" bestFit="1" customWidth="1"/>
    <col min="5636" max="5636" width="9.7109375" style="28" bestFit="1" customWidth="1"/>
    <col min="5637" max="5637" width="13.7109375" style="28" bestFit="1" customWidth="1"/>
    <col min="5638" max="5888" width="9.140625" style="28"/>
    <col min="5889" max="5889" width="6.28515625" style="28" bestFit="1" customWidth="1"/>
    <col min="5890" max="5890" width="10.28515625" style="28" bestFit="1" customWidth="1"/>
    <col min="5891" max="5891" width="14.42578125" style="28" bestFit="1" customWidth="1"/>
    <col min="5892" max="5892" width="9.7109375" style="28" bestFit="1" customWidth="1"/>
    <col min="5893" max="5893" width="13.7109375" style="28" bestFit="1" customWidth="1"/>
    <col min="5894" max="6144" width="9.140625" style="28"/>
    <col min="6145" max="6145" width="6.28515625" style="28" bestFit="1" customWidth="1"/>
    <col min="6146" max="6146" width="10.28515625" style="28" bestFit="1" customWidth="1"/>
    <col min="6147" max="6147" width="14.42578125" style="28" bestFit="1" customWidth="1"/>
    <col min="6148" max="6148" width="9.7109375" style="28" bestFit="1" customWidth="1"/>
    <col min="6149" max="6149" width="13.7109375" style="28" bestFit="1" customWidth="1"/>
    <col min="6150" max="6400" width="9.140625" style="28"/>
    <col min="6401" max="6401" width="6.28515625" style="28" bestFit="1" customWidth="1"/>
    <col min="6402" max="6402" width="10.28515625" style="28" bestFit="1" customWidth="1"/>
    <col min="6403" max="6403" width="14.42578125" style="28" bestFit="1" customWidth="1"/>
    <col min="6404" max="6404" width="9.7109375" style="28" bestFit="1" customWidth="1"/>
    <col min="6405" max="6405" width="13.7109375" style="28" bestFit="1" customWidth="1"/>
    <col min="6406" max="6656" width="9.140625" style="28"/>
    <col min="6657" max="6657" width="6.28515625" style="28" bestFit="1" customWidth="1"/>
    <col min="6658" max="6658" width="10.28515625" style="28" bestFit="1" customWidth="1"/>
    <col min="6659" max="6659" width="14.42578125" style="28" bestFit="1" customWidth="1"/>
    <col min="6660" max="6660" width="9.7109375" style="28" bestFit="1" customWidth="1"/>
    <col min="6661" max="6661" width="13.7109375" style="28" bestFit="1" customWidth="1"/>
    <col min="6662" max="6912" width="9.140625" style="28"/>
    <col min="6913" max="6913" width="6.28515625" style="28" bestFit="1" customWidth="1"/>
    <col min="6914" max="6914" width="10.28515625" style="28" bestFit="1" customWidth="1"/>
    <col min="6915" max="6915" width="14.42578125" style="28" bestFit="1" customWidth="1"/>
    <col min="6916" max="6916" width="9.7109375" style="28" bestFit="1" customWidth="1"/>
    <col min="6917" max="6917" width="13.7109375" style="28" bestFit="1" customWidth="1"/>
    <col min="6918" max="7168" width="9.140625" style="28"/>
    <col min="7169" max="7169" width="6.28515625" style="28" bestFit="1" customWidth="1"/>
    <col min="7170" max="7170" width="10.28515625" style="28" bestFit="1" customWidth="1"/>
    <col min="7171" max="7171" width="14.42578125" style="28" bestFit="1" customWidth="1"/>
    <col min="7172" max="7172" width="9.7109375" style="28" bestFit="1" customWidth="1"/>
    <col min="7173" max="7173" width="13.7109375" style="28" bestFit="1" customWidth="1"/>
    <col min="7174" max="7424" width="9.140625" style="28"/>
    <col min="7425" max="7425" width="6.28515625" style="28" bestFit="1" customWidth="1"/>
    <col min="7426" max="7426" width="10.28515625" style="28" bestFit="1" customWidth="1"/>
    <col min="7427" max="7427" width="14.42578125" style="28" bestFit="1" customWidth="1"/>
    <col min="7428" max="7428" width="9.7109375" style="28" bestFit="1" customWidth="1"/>
    <col min="7429" max="7429" width="13.7109375" style="28" bestFit="1" customWidth="1"/>
    <col min="7430" max="7680" width="9.140625" style="28"/>
    <col min="7681" max="7681" width="6.28515625" style="28" bestFit="1" customWidth="1"/>
    <col min="7682" max="7682" width="10.28515625" style="28" bestFit="1" customWidth="1"/>
    <col min="7683" max="7683" width="14.42578125" style="28" bestFit="1" customWidth="1"/>
    <col min="7684" max="7684" width="9.7109375" style="28" bestFit="1" customWidth="1"/>
    <col min="7685" max="7685" width="13.7109375" style="28" bestFit="1" customWidth="1"/>
    <col min="7686" max="7936" width="9.140625" style="28"/>
    <col min="7937" max="7937" width="6.28515625" style="28" bestFit="1" customWidth="1"/>
    <col min="7938" max="7938" width="10.28515625" style="28" bestFit="1" customWidth="1"/>
    <col min="7939" max="7939" width="14.42578125" style="28" bestFit="1" customWidth="1"/>
    <col min="7940" max="7940" width="9.7109375" style="28" bestFit="1" customWidth="1"/>
    <col min="7941" max="7941" width="13.7109375" style="28" bestFit="1" customWidth="1"/>
    <col min="7942" max="8192" width="9.140625" style="28"/>
    <col min="8193" max="8193" width="6.28515625" style="28" bestFit="1" customWidth="1"/>
    <col min="8194" max="8194" width="10.28515625" style="28" bestFit="1" customWidth="1"/>
    <col min="8195" max="8195" width="14.42578125" style="28" bestFit="1" customWidth="1"/>
    <col min="8196" max="8196" width="9.7109375" style="28" bestFit="1" customWidth="1"/>
    <col min="8197" max="8197" width="13.7109375" style="28" bestFit="1" customWidth="1"/>
    <col min="8198" max="8448" width="9.140625" style="28"/>
    <col min="8449" max="8449" width="6.28515625" style="28" bestFit="1" customWidth="1"/>
    <col min="8450" max="8450" width="10.28515625" style="28" bestFit="1" customWidth="1"/>
    <col min="8451" max="8451" width="14.42578125" style="28" bestFit="1" customWidth="1"/>
    <col min="8452" max="8452" width="9.7109375" style="28" bestFit="1" customWidth="1"/>
    <col min="8453" max="8453" width="13.7109375" style="28" bestFit="1" customWidth="1"/>
    <col min="8454" max="8704" width="9.140625" style="28"/>
    <col min="8705" max="8705" width="6.28515625" style="28" bestFit="1" customWidth="1"/>
    <col min="8706" max="8706" width="10.28515625" style="28" bestFit="1" customWidth="1"/>
    <col min="8707" max="8707" width="14.42578125" style="28" bestFit="1" customWidth="1"/>
    <col min="8708" max="8708" width="9.7109375" style="28" bestFit="1" customWidth="1"/>
    <col min="8709" max="8709" width="13.7109375" style="28" bestFit="1" customWidth="1"/>
    <col min="8710" max="8960" width="9.140625" style="28"/>
    <col min="8961" max="8961" width="6.28515625" style="28" bestFit="1" customWidth="1"/>
    <col min="8962" max="8962" width="10.28515625" style="28" bestFit="1" customWidth="1"/>
    <col min="8963" max="8963" width="14.42578125" style="28" bestFit="1" customWidth="1"/>
    <col min="8964" max="8964" width="9.7109375" style="28" bestFit="1" customWidth="1"/>
    <col min="8965" max="8965" width="13.7109375" style="28" bestFit="1" customWidth="1"/>
    <col min="8966" max="9216" width="9.140625" style="28"/>
    <col min="9217" max="9217" width="6.28515625" style="28" bestFit="1" customWidth="1"/>
    <col min="9218" max="9218" width="10.28515625" style="28" bestFit="1" customWidth="1"/>
    <col min="9219" max="9219" width="14.42578125" style="28" bestFit="1" customWidth="1"/>
    <col min="9220" max="9220" width="9.7109375" style="28" bestFit="1" customWidth="1"/>
    <col min="9221" max="9221" width="13.7109375" style="28" bestFit="1" customWidth="1"/>
    <col min="9222" max="9472" width="9.140625" style="28"/>
    <col min="9473" max="9473" width="6.28515625" style="28" bestFit="1" customWidth="1"/>
    <col min="9474" max="9474" width="10.28515625" style="28" bestFit="1" customWidth="1"/>
    <col min="9475" max="9475" width="14.42578125" style="28" bestFit="1" customWidth="1"/>
    <col min="9476" max="9476" width="9.7109375" style="28" bestFit="1" customWidth="1"/>
    <col min="9477" max="9477" width="13.7109375" style="28" bestFit="1" customWidth="1"/>
    <col min="9478" max="9728" width="9.140625" style="28"/>
    <col min="9729" max="9729" width="6.28515625" style="28" bestFit="1" customWidth="1"/>
    <col min="9730" max="9730" width="10.28515625" style="28" bestFit="1" customWidth="1"/>
    <col min="9731" max="9731" width="14.42578125" style="28" bestFit="1" customWidth="1"/>
    <col min="9732" max="9732" width="9.7109375" style="28" bestFit="1" customWidth="1"/>
    <col min="9733" max="9733" width="13.7109375" style="28" bestFit="1" customWidth="1"/>
    <col min="9734" max="9984" width="9.140625" style="28"/>
    <col min="9985" max="9985" width="6.28515625" style="28" bestFit="1" customWidth="1"/>
    <col min="9986" max="9986" width="10.28515625" style="28" bestFit="1" customWidth="1"/>
    <col min="9987" max="9987" width="14.42578125" style="28" bestFit="1" customWidth="1"/>
    <col min="9988" max="9988" width="9.7109375" style="28" bestFit="1" customWidth="1"/>
    <col min="9989" max="9989" width="13.7109375" style="28" bestFit="1" customWidth="1"/>
    <col min="9990" max="10240" width="9.140625" style="28"/>
    <col min="10241" max="10241" width="6.28515625" style="28" bestFit="1" customWidth="1"/>
    <col min="10242" max="10242" width="10.28515625" style="28" bestFit="1" customWidth="1"/>
    <col min="10243" max="10243" width="14.42578125" style="28" bestFit="1" customWidth="1"/>
    <col min="10244" max="10244" width="9.7109375" style="28" bestFit="1" customWidth="1"/>
    <col min="10245" max="10245" width="13.7109375" style="28" bestFit="1" customWidth="1"/>
    <col min="10246" max="10496" width="9.140625" style="28"/>
    <col min="10497" max="10497" width="6.28515625" style="28" bestFit="1" customWidth="1"/>
    <col min="10498" max="10498" width="10.28515625" style="28" bestFit="1" customWidth="1"/>
    <col min="10499" max="10499" width="14.42578125" style="28" bestFit="1" customWidth="1"/>
    <col min="10500" max="10500" width="9.7109375" style="28" bestFit="1" customWidth="1"/>
    <col min="10501" max="10501" width="13.7109375" style="28" bestFit="1" customWidth="1"/>
    <col min="10502" max="10752" width="9.140625" style="28"/>
    <col min="10753" max="10753" width="6.28515625" style="28" bestFit="1" customWidth="1"/>
    <col min="10754" max="10754" width="10.28515625" style="28" bestFit="1" customWidth="1"/>
    <col min="10755" max="10755" width="14.42578125" style="28" bestFit="1" customWidth="1"/>
    <col min="10756" max="10756" width="9.7109375" style="28" bestFit="1" customWidth="1"/>
    <col min="10757" max="10757" width="13.7109375" style="28" bestFit="1" customWidth="1"/>
    <col min="10758" max="11008" width="9.140625" style="28"/>
    <col min="11009" max="11009" width="6.28515625" style="28" bestFit="1" customWidth="1"/>
    <col min="11010" max="11010" width="10.28515625" style="28" bestFit="1" customWidth="1"/>
    <col min="11011" max="11011" width="14.42578125" style="28" bestFit="1" customWidth="1"/>
    <col min="11012" max="11012" width="9.7109375" style="28" bestFit="1" customWidth="1"/>
    <col min="11013" max="11013" width="13.7109375" style="28" bestFit="1" customWidth="1"/>
    <col min="11014" max="11264" width="9.140625" style="28"/>
    <col min="11265" max="11265" width="6.28515625" style="28" bestFit="1" customWidth="1"/>
    <col min="11266" max="11266" width="10.28515625" style="28" bestFit="1" customWidth="1"/>
    <col min="11267" max="11267" width="14.42578125" style="28" bestFit="1" customWidth="1"/>
    <col min="11268" max="11268" width="9.7109375" style="28" bestFit="1" customWidth="1"/>
    <col min="11269" max="11269" width="13.7109375" style="28" bestFit="1" customWidth="1"/>
    <col min="11270" max="11520" width="9.140625" style="28"/>
    <col min="11521" max="11521" width="6.28515625" style="28" bestFit="1" customWidth="1"/>
    <col min="11522" max="11522" width="10.28515625" style="28" bestFit="1" customWidth="1"/>
    <col min="11523" max="11523" width="14.42578125" style="28" bestFit="1" customWidth="1"/>
    <col min="11524" max="11524" width="9.7109375" style="28" bestFit="1" customWidth="1"/>
    <col min="11525" max="11525" width="13.7109375" style="28" bestFit="1" customWidth="1"/>
    <col min="11526" max="11776" width="9.140625" style="28"/>
    <col min="11777" max="11777" width="6.28515625" style="28" bestFit="1" customWidth="1"/>
    <col min="11778" max="11778" width="10.28515625" style="28" bestFit="1" customWidth="1"/>
    <col min="11779" max="11779" width="14.42578125" style="28" bestFit="1" customWidth="1"/>
    <col min="11780" max="11780" width="9.7109375" style="28" bestFit="1" customWidth="1"/>
    <col min="11781" max="11781" width="13.7109375" style="28" bestFit="1" customWidth="1"/>
    <col min="11782" max="12032" width="9.140625" style="28"/>
    <col min="12033" max="12033" width="6.28515625" style="28" bestFit="1" customWidth="1"/>
    <col min="12034" max="12034" width="10.28515625" style="28" bestFit="1" customWidth="1"/>
    <col min="12035" max="12035" width="14.42578125" style="28" bestFit="1" customWidth="1"/>
    <col min="12036" max="12036" width="9.7109375" style="28" bestFit="1" customWidth="1"/>
    <col min="12037" max="12037" width="13.7109375" style="28" bestFit="1" customWidth="1"/>
    <col min="12038" max="12288" width="9.140625" style="28"/>
    <col min="12289" max="12289" width="6.28515625" style="28" bestFit="1" customWidth="1"/>
    <col min="12290" max="12290" width="10.28515625" style="28" bestFit="1" customWidth="1"/>
    <col min="12291" max="12291" width="14.42578125" style="28" bestFit="1" customWidth="1"/>
    <col min="12292" max="12292" width="9.7109375" style="28" bestFit="1" customWidth="1"/>
    <col min="12293" max="12293" width="13.7109375" style="28" bestFit="1" customWidth="1"/>
    <col min="12294" max="12544" width="9.140625" style="28"/>
    <col min="12545" max="12545" width="6.28515625" style="28" bestFit="1" customWidth="1"/>
    <col min="12546" max="12546" width="10.28515625" style="28" bestFit="1" customWidth="1"/>
    <col min="12547" max="12547" width="14.42578125" style="28" bestFit="1" customWidth="1"/>
    <col min="12548" max="12548" width="9.7109375" style="28" bestFit="1" customWidth="1"/>
    <col min="12549" max="12549" width="13.7109375" style="28" bestFit="1" customWidth="1"/>
    <col min="12550" max="12800" width="9.140625" style="28"/>
    <col min="12801" max="12801" width="6.28515625" style="28" bestFit="1" customWidth="1"/>
    <col min="12802" max="12802" width="10.28515625" style="28" bestFit="1" customWidth="1"/>
    <col min="12803" max="12803" width="14.42578125" style="28" bestFit="1" customWidth="1"/>
    <col min="12804" max="12804" width="9.7109375" style="28" bestFit="1" customWidth="1"/>
    <col min="12805" max="12805" width="13.7109375" style="28" bestFit="1" customWidth="1"/>
    <col min="12806" max="13056" width="9.140625" style="28"/>
    <col min="13057" max="13057" width="6.28515625" style="28" bestFit="1" customWidth="1"/>
    <col min="13058" max="13058" width="10.28515625" style="28" bestFit="1" customWidth="1"/>
    <col min="13059" max="13059" width="14.42578125" style="28" bestFit="1" customWidth="1"/>
    <col min="13060" max="13060" width="9.7109375" style="28" bestFit="1" customWidth="1"/>
    <col min="13061" max="13061" width="13.7109375" style="28" bestFit="1" customWidth="1"/>
    <col min="13062" max="13312" width="9.140625" style="28"/>
    <col min="13313" max="13313" width="6.28515625" style="28" bestFit="1" customWidth="1"/>
    <col min="13314" max="13314" width="10.28515625" style="28" bestFit="1" customWidth="1"/>
    <col min="13315" max="13315" width="14.42578125" style="28" bestFit="1" customWidth="1"/>
    <col min="13316" max="13316" width="9.7109375" style="28" bestFit="1" customWidth="1"/>
    <col min="13317" max="13317" width="13.7109375" style="28" bestFit="1" customWidth="1"/>
    <col min="13318" max="13568" width="9.140625" style="28"/>
    <col min="13569" max="13569" width="6.28515625" style="28" bestFit="1" customWidth="1"/>
    <col min="13570" max="13570" width="10.28515625" style="28" bestFit="1" customWidth="1"/>
    <col min="13571" max="13571" width="14.42578125" style="28" bestFit="1" customWidth="1"/>
    <col min="13572" max="13572" width="9.7109375" style="28" bestFit="1" customWidth="1"/>
    <col min="13573" max="13573" width="13.7109375" style="28" bestFit="1" customWidth="1"/>
    <col min="13574" max="13824" width="9.140625" style="28"/>
    <col min="13825" max="13825" width="6.28515625" style="28" bestFit="1" customWidth="1"/>
    <col min="13826" max="13826" width="10.28515625" style="28" bestFit="1" customWidth="1"/>
    <col min="13827" max="13827" width="14.42578125" style="28" bestFit="1" customWidth="1"/>
    <col min="13828" max="13828" width="9.7109375" style="28" bestFit="1" customWidth="1"/>
    <col min="13829" max="13829" width="13.7109375" style="28" bestFit="1" customWidth="1"/>
    <col min="13830" max="14080" width="9.140625" style="28"/>
    <col min="14081" max="14081" width="6.28515625" style="28" bestFit="1" customWidth="1"/>
    <col min="14082" max="14082" width="10.28515625" style="28" bestFit="1" customWidth="1"/>
    <col min="14083" max="14083" width="14.42578125" style="28" bestFit="1" customWidth="1"/>
    <col min="14084" max="14084" width="9.7109375" style="28" bestFit="1" customWidth="1"/>
    <col min="14085" max="14085" width="13.7109375" style="28" bestFit="1" customWidth="1"/>
    <col min="14086" max="14336" width="9.140625" style="28"/>
    <col min="14337" max="14337" width="6.28515625" style="28" bestFit="1" customWidth="1"/>
    <col min="14338" max="14338" width="10.28515625" style="28" bestFit="1" customWidth="1"/>
    <col min="14339" max="14339" width="14.42578125" style="28" bestFit="1" customWidth="1"/>
    <col min="14340" max="14340" width="9.7109375" style="28" bestFit="1" customWidth="1"/>
    <col min="14341" max="14341" width="13.7109375" style="28" bestFit="1" customWidth="1"/>
    <col min="14342" max="14592" width="9.140625" style="28"/>
    <col min="14593" max="14593" width="6.28515625" style="28" bestFit="1" customWidth="1"/>
    <col min="14594" max="14594" width="10.28515625" style="28" bestFit="1" customWidth="1"/>
    <col min="14595" max="14595" width="14.42578125" style="28" bestFit="1" customWidth="1"/>
    <col min="14596" max="14596" width="9.7109375" style="28" bestFit="1" customWidth="1"/>
    <col min="14597" max="14597" width="13.7109375" style="28" bestFit="1" customWidth="1"/>
    <col min="14598" max="14848" width="9.140625" style="28"/>
    <col min="14849" max="14849" width="6.28515625" style="28" bestFit="1" customWidth="1"/>
    <col min="14850" max="14850" width="10.28515625" style="28" bestFit="1" customWidth="1"/>
    <col min="14851" max="14851" width="14.42578125" style="28" bestFit="1" customWidth="1"/>
    <col min="14852" max="14852" width="9.7109375" style="28" bestFit="1" customWidth="1"/>
    <col min="14853" max="14853" width="13.7109375" style="28" bestFit="1" customWidth="1"/>
    <col min="14854" max="15104" width="9.140625" style="28"/>
    <col min="15105" max="15105" width="6.28515625" style="28" bestFit="1" customWidth="1"/>
    <col min="15106" max="15106" width="10.28515625" style="28" bestFit="1" customWidth="1"/>
    <col min="15107" max="15107" width="14.42578125" style="28" bestFit="1" customWidth="1"/>
    <col min="15108" max="15108" width="9.7109375" style="28" bestFit="1" customWidth="1"/>
    <col min="15109" max="15109" width="13.7109375" style="28" bestFit="1" customWidth="1"/>
    <col min="15110" max="15360" width="9.140625" style="28"/>
    <col min="15361" max="15361" width="6.28515625" style="28" bestFit="1" customWidth="1"/>
    <col min="15362" max="15362" width="10.28515625" style="28" bestFit="1" customWidth="1"/>
    <col min="15363" max="15363" width="14.42578125" style="28" bestFit="1" customWidth="1"/>
    <col min="15364" max="15364" width="9.7109375" style="28" bestFit="1" customWidth="1"/>
    <col min="15365" max="15365" width="13.7109375" style="28" bestFit="1" customWidth="1"/>
    <col min="15366" max="15616" width="9.140625" style="28"/>
    <col min="15617" max="15617" width="6.28515625" style="28" bestFit="1" customWidth="1"/>
    <col min="15618" max="15618" width="10.28515625" style="28" bestFit="1" customWidth="1"/>
    <col min="15619" max="15619" width="14.42578125" style="28" bestFit="1" customWidth="1"/>
    <col min="15620" max="15620" width="9.7109375" style="28" bestFit="1" customWidth="1"/>
    <col min="15621" max="15621" width="13.7109375" style="28" bestFit="1" customWidth="1"/>
    <col min="15622" max="15872" width="9.140625" style="28"/>
    <col min="15873" max="15873" width="6.28515625" style="28" bestFit="1" customWidth="1"/>
    <col min="15874" max="15874" width="10.28515625" style="28" bestFit="1" customWidth="1"/>
    <col min="15875" max="15875" width="14.42578125" style="28" bestFit="1" customWidth="1"/>
    <col min="15876" max="15876" width="9.7109375" style="28" bestFit="1" customWidth="1"/>
    <col min="15877" max="15877" width="13.7109375" style="28" bestFit="1" customWidth="1"/>
    <col min="15878" max="16128" width="9.140625" style="28"/>
    <col min="16129" max="16129" width="6.28515625" style="28" bestFit="1" customWidth="1"/>
    <col min="16130" max="16130" width="10.28515625" style="28" bestFit="1" customWidth="1"/>
    <col min="16131" max="16131" width="14.42578125" style="28" bestFit="1" customWidth="1"/>
    <col min="16132" max="16132" width="9.7109375" style="28" bestFit="1" customWidth="1"/>
    <col min="16133" max="16133" width="13.7109375" style="28" bestFit="1" customWidth="1"/>
    <col min="16134" max="16384" width="9.140625" style="28"/>
  </cols>
  <sheetData>
    <row r="1" spans="1:223" x14ac:dyDescent="0.2">
      <c r="A1" s="27" t="s">
        <v>12</v>
      </c>
      <c r="B1" s="27" t="s">
        <v>11</v>
      </c>
      <c r="C1" s="27" t="s">
        <v>87</v>
      </c>
      <c r="D1" s="27" t="s">
        <v>88</v>
      </c>
      <c r="E1" s="27" t="s">
        <v>89</v>
      </c>
    </row>
    <row r="2" spans="1:223" ht="15" x14ac:dyDescent="0.25">
      <c r="A2" s="28" t="s">
        <v>22</v>
      </c>
      <c r="B2" s="28" t="s">
        <v>90</v>
      </c>
      <c r="C2" s="29">
        <v>349.06</v>
      </c>
      <c r="D2" s="109">
        <v>2010011</v>
      </c>
      <c r="E2" s="30">
        <v>40188</v>
      </c>
    </row>
    <row r="3" spans="1:223" ht="15" x14ac:dyDescent="0.25">
      <c r="A3" s="28" t="s">
        <v>22</v>
      </c>
      <c r="B3" s="28" t="s">
        <v>90</v>
      </c>
      <c r="C3" s="29">
        <v>219.09</v>
      </c>
      <c r="D3" s="109">
        <v>2010207</v>
      </c>
      <c r="E3" s="30">
        <v>40352</v>
      </c>
      <c r="G3" s="11" t="s">
        <v>97</v>
      </c>
      <c r="H3" s="11" t="s">
        <v>98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28" t="s">
        <v>20</v>
      </c>
      <c r="B4" s="28" t="s">
        <v>91</v>
      </c>
      <c r="C4" s="29">
        <v>618.63</v>
      </c>
      <c r="D4" s="109">
        <v>2010021</v>
      </c>
      <c r="E4" s="30">
        <v>40195</v>
      </c>
      <c r="G4" s="11" t="s">
        <v>86</v>
      </c>
      <c r="H4" s="32" t="s">
        <v>99</v>
      </c>
      <c r="I4" s="32" t="s">
        <v>100</v>
      </c>
      <c r="J4" s="32" t="s">
        <v>101</v>
      </c>
      <c r="K4" s="32" t="s">
        <v>102</v>
      </c>
      <c r="L4" s="32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28" t="s">
        <v>20</v>
      </c>
      <c r="B5" s="28" t="s">
        <v>91</v>
      </c>
      <c r="C5" s="29">
        <v>498.14</v>
      </c>
      <c r="D5" s="109">
        <v>2010110</v>
      </c>
      <c r="E5" s="30">
        <v>40269</v>
      </c>
      <c r="G5" s="3" t="s">
        <v>91</v>
      </c>
      <c r="H5" s="31">
        <v>13039.609999999999</v>
      </c>
      <c r="I5" s="31">
        <v>15467.28</v>
      </c>
      <c r="J5" s="31">
        <v>8164.35</v>
      </c>
      <c r="K5" s="31">
        <v>13057.6</v>
      </c>
      <c r="L5" s="31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28" t="s">
        <v>20</v>
      </c>
      <c r="B6" s="28" t="s">
        <v>92</v>
      </c>
      <c r="C6" s="29">
        <v>898.52</v>
      </c>
      <c r="D6" s="109">
        <v>2010191</v>
      </c>
      <c r="E6" s="30">
        <v>40339</v>
      </c>
      <c r="G6" s="3" t="s">
        <v>92</v>
      </c>
      <c r="H6" s="31">
        <v>6796.0099999999993</v>
      </c>
      <c r="I6" s="31">
        <v>7604.81</v>
      </c>
      <c r="J6" s="31">
        <v>7223.33</v>
      </c>
      <c r="K6" s="31">
        <v>10236.290000000003</v>
      </c>
      <c r="L6" s="31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28" t="s">
        <v>20</v>
      </c>
      <c r="B7" s="28" t="s">
        <v>63</v>
      </c>
      <c r="C7" s="29">
        <v>1151.55</v>
      </c>
      <c r="D7" s="109">
        <v>2010366</v>
      </c>
      <c r="E7" s="30">
        <v>40513</v>
      </c>
      <c r="G7" s="3" t="s">
        <v>90</v>
      </c>
      <c r="H7" s="31">
        <v>3063.7400000000002</v>
      </c>
      <c r="I7" s="31">
        <v>1194.76</v>
      </c>
      <c r="J7" s="31">
        <v>4826.0000000000009</v>
      </c>
      <c r="K7" s="31">
        <v>872.66</v>
      </c>
      <c r="L7" s="31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28" t="s">
        <v>20</v>
      </c>
      <c r="B8" s="28" t="s">
        <v>63</v>
      </c>
      <c r="C8" s="29">
        <v>310.24</v>
      </c>
      <c r="D8" s="109">
        <v>2010056</v>
      </c>
      <c r="E8" s="30">
        <v>40220</v>
      </c>
      <c r="G8" s="3" t="s">
        <v>62</v>
      </c>
      <c r="H8" s="31">
        <v>3001.23</v>
      </c>
      <c r="I8" s="31">
        <v>9645.5</v>
      </c>
      <c r="J8" s="31">
        <v>8654.5399999999991</v>
      </c>
      <c r="K8" s="31">
        <v>2599.89</v>
      </c>
      <c r="L8" s="31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28" t="s">
        <v>22</v>
      </c>
      <c r="B9" s="28" t="s">
        <v>93</v>
      </c>
      <c r="C9" s="29">
        <v>431.76</v>
      </c>
      <c r="D9" s="109">
        <v>2010043</v>
      </c>
      <c r="E9" s="30">
        <v>40211</v>
      </c>
      <c r="G9" s="3" t="s">
        <v>95</v>
      </c>
      <c r="H9" s="31">
        <v>7814.9100000000008</v>
      </c>
      <c r="I9" s="31">
        <v>11067.96</v>
      </c>
      <c r="J9" s="31">
        <v>7423.49</v>
      </c>
      <c r="K9" s="31">
        <v>5389.79</v>
      </c>
      <c r="L9" s="31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28" t="s">
        <v>20</v>
      </c>
      <c r="B10" s="28" t="s">
        <v>92</v>
      </c>
      <c r="C10" s="29">
        <v>234.24</v>
      </c>
      <c r="D10" s="109">
        <v>2010164</v>
      </c>
      <c r="E10" s="30">
        <v>40313</v>
      </c>
      <c r="G10" s="3" t="s">
        <v>94</v>
      </c>
      <c r="H10" s="31">
        <v>14495</v>
      </c>
      <c r="I10" s="31">
        <v>8564.69</v>
      </c>
      <c r="J10" s="31">
        <v>7820.19</v>
      </c>
      <c r="K10" s="31">
        <v>13220.33</v>
      </c>
      <c r="L10" s="31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28" t="s">
        <v>20</v>
      </c>
      <c r="B11" s="28" t="s">
        <v>63</v>
      </c>
      <c r="C11" s="29">
        <v>463.37</v>
      </c>
      <c r="D11" s="109">
        <v>2010165</v>
      </c>
      <c r="E11" s="30">
        <v>40314</v>
      </c>
      <c r="G11" s="3" t="s">
        <v>63</v>
      </c>
      <c r="H11" s="31">
        <v>8967.9</v>
      </c>
      <c r="I11" s="31">
        <v>6216.6699999999992</v>
      </c>
      <c r="J11" s="31">
        <v>6328.03</v>
      </c>
      <c r="K11" s="31">
        <v>8829.39</v>
      </c>
      <c r="L11" s="31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28" t="s">
        <v>20</v>
      </c>
      <c r="B12" s="28" t="s">
        <v>63</v>
      </c>
      <c r="C12" s="29">
        <v>1052.94</v>
      </c>
      <c r="D12" s="109">
        <v>2010109</v>
      </c>
      <c r="E12" s="30">
        <v>40268</v>
      </c>
      <c r="G12" s="3" t="s">
        <v>93</v>
      </c>
      <c r="H12" s="31">
        <v>6713.07</v>
      </c>
      <c r="I12" s="31">
        <v>3096.45</v>
      </c>
      <c r="J12" s="31">
        <v>5395.4</v>
      </c>
      <c r="K12" s="31">
        <v>2549.7800000000002</v>
      </c>
      <c r="L12" s="31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28" t="s">
        <v>20</v>
      </c>
      <c r="B13" s="28" t="s">
        <v>92</v>
      </c>
      <c r="C13" s="29">
        <v>288.57</v>
      </c>
      <c r="D13" s="109">
        <v>2010200</v>
      </c>
      <c r="E13" s="30">
        <v>40347</v>
      </c>
      <c r="G13" s="3" t="s">
        <v>96</v>
      </c>
      <c r="H13" s="31">
        <v>3272.42</v>
      </c>
      <c r="I13" s="31">
        <v>4036.12</v>
      </c>
      <c r="J13" s="31">
        <v>2382.85</v>
      </c>
      <c r="K13" s="31">
        <v>2217.63</v>
      </c>
      <c r="L13" s="31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28" t="s">
        <v>20</v>
      </c>
      <c r="B14" s="28" t="s">
        <v>94</v>
      </c>
      <c r="C14" s="29">
        <v>50.62</v>
      </c>
      <c r="D14" s="109">
        <v>2010042</v>
      </c>
      <c r="E14" s="30">
        <v>40211</v>
      </c>
      <c r="G14" s="3" t="s">
        <v>8</v>
      </c>
      <c r="H14" s="31">
        <v>67163.89</v>
      </c>
      <c r="I14" s="31">
        <v>66894.239999999991</v>
      </c>
      <c r="J14" s="31">
        <v>58218.18</v>
      </c>
      <c r="K14" s="31">
        <v>58973.36</v>
      </c>
      <c r="L14" s="31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28" t="s">
        <v>20</v>
      </c>
      <c r="B15" s="28" t="s">
        <v>95</v>
      </c>
      <c r="C15" s="29">
        <v>317.45</v>
      </c>
      <c r="D15" s="109">
        <v>2010085</v>
      </c>
      <c r="E15" s="30">
        <v>40246</v>
      </c>
      <c r="G15"/>
      <c r="H15"/>
      <c r="I15"/>
    </row>
    <row r="16" spans="1:223" ht="15" x14ac:dyDescent="0.25">
      <c r="A16" s="28" t="s">
        <v>20</v>
      </c>
      <c r="B16" s="28" t="s">
        <v>94</v>
      </c>
      <c r="C16" s="29">
        <v>398.5</v>
      </c>
      <c r="D16" s="109">
        <v>2010008</v>
      </c>
      <c r="E16" s="30">
        <v>40186</v>
      </c>
      <c r="G16"/>
      <c r="H16"/>
      <c r="I16"/>
    </row>
    <row r="17" spans="1:9" ht="15" x14ac:dyDescent="0.25">
      <c r="A17" s="28" t="s">
        <v>20</v>
      </c>
      <c r="B17" s="28" t="s">
        <v>94</v>
      </c>
      <c r="C17" s="29">
        <v>688.01</v>
      </c>
      <c r="D17" s="109">
        <v>2010374</v>
      </c>
      <c r="E17" s="30">
        <v>40520</v>
      </c>
      <c r="G17"/>
      <c r="H17"/>
      <c r="I17"/>
    </row>
    <row r="18" spans="1:9" ht="15" x14ac:dyDescent="0.25">
      <c r="A18" s="28" t="s">
        <v>22</v>
      </c>
      <c r="B18" s="28" t="s">
        <v>62</v>
      </c>
      <c r="C18" s="29">
        <v>80.11</v>
      </c>
      <c r="D18" s="109">
        <v>2010257</v>
      </c>
      <c r="E18" s="30">
        <v>40402</v>
      </c>
      <c r="G18"/>
      <c r="H18"/>
      <c r="I18"/>
    </row>
    <row r="19" spans="1:9" ht="15" x14ac:dyDescent="0.25">
      <c r="A19" s="28" t="s">
        <v>20</v>
      </c>
      <c r="B19" s="28" t="s">
        <v>94</v>
      </c>
      <c r="C19" s="29">
        <v>940.93</v>
      </c>
      <c r="D19" s="109">
        <v>2010099</v>
      </c>
      <c r="E19" s="30">
        <v>40256</v>
      </c>
      <c r="G19"/>
      <c r="H19"/>
      <c r="I19"/>
    </row>
    <row r="20" spans="1:9" ht="15" x14ac:dyDescent="0.25">
      <c r="A20" s="28" t="s">
        <v>20</v>
      </c>
      <c r="B20" s="28" t="s">
        <v>63</v>
      </c>
      <c r="C20" s="29">
        <v>1190.3800000000001</v>
      </c>
      <c r="D20" s="109">
        <v>2010176</v>
      </c>
      <c r="E20" s="30">
        <v>40322</v>
      </c>
      <c r="G20"/>
      <c r="H20"/>
      <c r="I20"/>
    </row>
    <row r="21" spans="1:9" ht="15" x14ac:dyDescent="0.25">
      <c r="A21" s="28" t="s">
        <v>20</v>
      </c>
      <c r="B21" s="28" t="s">
        <v>94</v>
      </c>
      <c r="C21" s="29">
        <v>1109.6600000000001</v>
      </c>
      <c r="D21" s="109">
        <v>2010127</v>
      </c>
      <c r="E21" s="30">
        <v>40281</v>
      </c>
    </row>
    <row r="22" spans="1:9" ht="15" x14ac:dyDescent="0.25">
      <c r="A22" s="28" t="s">
        <v>20</v>
      </c>
      <c r="B22" s="28" t="s">
        <v>91</v>
      </c>
      <c r="C22" s="29">
        <v>37.01</v>
      </c>
      <c r="D22" s="109">
        <v>2010278</v>
      </c>
      <c r="E22" s="30">
        <v>40422</v>
      </c>
    </row>
    <row r="23" spans="1:9" ht="15" x14ac:dyDescent="0.25">
      <c r="A23" s="28" t="s">
        <v>20</v>
      </c>
      <c r="B23" s="28" t="s">
        <v>63</v>
      </c>
      <c r="C23" s="29">
        <v>938.88</v>
      </c>
      <c r="D23" s="109">
        <v>2010055</v>
      </c>
      <c r="E23" s="30">
        <v>40220</v>
      </c>
    </row>
    <row r="24" spans="1:9" ht="15" x14ac:dyDescent="0.25">
      <c r="A24" s="28" t="s">
        <v>22</v>
      </c>
      <c r="B24" s="28" t="s">
        <v>90</v>
      </c>
      <c r="C24" s="29">
        <v>581.53</v>
      </c>
      <c r="D24" s="109">
        <v>2010260</v>
      </c>
      <c r="E24" s="30">
        <v>40405</v>
      </c>
    </row>
    <row r="25" spans="1:9" ht="15" x14ac:dyDescent="0.25">
      <c r="A25" s="28" t="s">
        <v>22</v>
      </c>
      <c r="B25" s="28" t="s">
        <v>62</v>
      </c>
      <c r="C25" s="29">
        <v>615.12</v>
      </c>
      <c r="D25" s="109">
        <v>2010204</v>
      </c>
      <c r="E25" s="30">
        <v>40351</v>
      </c>
    </row>
    <row r="26" spans="1:9" ht="15" x14ac:dyDescent="0.25">
      <c r="A26" s="28" t="s">
        <v>20</v>
      </c>
      <c r="B26" s="28" t="s">
        <v>95</v>
      </c>
      <c r="C26" s="29">
        <v>598.69000000000005</v>
      </c>
      <c r="D26" s="109">
        <v>2010295</v>
      </c>
      <c r="E26" s="30">
        <v>40441</v>
      </c>
    </row>
    <row r="27" spans="1:9" ht="15" x14ac:dyDescent="0.25">
      <c r="A27" s="28" t="s">
        <v>20</v>
      </c>
      <c r="B27" s="28" t="s">
        <v>94</v>
      </c>
      <c r="C27" s="29">
        <v>494.88</v>
      </c>
      <c r="D27" s="109">
        <v>2010285</v>
      </c>
      <c r="E27" s="30">
        <v>40430</v>
      </c>
    </row>
    <row r="28" spans="1:9" ht="15" x14ac:dyDescent="0.25">
      <c r="A28" s="28" t="s">
        <v>22</v>
      </c>
      <c r="B28" s="28" t="s">
        <v>90</v>
      </c>
      <c r="C28" s="29">
        <v>365.86</v>
      </c>
      <c r="D28" s="109">
        <v>2010290</v>
      </c>
      <c r="E28" s="30">
        <v>40435</v>
      </c>
    </row>
    <row r="29" spans="1:9" ht="15" x14ac:dyDescent="0.25">
      <c r="A29" s="28" t="s">
        <v>20</v>
      </c>
      <c r="B29" s="28" t="s">
        <v>95</v>
      </c>
      <c r="C29" s="29">
        <v>577.25</v>
      </c>
      <c r="D29" s="109">
        <v>2010134</v>
      </c>
      <c r="E29" s="30">
        <v>40288</v>
      </c>
    </row>
    <row r="30" spans="1:9" ht="15" x14ac:dyDescent="0.25">
      <c r="A30" s="28" t="s">
        <v>20</v>
      </c>
      <c r="B30" s="28" t="s">
        <v>94</v>
      </c>
      <c r="C30" s="29">
        <v>764.41</v>
      </c>
      <c r="D30" s="109">
        <v>2010206</v>
      </c>
      <c r="E30" s="30">
        <v>40352</v>
      </c>
    </row>
    <row r="31" spans="1:9" ht="15" x14ac:dyDescent="0.25">
      <c r="A31" s="28" t="s">
        <v>20</v>
      </c>
      <c r="B31" s="28" t="s">
        <v>63</v>
      </c>
      <c r="C31" s="29">
        <v>1052.28</v>
      </c>
      <c r="D31" s="109">
        <v>2010318</v>
      </c>
      <c r="E31" s="30">
        <v>40465</v>
      </c>
    </row>
    <row r="32" spans="1:9" ht="15" x14ac:dyDescent="0.25">
      <c r="A32" s="28" t="s">
        <v>20</v>
      </c>
      <c r="B32" s="28" t="s">
        <v>94</v>
      </c>
      <c r="C32" s="29">
        <v>291.17</v>
      </c>
      <c r="D32" s="109">
        <v>2010349</v>
      </c>
      <c r="E32" s="30">
        <v>40491</v>
      </c>
    </row>
    <row r="33" spans="1:5" ht="15" x14ac:dyDescent="0.25">
      <c r="A33" s="28" t="s">
        <v>20</v>
      </c>
      <c r="B33" s="28" t="s">
        <v>92</v>
      </c>
      <c r="C33" s="29">
        <v>910.3</v>
      </c>
      <c r="D33" s="109">
        <v>2010338</v>
      </c>
      <c r="E33" s="30">
        <v>40480</v>
      </c>
    </row>
    <row r="34" spans="1:5" ht="15" x14ac:dyDescent="0.25">
      <c r="A34" s="28" t="s">
        <v>22</v>
      </c>
      <c r="B34" s="28" t="s">
        <v>93</v>
      </c>
      <c r="C34" s="29">
        <v>321.14</v>
      </c>
      <c r="D34" s="109">
        <v>2010068</v>
      </c>
      <c r="E34" s="30">
        <v>40233</v>
      </c>
    </row>
    <row r="35" spans="1:5" ht="15" x14ac:dyDescent="0.25">
      <c r="A35" s="28" t="s">
        <v>20</v>
      </c>
      <c r="B35" s="28" t="s">
        <v>92</v>
      </c>
      <c r="C35" s="29">
        <v>463.67</v>
      </c>
      <c r="D35" s="109">
        <v>2010312</v>
      </c>
      <c r="E35" s="30">
        <v>40459</v>
      </c>
    </row>
    <row r="36" spans="1:5" ht="15" x14ac:dyDescent="0.25">
      <c r="A36" s="28" t="s">
        <v>22</v>
      </c>
      <c r="B36" s="28" t="s">
        <v>62</v>
      </c>
      <c r="C36" s="29">
        <v>170.38</v>
      </c>
      <c r="D36" s="109">
        <v>2010300</v>
      </c>
      <c r="E36" s="30">
        <v>40444</v>
      </c>
    </row>
    <row r="37" spans="1:5" ht="15" x14ac:dyDescent="0.25">
      <c r="A37" s="28" t="s">
        <v>22</v>
      </c>
      <c r="B37" s="28" t="s">
        <v>62</v>
      </c>
      <c r="C37" s="29">
        <v>1080.0899999999999</v>
      </c>
      <c r="D37" s="109">
        <v>2010364</v>
      </c>
      <c r="E37" s="30">
        <v>40507</v>
      </c>
    </row>
    <row r="38" spans="1:5" ht="15" x14ac:dyDescent="0.25">
      <c r="A38" s="28" t="s">
        <v>22</v>
      </c>
      <c r="B38" s="28" t="s">
        <v>62</v>
      </c>
      <c r="C38" s="29">
        <v>1160.1500000000001</v>
      </c>
      <c r="D38" s="109">
        <v>2010276</v>
      </c>
      <c r="E38" s="30">
        <v>40420</v>
      </c>
    </row>
    <row r="39" spans="1:5" ht="15" x14ac:dyDescent="0.25">
      <c r="A39" s="28" t="s">
        <v>20</v>
      </c>
      <c r="B39" s="28" t="s">
        <v>92</v>
      </c>
      <c r="C39" s="29">
        <v>1182.4000000000001</v>
      </c>
      <c r="D39" s="109">
        <v>2010219</v>
      </c>
      <c r="E39" s="30">
        <v>40364</v>
      </c>
    </row>
    <row r="40" spans="1:5" ht="15" x14ac:dyDescent="0.25">
      <c r="A40" s="28" t="s">
        <v>20</v>
      </c>
      <c r="B40" s="28" t="s">
        <v>91</v>
      </c>
      <c r="C40" s="29">
        <v>37.450000000000003</v>
      </c>
      <c r="D40" s="109">
        <v>2010325</v>
      </c>
      <c r="E40" s="30">
        <v>40470</v>
      </c>
    </row>
    <row r="41" spans="1:5" ht="15" x14ac:dyDescent="0.25">
      <c r="A41" s="28" t="s">
        <v>20</v>
      </c>
      <c r="B41" s="28" t="s">
        <v>63</v>
      </c>
      <c r="C41" s="29">
        <v>985.24</v>
      </c>
      <c r="D41" s="109">
        <v>2010378</v>
      </c>
      <c r="E41" s="30">
        <v>40527</v>
      </c>
    </row>
    <row r="42" spans="1:5" ht="15" x14ac:dyDescent="0.25">
      <c r="A42" s="28" t="s">
        <v>20</v>
      </c>
      <c r="B42" s="28" t="s">
        <v>92</v>
      </c>
      <c r="C42" s="29">
        <v>586.16999999999996</v>
      </c>
      <c r="D42" s="109">
        <v>2010273</v>
      </c>
      <c r="E42" s="30">
        <v>40419</v>
      </c>
    </row>
    <row r="43" spans="1:5" ht="15" x14ac:dyDescent="0.25">
      <c r="A43" s="28" t="s">
        <v>22</v>
      </c>
      <c r="B43" s="28" t="s">
        <v>62</v>
      </c>
      <c r="C43" s="29">
        <v>508.09</v>
      </c>
      <c r="D43" s="109">
        <v>2010004</v>
      </c>
      <c r="E43" s="30">
        <v>40184</v>
      </c>
    </row>
    <row r="44" spans="1:5" ht="15" x14ac:dyDescent="0.25">
      <c r="A44" s="28" t="s">
        <v>20</v>
      </c>
      <c r="B44" s="28" t="s">
        <v>91</v>
      </c>
      <c r="C44" s="29">
        <v>183.85</v>
      </c>
      <c r="D44" s="109">
        <v>2010057</v>
      </c>
      <c r="E44" s="30">
        <v>40220</v>
      </c>
    </row>
    <row r="45" spans="1:5" ht="15" x14ac:dyDescent="0.25">
      <c r="A45" s="28" t="s">
        <v>20</v>
      </c>
      <c r="B45" s="28" t="s">
        <v>95</v>
      </c>
      <c r="C45" s="29">
        <v>997.79</v>
      </c>
      <c r="D45" s="109">
        <v>2010314</v>
      </c>
      <c r="E45" s="30">
        <v>40462</v>
      </c>
    </row>
    <row r="46" spans="1:5" ht="15" x14ac:dyDescent="0.25">
      <c r="A46" s="28" t="s">
        <v>20</v>
      </c>
      <c r="B46" s="28" t="s">
        <v>95</v>
      </c>
      <c r="C46" s="29">
        <v>338.56</v>
      </c>
      <c r="D46" s="109">
        <v>2010186</v>
      </c>
      <c r="E46" s="30">
        <v>40332</v>
      </c>
    </row>
    <row r="47" spans="1:5" ht="15" x14ac:dyDescent="0.25">
      <c r="A47" s="28" t="s">
        <v>20</v>
      </c>
      <c r="B47" s="28" t="s">
        <v>92</v>
      </c>
      <c r="C47" s="29">
        <v>843.71</v>
      </c>
      <c r="D47" s="109">
        <v>2010329</v>
      </c>
      <c r="E47" s="30">
        <v>40472</v>
      </c>
    </row>
    <row r="48" spans="1:5" ht="15" x14ac:dyDescent="0.25">
      <c r="A48" s="28" t="s">
        <v>20</v>
      </c>
      <c r="B48" s="28" t="s">
        <v>92</v>
      </c>
      <c r="C48" s="29">
        <v>1113.06</v>
      </c>
      <c r="D48" s="109">
        <v>2010018</v>
      </c>
      <c r="E48" s="30">
        <v>40193</v>
      </c>
    </row>
    <row r="49" spans="1:5" ht="15" x14ac:dyDescent="0.25">
      <c r="A49" s="28" t="s">
        <v>20</v>
      </c>
      <c r="B49" s="28" t="s">
        <v>95</v>
      </c>
      <c r="C49" s="29">
        <v>1050.4100000000001</v>
      </c>
      <c r="D49" s="109">
        <v>2010263</v>
      </c>
      <c r="E49" s="30">
        <v>40408</v>
      </c>
    </row>
    <row r="50" spans="1:5" ht="15" x14ac:dyDescent="0.25">
      <c r="A50" s="28" t="s">
        <v>20</v>
      </c>
      <c r="B50" s="28" t="s">
        <v>94</v>
      </c>
      <c r="C50" s="29">
        <v>486.13</v>
      </c>
      <c r="D50" s="109">
        <v>2010059</v>
      </c>
      <c r="E50" s="30">
        <v>40221</v>
      </c>
    </row>
    <row r="51" spans="1:5" ht="15" x14ac:dyDescent="0.25">
      <c r="A51" s="28" t="s">
        <v>20</v>
      </c>
      <c r="B51" s="28" t="s">
        <v>94</v>
      </c>
      <c r="C51" s="29">
        <v>582.85</v>
      </c>
      <c r="D51" s="109">
        <v>2010244</v>
      </c>
      <c r="E51" s="30">
        <v>40388</v>
      </c>
    </row>
    <row r="52" spans="1:5" ht="15" x14ac:dyDescent="0.25">
      <c r="A52" s="28" t="s">
        <v>22</v>
      </c>
      <c r="B52" s="28" t="s">
        <v>93</v>
      </c>
      <c r="C52" s="29">
        <v>452.98</v>
      </c>
      <c r="D52" s="109">
        <v>2010350</v>
      </c>
      <c r="E52" s="30">
        <v>40492</v>
      </c>
    </row>
    <row r="53" spans="1:5" ht="15" x14ac:dyDescent="0.25">
      <c r="A53" s="28" t="s">
        <v>20</v>
      </c>
      <c r="B53" s="28" t="s">
        <v>63</v>
      </c>
      <c r="C53" s="29">
        <v>457.08</v>
      </c>
      <c r="D53" s="109">
        <v>2010039</v>
      </c>
      <c r="E53" s="30">
        <v>40210</v>
      </c>
    </row>
    <row r="54" spans="1:5" ht="15" x14ac:dyDescent="0.25">
      <c r="A54" s="28" t="s">
        <v>20</v>
      </c>
      <c r="B54" s="28" t="s">
        <v>92</v>
      </c>
      <c r="C54" s="29">
        <v>715.42</v>
      </c>
      <c r="D54" s="109">
        <v>2010299</v>
      </c>
      <c r="E54" s="30">
        <v>40443</v>
      </c>
    </row>
    <row r="55" spans="1:5" ht="15" x14ac:dyDescent="0.25">
      <c r="A55" s="28" t="s">
        <v>20</v>
      </c>
      <c r="B55" s="28" t="s">
        <v>94</v>
      </c>
      <c r="C55" s="29">
        <v>1186.5</v>
      </c>
      <c r="D55" s="109">
        <v>2010293</v>
      </c>
      <c r="E55" s="30">
        <v>40440</v>
      </c>
    </row>
    <row r="56" spans="1:5" ht="15" x14ac:dyDescent="0.25">
      <c r="A56" s="28" t="s">
        <v>20</v>
      </c>
      <c r="B56" s="28" t="s">
        <v>91</v>
      </c>
      <c r="C56" s="29">
        <v>53</v>
      </c>
      <c r="D56" s="109">
        <v>2010072</v>
      </c>
      <c r="E56" s="30">
        <v>40233</v>
      </c>
    </row>
    <row r="57" spans="1:5" ht="15" x14ac:dyDescent="0.25">
      <c r="A57" s="28" t="s">
        <v>20</v>
      </c>
      <c r="B57" s="28" t="s">
        <v>92</v>
      </c>
      <c r="C57" s="29">
        <v>751.94</v>
      </c>
      <c r="D57" s="109">
        <v>2010175</v>
      </c>
      <c r="E57" s="30">
        <v>40322</v>
      </c>
    </row>
    <row r="58" spans="1:5" ht="15" x14ac:dyDescent="0.25">
      <c r="A58" s="28" t="s">
        <v>20</v>
      </c>
      <c r="B58" s="28" t="s">
        <v>94</v>
      </c>
      <c r="C58" s="29">
        <v>956.04</v>
      </c>
      <c r="D58" s="109">
        <v>2010214</v>
      </c>
      <c r="E58" s="30">
        <v>40359</v>
      </c>
    </row>
    <row r="59" spans="1:5" ht="15" x14ac:dyDescent="0.25">
      <c r="A59" s="28" t="s">
        <v>20</v>
      </c>
      <c r="B59" s="28" t="s">
        <v>95</v>
      </c>
      <c r="C59" s="29">
        <v>660.42</v>
      </c>
      <c r="D59" s="109">
        <v>2010210</v>
      </c>
      <c r="E59" s="30">
        <v>40357</v>
      </c>
    </row>
    <row r="60" spans="1:5" ht="15" x14ac:dyDescent="0.25">
      <c r="A60" s="28" t="s">
        <v>20</v>
      </c>
      <c r="B60" s="28" t="s">
        <v>91</v>
      </c>
      <c r="C60" s="29">
        <v>1121.33</v>
      </c>
      <c r="D60" s="109">
        <v>2010138</v>
      </c>
      <c r="E60" s="30">
        <v>40291</v>
      </c>
    </row>
    <row r="61" spans="1:5" ht="15" x14ac:dyDescent="0.25">
      <c r="A61" s="28" t="s">
        <v>20</v>
      </c>
      <c r="B61" s="28" t="s">
        <v>95</v>
      </c>
      <c r="C61" s="29">
        <v>43.92</v>
      </c>
      <c r="D61" s="109">
        <v>2010051</v>
      </c>
      <c r="E61" s="30">
        <v>40217</v>
      </c>
    </row>
    <row r="62" spans="1:5" ht="15" x14ac:dyDescent="0.25">
      <c r="A62" s="28" t="s">
        <v>20</v>
      </c>
      <c r="B62" s="28" t="s">
        <v>94</v>
      </c>
      <c r="C62" s="29">
        <v>1081</v>
      </c>
      <c r="D62" s="109">
        <v>2010385</v>
      </c>
      <c r="E62" s="30">
        <v>40530</v>
      </c>
    </row>
    <row r="63" spans="1:5" ht="15" x14ac:dyDescent="0.25">
      <c r="A63" s="28" t="s">
        <v>20</v>
      </c>
      <c r="B63" s="28" t="s">
        <v>94</v>
      </c>
      <c r="C63" s="29">
        <v>599.09</v>
      </c>
      <c r="D63" s="109">
        <v>2010023</v>
      </c>
      <c r="E63" s="30">
        <v>40198</v>
      </c>
    </row>
    <row r="64" spans="1:5" ht="15" x14ac:dyDescent="0.25">
      <c r="A64" s="28" t="s">
        <v>20</v>
      </c>
      <c r="B64" s="28" t="s">
        <v>94</v>
      </c>
      <c r="C64" s="29">
        <v>629.21</v>
      </c>
      <c r="D64" s="109">
        <v>2010355</v>
      </c>
      <c r="E64" s="30">
        <v>40498</v>
      </c>
    </row>
    <row r="65" spans="1:5" ht="15" x14ac:dyDescent="0.25">
      <c r="A65" s="28" t="s">
        <v>20</v>
      </c>
      <c r="B65" s="28" t="s">
        <v>94</v>
      </c>
      <c r="C65" s="29">
        <v>356.78</v>
      </c>
      <c r="D65" s="109">
        <v>2010199</v>
      </c>
      <c r="E65" s="30">
        <v>40347</v>
      </c>
    </row>
    <row r="66" spans="1:5" ht="15" x14ac:dyDescent="0.25">
      <c r="A66" s="28" t="s">
        <v>20</v>
      </c>
      <c r="B66" s="28" t="s">
        <v>91</v>
      </c>
      <c r="C66" s="29">
        <v>19.48</v>
      </c>
      <c r="D66" s="109">
        <v>2010087</v>
      </c>
      <c r="E66" s="30">
        <v>40248</v>
      </c>
    </row>
    <row r="67" spans="1:5" ht="15" x14ac:dyDescent="0.25">
      <c r="A67" s="28" t="s">
        <v>20</v>
      </c>
      <c r="B67" s="28" t="s">
        <v>91</v>
      </c>
      <c r="C67" s="29">
        <v>604.54</v>
      </c>
      <c r="D67" s="109">
        <v>2010345</v>
      </c>
      <c r="E67" s="30">
        <v>40486</v>
      </c>
    </row>
    <row r="68" spans="1:5" ht="15" x14ac:dyDescent="0.25">
      <c r="A68" s="28" t="s">
        <v>20</v>
      </c>
      <c r="B68" s="28" t="s">
        <v>92</v>
      </c>
      <c r="C68" s="29">
        <v>410.35</v>
      </c>
      <c r="D68" s="109">
        <v>2010383</v>
      </c>
      <c r="E68" s="30">
        <v>40529</v>
      </c>
    </row>
    <row r="69" spans="1:5" ht="15" x14ac:dyDescent="0.25">
      <c r="A69" s="28" t="s">
        <v>20</v>
      </c>
      <c r="B69" s="28" t="s">
        <v>91</v>
      </c>
      <c r="C69" s="29">
        <v>864.27</v>
      </c>
      <c r="D69" s="109">
        <v>2010363</v>
      </c>
      <c r="E69" s="30">
        <v>40505</v>
      </c>
    </row>
    <row r="70" spans="1:5" ht="15" x14ac:dyDescent="0.25">
      <c r="A70" s="28" t="s">
        <v>22</v>
      </c>
      <c r="B70" s="28" t="s">
        <v>90</v>
      </c>
      <c r="C70" s="29">
        <v>14.28</v>
      </c>
      <c r="D70" s="109">
        <v>2010398</v>
      </c>
      <c r="E70" s="30">
        <v>40542</v>
      </c>
    </row>
    <row r="71" spans="1:5" ht="15" x14ac:dyDescent="0.25">
      <c r="A71" s="28" t="s">
        <v>20</v>
      </c>
      <c r="B71" s="28" t="s">
        <v>94</v>
      </c>
      <c r="C71" s="29">
        <v>51.75</v>
      </c>
      <c r="D71" s="109">
        <v>2010279</v>
      </c>
      <c r="E71" s="30">
        <v>40422</v>
      </c>
    </row>
    <row r="72" spans="1:5" ht="15" x14ac:dyDescent="0.25">
      <c r="A72" s="28" t="s">
        <v>20</v>
      </c>
      <c r="B72" s="28" t="s">
        <v>91</v>
      </c>
      <c r="C72" s="29">
        <v>216.38</v>
      </c>
      <c r="D72" s="109">
        <v>2010182</v>
      </c>
      <c r="E72" s="30">
        <v>40327</v>
      </c>
    </row>
    <row r="73" spans="1:5" ht="15" x14ac:dyDescent="0.25">
      <c r="A73" s="28" t="s">
        <v>22</v>
      </c>
      <c r="B73" s="28" t="s">
        <v>93</v>
      </c>
      <c r="C73" s="29">
        <v>888.42</v>
      </c>
      <c r="D73" s="109">
        <v>2010253</v>
      </c>
      <c r="E73" s="30">
        <v>40398</v>
      </c>
    </row>
    <row r="74" spans="1:5" ht="15" x14ac:dyDescent="0.25">
      <c r="A74" s="28" t="s">
        <v>20</v>
      </c>
      <c r="B74" s="28" t="s">
        <v>94</v>
      </c>
      <c r="C74" s="29">
        <v>774.48</v>
      </c>
      <c r="D74" s="109">
        <v>2010067</v>
      </c>
      <c r="E74" s="30">
        <v>40231</v>
      </c>
    </row>
    <row r="75" spans="1:5" ht="15" x14ac:dyDescent="0.25">
      <c r="A75" s="28" t="s">
        <v>22</v>
      </c>
      <c r="B75" s="28" t="s">
        <v>93</v>
      </c>
      <c r="C75" s="29">
        <v>193.58</v>
      </c>
      <c r="D75" s="109">
        <v>2010352</v>
      </c>
      <c r="E75" s="30">
        <v>40497</v>
      </c>
    </row>
    <row r="76" spans="1:5" ht="15" x14ac:dyDescent="0.25">
      <c r="A76" s="28" t="s">
        <v>22</v>
      </c>
      <c r="B76" s="28" t="s">
        <v>96</v>
      </c>
      <c r="C76" s="29">
        <v>544.61</v>
      </c>
      <c r="D76" s="109">
        <v>2010137</v>
      </c>
      <c r="E76" s="30">
        <v>40290</v>
      </c>
    </row>
    <row r="77" spans="1:5" ht="15" x14ac:dyDescent="0.25">
      <c r="A77" s="28" t="s">
        <v>20</v>
      </c>
      <c r="B77" s="28" t="s">
        <v>94</v>
      </c>
      <c r="C77" s="29">
        <v>1157.81</v>
      </c>
      <c r="D77" s="109">
        <v>2010108</v>
      </c>
      <c r="E77" s="30">
        <v>40268</v>
      </c>
    </row>
    <row r="78" spans="1:5" ht="15" x14ac:dyDescent="0.25">
      <c r="A78" s="28" t="s">
        <v>22</v>
      </c>
      <c r="B78" s="28" t="s">
        <v>90</v>
      </c>
      <c r="C78" s="29">
        <v>46.92</v>
      </c>
      <c r="D78" s="109">
        <v>2010054</v>
      </c>
      <c r="E78" s="30">
        <v>40220</v>
      </c>
    </row>
    <row r="79" spans="1:5" ht="15" x14ac:dyDescent="0.25">
      <c r="A79" s="28" t="s">
        <v>20</v>
      </c>
      <c r="B79" s="28" t="s">
        <v>94</v>
      </c>
      <c r="C79" s="29">
        <v>197.72</v>
      </c>
      <c r="D79" s="109">
        <v>2010306</v>
      </c>
      <c r="E79" s="30">
        <v>40450</v>
      </c>
    </row>
    <row r="80" spans="1:5" ht="15" x14ac:dyDescent="0.25">
      <c r="A80" s="28" t="s">
        <v>20</v>
      </c>
      <c r="B80" s="28" t="s">
        <v>95</v>
      </c>
      <c r="C80" s="29">
        <v>887.84</v>
      </c>
      <c r="D80" s="109">
        <v>2010009</v>
      </c>
      <c r="E80" s="30">
        <v>40186</v>
      </c>
    </row>
    <row r="81" spans="1:5" ht="15" x14ac:dyDescent="0.25">
      <c r="A81" s="28" t="s">
        <v>22</v>
      </c>
      <c r="B81" s="28" t="s">
        <v>93</v>
      </c>
      <c r="C81" s="29">
        <v>815.49</v>
      </c>
      <c r="D81" s="109">
        <v>2010266</v>
      </c>
      <c r="E81" s="30">
        <v>40412</v>
      </c>
    </row>
    <row r="82" spans="1:5" ht="15" x14ac:dyDescent="0.25">
      <c r="A82" s="28" t="s">
        <v>20</v>
      </c>
      <c r="B82" s="28" t="s">
        <v>92</v>
      </c>
      <c r="C82" s="29">
        <v>944.04</v>
      </c>
      <c r="D82" s="109">
        <v>2010356</v>
      </c>
      <c r="E82" s="30">
        <v>40499</v>
      </c>
    </row>
    <row r="83" spans="1:5" ht="15" x14ac:dyDescent="0.25">
      <c r="A83" s="28" t="s">
        <v>20</v>
      </c>
      <c r="B83" s="28" t="s">
        <v>92</v>
      </c>
      <c r="C83" s="29">
        <v>492.94</v>
      </c>
      <c r="D83" s="109">
        <v>2010132</v>
      </c>
      <c r="E83" s="30">
        <v>40288</v>
      </c>
    </row>
    <row r="84" spans="1:5" ht="15" x14ac:dyDescent="0.25">
      <c r="A84" s="28" t="s">
        <v>20</v>
      </c>
      <c r="B84" s="28" t="s">
        <v>95</v>
      </c>
      <c r="C84" s="29">
        <v>37.520000000000003</v>
      </c>
      <c r="D84" s="109">
        <v>2010002</v>
      </c>
      <c r="E84" s="30">
        <v>40179</v>
      </c>
    </row>
    <row r="85" spans="1:5" ht="15" x14ac:dyDescent="0.25">
      <c r="A85" s="28" t="s">
        <v>20</v>
      </c>
      <c r="B85" s="28" t="s">
        <v>95</v>
      </c>
      <c r="C85" s="29">
        <v>255.68</v>
      </c>
      <c r="D85" s="109">
        <v>2010376</v>
      </c>
      <c r="E85" s="30">
        <v>40522</v>
      </c>
    </row>
    <row r="86" spans="1:5" ht="15" x14ac:dyDescent="0.25">
      <c r="A86" s="28" t="s">
        <v>20</v>
      </c>
      <c r="B86" s="28" t="s">
        <v>95</v>
      </c>
      <c r="C86" s="29">
        <v>586.03</v>
      </c>
      <c r="D86" s="109">
        <v>2010344</v>
      </c>
      <c r="E86" s="30">
        <v>40485</v>
      </c>
    </row>
    <row r="87" spans="1:5" ht="15" x14ac:dyDescent="0.25">
      <c r="A87" s="28" t="s">
        <v>20</v>
      </c>
      <c r="B87" s="28" t="s">
        <v>63</v>
      </c>
      <c r="C87" s="29">
        <v>1021.58</v>
      </c>
      <c r="D87" s="109">
        <v>2010126</v>
      </c>
      <c r="E87" s="30">
        <v>40280</v>
      </c>
    </row>
    <row r="88" spans="1:5" ht="15" x14ac:dyDescent="0.25">
      <c r="A88" s="28" t="s">
        <v>22</v>
      </c>
      <c r="B88" s="28" t="s">
        <v>90</v>
      </c>
      <c r="C88" s="29">
        <v>876.82</v>
      </c>
      <c r="D88" s="109">
        <v>2010272</v>
      </c>
      <c r="E88" s="30">
        <v>40419</v>
      </c>
    </row>
    <row r="89" spans="1:5" ht="15" x14ac:dyDescent="0.25">
      <c r="A89" s="28" t="s">
        <v>20</v>
      </c>
      <c r="B89" s="28" t="s">
        <v>91</v>
      </c>
      <c r="C89" s="29">
        <v>84.58</v>
      </c>
      <c r="D89" s="109">
        <v>2010246</v>
      </c>
      <c r="E89" s="30">
        <v>40391</v>
      </c>
    </row>
    <row r="90" spans="1:5" ht="15" x14ac:dyDescent="0.25">
      <c r="A90" s="28" t="s">
        <v>22</v>
      </c>
      <c r="B90" s="28" t="s">
        <v>62</v>
      </c>
      <c r="C90" s="29">
        <v>1161.58</v>
      </c>
      <c r="D90" s="109">
        <v>2010185</v>
      </c>
      <c r="E90" s="30">
        <v>40331</v>
      </c>
    </row>
    <row r="91" spans="1:5" ht="15" x14ac:dyDescent="0.25">
      <c r="A91" s="28" t="s">
        <v>20</v>
      </c>
      <c r="B91" s="28" t="s">
        <v>92</v>
      </c>
      <c r="C91" s="29">
        <v>581.09</v>
      </c>
      <c r="D91" s="109">
        <v>2010328</v>
      </c>
      <c r="E91" s="30">
        <v>40472</v>
      </c>
    </row>
    <row r="92" spans="1:5" ht="15" x14ac:dyDescent="0.25">
      <c r="A92" s="28" t="s">
        <v>22</v>
      </c>
      <c r="B92" s="28" t="s">
        <v>93</v>
      </c>
      <c r="C92" s="29">
        <v>1115.03</v>
      </c>
      <c r="D92" s="109">
        <v>2010297</v>
      </c>
      <c r="E92" s="30">
        <v>40442</v>
      </c>
    </row>
    <row r="93" spans="1:5" ht="15" x14ac:dyDescent="0.25">
      <c r="A93" s="28" t="s">
        <v>20</v>
      </c>
      <c r="B93" s="28" t="s">
        <v>95</v>
      </c>
      <c r="C93" s="29">
        <v>289.97000000000003</v>
      </c>
      <c r="D93" s="109">
        <v>2010395</v>
      </c>
      <c r="E93" s="30">
        <v>40541</v>
      </c>
    </row>
    <row r="94" spans="1:5" ht="15" x14ac:dyDescent="0.25">
      <c r="A94" s="28" t="s">
        <v>20</v>
      </c>
      <c r="B94" s="28" t="s">
        <v>91</v>
      </c>
      <c r="C94" s="29">
        <v>1178.8499999999999</v>
      </c>
      <c r="D94" s="109">
        <v>2010347</v>
      </c>
      <c r="E94" s="30">
        <v>40487</v>
      </c>
    </row>
    <row r="95" spans="1:5" ht="15" x14ac:dyDescent="0.25">
      <c r="A95" s="28" t="s">
        <v>20</v>
      </c>
      <c r="B95" s="28" t="s">
        <v>91</v>
      </c>
      <c r="C95" s="29">
        <v>439.22</v>
      </c>
      <c r="D95" s="109">
        <v>2010158</v>
      </c>
      <c r="E95" s="30">
        <v>40308</v>
      </c>
    </row>
    <row r="96" spans="1:5" ht="15" x14ac:dyDescent="0.25">
      <c r="A96" s="28" t="s">
        <v>20</v>
      </c>
      <c r="B96" s="28" t="s">
        <v>94</v>
      </c>
      <c r="C96" s="29">
        <v>1176.22</v>
      </c>
      <c r="D96" s="109">
        <v>2010353</v>
      </c>
      <c r="E96" s="30">
        <v>40497</v>
      </c>
    </row>
    <row r="97" spans="1:5" ht="15" x14ac:dyDescent="0.25">
      <c r="A97" s="28" t="s">
        <v>20</v>
      </c>
      <c r="B97" s="28" t="s">
        <v>92</v>
      </c>
      <c r="C97" s="29">
        <v>705.5</v>
      </c>
      <c r="D97" s="109">
        <v>2010183</v>
      </c>
      <c r="E97" s="30">
        <v>40327</v>
      </c>
    </row>
    <row r="98" spans="1:5" ht="15" x14ac:dyDescent="0.25">
      <c r="A98" s="28" t="s">
        <v>20</v>
      </c>
      <c r="B98" s="28" t="s">
        <v>92</v>
      </c>
      <c r="C98" s="29">
        <v>816.67</v>
      </c>
      <c r="D98" s="109">
        <v>2010262</v>
      </c>
      <c r="E98" s="30">
        <v>40407</v>
      </c>
    </row>
    <row r="99" spans="1:5" ht="15" x14ac:dyDescent="0.25">
      <c r="A99" s="28" t="s">
        <v>20</v>
      </c>
      <c r="B99" s="28" t="s">
        <v>94</v>
      </c>
      <c r="C99" s="29">
        <v>420.63</v>
      </c>
      <c r="D99" s="109">
        <v>2010045</v>
      </c>
      <c r="E99" s="30">
        <v>40213</v>
      </c>
    </row>
    <row r="100" spans="1:5" ht="15" x14ac:dyDescent="0.25">
      <c r="A100" s="28" t="s">
        <v>20</v>
      </c>
      <c r="B100" s="28" t="s">
        <v>95</v>
      </c>
      <c r="C100" s="29">
        <v>1102.3399999999999</v>
      </c>
      <c r="D100" s="109">
        <v>2010250</v>
      </c>
      <c r="E100" s="30">
        <v>40395</v>
      </c>
    </row>
    <row r="101" spans="1:5" ht="15" x14ac:dyDescent="0.25">
      <c r="A101" s="28" t="s">
        <v>20</v>
      </c>
      <c r="B101" s="28" t="s">
        <v>63</v>
      </c>
      <c r="C101" s="29">
        <v>859.11</v>
      </c>
      <c r="D101" s="109">
        <v>2010309</v>
      </c>
      <c r="E101" s="30">
        <v>40457</v>
      </c>
    </row>
    <row r="102" spans="1:5" ht="15" x14ac:dyDescent="0.25">
      <c r="A102" s="28" t="s">
        <v>20</v>
      </c>
      <c r="B102" s="28" t="s">
        <v>95</v>
      </c>
      <c r="C102" s="29">
        <v>730.49</v>
      </c>
      <c r="D102" s="109">
        <v>2010104</v>
      </c>
      <c r="E102" s="30">
        <v>40262</v>
      </c>
    </row>
    <row r="103" spans="1:5" ht="15" x14ac:dyDescent="0.25">
      <c r="A103" s="28" t="s">
        <v>20</v>
      </c>
      <c r="B103" s="28" t="s">
        <v>91</v>
      </c>
      <c r="C103" s="29">
        <v>241.15</v>
      </c>
      <c r="D103" s="109">
        <v>2010188</v>
      </c>
      <c r="E103" s="30">
        <v>40336</v>
      </c>
    </row>
    <row r="104" spans="1:5" ht="15" x14ac:dyDescent="0.25">
      <c r="A104" s="28" t="s">
        <v>20</v>
      </c>
      <c r="B104" s="28" t="s">
        <v>94</v>
      </c>
      <c r="C104" s="29">
        <v>896.55</v>
      </c>
      <c r="D104" s="109">
        <v>2010166</v>
      </c>
      <c r="E104" s="30">
        <v>40314</v>
      </c>
    </row>
    <row r="105" spans="1:5" ht="15" x14ac:dyDescent="0.25">
      <c r="A105" s="28" t="s">
        <v>20</v>
      </c>
      <c r="B105" s="28" t="s">
        <v>91</v>
      </c>
      <c r="C105" s="29">
        <v>292.56</v>
      </c>
      <c r="D105" s="109">
        <v>2010193</v>
      </c>
      <c r="E105" s="30">
        <v>40340</v>
      </c>
    </row>
    <row r="106" spans="1:5" ht="15" x14ac:dyDescent="0.25">
      <c r="A106" s="28" t="s">
        <v>22</v>
      </c>
      <c r="B106" s="28" t="s">
        <v>96</v>
      </c>
      <c r="C106" s="29">
        <v>644.9</v>
      </c>
      <c r="D106" s="109">
        <v>2010061</v>
      </c>
      <c r="E106" s="30">
        <v>40224</v>
      </c>
    </row>
    <row r="107" spans="1:5" ht="15" x14ac:dyDescent="0.25">
      <c r="A107" s="28" t="s">
        <v>20</v>
      </c>
      <c r="B107" s="28" t="s">
        <v>94</v>
      </c>
      <c r="C107" s="29">
        <v>282.43</v>
      </c>
      <c r="D107" s="109">
        <v>2010361</v>
      </c>
      <c r="E107" s="30">
        <v>40504</v>
      </c>
    </row>
    <row r="108" spans="1:5" ht="15" x14ac:dyDescent="0.25">
      <c r="A108" s="28" t="s">
        <v>20</v>
      </c>
      <c r="B108" s="28" t="s">
        <v>95</v>
      </c>
      <c r="C108" s="29">
        <v>147.33000000000001</v>
      </c>
      <c r="D108" s="109">
        <v>2010231</v>
      </c>
      <c r="E108" s="30">
        <v>40378</v>
      </c>
    </row>
    <row r="109" spans="1:5" ht="15" x14ac:dyDescent="0.25">
      <c r="A109" s="28" t="s">
        <v>22</v>
      </c>
      <c r="B109" s="28" t="s">
        <v>93</v>
      </c>
      <c r="C109" s="29">
        <v>1037.0899999999999</v>
      </c>
      <c r="D109" s="109">
        <v>2010192</v>
      </c>
      <c r="E109" s="30">
        <v>40340</v>
      </c>
    </row>
    <row r="110" spans="1:5" ht="15" x14ac:dyDescent="0.25">
      <c r="A110" s="28" t="s">
        <v>22</v>
      </c>
      <c r="B110" s="28" t="s">
        <v>62</v>
      </c>
      <c r="C110" s="29">
        <v>1068.23</v>
      </c>
      <c r="D110" s="109">
        <v>2010150</v>
      </c>
      <c r="E110" s="30">
        <v>40301</v>
      </c>
    </row>
    <row r="111" spans="1:5" ht="15" x14ac:dyDescent="0.25">
      <c r="A111" s="28" t="s">
        <v>22</v>
      </c>
      <c r="B111" s="28" t="s">
        <v>96</v>
      </c>
      <c r="C111" s="29">
        <v>195.89</v>
      </c>
      <c r="D111" s="109">
        <v>2010030</v>
      </c>
      <c r="E111" s="30">
        <v>40202</v>
      </c>
    </row>
    <row r="112" spans="1:5" ht="15" x14ac:dyDescent="0.25">
      <c r="A112" s="28" t="s">
        <v>20</v>
      </c>
      <c r="B112" s="28" t="s">
        <v>94</v>
      </c>
      <c r="C112" s="29">
        <v>568.42999999999995</v>
      </c>
      <c r="D112" s="109">
        <v>2010197</v>
      </c>
      <c r="E112" s="30">
        <v>40345</v>
      </c>
    </row>
    <row r="113" spans="1:5" ht="15" x14ac:dyDescent="0.25">
      <c r="A113" s="28" t="s">
        <v>20</v>
      </c>
      <c r="B113" s="28" t="s">
        <v>92</v>
      </c>
      <c r="C113" s="29">
        <v>144</v>
      </c>
      <c r="D113" s="109">
        <v>2010354</v>
      </c>
      <c r="E113" s="30">
        <v>40497</v>
      </c>
    </row>
    <row r="114" spans="1:5" ht="15" x14ac:dyDescent="0.25">
      <c r="A114" s="28" t="s">
        <v>22</v>
      </c>
      <c r="B114" s="28" t="s">
        <v>93</v>
      </c>
      <c r="C114" s="29">
        <v>72.430000000000007</v>
      </c>
      <c r="D114" s="109">
        <v>2010230</v>
      </c>
      <c r="E114" s="30">
        <v>40377</v>
      </c>
    </row>
    <row r="115" spans="1:5" ht="15" x14ac:dyDescent="0.25">
      <c r="A115" s="28" t="s">
        <v>22</v>
      </c>
      <c r="B115" s="28" t="s">
        <v>93</v>
      </c>
      <c r="C115" s="29">
        <v>319.06</v>
      </c>
      <c r="D115" s="109">
        <v>2010288</v>
      </c>
      <c r="E115" s="30">
        <v>40434</v>
      </c>
    </row>
    <row r="116" spans="1:5" ht="15" x14ac:dyDescent="0.25">
      <c r="A116" s="28" t="s">
        <v>22</v>
      </c>
      <c r="B116" s="28" t="s">
        <v>62</v>
      </c>
      <c r="C116" s="29">
        <v>101.12</v>
      </c>
      <c r="D116" s="109">
        <v>2010283</v>
      </c>
      <c r="E116" s="30">
        <v>40427</v>
      </c>
    </row>
    <row r="117" spans="1:5" ht="15" x14ac:dyDescent="0.25">
      <c r="A117" s="28" t="s">
        <v>20</v>
      </c>
      <c r="B117" s="28" t="s">
        <v>63</v>
      </c>
      <c r="C117" s="29">
        <v>333.58</v>
      </c>
      <c r="D117" s="109">
        <v>2010114</v>
      </c>
      <c r="E117" s="30">
        <v>40270</v>
      </c>
    </row>
    <row r="118" spans="1:5" ht="15" x14ac:dyDescent="0.25">
      <c r="A118" s="28" t="s">
        <v>22</v>
      </c>
      <c r="B118" s="28" t="s">
        <v>93</v>
      </c>
      <c r="C118" s="29">
        <v>464.07</v>
      </c>
      <c r="D118" s="109">
        <v>2010049</v>
      </c>
      <c r="E118" s="30">
        <v>40217</v>
      </c>
    </row>
    <row r="119" spans="1:5" ht="15" x14ac:dyDescent="0.25">
      <c r="A119" s="28" t="s">
        <v>20</v>
      </c>
      <c r="B119" s="28" t="s">
        <v>92</v>
      </c>
      <c r="C119" s="29">
        <v>696.21</v>
      </c>
      <c r="D119" s="109">
        <v>2010070</v>
      </c>
      <c r="E119" s="30">
        <v>40233</v>
      </c>
    </row>
    <row r="120" spans="1:5" ht="15" x14ac:dyDescent="0.25">
      <c r="A120" s="28" t="s">
        <v>20</v>
      </c>
      <c r="B120" s="28" t="s">
        <v>92</v>
      </c>
      <c r="C120" s="29">
        <v>198.56</v>
      </c>
      <c r="D120" s="109">
        <v>2010209</v>
      </c>
      <c r="E120" s="30">
        <v>40357</v>
      </c>
    </row>
    <row r="121" spans="1:5" ht="15" x14ac:dyDescent="0.25">
      <c r="A121" s="28" t="s">
        <v>20</v>
      </c>
      <c r="B121" s="28" t="s">
        <v>92</v>
      </c>
      <c r="C121" s="29">
        <v>281.88</v>
      </c>
      <c r="D121" s="109">
        <v>2010340</v>
      </c>
      <c r="E121" s="30">
        <v>40483</v>
      </c>
    </row>
    <row r="122" spans="1:5" ht="15" x14ac:dyDescent="0.25">
      <c r="A122" s="28" t="s">
        <v>22</v>
      </c>
      <c r="B122" s="28" t="s">
        <v>96</v>
      </c>
      <c r="C122" s="29">
        <v>105.62</v>
      </c>
      <c r="D122" s="109">
        <v>2010310</v>
      </c>
      <c r="E122" s="30">
        <v>40458</v>
      </c>
    </row>
    <row r="123" spans="1:5" ht="15" x14ac:dyDescent="0.25">
      <c r="A123" s="28" t="s">
        <v>20</v>
      </c>
      <c r="B123" s="28" t="s">
        <v>91</v>
      </c>
      <c r="C123" s="29">
        <v>288.72000000000003</v>
      </c>
      <c r="D123" s="109">
        <v>2010171</v>
      </c>
      <c r="E123" s="30">
        <v>40317</v>
      </c>
    </row>
    <row r="124" spans="1:5" ht="15" x14ac:dyDescent="0.25">
      <c r="A124" s="28" t="s">
        <v>22</v>
      </c>
      <c r="B124" s="28" t="s">
        <v>62</v>
      </c>
      <c r="C124" s="29">
        <v>551.04999999999995</v>
      </c>
      <c r="D124" s="109">
        <v>2010131</v>
      </c>
      <c r="E124" s="30">
        <v>40284</v>
      </c>
    </row>
    <row r="125" spans="1:5" ht="15" x14ac:dyDescent="0.25">
      <c r="A125" s="28" t="s">
        <v>20</v>
      </c>
      <c r="B125" s="28" t="s">
        <v>94</v>
      </c>
      <c r="C125" s="29">
        <v>1003.06</v>
      </c>
      <c r="D125" s="109">
        <v>2010198</v>
      </c>
      <c r="E125" s="30">
        <v>40345</v>
      </c>
    </row>
    <row r="126" spans="1:5" ht="15" x14ac:dyDescent="0.25">
      <c r="A126" s="28" t="s">
        <v>22</v>
      </c>
      <c r="B126" s="28" t="s">
        <v>90</v>
      </c>
      <c r="C126" s="29">
        <v>1095.68</v>
      </c>
      <c r="D126" s="109">
        <v>2010218</v>
      </c>
      <c r="E126" s="30">
        <v>40360</v>
      </c>
    </row>
    <row r="127" spans="1:5" ht="15" x14ac:dyDescent="0.25">
      <c r="A127" s="28" t="s">
        <v>20</v>
      </c>
      <c r="B127" s="28" t="s">
        <v>63</v>
      </c>
      <c r="C127" s="29">
        <v>759.14</v>
      </c>
      <c r="D127" s="109">
        <v>2010122</v>
      </c>
      <c r="E127" s="30">
        <v>40277</v>
      </c>
    </row>
    <row r="128" spans="1:5" ht="15" x14ac:dyDescent="0.25">
      <c r="A128" s="28" t="s">
        <v>20</v>
      </c>
      <c r="B128" s="28" t="s">
        <v>92</v>
      </c>
      <c r="C128" s="29">
        <v>473.51</v>
      </c>
      <c r="D128" s="109">
        <v>2010294</v>
      </c>
      <c r="E128" s="30">
        <v>40440</v>
      </c>
    </row>
    <row r="129" spans="1:5" ht="15" x14ac:dyDescent="0.25">
      <c r="A129" s="28" t="s">
        <v>20</v>
      </c>
      <c r="B129" s="28" t="s">
        <v>92</v>
      </c>
      <c r="C129" s="29">
        <v>637.07000000000005</v>
      </c>
      <c r="D129" s="109">
        <v>2010162</v>
      </c>
      <c r="E129" s="30">
        <v>40309</v>
      </c>
    </row>
    <row r="130" spans="1:5" ht="15" x14ac:dyDescent="0.25">
      <c r="A130" s="28" t="s">
        <v>20</v>
      </c>
      <c r="B130" s="28" t="s">
        <v>91</v>
      </c>
      <c r="C130" s="29">
        <v>975.33</v>
      </c>
      <c r="D130" s="109">
        <v>2010212</v>
      </c>
      <c r="E130" s="30">
        <v>40357</v>
      </c>
    </row>
    <row r="131" spans="1:5" ht="15" x14ac:dyDescent="0.25">
      <c r="A131" s="28" t="s">
        <v>22</v>
      </c>
      <c r="B131" s="28" t="s">
        <v>93</v>
      </c>
      <c r="C131" s="29">
        <v>627.74</v>
      </c>
      <c r="D131" s="109">
        <v>2010066</v>
      </c>
      <c r="E131" s="30">
        <v>40231</v>
      </c>
    </row>
    <row r="132" spans="1:5" ht="15" x14ac:dyDescent="0.25">
      <c r="A132" s="28" t="s">
        <v>22</v>
      </c>
      <c r="B132" s="28" t="s">
        <v>96</v>
      </c>
      <c r="C132" s="29">
        <v>398.9</v>
      </c>
      <c r="D132" s="109">
        <v>2010133</v>
      </c>
      <c r="E132" s="30">
        <v>40288</v>
      </c>
    </row>
    <row r="133" spans="1:5" ht="15" x14ac:dyDescent="0.25">
      <c r="A133" s="28" t="s">
        <v>22</v>
      </c>
      <c r="B133" s="28" t="s">
        <v>93</v>
      </c>
      <c r="C133" s="29">
        <v>911.55</v>
      </c>
      <c r="D133" s="109">
        <v>2010135</v>
      </c>
      <c r="E133" s="30">
        <v>40289</v>
      </c>
    </row>
    <row r="134" spans="1:5" ht="15" x14ac:dyDescent="0.25">
      <c r="A134" s="28" t="s">
        <v>20</v>
      </c>
      <c r="B134" s="28" t="s">
        <v>91</v>
      </c>
      <c r="C134" s="29">
        <v>470.65</v>
      </c>
      <c r="D134" s="109">
        <v>2010296</v>
      </c>
      <c r="E134" s="30">
        <v>40441</v>
      </c>
    </row>
    <row r="135" spans="1:5" ht="15" x14ac:dyDescent="0.25">
      <c r="A135" s="28" t="s">
        <v>20</v>
      </c>
      <c r="B135" s="28" t="s">
        <v>94</v>
      </c>
      <c r="C135" s="29">
        <v>972.14</v>
      </c>
      <c r="D135" s="109">
        <v>2010031</v>
      </c>
      <c r="E135" s="30">
        <v>40202</v>
      </c>
    </row>
    <row r="136" spans="1:5" ht="15" x14ac:dyDescent="0.25">
      <c r="A136" s="28" t="s">
        <v>20</v>
      </c>
      <c r="B136" s="28" t="s">
        <v>95</v>
      </c>
      <c r="C136" s="29">
        <v>1115.73</v>
      </c>
      <c r="D136" s="109">
        <v>2010119</v>
      </c>
      <c r="E136" s="30">
        <v>40276</v>
      </c>
    </row>
    <row r="137" spans="1:5" ht="15" x14ac:dyDescent="0.25">
      <c r="A137" s="28" t="s">
        <v>20</v>
      </c>
      <c r="B137" s="28" t="s">
        <v>91</v>
      </c>
      <c r="C137" s="29">
        <v>1185.03</v>
      </c>
      <c r="D137" s="109">
        <v>2010151</v>
      </c>
      <c r="E137" s="30">
        <v>40302</v>
      </c>
    </row>
    <row r="138" spans="1:5" ht="15" x14ac:dyDescent="0.25">
      <c r="A138" s="28" t="s">
        <v>20</v>
      </c>
      <c r="B138" s="28" t="s">
        <v>92</v>
      </c>
      <c r="C138" s="29">
        <v>530.26</v>
      </c>
      <c r="D138" s="109">
        <v>2010362</v>
      </c>
      <c r="E138" s="30">
        <v>40504</v>
      </c>
    </row>
    <row r="139" spans="1:5" ht="15" x14ac:dyDescent="0.25">
      <c r="A139" s="28" t="s">
        <v>20</v>
      </c>
      <c r="B139" s="28" t="s">
        <v>91</v>
      </c>
      <c r="C139" s="29">
        <v>75.87</v>
      </c>
      <c r="D139" s="109">
        <v>2010142</v>
      </c>
      <c r="E139" s="30">
        <v>40296</v>
      </c>
    </row>
    <row r="140" spans="1:5" ht="15" x14ac:dyDescent="0.25">
      <c r="A140" s="28" t="s">
        <v>20</v>
      </c>
      <c r="B140" s="28" t="s">
        <v>92</v>
      </c>
      <c r="C140" s="29">
        <v>188.94</v>
      </c>
      <c r="D140" s="109">
        <v>2010071</v>
      </c>
      <c r="E140" s="30">
        <v>40233</v>
      </c>
    </row>
    <row r="141" spans="1:5" ht="15" x14ac:dyDescent="0.25">
      <c r="A141" s="28" t="s">
        <v>20</v>
      </c>
      <c r="B141" s="28" t="s">
        <v>92</v>
      </c>
      <c r="C141" s="29">
        <v>941.55</v>
      </c>
      <c r="D141" s="109">
        <v>2010224</v>
      </c>
      <c r="E141" s="30">
        <v>40372</v>
      </c>
    </row>
    <row r="142" spans="1:5" ht="15" x14ac:dyDescent="0.25">
      <c r="A142" s="28" t="s">
        <v>22</v>
      </c>
      <c r="B142" s="28" t="s">
        <v>62</v>
      </c>
      <c r="C142" s="29">
        <v>386.49</v>
      </c>
      <c r="D142" s="109">
        <v>2010095</v>
      </c>
      <c r="E142" s="30">
        <v>40255</v>
      </c>
    </row>
    <row r="143" spans="1:5" ht="15" x14ac:dyDescent="0.25">
      <c r="A143" s="28" t="s">
        <v>20</v>
      </c>
      <c r="B143" s="28" t="s">
        <v>91</v>
      </c>
      <c r="C143" s="29">
        <v>593.79</v>
      </c>
      <c r="D143" s="109">
        <v>2010335</v>
      </c>
      <c r="E143" s="30">
        <v>40480</v>
      </c>
    </row>
    <row r="144" spans="1:5" ht="15" x14ac:dyDescent="0.25">
      <c r="A144" s="28" t="s">
        <v>20</v>
      </c>
      <c r="B144" s="28" t="s">
        <v>91</v>
      </c>
      <c r="C144" s="29">
        <v>1188</v>
      </c>
      <c r="D144" s="109">
        <v>2010033</v>
      </c>
      <c r="E144" s="30">
        <v>40205</v>
      </c>
    </row>
    <row r="145" spans="1:5" ht="15" x14ac:dyDescent="0.25">
      <c r="A145" s="28" t="s">
        <v>20</v>
      </c>
      <c r="B145" s="28" t="s">
        <v>92</v>
      </c>
      <c r="C145" s="29">
        <v>1032.6300000000001</v>
      </c>
      <c r="D145" s="109">
        <v>2010111</v>
      </c>
      <c r="E145" s="30">
        <v>40269</v>
      </c>
    </row>
    <row r="146" spans="1:5" ht="15" x14ac:dyDescent="0.25">
      <c r="A146" s="28" t="s">
        <v>22</v>
      </c>
      <c r="B146" s="28" t="s">
        <v>62</v>
      </c>
      <c r="C146" s="29">
        <v>574.1</v>
      </c>
      <c r="D146" s="109">
        <v>2010282</v>
      </c>
      <c r="E146" s="30">
        <v>40426</v>
      </c>
    </row>
    <row r="147" spans="1:5" ht="15" x14ac:dyDescent="0.25">
      <c r="A147" s="28" t="s">
        <v>22</v>
      </c>
      <c r="B147" s="28" t="s">
        <v>62</v>
      </c>
      <c r="C147" s="29">
        <v>645.78</v>
      </c>
      <c r="D147" s="109">
        <v>2010236</v>
      </c>
      <c r="E147" s="30">
        <v>40384</v>
      </c>
    </row>
    <row r="148" spans="1:5" ht="15" x14ac:dyDescent="0.25">
      <c r="A148" s="28" t="s">
        <v>22</v>
      </c>
      <c r="B148" s="28" t="s">
        <v>62</v>
      </c>
      <c r="C148" s="29">
        <v>388.87</v>
      </c>
      <c r="D148" s="109">
        <v>2010140</v>
      </c>
      <c r="E148" s="30">
        <v>40294</v>
      </c>
    </row>
    <row r="149" spans="1:5" ht="15" x14ac:dyDescent="0.25">
      <c r="A149" s="28" t="s">
        <v>20</v>
      </c>
      <c r="B149" s="28" t="s">
        <v>91</v>
      </c>
      <c r="C149" s="29">
        <v>556.42999999999995</v>
      </c>
      <c r="D149" s="109">
        <v>2010082</v>
      </c>
      <c r="E149" s="30">
        <v>40242</v>
      </c>
    </row>
    <row r="150" spans="1:5" ht="15" x14ac:dyDescent="0.25">
      <c r="A150" s="28" t="s">
        <v>20</v>
      </c>
      <c r="B150" s="28" t="s">
        <v>91</v>
      </c>
      <c r="C150" s="29">
        <v>1052.3900000000001</v>
      </c>
      <c r="D150" s="109">
        <v>2010149</v>
      </c>
      <c r="E150" s="30">
        <v>40300</v>
      </c>
    </row>
    <row r="151" spans="1:5" ht="15" x14ac:dyDescent="0.25">
      <c r="A151" s="28" t="s">
        <v>22</v>
      </c>
      <c r="B151" s="28" t="s">
        <v>96</v>
      </c>
      <c r="C151" s="29">
        <v>799.58</v>
      </c>
      <c r="D151" s="109">
        <v>2010331</v>
      </c>
      <c r="E151" s="30">
        <v>40477</v>
      </c>
    </row>
    <row r="152" spans="1:5" ht="15" x14ac:dyDescent="0.25">
      <c r="A152" s="28" t="s">
        <v>22</v>
      </c>
      <c r="B152" s="28" t="s">
        <v>96</v>
      </c>
      <c r="C152" s="29">
        <v>147.26</v>
      </c>
      <c r="D152" s="109">
        <v>2010397</v>
      </c>
      <c r="E152" s="30">
        <v>40542</v>
      </c>
    </row>
    <row r="153" spans="1:5" ht="15" x14ac:dyDescent="0.25">
      <c r="A153" s="28" t="s">
        <v>20</v>
      </c>
      <c r="B153" s="28" t="s">
        <v>94</v>
      </c>
      <c r="C153" s="29">
        <v>52.63</v>
      </c>
      <c r="D153" s="109">
        <v>2010327</v>
      </c>
      <c r="E153" s="30">
        <v>40471</v>
      </c>
    </row>
    <row r="154" spans="1:5" ht="15" x14ac:dyDescent="0.25">
      <c r="A154" s="28" t="s">
        <v>22</v>
      </c>
      <c r="B154" s="28" t="s">
        <v>62</v>
      </c>
      <c r="C154" s="29">
        <v>762.62</v>
      </c>
      <c r="D154" s="109">
        <v>2010194</v>
      </c>
      <c r="E154" s="30">
        <v>40343</v>
      </c>
    </row>
    <row r="155" spans="1:5" ht="15" x14ac:dyDescent="0.25">
      <c r="A155" s="28" t="s">
        <v>20</v>
      </c>
      <c r="B155" s="28" t="s">
        <v>63</v>
      </c>
      <c r="C155" s="29">
        <v>752.04</v>
      </c>
      <c r="D155" s="109">
        <v>2010007</v>
      </c>
      <c r="E155" s="30">
        <v>40185</v>
      </c>
    </row>
    <row r="156" spans="1:5" ht="15" x14ac:dyDescent="0.25">
      <c r="A156" s="28" t="s">
        <v>20</v>
      </c>
      <c r="B156" s="28" t="s">
        <v>92</v>
      </c>
      <c r="C156" s="29">
        <v>420.23</v>
      </c>
      <c r="D156" s="109">
        <v>2010370</v>
      </c>
      <c r="E156" s="30">
        <v>40517</v>
      </c>
    </row>
    <row r="157" spans="1:5" ht="15" x14ac:dyDescent="0.25">
      <c r="A157" s="28" t="s">
        <v>22</v>
      </c>
      <c r="B157" s="28" t="s">
        <v>93</v>
      </c>
      <c r="C157" s="29">
        <v>709.27</v>
      </c>
      <c r="D157" s="109">
        <v>2010006</v>
      </c>
      <c r="E157" s="30">
        <v>40184</v>
      </c>
    </row>
    <row r="158" spans="1:5" ht="15" x14ac:dyDescent="0.25">
      <c r="A158" s="28" t="s">
        <v>22</v>
      </c>
      <c r="B158" s="28" t="s">
        <v>93</v>
      </c>
      <c r="C158" s="29">
        <v>756.84</v>
      </c>
      <c r="D158" s="109">
        <v>2010047</v>
      </c>
      <c r="E158" s="30">
        <v>40214</v>
      </c>
    </row>
    <row r="159" spans="1:5" ht="15" x14ac:dyDescent="0.25">
      <c r="A159" s="28" t="s">
        <v>22</v>
      </c>
      <c r="B159" s="28" t="s">
        <v>62</v>
      </c>
      <c r="C159" s="29">
        <v>883.52</v>
      </c>
      <c r="D159" s="109">
        <v>2010284</v>
      </c>
      <c r="E159" s="30">
        <v>40429</v>
      </c>
    </row>
    <row r="160" spans="1:5" ht="15" x14ac:dyDescent="0.25">
      <c r="A160" s="28" t="s">
        <v>22</v>
      </c>
      <c r="B160" s="28" t="s">
        <v>93</v>
      </c>
      <c r="C160" s="29">
        <v>846.93</v>
      </c>
      <c r="D160" s="109">
        <v>2010313</v>
      </c>
      <c r="E160" s="30">
        <v>40459</v>
      </c>
    </row>
    <row r="161" spans="1:5" ht="15" x14ac:dyDescent="0.25">
      <c r="A161" s="28" t="s">
        <v>20</v>
      </c>
      <c r="B161" s="28" t="s">
        <v>91</v>
      </c>
      <c r="C161" s="29">
        <v>668.18</v>
      </c>
      <c r="D161" s="109">
        <v>2010170</v>
      </c>
      <c r="E161" s="30">
        <v>40317</v>
      </c>
    </row>
    <row r="162" spans="1:5" ht="15" x14ac:dyDescent="0.25">
      <c r="A162" s="28" t="s">
        <v>20</v>
      </c>
      <c r="B162" s="28" t="s">
        <v>91</v>
      </c>
      <c r="C162" s="29">
        <v>444.27</v>
      </c>
      <c r="D162" s="109">
        <v>2010215</v>
      </c>
      <c r="E162" s="30">
        <v>40360</v>
      </c>
    </row>
    <row r="163" spans="1:5" ht="15" x14ac:dyDescent="0.25">
      <c r="A163" s="28" t="s">
        <v>22</v>
      </c>
      <c r="B163" s="28" t="s">
        <v>62</v>
      </c>
      <c r="C163" s="29">
        <v>480.24</v>
      </c>
      <c r="D163" s="109">
        <v>2010265</v>
      </c>
      <c r="E163" s="30">
        <v>40409</v>
      </c>
    </row>
    <row r="164" spans="1:5" ht="15" x14ac:dyDescent="0.25">
      <c r="A164" s="28" t="s">
        <v>20</v>
      </c>
      <c r="B164" s="28" t="s">
        <v>91</v>
      </c>
      <c r="C164" s="29">
        <v>836.57</v>
      </c>
      <c r="D164" s="109">
        <v>2010106</v>
      </c>
      <c r="E164" s="30">
        <v>40266</v>
      </c>
    </row>
    <row r="165" spans="1:5" ht="15" x14ac:dyDescent="0.25">
      <c r="A165" s="28" t="s">
        <v>20</v>
      </c>
      <c r="B165" s="28" t="s">
        <v>94</v>
      </c>
      <c r="C165" s="29">
        <v>905.95</v>
      </c>
      <c r="D165" s="109">
        <v>2010382</v>
      </c>
      <c r="E165" s="30">
        <v>40529</v>
      </c>
    </row>
    <row r="166" spans="1:5" ht="15" x14ac:dyDescent="0.25">
      <c r="A166" s="28" t="s">
        <v>20</v>
      </c>
      <c r="B166" s="28" t="s">
        <v>94</v>
      </c>
      <c r="C166" s="29">
        <v>1080.53</v>
      </c>
      <c r="D166" s="109">
        <v>2010097</v>
      </c>
      <c r="E166" s="30">
        <v>40255</v>
      </c>
    </row>
    <row r="167" spans="1:5" ht="15" x14ac:dyDescent="0.25">
      <c r="A167" s="28" t="s">
        <v>20</v>
      </c>
      <c r="B167" s="28" t="s">
        <v>95</v>
      </c>
      <c r="C167" s="29">
        <v>604.62</v>
      </c>
      <c r="D167" s="109">
        <v>2010208</v>
      </c>
      <c r="E167" s="30">
        <v>40352</v>
      </c>
    </row>
    <row r="168" spans="1:5" ht="15" x14ac:dyDescent="0.25">
      <c r="A168" s="28" t="s">
        <v>22</v>
      </c>
      <c r="B168" s="28" t="s">
        <v>93</v>
      </c>
      <c r="C168" s="29">
        <v>99.07</v>
      </c>
      <c r="D168" s="109">
        <v>2010180</v>
      </c>
      <c r="E168" s="30">
        <v>40327</v>
      </c>
    </row>
    <row r="169" spans="1:5" ht="15" x14ac:dyDescent="0.25">
      <c r="A169" s="28" t="s">
        <v>20</v>
      </c>
      <c r="B169" s="28" t="s">
        <v>95</v>
      </c>
      <c r="C169" s="29">
        <v>195.05</v>
      </c>
      <c r="D169" s="109">
        <v>2010196</v>
      </c>
      <c r="E169" s="30">
        <v>40345</v>
      </c>
    </row>
    <row r="170" spans="1:5" ht="15" x14ac:dyDescent="0.25">
      <c r="A170" s="28" t="s">
        <v>20</v>
      </c>
      <c r="B170" s="28" t="s">
        <v>95</v>
      </c>
      <c r="C170" s="29">
        <v>51.5</v>
      </c>
      <c r="D170" s="109">
        <v>2010116</v>
      </c>
      <c r="E170" s="30">
        <v>40273</v>
      </c>
    </row>
    <row r="171" spans="1:5" ht="15" x14ac:dyDescent="0.25">
      <c r="A171" s="28" t="s">
        <v>22</v>
      </c>
      <c r="B171" s="28" t="s">
        <v>93</v>
      </c>
      <c r="C171" s="29">
        <v>1010.93</v>
      </c>
      <c r="D171" s="109">
        <v>2010144</v>
      </c>
      <c r="E171" s="30">
        <v>40297</v>
      </c>
    </row>
    <row r="172" spans="1:5" ht="15" x14ac:dyDescent="0.25">
      <c r="A172" s="28" t="s">
        <v>20</v>
      </c>
      <c r="B172" s="28" t="s">
        <v>63</v>
      </c>
      <c r="C172" s="29">
        <v>255.24</v>
      </c>
      <c r="D172" s="109">
        <v>2010277</v>
      </c>
      <c r="E172" s="30">
        <v>40422</v>
      </c>
    </row>
    <row r="173" spans="1:5" ht="15" x14ac:dyDescent="0.25">
      <c r="A173" s="28" t="s">
        <v>20</v>
      </c>
      <c r="B173" s="28" t="s">
        <v>95</v>
      </c>
      <c r="C173" s="29">
        <v>15.49</v>
      </c>
      <c r="D173" s="109">
        <v>2010252</v>
      </c>
      <c r="E173" s="30">
        <v>40398</v>
      </c>
    </row>
    <row r="174" spans="1:5" ht="15" x14ac:dyDescent="0.25">
      <c r="A174" s="28" t="s">
        <v>20</v>
      </c>
      <c r="B174" s="28" t="s">
        <v>63</v>
      </c>
      <c r="C174" s="29">
        <v>868.41</v>
      </c>
      <c r="D174" s="109">
        <v>2010229</v>
      </c>
      <c r="E174" s="30">
        <v>40377</v>
      </c>
    </row>
    <row r="175" spans="1:5" ht="15" x14ac:dyDescent="0.25">
      <c r="A175" s="28" t="s">
        <v>20</v>
      </c>
      <c r="B175" s="28" t="s">
        <v>94</v>
      </c>
      <c r="C175" s="29">
        <v>285.20999999999998</v>
      </c>
      <c r="D175" s="109">
        <v>2010217</v>
      </c>
      <c r="E175" s="30">
        <v>40360</v>
      </c>
    </row>
    <row r="176" spans="1:5" ht="15" x14ac:dyDescent="0.25">
      <c r="A176" s="28" t="s">
        <v>20</v>
      </c>
      <c r="B176" s="28" t="s">
        <v>92</v>
      </c>
      <c r="C176" s="29">
        <v>369.81</v>
      </c>
      <c r="D176" s="109">
        <v>2010069</v>
      </c>
      <c r="E176" s="30">
        <v>40233</v>
      </c>
    </row>
    <row r="177" spans="1:5" ht="15" x14ac:dyDescent="0.25">
      <c r="A177" s="28" t="s">
        <v>20</v>
      </c>
      <c r="B177" s="28" t="s">
        <v>94</v>
      </c>
      <c r="C177" s="29">
        <v>119.96</v>
      </c>
      <c r="D177" s="109">
        <v>2010292</v>
      </c>
      <c r="E177" s="30">
        <v>40440</v>
      </c>
    </row>
    <row r="178" spans="1:5" ht="15" x14ac:dyDescent="0.25">
      <c r="A178" s="28" t="s">
        <v>20</v>
      </c>
      <c r="B178" s="28" t="s">
        <v>94</v>
      </c>
      <c r="C178" s="29">
        <v>842.87</v>
      </c>
      <c r="D178" s="109">
        <v>2010333</v>
      </c>
      <c r="E178" s="30">
        <v>40479</v>
      </c>
    </row>
    <row r="179" spans="1:5" ht="15" x14ac:dyDescent="0.25">
      <c r="A179" s="28" t="s">
        <v>20</v>
      </c>
      <c r="B179" s="28" t="s">
        <v>91</v>
      </c>
      <c r="C179" s="29">
        <v>596.38</v>
      </c>
      <c r="D179" s="109">
        <v>2010390</v>
      </c>
      <c r="E179" s="30">
        <v>40535</v>
      </c>
    </row>
    <row r="180" spans="1:5" ht="15" x14ac:dyDescent="0.25">
      <c r="A180" s="28" t="s">
        <v>20</v>
      </c>
      <c r="B180" s="28" t="s">
        <v>95</v>
      </c>
      <c r="C180" s="29">
        <v>233.58</v>
      </c>
      <c r="D180" s="109">
        <v>2010107</v>
      </c>
      <c r="E180" s="30">
        <v>40266</v>
      </c>
    </row>
    <row r="181" spans="1:5" ht="15" x14ac:dyDescent="0.25">
      <c r="A181" s="28" t="s">
        <v>20</v>
      </c>
      <c r="B181" s="28" t="s">
        <v>91</v>
      </c>
      <c r="C181" s="29">
        <v>827.39</v>
      </c>
      <c r="D181" s="109">
        <v>2010025</v>
      </c>
      <c r="E181" s="30">
        <v>40198</v>
      </c>
    </row>
    <row r="182" spans="1:5" ht="15" x14ac:dyDescent="0.25">
      <c r="A182" s="28" t="s">
        <v>20</v>
      </c>
      <c r="B182" s="28" t="s">
        <v>91</v>
      </c>
      <c r="C182" s="29">
        <v>543.4</v>
      </c>
      <c r="D182" s="109">
        <v>2010098</v>
      </c>
      <c r="E182" s="30">
        <v>40256</v>
      </c>
    </row>
    <row r="183" spans="1:5" ht="15" x14ac:dyDescent="0.25">
      <c r="A183" s="28" t="s">
        <v>20</v>
      </c>
      <c r="B183" s="28" t="s">
        <v>63</v>
      </c>
      <c r="C183" s="29">
        <v>1059.23</v>
      </c>
      <c r="D183" s="109">
        <v>2010239</v>
      </c>
      <c r="E183" s="30">
        <v>40385</v>
      </c>
    </row>
    <row r="184" spans="1:5" ht="15" x14ac:dyDescent="0.25">
      <c r="A184" s="28" t="s">
        <v>20</v>
      </c>
      <c r="B184" s="28" t="s">
        <v>63</v>
      </c>
      <c r="C184" s="29">
        <v>641.25</v>
      </c>
      <c r="D184" s="109">
        <v>2010308</v>
      </c>
      <c r="E184" s="30">
        <v>40455</v>
      </c>
    </row>
    <row r="185" spans="1:5" ht="15" x14ac:dyDescent="0.25">
      <c r="A185" s="28" t="s">
        <v>22</v>
      </c>
      <c r="B185" s="28" t="s">
        <v>96</v>
      </c>
      <c r="C185" s="29">
        <v>1140.6099999999999</v>
      </c>
      <c r="D185" s="109">
        <v>2010203</v>
      </c>
      <c r="E185" s="30">
        <v>40350</v>
      </c>
    </row>
    <row r="186" spans="1:5" ht="15" x14ac:dyDescent="0.25">
      <c r="A186" s="28" t="s">
        <v>20</v>
      </c>
      <c r="B186" s="28" t="s">
        <v>95</v>
      </c>
      <c r="C186" s="29">
        <v>598.91</v>
      </c>
      <c r="D186" s="109">
        <v>2010161</v>
      </c>
      <c r="E186" s="30">
        <v>40309</v>
      </c>
    </row>
    <row r="187" spans="1:5" ht="15" x14ac:dyDescent="0.25">
      <c r="A187" s="28" t="s">
        <v>20</v>
      </c>
      <c r="B187" s="28" t="s">
        <v>91</v>
      </c>
      <c r="C187" s="29">
        <v>279.27999999999997</v>
      </c>
      <c r="D187" s="109">
        <v>2010298</v>
      </c>
      <c r="E187" s="30">
        <v>40442</v>
      </c>
    </row>
    <row r="188" spans="1:5" ht="15" x14ac:dyDescent="0.25">
      <c r="A188" s="28" t="s">
        <v>20</v>
      </c>
      <c r="B188" s="28" t="s">
        <v>91</v>
      </c>
      <c r="C188" s="29">
        <v>102.36</v>
      </c>
      <c r="D188" s="109">
        <v>2010330</v>
      </c>
      <c r="E188" s="30">
        <v>40476</v>
      </c>
    </row>
    <row r="189" spans="1:5" ht="15" x14ac:dyDescent="0.25">
      <c r="A189" s="28" t="s">
        <v>20</v>
      </c>
      <c r="B189" s="28" t="s">
        <v>95</v>
      </c>
      <c r="C189" s="29">
        <v>370.25</v>
      </c>
      <c r="D189" s="109">
        <v>2010118</v>
      </c>
      <c r="E189" s="30">
        <v>40275</v>
      </c>
    </row>
    <row r="190" spans="1:5" ht="15" x14ac:dyDescent="0.25">
      <c r="A190" s="28" t="s">
        <v>22</v>
      </c>
      <c r="B190" s="28" t="s">
        <v>96</v>
      </c>
      <c r="C190" s="29">
        <v>1174.3499999999999</v>
      </c>
      <c r="D190" s="109">
        <v>2010075</v>
      </c>
      <c r="E190" s="30">
        <v>40238</v>
      </c>
    </row>
    <row r="191" spans="1:5" ht="15" x14ac:dyDescent="0.25">
      <c r="A191" s="28" t="s">
        <v>22</v>
      </c>
      <c r="B191" s="28" t="s">
        <v>96</v>
      </c>
      <c r="C191" s="29">
        <v>474.28</v>
      </c>
      <c r="D191" s="109">
        <v>2010267</v>
      </c>
      <c r="E191" s="30">
        <v>40412</v>
      </c>
    </row>
    <row r="192" spans="1:5" ht="15" x14ac:dyDescent="0.25">
      <c r="A192" s="28" t="s">
        <v>20</v>
      </c>
      <c r="B192" s="28" t="s">
        <v>95</v>
      </c>
      <c r="C192" s="29">
        <v>13.37</v>
      </c>
      <c r="D192" s="109">
        <v>2010323</v>
      </c>
      <c r="E192" s="30">
        <v>40469</v>
      </c>
    </row>
    <row r="193" spans="1:5" ht="15" x14ac:dyDescent="0.25">
      <c r="A193" s="28" t="s">
        <v>20</v>
      </c>
      <c r="B193" s="28" t="s">
        <v>63</v>
      </c>
      <c r="C193" s="29">
        <v>753.47</v>
      </c>
      <c r="D193" s="109">
        <v>2010221</v>
      </c>
      <c r="E193" s="30">
        <v>40366</v>
      </c>
    </row>
    <row r="194" spans="1:5" ht="15" x14ac:dyDescent="0.25">
      <c r="A194" s="28" t="s">
        <v>22</v>
      </c>
      <c r="B194" s="28" t="s">
        <v>90</v>
      </c>
      <c r="C194" s="29">
        <v>858.38</v>
      </c>
      <c r="D194" s="109">
        <v>2010377</v>
      </c>
      <c r="E194" s="30">
        <v>40523</v>
      </c>
    </row>
    <row r="195" spans="1:5" ht="15" x14ac:dyDescent="0.25">
      <c r="A195" s="28" t="s">
        <v>20</v>
      </c>
      <c r="B195" s="28" t="s">
        <v>63</v>
      </c>
      <c r="C195" s="29">
        <v>169.25</v>
      </c>
      <c r="D195" s="109">
        <v>2010015</v>
      </c>
      <c r="E195" s="30">
        <v>40191</v>
      </c>
    </row>
    <row r="196" spans="1:5" ht="15" x14ac:dyDescent="0.25">
      <c r="A196" s="28" t="s">
        <v>20</v>
      </c>
      <c r="B196" s="28" t="s">
        <v>92</v>
      </c>
      <c r="C196" s="29">
        <v>942.58</v>
      </c>
      <c r="D196" s="109">
        <v>2010096</v>
      </c>
      <c r="E196" s="30">
        <v>40255</v>
      </c>
    </row>
    <row r="197" spans="1:5" ht="15" x14ac:dyDescent="0.25">
      <c r="A197" s="28" t="s">
        <v>22</v>
      </c>
      <c r="B197" s="28" t="s">
        <v>90</v>
      </c>
      <c r="C197" s="29">
        <v>764.12</v>
      </c>
      <c r="D197" s="109">
        <v>2010050</v>
      </c>
      <c r="E197" s="30">
        <v>40217</v>
      </c>
    </row>
    <row r="198" spans="1:5" ht="15" x14ac:dyDescent="0.25">
      <c r="A198" s="28" t="s">
        <v>20</v>
      </c>
      <c r="B198" s="28" t="s">
        <v>91</v>
      </c>
      <c r="C198" s="29">
        <v>696.24</v>
      </c>
      <c r="D198" s="109">
        <v>2010213</v>
      </c>
      <c r="E198" s="30">
        <v>40359</v>
      </c>
    </row>
    <row r="199" spans="1:5" ht="15" x14ac:dyDescent="0.25">
      <c r="A199" s="28" t="s">
        <v>22</v>
      </c>
      <c r="B199" s="28" t="s">
        <v>93</v>
      </c>
      <c r="C199" s="29">
        <v>233.65</v>
      </c>
      <c r="D199" s="109">
        <v>2010346</v>
      </c>
      <c r="E199" s="30">
        <v>40487</v>
      </c>
    </row>
    <row r="200" spans="1:5" ht="15" x14ac:dyDescent="0.25">
      <c r="A200" s="28" t="s">
        <v>20</v>
      </c>
      <c r="B200" s="28" t="s">
        <v>94</v>
      </c>
      <c r="C200" s="29">
        <v>856.15</v>
      </c>
      <c r="D200" s="109">
        <v>2010348</v>
      </c>
      <c r="E200" s="30">
        <v>40490</v>
      </c>
    </row>
    <row r="201" spans="1:5" ht="15" x14ac:dyDescent="0.25">
      <c r="A201" s="28" t="s">
        <v>20</v>
      </c>
      <c r="B201" s="28" t="s">
        <v>92</v>
      </c>
      <c r="C201" s="29">
        <v>583.94000000000005</v>
      </c>
      <c r="D201" s="109">
        <v>2010317</v>
      </c>
      <c r="E201" s="30">
        <v>40464</v>
      </c>
    </row>
    <row r="202" spans="1:5" ht="15" x14ac:dyDescent="0.25">
      <c r="A202" s="28" t="s">
        <v>20</v>
      </c>
      <c r="B202" s="28" t="s">
        <v>91</v>
      </c>
      <c r="C202" s="29">
        <v>515.63</v>
      </c>
      <c r="D202" s="109">
        <v>2010179</v>
      </c>
      <c r="E202" s="30">
        <v>40327</v>
      </c>
    </row>
    <row r="203" spans="1:5" ht="15" x14ac:dyDescent="0.25">
      <c r="A203" s="28" t="s">
        <v>20</v>
      </c>
      <c r="B203" s="28" t="s">
        <v>92</v>
      </c>
      <c r="C203" s="29">
        <v>665.25</v>
      </c>
      <c r="D203" s="109">
        <v>2010233</v>
      </c>
      <c r="E203" s="30">
        <v>40381</v>
      </c>
    </row>
    <row r="204" spans="1:5" ht="15" x14ac:dyDescent="0.25">
      <c r="A204" s="28" t="s">
        <v>22</v>
      </c>
      <c r="B204" s="28" t="s">
        <v>93</v>
      </c>
      <c r="C204" s="29">
        <v>718.89</v>
      </c>
      <c r="D204" s="109">
        <v>2010358</v>
      </c>
      <c r="E204" s="30">
        <v>40501</v>
      </c>
    </row>
    <row r="205" spans="1:5" ht="15" x14ac:dyDescent="0.25">
      <c r="A205" s="28" t="s">
        <v>20</v>
      </c>
      <c r="B205" s="28" t="s">
        <v>91</v>
      </c>
      <c r="C205" s="29">
        <v>1037.8599999999999</v>
      </c>
      <c r="D205" s="109">
        <v>2010013</v>
      </c>
      <c r="E205" s="30">
        <v>40191</v>
      </c>
    </row>
    <row r="206" spans="1:5" ht="15" x14ac:dyDescent="0.25">
      <c r="A206" s="28" t="s">
        <v>20</v>
      </c>
      <c r="B206" s="28" t="s">
        <v>95</v>
      </c>
      <c r="C206" s="29">
        <v>472.16</v>
      </c>
      <c r="D206" s="109">
        <v>2010123</v>
      </c>
      <c r="E206" s="30">
        <v>40280</v>
      </c>
    </row>
    <row r="207" spans="1:5" ht="15" x14ac:dyDescent="0.25">
      <c r="A207" s="28" t="s">
        <v>20</v>
      </c>
      <c r="B207" s="28" t="s">
        <v>91</v>
      </c>
      <c r="C207" s="29">
        <v>899.14</v>
      </c>
      <c r="D207" s="109">
        <v>2010201</v>
      </c>
      <c r="E207" s="30">
        <v>40347</v>
      </c>
    </row>
    <row r="208" spans="1:5" ht="15" x14ac:dyDescent="0.25">
      <c r="A208" s="28" t="s">
        <v>20</v>
      </c>
      <c r="B208" s="28" t="s">
        <v>91</v>
      </c>
      <c r="C208" s="29">
        <v>720.61</v>
      </c>
      <c r="D208" s="109">
        <v>2010184</v>
      </c>
      <c r="E208" s="30">
        <v>40330</v>
      </c>
    </row>
    <row r="209" spans="1:5" ht="15" x14ac:dyDescent="0.25">
      <c r="A209" s="28" t="s">
        <v>20</v>
      </c>
      <c r="B209" s="28" t="s">
        <v>91</v>
      </c>
      <c r="C209" s="29">
        <v>676.7</v>
      </c>
      <c r="D209" s="109">
        <v>2010261</v>
      </c>
      <c r="E209" s="30">
        <v>40406</v>
      </c>
    </row>
    <row r="210" spans="1:5" ht="15" x14ac:dyDescent="0.25">
      <c r="A210" s="28" t="s">
        <v>22</v>
      </c>
      <c r="B210" s="28" t="s">
        <v>90</v>
      </c>
      <c r="C210" s="29">
        <v>958.61</v>
      </c>
      <c r="D210" s="109">
        <v>2010238</v>
      </c>
      <c r="E210" s="30">
        <v>40384</v>
      </c>
    </row>
    <row r="211" spans="1:5" ht="15" x14ac:dyDescent="0.25">
      <c r="A211" s="28" t="s">
        <v>20</v>
      </c>
      <c r="B211" s="28" t="s">
        <v>92</v>
      </c>
      <c r="C211" s="29">
        <v>230.87</v>
      </c>
      <c r="D211" s="109">
        <v>2010168</v>
      </c>
      <c r="E211" s="30">
        <v>40316</v>
      </c>
    </row>
    <row r="212" spans="1:5" ht="15" x14ac:dyDescent="0.25">
      <c r="A212" s="28" t="s">
        <v>20</v>
      </c>
      <c r="B212" s="28" t="s">
        <v>92</v>
      </c>
      <c r="C212" s="29">
        <v>954.03</v>
      </c>
      <c r="D212" s="109">
        <v>2010154</v>
      </c>
      <c r="E212" s="30">
        <v>40307</v>
      </c>
    </row>
    <row r="213" spans="1:5" ht="15" x14ac:dyDescent="0.25">
      <c r="A213" s="28" t="s">
        <v>20</v>
      </c>
      <c r="B213" s="28" t="s">
        <v>63</v>
      </c>
      <c r="C213" s="29">
        <v>1086.97</v>
      </c>
      <c r="D213" s="109">
        <v>2010367</v>
      </c>
      <c r="E213" s="30">
        <v>40514</v>
      </c>
    </row>
    <row r="214" spans="1:5" ht="15" x14ac:dyDescent="0.25">
      <c r="A214" s="28" t="s">
        <v>20</v>
      </c>
      <c r="B214" s="28" t="s">
        <v>92</v>
      </c>
      <c r="C214" s="29">
        <v>614.13</v>
      </c>
      <c r="D214" s="109">
        <v>2010372</v>
      </c>
      <c r="E214" s="30">
        <v>40517</v>
      </c>
    </row>
    <row r="215" spans="1:5" ht="15" x14ac:dyDescent="0.25">
      <c r="A215" s="28" t="s">
        <v>22</v>
      </c>
      <c r="B215" s="28" t="s">
        <v>62</v>
      </c>
      <c r="C215" s="29">
        <v>340.79</v>
      </c>
      <c r="D215" s="109">
        <v>2010136</v>
      </c>
      <c r="E215" s="30">
        <v>40289</v>
      </c>
    </row>
    <row r="216" spans="1:5" ht="15" x14ac:dyDescent="0.25">
      <c r="A216" s="28" t="s">
        <v>20</v>
      </c>
      <c r="B216" s="28" t="s">
        <v>94</v>
      </c>
      <c r="C216" s="29">
        <v>587.16</v>
      </c>
      <c r="D216" s="109">
        <v>2010074</v>
      </c>
      <c r="E216" s="30">
        <v>40238</v>
      </c>
    </row>
    <row r="217" spans="1:5" ht="15" x14ac:dyDescent="0.25">
      <c r="A217" s="28" t="s">
        <v>20</v>
      </c>
      <c r="B217" s="28" t="s">
        <v>91</v>
      </c>
      <c r="C217" s="29">
        <v>1130.51</v>
      </c>
      <c r="D217" s="109">
        <v>2010227</v>
      </c>
      <c r="E217" s="30">
        <v>40374</v>
      </c>
    </row>
    <row r="218" spans="1:5" ht="15" x14ac:dyDescent="0.25">
      <c r="A218" s="28" t="s">
        <v>22</v>
      </c>
      <c r="B218" s="28" t="s">
        <v>96</v>
      </c>
      <c r="C218" s="29">
        <v>1165.17</v>
      </c>
      <c r="D218" s="109">
        <v>2010315</v>
      </c>
      <c r="E218" s="30">
        <v>40462</v>
      </c>
    </row>
    <row r="219" spans="1:5" ht="15" x14ac:dyDescent="0.25">
      <c r="A219" s="28" t="s">
        <v>20</v>
      </c>
      <c r="B219" s="28" t="s">
        <v>94</v>
      </c>
      <c r="C219" s="29">
        <v>513.61</v>
      </c>
      <c r="D219" s="109">
        <v>2010174</v>
      </c>
      <c r="E219" s="30">
        <v>40321</v>
      </c>
    </row>
    <row r="220" spans="1:5" ht="15" x14ac:dyDescent="0.25">
      <c r="A220" s="28" t="s">
        <v>20</v>
      </c>
      <c r="B220" s="28" t="s">
        <v>95</v>
      </c>
      <c r="C220" s="29">
        <v>962.96</v>
      </c>
      <c r="D220" s="109">
        <v>2010117</v>
      </c>
      <c r="E220" s="30">
        <v>40273</v>
      </c>
    </row>
    <row r="221" spans="1:5" ht="15" x14ac:dyDescent="0.25">
      <c r="A221" s="28" t="s">
        <v>20</v>
      </c>
      <c r="B221" s="28" t="s">
        <v>95</v>
      </c>
      <c r="C221" s="29">
        <v>985.1</v>
      </c>
      <c r="D221" s="109">
        <v>2010079</v>
      </c>
      <c r="E221" s="30">
        <v>40240</v>
      </c>
    </row>
    <row r="222" spans="1:5" ht="15" x14ac:dyDescent="0.25">
      <c r="A222" s="28" t="s">
        <v>20</v>
      </c>
      <c r="B222" s="28" t="s">
        <v>95</v>
      </c>
      <c r="C222" s="29">
        <v>849.67</v>
      </c>
      <c r="D222" s="109">
        <v>2010304</v>
      </c>
      <c r="E222" s="30">
        <v>40449</v>
      </c>
    </row>
    <row r="223" spans="1:5" ht="15" x14ac:dyDescent="0.25">
      <c r="A223" s="28" t="s">
        <v>20</v>
      </c>
      <c r="B223" s="28" t="s">
        <v>94</v>
      </c>
      <c r="C223" s="29">
        <v>729.5</v>
      </c>
      <c r="D223" s="109">
        <v>2010112</v>
      </c>
      <c r="E223" s="30">
        <v>40269</v>
      </c>
    </row>
    <row r="224" spans="1:5" ht="15" x14ac:dyDescent="0.25">
      <c r="A224" s="28" t="s">
        <v>20</v>
      </c>
      <c r="B224" s="28" t="s">
        <v>95</v>
      </c>
      <c r="C224" s="29">
        <v>673.37</v>
      </c>
      <c r="D224" s="109">
        <v>2010124</v>
      </c>
      <c r="E224" s="30">
        <v>40280</v>
      </c>
    </row>
    <row r="225" spans="1:5" ht="15" x14ac:dyDescent="0.25">
      <c r="A225" s="28" t="s">
        <v>20</v>
      </c>
      <c r="B225" s="28" t="s">
        <v>95</v>
      </c>
      <c r="C225" s="29">
        <v>285.54000000000002</v>
      </c>
      <c r="D225" s="109">
        <v>2010129</v>
      </c>
      <c r="E225" s="30">
        <v>40282</v>
      </c>
    </row>
    <row r="226" spans="1:5" ht="15" x14ac:dyDescent="0.25">
      <c r="A226" s="28" t="s">
        <v>20</v>
      </c>
      <c r="B226" s="28" t="s">
        <v>94</v>
      </c>
      <c r="C226" s="29">
        <v>742.57</v>
      </c>
      <c r="D226" s="109">
        <v>2010078</v>
      </c>
      <c r="E226" s="30">
        <v>40240</v>
      </c>
    </row>
    <row r="227" spans="1:5" ht="15" x14ac:dyDescent="0.25">
      <c r="A227" s="28" t="s">
        <v>20</v>
      </c>
      <c r="B227" s="28" t="s">
        <v>91</v>
      </c>
      <c r="C227" s="29">
        <v>822.74</v>
      </c>
      <c r="D227" s="109">
        <v>2010064</v>
      </c>
      <c r="E227" s="30">
        <v>40227</v>
      </c>
    </row>
    <row r="228" spans="1:5" ht="15" x14ac:dyDescent="0.25">
      <c r="A228" s="28" t="s">
        <v>20</v>
      </c>
      <c r="B228" s="28" t="s">
        <v>92</v>
      </c>
      <c r="C228" s="29">
        <v>31.08</v>
      </c>
      <c r="D228" s="109">
        <v>2010379</v>
      </c>
      <c r="E228" s="30">
        <v>40528</v>
      </c>
    </row>
    <row r="229" spans="1:5" ht="15" x14ac:dyDescent="0.25">
      <c r="A229" s="28" t="s">
        <v>20</v>
      </c>
      <c r="B229" s="28" t="s">
        <v>92</v>
      </c>
      <c r="C229" s="29">
        <v>445.41</v>
      </c>
      <c r="D229" s="109">
        <v>2010156</v>
      </c>
      <c r="E229" s="30">
        <v>40307</v>
      </c>
    </row>
    <row r="230" spans="1:5" ht="15" x14ac:dyDescent="0.25">
      <c r="A230" s="28" t="s">
        <v>20</v>
      </c>
      <c r="B230" s="28" t="s">
        <v>63</v>
      </c>
      <c r="C230" s="29">
        <v>938.7</v>
      </c>
      <c r="D230" s="109">
        <v>2010319</v>
      </c>
      <c r="E230" s="30">
        <v>40465</v>
      </c>
    </row>
    <row r="231" spans="1:5" ht="15" x14ac:dyDescent="0.25">
      <c r="A231" s="28" t="s">
        <v>20</v>
      </c>
      <c r="B231" s="28" t="s">
        <v>92</v>
      </c>
      <c r="C231" s="29">
        <v>92.52</v>
      </c>
      <c r="D231" s="109">
        <v>2010169</v>
      </c>
      <c r="E231" s="30">
        <v>40316</v>
      </c>
    </row>
    <row r="232" spans="1:5" ht="15" x14ac:dyDescent="0.25">
      <c r="A232" s="28" t="s">
        <v>20</v>
      </c>
      <c r="B232" s="28" t="s">
        <v>94</v>
      </c>
      <c r="C232" s="29">
        <v>588.70000000000005</v>
      </c>
      <c r="D232" s="109">
        <v>2010147</v>
      </c>
      <c r="E232" s="30">
        <v>40298</v>
      </c>
    </row>
    <row r="233" spans="1:5" ht="15" x14ac:dyDescent="0.25">
      <c r="A233" s="28" t="s">
        <v>22</v>
      </c>
      <c r="B233" s="28" t="s">
        <v>62</v>
      </c>
      <c r="C233" s="29">
        <v>254.84</v>
      </c>
      <c r="D233" s="109">
        <v>2010301</v>
      </c>
      <c r="E233" s="30">
        <v>40444</v>
      </c>
    </row>
    <row r="234" spans="1:5" ht="15" x14ac:dyDescent="0.25">
      <c r="A234" s="28" t="s">
        <v>20</v>
      </c>
      <c r="B234" s="28" t="s">
        <v>91</v>
      </c>
      <c r="C234" s="29">
        <v>119.7</v>
      </c>
      <c r="D234" s="109">
        <v>2010287</v>
      </c>
      <c r="E234" s="30">
        <v>40433</v>
      </c>
    </row>
    <row r="235" spans="1:5" ht="15" x14ac:dyDescent="0.25">
      <c r="A235" s="28" t="s">
        <v>20</v>
      </c>
      <c r="B235" s="28" t="s">
        <v>91</v>
      </c>
      <c r="C235" s="29">
        <v>1150.3499999999999</v>
      </c>
      <c r="D235" s="109">
        <v>2010160</v>
      </c>
      <c r="E235" s="30">
        <v>40309</v>
      </c>
    </row>
    <row r="236" spans="1:5" ht="15" x14ac:dyDescent="0.25">
      <c r="A236" s="28" t="s">
        <v>20</v>
      </c>
      <c r="B236" s="28" t="s">
        <v>91</v>
      </c>
      <c r="C236" s="29">
        <v>341.34</v>
      </c>
      <c r="D236" s="109">
        <v>2010178</v>
      </c>
      <c r="E236" s="30">
        <v>40324</v>
      </c>
    </row>
    <row r="237" spans="1:5" ht="15" x14ac:dyDescent="0.25">
      <c r="A237" s="28" t="s">
        <v>20</v>
      </c>
      <c r="B237" s="28" t="s">
        <v>63</v>
      </c>
      <c r="C237" s="29">
        <v>829.84</v>
      </c>
      <c r="D237" s="109">
        <v>2010102</v>
      </c>
      <c r="E237" s="30">
        <v>40261</v>
      </c>
    </row>
    <row r="238" spans="1:5" ht="15" x14ac:dyDescent="0.25">
      <c r="A238" s="28" t="s">
        <v>20</v>
      </c>
      <c r="B238" s="28" t="s">
        <v>91</v>
      </c>
      <c r="C238" s="29">
        <v>640.66</v>
      </c>
      <c r="D238" s="109">
        <v>2010289</v>
      </c>
      <c r="E238" s="30">
        <v>40435</v>
      </c>
    </row>
    <row r="239" spans="1:5" ht="15" x14ac:dyDescent="0.25">
      <c r="A239" s="28" t="s">
        <v>20</v>
      </c>
      <c r="B239" s="28" t="s">
        <v>91</v>
      </c>
      <c r="C239" s="29">
        <v>804.81</v>
      </c>
      <c r="D239" s="109">
        <v>2010046</v>
      </c>
      <c r="E239" s="30">
        <v>40213</v>
      </c>
    </row>
    <row r="240" spans="1:5" ht="15" x14ac:dyDescent="0.25">
      <c r="A240" s="28" t="s">
        <v>22</v>
      </c>
      <c r="B240" s="28" t="s">
        <v>96</v>
      </c>
      <c r="C240" s="29">
        <v>238.44</v>
      </c>
      <c r="D240" s="109">
        <v>2010120</v>
      </c>
      <c r="E240" s="30">
        <v>40276</v>
      </c>
    </row>
    <row r="241" spans="1:5" ht="15" x14ac:dyDescent="0.25">
      <c r="A241" s="28" t="s">
        <v>22</v>
      </c>
      <c r="B241" s="28" t="s">
        <v>96</v>
      </c>
      <c r="C241" s="29">
        <v>615.34</v>
      </c>
      <c r="D241" s="109">
        <v>2010148</v>
      </c>
      <c r="E241" s="30">
        <v>40299</v>
      </c>
    </row>
    <row r="242" spans="1:5" ht="15" x14ac:dyDescent="0.25">
      <c r="A242" s="28" t="s">
        <v>20</v>
      </c>
      <c r="B242" s="28" t="s">
        <v>63</v>
      </c>
      <c r="C242" s="29">
        <v>289.33999999999997</v>
      </c>
      <c r="D242" s="109">
        <v>2010399</v>
      </c>
      <c r="E242" s="30">
        <v>40543</v>
      </c>
    </row>
    <row r="243" spans="1:5" ht="15" x14ac:dyDescent="0.25">
      <c r="A243" s="28" t="s">
        <v>20</v>
      </c>
      <c r="B243" s="28" t="s">
        <v>94</v>
      </c>
      <c r="C243" s="29">
        <v>546.03</v>
      </c>
      <c r="D243" s="109">
        <v>2010359</v>
      </c>
      <c r="E243" s="30">
        <v>40504</v>
      </c>
    </row>
    <row r="244" spans="1:5" ht="15" x14ac:dyDescent="0.25">
      <c r="A244" s="28" t="s">
        <v>20</v>
      </c>
      <c r="B244" s="28" t="s">
        <v>91</v>
      </c>
      <c r="C244" s="29">
        <v>1058.72</v>
      </c>
      <c r="D244" s="109">
        <v>2010016</v>
      </c>
      <c r="E244" s="30">
        <v>40191</v>
      </c>
    </row>
    <row r="245" spans="1:5" ht="15" x14ac:dyDescent="0.25">
      <c r="A245" s="28" t="s">
        <v>22</v>
      </c>
      <c r="B245" s="28" t="s">
        <v>90</v>
      </c>
      <c r="C245" s="29">
        <v>114.18</v>
      </c>
      <c r="D245" s="109">
        <v>2010141</v>
      </c>
      <c r="E245" s="30">
        <v>40296</v>
      </c>
    </row>
    <row r="246" spans="1:5" ht="15" x14ac:dyDescent="0.25">
      <c r="A246" s="28" t="s">
        <v>20</v>
      </c>
      <c r="B246" s="28" t="s">
        <v>95</v>
      </c>
      <c r="C246" s="29">
        <v>431.17</v>
      </c>
      <c r="D246" s="109">
        <v>2010065</v>
      </c>
      <c r="E246" s="30">
        <v>40228</v>
      </c>
    </row>
    <row r="247" spans="1:5" ht="15" x14ac:dyDescent="0.25">
      <c r="A247" s="28" t="s">
        <v>20</v>
      </c>
      <c r="B247" s="28" t="s">
        <v>92</v>
      </c>
      <c r="C247" s="29">
        <v>245.18</v>
      </c>
      <c r="D247" s="109">
        <v>2010311</v>
      </c>
      <c r="E247" s="30">
        <v>40458</v>
      </c>
    </row>
    <row r="248" spans="1:5" ht="15" x14ac:dyDescent="0.25">
      <c r="A248" s="28" t="s">
        <v>20</v>
      </c>
      <c r="B248" s="28" t="s">
        <v>94</v>
      </c>
      <c r="C248" s="29">
        <v>278</v>
      </c>
      <c r="D248" s="109">
        <v>2010022</v>
      </c>
      <c r="E248" s="30">
        <v>40195</v>
      </c>
    </row>
    <row r="249" spans="1:5" ht="15" x14ac:dyDescent="0.25">
      <c r="A249" s="28" t="s">
        <v>20</v>
      </c>
      <c r="B249" s="28" t="s">
        <v>92</v>
      </c>
      <c r="C249" s="29">
        <v>642.01</v>
      </c>
      <c r="D249" s="109">
        <v>2010172</v>
      </c>
      <c r="E249" s="30">
        <v>40320</v>
      </c>
    </row>
    <row r="250" spans="1:5" ht="15" x14ac:dyDescent="0.25">
      <c r="A250" s="28" t="s">
        <v>20</v>
      </c>
      <c r="B250" s="28" t="s">
        <v>91</v>
      </c>
      <c r="C250" s="29">
        <v>901.96</v>
      </c>
      <c r="D250" s="109">
        <v>2010012</v>
      </c>
      <c r="E250" s="30">
        <v>40188</v>
      </c>
    </row>
    <row r="251" spans="1:5" ht="15" x14ac:dyDescent="0.25">
      <c r="A251" s="28" t="s">
        <v>20</v>
      </c>
      <c r="B251" s="28" t="s">
        <v>63</v>
      </c>
      <c r="C251" s="29">
        <v>437.76</v>
      </c>
      <c r="D251" s="109">
        <v>2010063</v>
      </c>
      <c r="E251" s="30">
        <v>40226</v>
      </c>
    </row>
    <row r="252" spans="1:5" ht="15" x14ac:dyDescent="0.25">
      <c r="A252" s="28" t="s">
        <v>20</v>
      </c>
      <c r="B252" s="28" t="s">
        <v>94</v>
      </c>
      <c r="C252" s="29">
        <v>358.39</v>
      </c>
      <c r="D252" s="109">
        <v>2010220</v>
      </c>
      <c r="E252" s="30">
        <v>40365</v>
      </c>
    </row>
    <row r="253" spans="1:5" ht="15" x14ac:dyDescent="0.25">
      <c r="A253" s="28" t="s">
        <v>22</v>
      </c>
      <c r="B253" s="28" t="s">
        <v>62</v>
      </c>
      <c r="C253" s="29">
        <v>1192.28</v>
      </c>
      <c r="D253" s="109">
        <v>2010269</v>
      </c>
      <c r="E253" s="30">
        <v>40414</v>
      </c>
    </row>
    <row r="254" spans="1:5" ht="15" x14ac:dyDescent="0.25">
      <c r="A254" s="28" t="s">
        <v>20</v>
      </c>
      <c r="B254" s="28" t="s">
        <v>95</v>
      </c>
      <c r="C254" s="29">
        <v>569.96</v>
      </c>
      <c r="D254" s="109">
        <v>2010157</v>
      </c>
      <c r="E254" s="30">
        <v>40308</v>
      </c>
    </row>
    <row r="255" spans="1:5" ht="15" x14ac:dyDescent="0.25">
      <c r="A255" s="28" t="s">
        <v>20</v>
      </c>
      <c r="B255" s="28" t="s">
        <v>92</v>
      </c>
      <c r="C255" s="29">
        <v>786.59</v>
      </c>
      <c r="D255" s="109">
        <v>2010254</v>
      </c>
      <c r="E255" s="30">
        <v>40398</v>
      </c>
    </row>
    <row r="256" spans="1:5" ht="15" x14ac:dyDescent="0.25">
      <c r="A256" s="28" t="s">
        <v>22</v>
      </c>
      <c r="B256" s="28" t="s">
        <v>90</v>
      </c>
      <c r="C256" s="29">
        <v>918.54</v>
      </c>
      <c r="D256" s="109">
        <v>2010302</v>
      </c>
      <c r="E256" s="30">
        <v>40447</v>
      </c>
    </row>
    <row r="257" spans="1:5" ht="15" x14ac:dyDescent="0.25">
      <c r="A257" s="28" t="s">
        <v>20</v>
      </c>
      <c r="B257" s="28" t="s">
        <v>92</v>
      </c>
      <c r="C257" s="29">
        <v>492.94</v>
      </c>
      <c r="D257" s="109">
        <v>2010305</v>
      </c>
      <c r="E257" s="30">
        <v>40449</v>
      </c>
    </row>
    <row r="258" spans="1:5" ht="15" x14ac:dyDescent="0.25">
      <c r="A258" s="28" t="s">
        <v>20</v>
      </c>
      <c r="B258" s="28" t="s">
        <v>94</v>
      </c>
      <c r="C258" s="29">
        <v>307.93</v>
      </c>
      <c r="D258" s="109">
        <v>2010028</v>
      </c>
      <c r="E258" s="30">
        <v>40201</v>
      </c>
    </row>
    <row r="259" spans="1:5" ht="15" x14ac:dyDescent="0.25">
      <c r="A259" s="28" t="s">
        <v>20</v>
      </c>
      <c r="B259" s="28" t="s">
        <v>92</v>
      </c>
      <c r="C259" s="29">
        <v>908.22</v>
      </c>
      <c r="D259" s="109">
        <v>2010010</v>
      </c>
      <c r="E259" s="30">
        <v>40187</v>
      </c>
    </row>
    <row r="260" spans="1:5" ht="15" x14ac:dyDescent="0.25">
      <c r="A260" s="28" t="s">
        <v>20</v>
      </c>
      <c r="B260" s="28" t="s">
        <v>91</v>
      </c>
      <c r="C260" s="29">
        <v>601.14</v>
      </c>
      <c r="D260" s="109">
        <v>2010145</v>
      </c>
      <c r="E260" s="30">
        <v>40297</v>
      </c>
    </row>
    <row r="261" spans="1:5" ht="15" x14ac:dyDescent="0.25">
      <c r="A261" s="28" t="s">
        <v>22</v>
      </c>
      <c r="B261" s="28" t="s">
        <v>62</v>
      </c>
      <c r="C261" s="29">
        <v>1145.5899999999999</v>
      </c>
      <c r="D261" s="109">
        <v>2010125</v>
      </c>
      <c r="E261" s="30">
        <v>40280</v>
      </c>
    </row>
    <row r="262" spans="1:5" ht="15" x14ac:dyDescent="0.25">
      <c r="A262" s="28" t="s">
        <v>20</v>
      </c>
      <c r="B262" s="28" t="s">
        <v>95</v>
      </c>
      <c r="C262" s="29">
        <v>918.24</v>
      </c>
      <c r="D262" s="109">
        <v>2010332</v>
      </c>
      <c r="E262" s="30">
        <v>40478</v>
      </c>
    </row>
    <row r="263" spans="1:5" ht="15" x14ac:dyDescent="0.25">
      <c r="A263" s="28" t="s">
        <v>20</v>
      </c>
      <c r="B263" s="28" t="s">
        <v>63</v>
      </c>
      <c r="C263" s="29">
        <v>751.83</v>
      </c>
      <c r="D263" s="109">
        <v>2010242</v>
      </c>
      <c r="E263" s="30">
        <v>40387</v>
      </c>
    </row>
    <row r="264" spans="1:5" ht="15" x14ac:dyDescent="0.25">
      <c r="A264" s="28" t="s">
        <v>20</v>
      </c>
      <c r="B264" s="28" t="s">
        <v>92</v>
      </c>
      <c r="C264" s="29">
        <v>282.98</v>
      </c>
      <c r="D264" s="109">
        <v>2010073</v>
      </c>
      <c r="E264" s="30">
        <v>40234</v>
      </c>
    </row>
    <row r="265" spans="1:5" ht="15" x14ac:dyDescent="0.25">
      <c r="A265" s="28" t="s">
        <v>20</v>
      </c>
      <c r="B265" s="28" t="s">
        <v>63</v>
      </c>
      <c r="C265" s="29">
        <v>145.97999999999999</v>
      </c>
      <c r="D265" s="109">
        <v>2010337</v>
      </c>
      <c r="E265" s="30">
        <v>40480</v>
      </c>
    </row>
    <row r="266" spans="1:5" ht="15" x14ac:dyDescent="0.25">
      <c r="A266" s="28" t="s">
        <v>20</v>
      </c>
      <c r="B266" s="28" t="s">
        <v>91</v>
      </c>
      <c r="C266" s="29">
        <v>1145</v>
      </c>
      <c r="D266" s="109">
        <v>2010307</v>
      </c>
      <c r="E266" s="30">
        <v>40452</v>
      </c>
    </row>
    <row r="267" spans="1:5" ht="15" x14ac:dyDescent="0.25">
      <c r="A267" s="28" t="s">
        <v>22</v>
      </c>
      <c r="B267" s="28" t="s">
        <v>90</v>
      </c>
      <c r="C267" s="29">
        <v>718.23</v>
      </c>
      <c r="D267" s="109">
        <v>2010048</v>
      </c>
      <c r="E267" s="30">
        <v>40214</v>
      </c>
    </row>
    <row r="268" spans="1:5" ht="15" x14ac:dyDescent="0.25">
      <c r="A268" s="28" t="s">
        <v>20</v>
      </c>
      <c r="B268" s="28" t="s">
        <v>63</v>
      </c>
      <c r="C268" s="29">
        <v>1068.97</v>
      </c>
      <c r="D268" s="109">
        <v>2010392</v>
      </c>
      <c r="E268" s="30">
        <v>40536</v>
      </c>
    </row>
    <row r="269" spans="1:5" ht="15" x14ac:dyDescent="0.25">
      <c r="A269" s="28" t="s">
        <v>20</v>
      </c>
      <c r="B269" s="28" t="s">
        <v>91</v>
      </c>
      <c r="C269" s="29">
        <v>1046.28</v>
      </c>
      <c r="D269" s="109">
        <v>2010321</v>
      </c>
      <c r="E269" s="30">
        <v>40469</v>
      </c>
    </row>
    <row r="270" spans="1:5" ht="15" x14ac:dyDescent="0.25">
      <c r="A270" s="28" t="s">
        <v>20</v>
      </c>
      <c r="B270" s="28" t="s">
        <v>92</v>
      </c>
      <c r="C270" s="29">
        <v>306.27999999999997</v>
      </c>
      <c r="D270" s="109">
        <v>2010384</v>
      </c>
      <c r="E270" s="30">
        <v>40530</v>
      </c>
    </row>
    <row r="271" spans="1:5" ht="15" x14ac:dyDescent="0.25">
      <c r="A271" s="28" t="s">
        <v>20</v>
      </c>
      <c r="B271" s="28" t="s">
        <v>63</v>
      </c>
      <c r="C271" s="29">
        <v>1106.73</v>
      </c>
      <c r="D271" s="109">
        <v>2010034</v>
      </c>
      <c r="E271" s="30">
        <v>40205</v>
      </c>
    </row>
    <row r="272" spans="1:5" ht="15" x14ac:dyDescent="0.25">
      <c r="A272" s="28" t="s">
        <v>20</v>
      </c>
      <c r="B272" s="28" t="s">
        <v>94</v>
      </c>
      <c r="C272" s="29">
        <v>705.76</v>
      </c>
      <c r="D272" s="109">
        <v>2010036</v>
      </c>
      <c r="E272" s="30">
        <v>40207</v>
      </c>
    </row>
    <row r="273" spans="1:5" ht="15" x14ac:dyDescent="0.25">
      <c r="A273" s="28" t="s">
        <v>20</v>
      </c>
      <c r="B273" s="28" t="s">
        <v>94</v>
      </c>
      <c r="C273" s="29">
        <v>883.45</v>
      </c>
      <c r="D273" s="109">
        <v>2010092</v>
      </c>
      <c r="E273" s="30">
        <v>40253</v>
      </c>
    </row>
    <row r="274" spans="1:5" ht="15" x14ac:dyDescent="0.25">
      <c r="A274" s="28" t="s">
        <v>20</v>
      </c>
      <c r="B274" s="28" t="s">
        <v>91</v>
      </c>
      <c r="C274" s="29">
        <v>1088.18</v>
      </c>
      <c r="D274" s="109">
        <v>2010084</v>
      </c>
      <c r="E274" s="30">
        <v>40246</v>
      </c>
    </row>
    <row r="275" spans="1:5" ht="15" x14ac:dyDescent="0.25">
      <c r="A275" s="28" t="s">
        <v>20</v>
      </c>
      <c r="B275" s="28" t="s">
        <v>94</v>
      </c>
      <c r="C275" s="29">
        <v>1077.24</v>
      </c>
      <c r="D275" s="109">
        <v>2010035</v>
      </c>
      <c r="E275" s="30">
        <v>40206</v>
      </c>
    </row>
    <row r="276" spans="1:5" ht="15" x14ac:dyDescent="0.25">
      <c r="A276" s="28" t="s">
        <v>20</v>
      </c>
      <c r="B276" s="28" t="s">
        <v>94</v>
      </c>
      <c r="C276" s="29">
        <v>1042.1400000000001</v>
      </c>
      <c r="D276" s="109">
        <v>2010235</v>
      </c>
      <c r="E276" s="30">
        <v>40384</v>
      </c>
    </row>
    <row r="277" spans="1:5" ht="15" x14ac:dyDescent="0.25">
      <c r="A277" s="28" t="s">
        <v>20</v>
      </c>
      <c r="B277" s="28" t="s">
        <v>91</v>
      </c>
      <c r="C277" s="29">
        <v>322.64</v>
      </c>
      <c r="D277" s="109">
        <v>2010341</v>
      </c>
      <c r="E277" s="30">
        <v>40483</v>
      </c>
    </row>
    <row r="278" spans="1:5" ht="15" x14ac:dyDescent="0.25">
      <c r="A278" s="28" t="s">
        <v>20</v>
      </c>
      <c r="B278" s="28" t="s">
        <v>91</v>
      </c>
      <c r="C278" s="29">
        <v>247.77</v>
      </c>
      <c r="D278" s="109">
        <v>2010237</v>
      </c>
      <c r="E278" s="30">
        <v>40384</v>
      </c>
    </row>
    <row r="279" spans="1:5" ht="15" x14ac:dyDescent="0.25">
      <c r="A279" s="28" t="s">
        <v>20</v>
      </c>
      <c r="B279" s="28" t="s">
        <v>94</v>
      </c>
      <c r="C279" s="29">
        <v>312.58</v>
      </c>
      <c r="D279" s="109">
        <v>2010024</v>
      </c>
      <c r="E279" s="30">
        <v>40198</v>
      </c>
    </row>
    <row r="280" spans="1:5" ht="15" x14ac:dyDescent="0.25">
      <c r="A280" s="28" t="s">
        <v>20</v>
      </c>
      <c r="B280" s="28" t="s">
        <v>92</v>
      </c>
      <c r="C280" s="29">
        <v>194.17</v>
      </c>
      <c r="D280" s="109">
        <v>2010093</v>
      </c>
      <c r="E280" s="30">
        <v>40254</v>
      </c>
    </row>
    <row r="281" spans="1:5" ht="15" x14ac:dyDescent="0.25">
      <c r="A281" s="28" t="s">
        <v>20</v>
      </c>
      <c r="B281" s="28" t="s">
        <v>94</v>
      </c>
      <c r="C281" s="29">
        <v>931.86</v>
      </c>
      <c r="D281" s="109">
        <v>2010371</v>
      </c>
      <c r="E281" s="30">
        <v>40517</v>
      </c>
    </row>
    <row r="282" spans="1:5" ht="15" x14ac:dyDescent="0.25">
      <c r="A282" s="28" t="s">
        <v>20</v>
      </c>
      <c r="B282" s="28" t="s">
        <v>91</v>
      </c>
      <c r="C282" s="29">
        <v>1135.1199999999999</v>
      </c>
      <c r="D282" s="109">
        <v>2010240</v>
      </c>
      <c r="E282" s="30">
        <v>40385</v>
      </c>
    </row>
    <row r="283" spans="1:5" ht="15" x14ac:dyDescent="0.25">
      <c r="A283" s="28" t="s">
        <v>20</v>
      </c>
      <c r="B283" s="28" t="s">
        <v>94</v>
      </c>
      <c r="C283" s="29">
        <v>1170.25</v>
      </c>
      <c r="D283" s="109">
        <v>2010320</v>
      </c>
      <c r="E283" s="30">
        <v>40469</v>
      </c>
    </row>
    <row r="284" spans="1:5" ht="15" x14ac:dyDescent="0.25">
      <c r="A284" s="28" t="s">
        <v>22</v>
      </c>
      <c r="B284" s="28" t="s">
        <v>90</v>
      </c>
      <c r="C284" s="29">
        <v>28.96</v>
      </c>
      <c r="D284" s="109">
        <v>2010225</v>
      </c>
      <c r="E284" s="30">
        <v>40372</v>
      </c>
    </row>
    <row r="285" spans="1:5" ht="15" x14ac:dyDescent="0.25">
      <c r="A285" s="28" t="s">
        <v>20</v>
      </c>
      <c r="B285" s="28" t="s">
        <v>92</v>
      </c>
      <c r="C285" s="29">
        <v>866.8</v>
      </c>
      <c r="D285" s="109">
        <v>2010391</v>
      </c>
      <c r="E285" s="30">
        <v>40536</v>
      </c>
    </row>
    <row r="286" spans="1:5" ht="15" x14ac:dyDescent="0.25">
      <c r="A286" s="28" t="s">
        <v>20</v>
      </c>
      <c r="B286" s="28" t="s">
        <v>94</v>
      </c>
      <c r="C286" s="29">
        <v>1010.02</v>
      </c>
      <c r="D286" s="109">
        <v>2010113</v>
      </c>
      <c r="E286" s="30">
        <v>40269</v>
      </c>
    </row>
    <row r="287" spans="1:5" ht="15" x14ac:dyDescent="0.25">
      <c r="A287" s="28" t="s">
        <v>22</v>
      </c>
      <c r="B287" s="28" t="s">
        <v>96</v>
      </c>
      <c r="C287" s="29">
        <v>120</v>
      </c>
      <c r="D287" s="109">
        <v>2010143</v>
      </c>
      <c r="E287" s="30">
        <v>40296</v>
      </c>
    </row>
    <row r="288" spans="1:5" ht="15" x14ac:dyDescent="0.25">
      <c r="A288" s="28" t="s">
        <v>20</v>
      </c>
      <c r="B288" s="28" t="s">
        <v>94</v>
      </c>
      <c r="C288" s="29">
        <v>226.95</v>
      </c>
      <c r="D288" s="109">
        <v>2010351</v>
      </c>
      <c r="E288" s="30">
        <v>40493</v>
      </c>
    </row>
    <row r="289" spans="1:5" ht="15" x14ac:dyDescent="0.25">
      <c r="A289" s="28" t="s">
        <v>20</v>
      </c>
      <c r="B289" s="28" t="s">
        <v>94</v>
      </c>
      <c r="C289" s="29">
        <v>843.23</v>
      </c>
      <c r="D289" s="109">
        <v>2010243</v>
      </c>
      <c r="E289" s="30">
        <v>40388</v>
      </c>
    </row>
    <row r="290" spans="1:5" ht="15" x14ac:dyDescent="0.25">
      <c r="A290" s="28" t="s">
        <v>20</v>
      </c>
      <c r="B290" s="28" t="s">
        <v>91</v>
      </c>
      <c r="C290" s="29">
        <v>252.6</v>
      </c>
      <c r="D290" s="109">
        <v>2010375</v>
      </c>
      <c r="E290" s="30">
        <v>40520</v>
      </c>
    </row>
    <row r="291" spans="1:5" ht="15" x14ac:dyDescent="0.25">
      <c r="A291" s="28" t="s">
        <v>20</v>
      </c>
      <c r="B291" s="28" t="s">
        <v>91</v>
      </c>
      <c r="C291" s="29">
        <v>1029.01</v>
      </c>
      <c r="D291" s="109">
        <v>2010324</v>
      </c>
      <c r="E291" s="30">
        <v>40469</v>
      </c>
    </row>
    <row r="292" spans="1:5" ht="15" x14ac:dyDescent="0.25">
      <c r="A292" s="28" t="s">
        <v>20</v>
      </c>
      <c r="B292" s="28" t="s">
        <v>95</v>
      </c>
      <c r="C292" s="29">
        <v>1142.55</v>
      </c>
      <c r="D292" s="109">
        <v>2010258</v>
      </c>
      <c r="E292" s="30">
        <v>40402</v>
      </c>
    </row>
    <row r="293" spans="1:5" ht="15" x14ac:dyDescent="0.25">
      <c r="A293" s="28" t="s">
        <v>22</v>
      </c>
      <c r="B293" s="28" t="s">
        <v>62</v>
      </c>
      <c r="C293" s="29">
        <v>500.88</v>
      </c>
      <c r="D293" s="109">
        <v>2010386</v>
      </c>
      <c r="E293" s="30">
        <v>40531</v>
      </c>
    </row>
    <row r="294" spans="1:5" ht="15" x14ac:dyDescent="0.25">
      <c r="A294" s="28" t="s">
        <v>20</v>
      </c>
      <c r="B294" s="28" t="s">
        <v>94</v>
      </c>
      <c r="C294" s="29">
        <v>831.89</v>
      </c>
      <c r="D294" s="109">
        <v>2010342</v>
      </c>
      <c r="E294" s="30">
        <v>40484</v>
      </c>
    </row>
    <row r="295" spans="1:5" ht="15" x14ac:dyDescent="0.25">
      <c r="A295" s="28" t="s">
        <v>20</v>
      </c>
      <c r="B295" s="28" t="s">
        <v>92</v>
      </c>
      <c r="C295" s="29">
        <v>721.23</v>
      </c>
      <c r="D295" s="109">
        <v>2010060</v>
      </c>
      <c r="E295" s="30">
        <v>40224</v>
      </c>
    </row>
    <row r="296" spans="1:5" ht="15" x14ac:dyDescent="0.25">
      <c r="A296" s="28" t="s">
        <v>22</v>
      </c>
      <c r="B296" s="28" t="s">
        <v>62</v>
      </c>
      <c r="C296" s="29">
        <v>1112.55</v>
      </c>
      <c r="D296" s="109">
        <v>2010062</v>
      </c>
      <c r="E296" s="30">
        <v>40224</v>
      </c>
    </row>
    <row r="297" spans="1:5" ht="15" x14ac:dyDescent="0.25">
      <c r="A297" s="28" t="s">
        <v>20</v>
      </c>
      <c r="B297" s="28" t="s">
        <v>91</v>
      </c>
      <c r="C297" s="29">
        <v>633.49</v>
      </c>
      <c r="D297" s="109">
        <v>2010360</v>
      </c>
      <c r="E297" s="30">
        <v>40504</v>
      </c>
    </row>
    <row r="298" spans="1:5" ht="15" x14ac:dyDescent="0.25">
      <c r="A298" s="28" t="s">
        <v>20</v>
      </c>
      <c r="B298" s="28" t="s">
        <v>92</v>
      </c>
      <c r="C298" s="29">
        <v>364.76</v>
      </c>
      <c r="D298" s="109">
        <v>2010088</v>
      </c>
      <c r="E298" s="30">
        <v>40248</v>
      </c>
    </row>
    <row r="299" spans="1:5" ht="15" x14ac:dyDescent="0.25">
      <c r="A299" s="28" t="s">
        <v>20</v>
      </c>
      <c r="B299" s="28" t="s">
        <v>95</v>
      </c>
      <c r="C299" s="29">
        <v>955.86</v>
      </c>
      <c r="D299" s="109">
        <v>2010393</v>
      </c>
      <c r="E299" s="30">
        <v>40538</v>
      </c>
    </row>
    <row r="300" spans="1:5" ht="15" x14ac:dyDescent="0.25">
      <c r="A300" s="28" t="s">
        <v>22</v>
      </c>
      <c r="B300" s="28" t="s">
        <v>93</v>
      </c>
      <c r="C300" s="29">
        <v>838.84</v>
      </c>
      <c r="D300" s="109">
        <v>2010044</v>
      </c>
      <c r="E300" s="30">
        <v>40212</v>
      </c>
    </row>
    <row r="301" spans="1:5" ht="15" x14ac:dyDescent="0.25">
      <c r="A301" s="28" t="s">
        <v>20</v>
      </c>
      <c r="B301" s="28" t="s">
        <v>63</v>
      </c>
      <c r="C301" s="29">
        <v>981.37</v>
      </c>
      <c r="D301" s="109">
        <v>2010105</v>
      </c>
      <c r="E301" s="30">
        <v>40266</v>
      </c>
    </row>
    <row r="302" spans="1:5" ht="15" x14ac:dyDescent="0.25">
      <c r="A302" s="28" t="s">
        <v>20</v>
      </c>
      <c r="B302" s="28" t="s">
        <v>91</v>
      </c>
      <c r="C302" s="29">
        <v>687.09</v>
      </c>
      <c r="D302" s="109">
        <v>2010256</v>
      </c>
      <c r="E302" s="30">
        <v>40400</v>
      </c>
    </row>
    <row r="303" spans="1:5" ht="15" x14ac:dyDescent="0.25">
      <c r="A303" s="28" t="s">
        <v>22</v>
      </c>
      <c r="B303" s="28" t="s">
        <v>62</v>
      </c>
      <c r="C303" s="29">
        <v>848.5</v>
      </c>
      <c r="D303" s="109">
        <v>2010281</v>
      </c>
      <c r="E303" s="30">
        <v>40423</v>
      </c>
    </row>
    <row r="304" spans="1:5" ht="15" x14ac:dyDescent="0.25">
      <c r="A304" s="28" t="s">
        <v>20</v>
      </c>
      <c r="B304" s="28" t="s">
        <v>63</v>
      </c>
      <c r="C304" s="29">
        <v>495.24</v>
      </c>
      <c r="D304" s="109">
        <v>2010248</v>
      </c>
      <c r="E304" s="30">
        <v>40392</v>
      </c>
    </row>
    <row r="305" spans="1:5" ht="15" x14ac:dyDescent="0.25">
      <c r="A305" s="28" t="s">
        <v>20</v>
      </c>
      <c r="B305" s="28" t="s">
        <v>91</v>
      </c>
      <c r="C305" s="29">
        <v>667.55</v>
      </c>
      <c r="D305" s="109">
        <v>2010040</v>
      </c>
      <c r="E305" s="30">
        <v>40210</v>
      </c>
    </row>
    <row r="306" spans="1:5" ht="15" x14ac:dyDescent="0.25">
      <c r="A306" s="28" t="s">
        <v>20</v>
      </c>
      <c r="B306" s="28" t="s">
        <v>92</v>
      </c>
      <c r="C306" s="29">
        <v>100.27</v>
      </c>
      <c r="D306" s="109">
        <v>2010037</v>
      </c>
      <c r="E306" s="30">
        <v>40208</v>
      </c>
    </row>
    <row r="307" spans="1:5" ht="15" x14ac:dyDescent="0.25">
      <c r="A307" s="28" t="s">
        <v>22</v>
      </c>
      <c r="B307" s="28" t="s">
        <v>62</v>
      </c>
      <c r="C307" s="29">
        <v>1097.6500000000001</v>
      </c>
      <c r="D307" s="109">
        <v>2010167</v>
      </c>
      <c r="E307" s="30">
        <v>40315</v>
      </c>
    </row>
    <row r="308" spans="1:5" ht="15" x14ac:dyDescent="0.25">
      <c r="A308" s="28" t="s">
        <v>20</v>
      </c>
      <c r="B308" s="28" t="s">
        <v>94</v>
      </c>
      <c r="C308" s="29">
        <v>986.49</v>
      </c>
      <c r="D308" s="109">
        <v>2010357</v>
      </c>
      <c r="E308" s="30">
        <v>40500</v>
      </c>
    </row>
    <row r="309" spans="1:5" ht="15" x14ac:dyDescent="0.25">
      <c r="A309" s="28" t="s">
        <v>20</v>
      </c>
      <c r="B309" s="28" t="s">
        <v>92</v>
      </c>
      <c r="C309" s="29">
        <v>566.30999999999995</v>
      </c>
      <c r="D309" s="109">
        <v>2010343</v>
      </c>
      <c r="E309" s="30">
        <v>40485</v>
      </c>
    </row>
    <row r="310" spans="1:5" ht="15" x14ac:dyDescent="0.25">
      <c r="A310" s="28" t="s">
        <v>20</v>
      </c>
      <c r="B310" s="28" t="s">
        <v>95</v>
      </c>
      <c r="C310" s="29">
        <v>204.71</v>
      </c>
      <c r="D310" s="109">
        <v>2010019</v>
      </c>
      <c r="E310" s="30">
        <v>40194</v>
      </c>
    </row>
    <row r="311" spans="1:5" ht="15" x14ac:dyDescent="0.25">
      <c r="A311" s="28" t="s">
        <v>22</v>
      </c>
      <c r="B311" s="28" t="s">
        <v>93</v>
      </c>
      <c r="C311" s="29">
        <v>420.3</v>
      </c>
      <c r="D311" s="109">
        <v>2010291</v>
      </c>
      <c r="E311" s="30">
        <v>40435</v>
      </c>
    </row>
    <row r="312" spans="1:5" ht="15" x14ac:dyDescent="0.25">
      <c r="A312" s="28" t="s">
        <v>20</v>
      </c>
      <c r="B312" s="28" t="s">
        <v>91</v>
      </c>
      <c r="C312" s="29">
        <v>1003.39</v>
      </c>
      <c r="D312" s="109">
        <v>2010153</v>
      </c>
      <c r="E312" s="30">
        <v>40302</v>
      </c>
    </row>
    <row r="313" spans="1:5" ht="15" x14ac:dyDescent="0.25">
      <c r="A313" s="28" t="s">
        <v>20</v>
      </c>
      <c r="B313" s="28" t="s">
        <v>94</v>
      </c>
      <c r="C313" s="29">
        <v>296.62</v>
      </c>
      <c r="D313" s="109">
        <v>2010100</v>
      </c>
      <c r="E313" s="30">
        <v>40259</v>
      </c>
    </row>
    <row r="314" spans="1:5" ht="15" x14ac:dyDescent="0.25">
      <c r="A314" s="28" t="s">
        <v>22</v>
      </c>
      <c r="B314" s="28" t="s">
        <v>62</v>
      </c>
      <c r="C314" s="29">
        <v>80.400000000000006</v>
      </c>
      <c r="D314" s="109">
        <v>2010222</v>
      </c>
      <c r="E314" s="30">
        <v>40370</v>
      </c>
    </row>
    <row r="315" spans="1:5" ht="15" x14ac:dyDescent="0.25">
      <c r="A315" s="28" t="s">
        <v>20</v>
      </c>
      <c r="B315" s="28" t="s">
        <v>91</v>
      </c>
      <c r="C315" s="29">
        <v>1169.26</v>
      </c>
      <c r="D315" s="109">
        <v>2010368</v>
      </c>
      <c r="E315" s="30">
        <v>40514</v>
      </c>
    </row>
    <row r="316" spans="1:5" ht="15" x14ac:dyDescent="0.25">
      <c r="A316" s="28" t="s">
        <v>22</v>
      </c>
      <c r="B316" s="28" t="s">
        <v>93</v>
      </c>
      <c r="C316" s="29">
        <v>103.75</v>
      </c>
      <c r="D316" s="109">
        <v>2010396</v>
      </c>
      <c r="E316" s="30">
        <v>40541</v>
      </c>
    </row>
    <row r="317" spans="1:5" ht="15" x14ac:dyDescent="0.25">
      <c r="A317" s="28" t="s">
        <v>20</v>
      </c>
      <c r="B317" s="28" t="s">
        <v>94</v>
      </c>
      <c r="C317" s="29">
        <v>1120.23</v>
      </c>
      <c r="D317" s="109">
        <v>2010381</v>
      </c>
      <c r="E317" s="30">
        <v>40528</v>
      </c>
    </row>
    <row r="318" spans="1:5" ht="15" x14ac:dyDescent="0.25">
      <c r="A318" s="28" t="s">
        <v>20</v>
      </c>
      <c r="B318" s="28" t="s">
        <v>95</v>
      </c>
      <c r="C318" s="29">
        <v>334.06</v>
      </c>
      <c r="D318" s="109">
        <v>2010232</v>
      </c>
      <c r="E318" s="30">
        <v>40380</v>
      </c>
    </row>
    <row r="319" spans="1:5" ht="15" x14ac:dyDescent="0.25">
      <c r="A319" s="28" t="s">
        <v>22</v>
      </c>
      <c r="B319" s="28" t="s">
        <v>96</v>
      </c>
      <c r="C319" s="29">
        <v>939.65</v>
      </c>
      <c r="D319" s="109">
        <v>2010216</v>
      </c>
      <c r="E319" s="30">
        <v>40360</v>
      </c>
    </row>
    <row r="320" spans="1:5" ht="15" x14ac:dyDescent="0.25">
      <c r="A320" s="28" t="s">
        <v>20</v>
      </c>
      <c r="B320" s="28" t="s">
        <v>94</v>
      </c>
      <c r="C320" s="29">
        <v>662.07</v>
      </c>
      <c r="D320" s="109">
        <v>2010038</v>
      </c>
      <c r="E320" s="30">
        <v>40210</v>
      </c>
    </row>
    <row r="321" spans="1:5" ht="15" x14ac:dyDescent="0.25">
      <c r="A321" s="28" t="s">
        <v>22</v>
      </c>
      <c r="B321" s="28" t="s">
        <v>96</v>
      </c>
      <c r="C321" s="29">
        <v>241.88</v>
      </c>
      <c r="D321" s="109">
        <v>2010081</v>
      </c>
      <c r="E321" s="30">
        <v>40242</v>
      </c>
    </row>
    <row r="322" spans="1:5" ht="15" x14ac:dyDescent="0.25">
      <c r="A322" s="28" t="s">
        <v>20</v>
      </c>
      <c r="B322" s="28" t="s">
        <v>92</v>
      </c>
      <c r="C322" s="29">
        <v>562.83000000000004</v>
      </c>
      <c r="D322" s="109">
        <v>2010255</v>
      </c>
      <c r="E322" s="30">
        <v>40399</v>
      </c>
    </row>
    <row r="323" spans="1:5" ht="15" x14ac:dyDescent="0.25">
      <c r="A323" s="28" t="s">
        <v>20</v>
      </c>
      <c r="B323" s="28" t="s">
        <v>63</v>
      </c>
      <c r="C323" s="29">
        <v>327.11</v>
      </c>
      <c r="D323" s="109">
        <v>2010211</v>
      </c>
      <c r="E323" s="30">
        <v>40357</v>
      </c>
    </row>
    <row r="324" spans="1:5" ht="15" x14ac:dyDescent="0.25">
      <c r="A324" s="28" t="s">
        <v>22</v>
      </c>
      <c r="B324" s="28" t="s">
        <v>62</v>
      </c>
      <c r="C324" s="29">
        <v>931.97</v>
      </c>
      <c r="D324" s="109">
        <v>2010190</v>
      </c>
      <c r="E324" s="30">
        <v>40339</v>
      </c>
    </row>
    <row r="325" spans="1:5" ht="15" x14ac:dyDescent="0.25">
      <c r="A325" s="28" t="s">
        <v>22</v>
      </c>
      <c r="B325" s="28" t="s">
        <v>93</v>
      </c>
      <c r="C325" s="29">
        <v>981.04</v>
      </c>
      <c r="D325" s="109">
        <v>2010032</v>
      </c>
      <c r="E325" s="30">
        <v>40202</v>
      </c>
    </row>
    <row r="326" spans="1:5" ht="15" x14ac:dyDescent="0.25">
      <c r="A326" s="28" t="s">
        <v>20</v>
      </c>
      <c r="B326" s="28" t="s">
        <v>91</v>
      </c>
      <c r="C326" s="29">
        <v>764.27</v>
      </c>
      <c r="D326" s="109">
        <v>2010128</v>
      </c>
      <c r="E326" s="30">
        <v>40281</v>
      </c>
    </row>
    <row r="327" spans="1:5" ht="15" x14ac:dyDescent="0.25">
      <c r="A327" s="28" t="s">
        <v>20</v>
      </c>
      <c r="B327" s="28" t="s">
        <v>91</v>
      </c>
      <c r="C327" s="29">
        <v>46.7</v>
      </c>
      <c r="D327" s="109">
        <v>2010029</v>
      </c>
      <c r="E327" s="30">
        <v>40201</v>
      </c>
    </row>
    <row r="328" spans="1:5" ht="15" x14ac:dyDescent="0.25">
      <c r="A328" s="28" t="s">
        <v>20</v>
      </c>
      <c r="B328" s="28" t="s">
        <v>95</v>
      </c>
      <c r="C328" s="29">
        <v>841.22</v>
      </c>
      <c r="D328" s="109">
        <v>2010052</v>
      </c>
      <c r="E328" s="30">
        <v>40217</v>
      </c>
    </row>
    <row r="329" spans="1:5" ht="15" x14ac:dyDescent="0.25">
      <c r="A329" s="28" t="s">
        <v>22</v>
      </c>
      <c r="B329" s="28" t="s">
        <v>93</v>
      </c>
      <c r="C329" s="29">
        <v>332.48</v>
      </c>
      <c r="D329" s="109">
        <v>2010275</v>
      </c>
      <c r="E329" s="30">
        <v>40420</v>
      </c>
    </row>
    <row r="330" spans="1:5" ht="15" x14ac:dyDescent="0.25">
      <c r="A330" s="28" t="s">
        <v>20</v>
      </c>
      <c r="B330" s="28" t="s">
        <v>91</v>
      </c>
      <c r="C330" s="29">
        <v>1034.42</v>
      </c>
      <c r="D330" s="109">
        <v>2010270</v>
      </c>
      <c r="E330" s="30">
        <v>40415</v>
      </c>
    </row>
    <row r="331" spans="1:5" ht="15" x14ac:dyDescent="0.25">
      <c r="A331" s="28" t="s">
        <v>20</v>
      </c>
      <c r="B331" s="28" t="s">
        <v>63</v>
      </c>
      <c r="C331" s="29">
        <v>789.81</v>
      </c>
      <c r="D331" s="109">
        <v>2010274</v>
      </c>
      <c r="E331" s="30">
        <v>40420</v>
      </c>
    </row>
    <row r="332" spans="1:5" ht="15" x14ac:dyDescent="0.25">
      <c r="A332" s="28" t="s">
        <v>20</v>
      </c>
      <c r="B332" s="28" t="s">
        <v>95</v>
      </c>
      <c r="C332" s="29">
        <v>773.05</v>
      </c>
      <c r="D332" s="109">
        <v>2010195</v>
      </c>
      <c r="E332" s="30">
        <v>40343</v>
      </c>
    </row>
    <row r="333" spans="1:5" ht="15" x14ac:dyDescent="0.25">
      <c r="A333" s="28" t="s">
        <v>22</v>
      </c>
      <c r="B333" s="28" t="s">
        <v>62</v>
      </c>
      <c r="C333" s="29">
        <v>1165.8599999999999</v>
      </c>
      <c r="D333" s="109">
        <v>2010245</v>
      </c>
      <c r="E333" s="30">
        <v>40391</v>
      </c>
    </row>
    <row r="334" spans="1:5" ht="15" x14ac:dyDescent="0.25">
      <c r="A334" s="28" t="s">
        <v>20</v>
      </c>
      <c r="B334" s="28" t="s">
        <v>94</v>
      </c>
      <c r="C334" s="29">
        <v>490.71</v>
      </c>
      <c r="D334" s="109">
        <v>2010223</v>
      </c>
      <c r="E334" s="30">
        <v>40371</v>
      </c>
    </row>
    <row r="335" spans="1:5" ht="15" x14ac:dyDescent="0.25">
      <c r="A335" s="28" t="s">
        <v>20</v>
      </c>
      <c r="B335" s="28" t="s">
        <v>63</v>
      </c>
      <c r="C335" s="29">
        <v>610</v>
      </c>
      <c r="D335" s="109">
        <v>2010389</v>
      </c>
      <c r="E335" s="30">
        <v>40535</v>
      </c>
    </row>
    <row r="336" spans="1:5" ht="15" x14ac:dyDescent="0.25">
      <c r="A336" s="28" t="s">
        <v>20</v>
      </c>
      <c r="B336" s="28" t="s">
        <v>95</v>
      </c>
      <c r="C336" s="29">
        <v>565.02</v>
      </c>
      <c r="D336" s="109">
        <v>2010322</v>
      </c>
      <c r="E336" s="30">
        <v>40469</v>
      </c>
    </row>
    <row r="337" spans="1:5" ht="15" x14ac:dyDescent="0.25">
      <c r="A337" s="28" t="s">
        <v>20</v>
      </c>
      <c r="B337" s="28" t="s">
        <v>95</v>
      </c>
      <c r="C337" s="29">
        <v>990.18</v>
      </c>
      <c r="D337" s="109">
        <v>2010226</v>
      </c>
      <c r="E337" s="30">
        <v>40373</v>
      </c>
    </row>
    <row r="338" spans="1:5" ht="15" x14ac:dyDescent="0.25">
      <c r="A338" s="28" t="s">
        <v>22</v>
      </c>
      <c r="B338" s="28" t="s">
        <v>93</v>
      </c>
      <c r="C338" s="29">
        <v>553.02</v>
      </c>
      <c r="D338" s="109">
        <v>2010089</v>
      </c>
      <c r="E338" s="30">
        <v>40249</v>
      </c>
    </row>
    <row r="339" spans="1:5" ht="15" x14ac:dyDescent="0.25">
      <c r="A339" s="28" t="s">
        <v>20</v>
      </c>
      <c r="B339" s="28" t="s">
        <v>91</v>
      </c>
      <c r="C339" s="29">
        <v>817.21</v>
      </c>
      <c r="D339" s="109">
        <v>2010286</v>
      </c>
      <c r="E339" s="30">
        <v>40430</v>
      </c>
    </row>
    <row r="340" spans="1:5" ht="15" x14ac:dyDescent="0.25">
      <c r="A340" s="28" t="s">
        <v>20</v>
      </c>
      <c r="B340" s="28" t="s">
        <v>95</v>
      </c>
      <c r="C340" s="29">
        <v>561.88</v>
      </c>
      <c r="D340" s="109">
        <v>2010394</v>
      </c>
      <c r="E340" s="30">
        <v>40541</v>
      </c>
    </row>
    <row r="341" spans="1:5" ht="15" x14ac:dyDescent="0.25">
      <c r="A341" s="28" t="s">
        <v>20</v>
      </c>
      <c r="B341" s="28" t="s">
        <v>63</v>
      </c>
      <c r="C341" s="29">
        <v>935.59</v>
      </c>
      <c r="D341" s="109">
        <v>2010005</v>
      </c>
      <c r="E341" s="30">
        <v>40184</v>
      </c>
    </row>
    <row r="342" spans="1:5" ht="15" x14ac:dyDescent="0.25">
      <c r="A342" s="28" t="s">
        <v>20</v>
      </c>
      <c r="B342" s="28" t="s">
        <v>92</v>
      </c>
      <c r="C342" s="29">
        <v>330.36</v>
      </c>
      <c r="D342" s="109">
        <v>2010336</v>
      </c>
      <c r="E342" s="30">
        <v>40480</v>
      </c>
    </row>
    <row r="343" spans="1:5" ht="15" x14ac:dyDescent="0.25">
      <c r="A343" s="28" t="s">
        <v>20</v>
      </c>
      <c r="B343" s="28" t="s">
        <v>95</v>
      </c>
      <c r="C343" s="29">
        <v>782.93</v>
      </c>
      <c r="D343" s="109">
        <v>2010173</v>
      </c>
      <c r="E343" s="30">
        <v>40320</v>
      </c>
    </row>
    <row r="344" spans="1:5" ht="15" x14ac:dyDescent="0.25">
      <c r="A344" s="28" t="s">
        <v>20</v>
      </c>
      <c r="B344" s="28" t="s">
        <v>92</v>
      </c>
      <c r="C344" s="29">
        <v>1162.68</v>
      </c>
      <c r="D344" s="109">
        <v>2010388</v>
      </c>
      <c r="E344" s="30">
        <v>40534</v>
      </c>
    </row>
    <row r="345" spans="1:5" ht="15" x14ac:dyDescent="0.25">
      <c r="A345" s="28" t="s">
        <v>20</v>
      </c>
      <c r="B345" s="28" t="s">
        <v>94</v>
      </c>
      <c r="C345" s="29">
        <v>67.930000000000007</v>
      </c>
      <c r="D345" s="109">
        <v>2010146</v>
      </c>
      <c r="E345" s="30">
        <v>40298</v>
      </c>
    </row>
    <row r="346" spans="1:5" ht="15" x14ac:dyDescent="0.25">
      <c r="A346" s="28" t="s">
        <v>22</v>
      </c>
      <c r="B346" s="28" t="s">
        <v>93</v>
      </c>
      <c r="C346" s="29">
        <v>37.81</v>
      </c>
      <c r="D346" s="109">
        <v>2010152</v>
      </c>
      <c r="E346" s="30">
        <v>40302</v>
      </c>
    </row>
    <row r="347" spans="1:5" ht="15" x14ac:dyDescent="0.25">
      <c r="A347" s="28" t="s">
        <v>20</v>
      </c>
      <c r="B347" s="28" t="s">
        <v>91</v>
      </c>
      <c r="C347" s="29">
        <v>1028.75</v>
      </c>
      <c r="D347" s="109">
        <v>2010159</v>
      </c>
      <c r="E347" s="30">
        <v>40308</v>
      </c>
    </row>
    <row r="348" spans="1:5" ht="15" x14ac:dyDescent="0.25">
      <c r="A348" s="28" t="s">
        <v>20</v>
      </c>
      <c r="B348" s="28" t="s">
        <v>95</v>
      </c>
      <c r="C348" s="29">
        <v>299.7</v>
      </c>
      <c r="D348" s="109">
        <v>2010249</v>
      </c>
      <c r="E348" s="30">
        <v>40394</v>
      </c>
    </row>
    <row r="349" spans="1:5" ht="15" x14ac:dyDescent="0.25">
      <c r="A349" s="28" t="s">
        <v>20</v>
      </c>
      <c r="B349" s="28" t="s">
        <v>95</v>
      </c>
      <c r="C349" s="29">
        <v>703.38</v>
      </c>
      <c r="D349" s="109">
        <v>2010083</v>
      </c>
      <c r="E349" s="30">
        <v>40245</v>
      </c>
    </row>
    <row r="350" spans="1:5" ht="15" x14ac:dyDescent="0.25">
      <c r="A350" s="28" t="s">
        <v>20</v>
      </c>
      <c r="B350" s="28" t="s">
        <v>63</v>
      </c>
      <c r="C350" s="29">
        <v>191.06</v>
      </c>
      <c r="D350" s="109">
        <v>2010234</v>
      </c>
      <c r="E350" s="30">
        <v>40381</v>
      </c>
    </row>
    <row r="351" spans="1:5" ht="15" x14ac:dyDescent="0.25">
      <c r="A351" s="28" t="s">
        <v>22</v>
      </c>
      <c r="B351" s="28" t="s">
        <v>93</v>
      </c>
      <c r="C351" s="29">
        <v>996.44</v>
      </c>
      <c r="D351" s="109">
        <v>2010094</v>
      </c>
      <c r="E351" s="30">
        <v>40254</v>
      </c>
    </row>
    <row r="352" spans="1:5" ht="15" x14ac:dyDescent="0.25">
      <c r="A352" s="28" t="s">
        <v>20</v>
      </c>
      <c r="B352" s="28" t="s">
        <v>91</v>
      </c>
      <c r="C352" s="29">
        <v>877.66</v>
      </c>
      <c r="D352" s="109">
        <v>2010026</v>
      </c>
      <c r="E352" s="30">
        <v>40200</v>
      </c>
    </row>
    <row r="353" spans="1:5" ht="15" x14ac:dyDescent="0.25">
      <c r="A353" s="28" t="s">
        <v>22</v>
      </c>
      <c r="B353" s="28" t="s">
        <v>93</v>
      </c>
      <c r="C353" s="29">
        <v>629.39</v>
      </c>
      <c r="D353" s="109">
        <v>2010241</v>
      </c>
      <c r="E353" s="30">
        <v>40386</v>
      </c>
    </row>
    <row r="354" spans="1:5" ht="15" x14ac:dyDescent="0.25">
      <c r="A354" s="28" t="s">
        <v>20</v>
      </c>
      <c r="B354" s="28" t="s">
        <v>91</v>
      </c>
      <c r="C354" s="29">
        <v>512.91999999999996</v>
      </c>
      <c r="D354" s="109">
        <v>2010003</v>
      </c>
      <c r="E354" s="30">
        <v>40179</v>
      </c>
    </row>
    <row r="355" spans="1:5" ht="15" x14ac:dyDescent="0.25">
      <c r="A355" s="28" t="s">
        <v>20</v>
      </c>
      <c r="B355" s="28" t="s">
        <v>95</v>
      </c>
      <c r="C355" s="29">
        <v>80.290000000000006</v>
      </c>
      <c r="D355" s="109">
        <v>2010380</v>
      </c>
      <c r="E355" s="30">
        <v>40528</v>
      </c>
    </row>
    <row r="356" spans="1:5" ht="15" x14ac:dyDescent="0.25">
      <c r="A356" s="28" t="s">
        <v>22</v>
      </c>
      <c r="B356" s="28" t="s">
        <v>93</v>
      </c>
      <c r="C356" s="29">
        <v>32.909999999999997</v>
      </c>
      <c r="D356" s="109">
        <v>2010020</v>
      </c>
      <c r="E356" s="30">
        <v>40195</v>
      </c>
    </row>
    <row r="357" spans="1:5" ht="15" x14ac:dyDescent="0.25">
      <c r="A357" s="28" t="s">
        <v>20</v>
      </c>
      <c r="B357" s="28" t="s">
        <v>94</v>
      </c>
      <c r="C357" s="29">
        <v>297.20999999999998</v>
      </c>
      <c r="D357" s="109">
        <v>2010058</v>
      </c>
      <c r="E357" s="30">
        <v>40220</v>
      </c>
    </row>
    <row r="358" spans="1:5" ht="15" x14ac:dyDescent="0.25">
      <c r="A358" s="28" t="s">
        <v>20</v>
      </c>
      <c r="B358" s="28" t="s">
        <v>63</v>
      </c>
      <c r="C358" s="29">
        <v>687.53</v>
      </c>
      <c r="D358" s="109">
        <v>2010205</v>
      </c>
      <c r="E358" s="30">
        <v>40351</v>
      </c>
    </row>
    <row r="359" spans="1:5" ht="15" x14ac:dyDescent="0.25">
      <c r="A359" s="28" t="s">
        <v>20</v>
      </c>
      <c r="B359" s="28" t="s">
        <v>91</v>
      </c>
      <c r="C359" s="29">
        <v>310.45999999999998</v>
      </c>
      <c r="D359" s="109">
        <v>2010103</v>
      </c>
      <c r="E359" s="30">
        <v>40262</v>
      </c>
    </row>
    <row r="360" spans="1:5" ht="15" x14ac:dyDescent="0.25">
      <c r="A360" s="28" t="s">
        <v>22</v>
      </c>
      <c r="B360" s="28" t="s">
        <v>62</v>
      </c>
      <c r="C360" s="29">
        <v>1017.26</v>
      </c>
      <c r="D360" s="109">
        <v>2010303</v>
      </c>
      <c r="E360" s="30">
        <v>40448</v>
      </c>
    </row>
    <row r="361" spans="1:5" ht="15" x14ac:dyDescent="0.25">
      <c r="A361" s="28" t="s">
        <v>20</v>
      </c>
      <c r="B361" s="28" t="s">
        <v>95</v>
      </c>
      <c r="C361" s="29">
        <v>893.07</v>
      </c>
      <c r="D361" s="109">
        <v>2010268</v>
      </c>
      <c r="E361" s="30">
        <v>40414</v>
      </c>
    </row>
    <row r="362" spans="1:5" ht="15" x14ac:dyDescent="0.25">
      <c r="A362" s="28" t="s">
        <v>20</v>
      </c>
      <c r="B362" s="28" t="s">
        <v>95</v>
      </c>
      <c r="C362" s="29">
        <v>901.41</v>
      </c>
      <c r="D362" s="109">
        <v>2010053</v>
      </c>
      <c r="E362" s="30">
        <v>40218</v>
      </c>
    </row>
    <row r="363" spans="1:5" ht="15" x14ac:dyDescent="0.25">
      <c r="A363" s="28" t="s">
        <v>20</v>
      </c>
      <c r="B363" s="28" t="s">
        <v>91</v>
      </c>
      <c r="C363" s="29">
        <v>83.3</v>
      </c>
      <c r="D363" s="109">
        <v>2010090</v>
      </c>
      <c r="E363" s="30">
        <v>40252</v>
      </c>
    </row>
    <row r="364" spans="1:5" ht="15" x14ac:dyDescent="0.25">
      <c r="A364" s="28" t="s">
        <v>20</v>
      </c>
      <c r="B364" s="28" t="s">
        <v>95</v>
      </c>
      <c r="C364" s="29">
        <v>382.43</v>
      </c>
      <c r="D364" s="109">
        <v>2010080</v>
      </c>
      <c r="E364" s="30">
        <v>40240</v>
      </c>
    </row>
    <row r="365" spans="1:5" ht="15" x14ac:dyDescent="0.25">
      <c r="A365" s="28" t="s">
        <v>22</v>
      </c>
      <c r="B365" s="28" t="s">
        <v>96</v>
      </c>
      <c r="C365" s="29">
        <v>968.92</v>
      </c>
      <c r="D365" s="109">
        <v>2010247</v>
      </c>
      <c r="E365" s="30">
        <v>40391</v>
      </c>
    </row>
    <row r="366" spans="1:5" ht="15" x14ac:dyDescent="0.25">
      <c r="A366" s="28" t="s">
        <v>20</v>
      </c>
      <c r="B366" s="28" t="s">
        <v>94</v>
      </c>
      <c r="C366" s="29">
        <v>710.33</v>
      </c>
      <c r="D366" s="109">
        <v>2010014</v>
      </c>
      <c r="E366" s="30">
        <v>40191</v>
      </c>
    </row>
    <row r="367" spans="1:5" ht="15" x14ac:dyDescent="0.25">
      <c r="A367" s="28" t="s">
        <v>20</v>
      </c>
      <c r="B367" s="28" t="s">
        <v>95</v>
      </c>
      <c r="C367" s="29">
        <v>109.39</v>
      </c>
      <c r="D367" s="109">
        <v>2010001</v>
      </c>
      <c r="E367" s="30">
        <v>40179</v>
      </c>
    </row>
    <row r="368" spans="1:5" ht="15" x14ac:dyDescent="0.25">
      <c r="A368" s="28" t="s">
        <v>22</v>
      </c>
      <c r="B368" s="28" t="s">
        <v>90</v>
      </c>
      <c r="C368" s="29">
        <v>861.49</v>
      </c>
      <c r="D368" s="109">
        <v>2010115</v>
      </c>
      <c r="E368" s="30">
        <v>40273</v>
      </c>
    </row>
    <row r="369" spans="1:5" ht="15" x14ac:dyDescent="0.25">
      <c r="A369" s="28" t="s">
        <v>20</v>
      </c>
      <c r="B369" s="28" t="s">
        <v>91</v>
      </c>
      <c r="C369" s="29">
        <v>1112.73</v>
      </c>
      <c r="D369" s="109">
        <v>2010326</v>
      </c>
      <c r="E369" s="30">
        <v>40471</v>
      </c>
    </row>
    <row r="370" spans="1:5" ht="15" x14ac:dyDescent="0.25">
      <c r="A370" s="28" t="s">
        <v>20</v>
      </c>
      <c r="B370" s="28" t="s">
        <v>95</v>
      </c>
      <c r="C370" s="29">
        <v>165.66</v>
      </c>
      <c r="D370" s="109">
        <v>2010387</v>
      </c>
      <c r="E370" s="30">
        <v>40534</v>
      </c>
    </row>
    <row r="371" spans="1:5" ht="15" x14ac:dyDescent="0.25">
      <c r="A371" s="28" t="s">
        <v>22</v>
      </c>
      <c r="B371" s="28" t="s">
        <v>62</v>
      </c>
      <c r="C371" s="29">
        <v>183.45</v>
      </c>
      <c r="D371" s="109">
        <v>2010334</v>
      </c>
      <c r="E371" s="30">
        <v>40479</v>
      </c>
    </row>
    <row r="372" spans="1:5" ht="15" x14ac:dyDescent="0.25">
      <c r="A372" s="28" t="s">
        <v>20</v>
      </c>
      <c r="B372" s="28" t="s">
        <v>95</v>
      </c>
      <c r="C372" s="29">
        <v>225.27</v>
      </c>
      <c r="D372" s="109">
        <v>2010187</v>
      </c>
      <c r="E372" s="30">
        <v>40332</v>
      </c>
    </row>
    <row r="373" spans="1:5" ht="15" x14ac:dyDescent="0.25">
      <c r="A373" s="28" t="s">
        <v>20</v>
      </c>
      <c r="B373" s="28" t="s">
        <v>91</v>
      </c>
      <c r="C373" s="29">
        <v>359.38</v>
      </c>
      <c r="D373" s="109">
        <v>2010271</v>
      </c>
      <c r="E373" s="30">
        <v>40416</v>
      </c>
    </row>
    <row r="374" spans="1:5" ht="15" x14ac:dyDescent="0.25">
      <c r="A374" s="28" t="s">
        <v>20</v>
      </c>
      <c r="B374" s="28" t="s">
        <v>94</v>
      </c>
      <c r="C374" s="29">
        <v>540.73</v>
      </c>
      <c r="D374" s="109">
        <v>2010264</v>
      </c>
      <c r="E374" s="30">
        <v>40409</v>
      </c>
    </row>
    <row r="375" spans="1:5" ht="15" x14ac:dyDescent="0.25">
      <c r="A375" s="28" t="s">
        <v>20</v>
      </c>
      <c r="B375" s="28" t="s">
        <v>94</v>
      </c>
      <c r="C375" s="29">
        <v>753.22</v>
      </c>
      <c r="D375" s="109">
        <v>2010027</v>
      </c>
      <c r="E375" s="30">
        <v>40201</v>
      </c>
    </row>
    <row r="376" spans="1:5" ht="15" x14ac:dyDescent="0.25">
      <c r="A376" s="28" t="s">
        <v>20</v>
      </c>
      <c r="B376" s="28" t="s">
        <v>63</v>
      </c>
      <c r="C376" s="29">
        <v>515.41</v>
      </c>
      <c r="D376" s="109">
        <v>2010130</v>
      </c>
      <c r="E376" s="30">
        <v>40284</v>
      </c>
    </row>
    <row r="377" spans="1:5" ht="15" x14ac:dyDescent="0.25">
      <c r="A377" s="28" t="s">
        <v>22</v>
      </c>
      <c r="B377" s="28" t="s">
        <v>96</v>
      </c>
      <c r="C377" s="29">
        <v>1015.4</v>
      </c>
      <c r="D377" s="109">
        <v>2010077</v>
      </c>
      <c r="E377" s="30">
        <v>40240</v>
      </c>
    </row>
    <row r="378" spans="1:5" ht="15" x14ac:dyDescent="0.25">
      <c r="A378" s="28" t="s">
        <v>20</v>
      </c>
      <c r="B378" s="28" t="s">
        <v>91</v>
      </c>
      <c r="C378" s="29">
        <v>197.35</v>
      </c>
      <c r="D378" s="109">
        <v>2010139</v>
      </c>
      <c r="E378" s="30">
        <v>40291</v>
      </c>
    </row>
    <row r="379" spans="1:5" ht="15" x14ac:dyDescent="0.25">
      <c r="A379" s="28" t="s">
        <v>22</v>
      </c>
      <c r="B379" s="28" t="s">
        <v>90</v>
      </c>
      <c r="C379" s="29">
        <v>1080.3800000000001</v>
      </c>
      <c r="D379" s="109">
        <v>2010041</v>
      </c>
      <c r="E379" s="30">
        <v>40211</v>
      </c>
    </row>
    <row r="380" spans="1:5" ht="15" x14ac:dyDescent="0.25">
      <c r="A380" s="28" t="s">
        <v>22</v>
      </c>
      <c r="B380" s="28" t="s">
        <v>62</v>
      </c>
      <c r="C380" s="29">
        <v>1120.56</v>
      </c>
      <c r="D380" s="109">
        <v>2010121</v>
      </c>
      <c r="E380" s="30">
        <v>40277</v>
      </c>
    </row>
    <row r="381" spans="1:5" ht="15" x14ac:dyDescent="0.25">
      <c r="A381" s="28" t="s">
        <v>22</v>
      </c>
      <c r="B381" s="28" t="s">
        <v>93</v>
      </c>
      <c r="C381" s="29">
        <v>802.8</v>
      </c>
      <c r="D381" s="109">
        <v>2010280</v>
      </c>
      <c r="E381" s="30">
        <v>40423</v>
      </c>
    </row>
    <row r="382" spans="1:5" ht="15" x14ac:dyDescent="0.25">
      <c r="A382" s="28" t="s">
        <v>20</v>
      </c>
      <c r="B382" s="28" t="s">
        <v>63</v>
      </c>
      <c r="C382" s="29">
        <v>918.57</v>
      </c>
      <c r="D382" s="109">
        <v>2010202</v>
      </c>
      <c r="E382" s="30">
        <v>40347</v>
      </c>
    </row>
    <row r="383" spans="1:5" ht="15" x14ac:dyDescent="0.25">
      <c r="A383" s="28" t="s">
        <v>20</v>
      </c>
      <c r="B383" s="28" t="s">
        <v>95</v>
      </c>
      <c r="C383" s="29">
        <v>776.56</v>
      </c>
      <c r="D383" s="109">
        <v>2010177</v>
      </c>
      <c r="E383" s="30">
        <v>40323</v>
      </c>
    </row>
    <row r="384" spans="1:5" ht="15" x14ac:dyDescent="0.25">
      <c r="A384" s="28" t="s">
        <v>20</v>
      </c>
      <c r="B384" s="28" t="s">
        <v>92</v>
      </c>
      <c r="C384" s="29">
        <v>913.78</v>
      </c>
      <c r="D384" s="109">
        <v>2010101</v>
      </c>
      <c r="E384" s="30">
        <v>40260</v>
      </c>
    </row>
    <row r="385" spans="1:5" ht="15" x14ac:dyDescent="0.25">
      <c r="A385" s="28" t="s">
        <v>20</v>
      </c>
      <c r="B385" s="28" t="s">
        <v>91</v>
      </c>
      <c r="C385" s="29">
        <v>986.16</v>
      </c>
      <c r="D385" s="109">
        <v>2010365</v>
      </c>
      <c r="E385" s="30">
        <v>40508</v>
      </c>
    </row>
    <row r="386" spans="1:5" ht="15" x14ac:dyDescent="0.25">
      <c r="A386" s="28" t="s">
        <v>20</v>
      </c>
      <c r="B386" s="28" t="s">
        <v>91</v>
      </c>
      <c r="C386" s="29">
        <v>1063.3699999999999</v>
      </c>
      <c r="D386" s="109">
        <v>2010339</v>
      </c>
      <c r="E386" s="30">
        <v>40483</v>
      </c>
    </row>
    <row r="387" spans="1:5" ht="15" x14ac:dyDescent="0.25">
      <c r="A387" s="28" t="s">
        <v>22</v>
      </c>
      <c r="B387" s="28" t="s">
        <v>90</v>
      </c>
      <c r="C387" s="29">
        <v>105.03</v>
      </c>
      <c r="D387" s="109">
        <v>2010076</v>
      </c>
      <c r="E387" s="30">
        <v>40239</v>
      </c>
    </row>
    <row r="388" spans="1:5" ht="15" x14ac:dyDescent="0.25">
      <c r="A388" s="28" t="s">
        <v>20</v>
      </c>
      <c r="B388" s="28" t="s">
        <v>91</v>
      </c>
      <c r="C388" s="29">
        <v>494.77</v>
      </c>
      <c r="D388" s="109">
        <v>2010155</v>
      </c>
      <c r="E388" s="30">
        <v>40307</v>
      </c>
    </row>
    <row r="389" spans="1:5" ht="15" x14ac:dyDescent="0.25">
      <c r="A389" s="28" t="s">
        <v>22</v>
      </c>
      <c r="B389" s="28" t="s">
        <v>62</v>
      </c>
      <c r="C389" s="29">
        <v>994.1</v>
      </c>
      <c r="D389" s="109">
        <v>2010091</v>
      </c>
      <c r="E389" s="30">
        <v>40253</v>
      </c>
    </row>
    <row r="390" spans="1:5" ht="15" x14ac:dyDescent="0.25">
      <c r="A390" s="28" t="s">
        <v>22</v>
      </c>
      <c r="B390" s="28" t="s">
        <v>62</v>
      </c>
      <c r="C390" s="29">
        <v>461.47</v>
      </c>
      <c r="D390" s="109">
        <v>2010163</v>
      </c>
      <c r="E390" s="30">
        <v>40310</v>
      </c>
    </row>
    <row r="391" spans="1:5" ht="15" x14ac:dyDescent="0.25">
      <c r="A391" s="28" t="s">
        <v>20</v>
      </c>
      <c r="B391" s="28" t="s">
        <v>95</v>
      </c>
      <c r="C391" s="29">
        <v>1033.8699999999999</v>
      </c>
      <c r="D391" s="109">
        <v>2010181</v>
      </c>
      <c r="E391" s="30">
        <v>40327</v>
      </c>
    </row>
    <row r="392" spans="1:5" ht="15" x14ac:dyDescent="0.25">
      <c r="A392" s="28" t="s">
        <v>22</v>
      </c>
      <c r="B392" s="28" t="s">
        <v>96</v>
      </c>
      <c r="C392" s="29">
        <v>978.22</v>
      </c>
      <c r="D392" s="109">
        <v>2010189</v>
      </c>
      <c r="E392" s="30">
        <v>40336</v>
      </c>
    </row>
    <row r="393" spans="1:5" ht="15" x14ac:dyDescent="0.25">
      <c r="A393" s="28" t="s">
        <v>20</v>
      </c>
      <c r="B393" s="28" t="s">
        <v>95</v>
      </c>
      <c r="C393" s="29">
        <v>1005.3</v>
      </c>
      <c r="D393" s="109">
        <v>2010017</v>
      </c>
      <c r="E393" s="30">
        <v>40192</v>
      </c>
    </row>
    <row r="394" spans="1:5" ht="15" x14ac:dyDescent="0.25">
      <c r="A394" s="28" t="s">
        <v>20</v>
      </c>
      <c r="B394" s="28" t="s">
        <v>94</v>
      </c>
      <c r="C394" s="29">
        <v>598.36</v>
      </c>
      <c r="D394" s="109">
        <v>2010259</v>
      </c>
      <c r="E394" s="30">
        <v>40405</v>
      </c>
    </row>
    <row r="395" spans="1:5" ht="15" x14ac:dyDescent="0.25">
      <c r="A395" s="28" t="s">
        <v>22</v>
      </c>
      <c r="B395" s="28" t="s">
        <v>62</v>
      </c>
      <c r="C395" s="29">
        <v>835.47</v>
      </c>
      <c r="D395" s="109">
        <v>2010373</v>
      </c>
      <c r="E395" s="30">
        <v>40517</v>
      </c>
    </row>
    <row r="396" spans="1:5" ht="15" x14ac:dyDescent="0.25">
      <c r="A396" s="28" t="s">
        <v>20</v>
      </c>
      <c r="B396" s="28" t="s">
        <v>63</v>
      </c>
      <c r="C396" s="29">
        <v>1163.74</v>
      </c>
      <c r="D396" s="109">
        <v>2010251</v>
      </c>
      <c r="E396" s="30">
        <v>40398</v>
      </c>
    </row>
    <row r="397" spans="1:5" ht="15" x14ac:dyDescent="0.25">
      <c r="A397" s="28" t="s">
        <v>20</v>
      </c>
      <c r="B397" s="28" t="s">
        <v>63</v>
      </c>
      <c r="C397" s="29">
        <v>996.18</v>
      </c>
      <c r="D397" s="109">
        <v>2010086</v>
      </c>
      <c r="E397" s="30">
        <v>40247</v>
      </c>
    </row>
    <row r="398" spans="1:5" ht="15" x14ac:dyDescent="0.25">
      <c r="A398" s="28" t="s">
        <v>20</v>
      </c>
      <c r="B398" s="28" t="s">
        <v>94</v>
      </c>
      <c r="C398" s="29">
        <v>1027.76</v>
      </c>
      <c r="D398" s="109">
        <v>2010228</v>
      </c>
      <c r="E398" s="30">
        <v>40377</v>
      </c>
    </row>
    <row r="399" spans="1:5" ht="15" x14ac:dyDescent="0.25">
      <c r="A399" s="28" t="s">
        <v>20</v>
      </c>
      <c r="B399" s="28" t="s">
        <v>94</v>
      </c>
      <c r="C399" s="29">
        <v>600.99</v>
      </c>
      <c r="D399" s="109">
        <v>2010316</v>
      </c>
      <c r="E399" s="30">
        <v>40462</v>
      </c>
    </row>
    <row r="400" spans="1:5" ht="15" x14ac:dyDescent="0.25">
      <c r="A400" s="28" t="s">
        <v>20</v>
      </c>
      <c r="B400" s="28" t="s">
        <v>91</v>
      </c>
      <c r="C400" s="29">
        <v>319.42</v>
      </c>
      <c r="D400" s="109">
        <v>2010369</v>
      </c>
      <c r="E400" s="30">
        <v>40516</v>
      </c>
    </row>
  </sheetData>
  <pageMargins left="0.7" right="0.7" top="0.75" bottom="0.75" header="0.3" footer="0.3"/>
  <pageSetup paperSize="9"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153"/>
  </cols>
  <sheetData>
    <row r="1" spans="1:2" x14ac:dyDescent="0.25">
      <c r="A1" s="153" t="s">
        <v>350</v>
      </c>
      <c r="B1" s="153">
        <v>0.6</v>
      </c>
    </row>
    <row r="2" spans="1:2" x14ac:dyDescent="0.25">
      <c r="A2" s="153" t="s">
        <v>351</v>
      </c>
      <c r="B2" s="153">
        <f>1-B1</f>
        <v>0.4</v>
      </c>
    </row>
    <row r="4" spans="1:2" x14ac:dyDescent="0.25">
      <c r="A4" s="153" t="s">
        <v>352</v>
      </c>
      <c r="B4" s="153" t="s">
        <v>353</v>
      </c>
    </row>
    <row r="5" spans="1:2" x14ac:dyDescent="0.25">
      <c r="A5" s="153" t="s">
        <v>354</v>
      </c>
      <c r="B5" s="169">
        <f>$B$1</f>
        <v>0.6</v>
      </c>
    </row>
    <row r="6" spans="1:2" x14ac:dyDescent="0.25">
      <c r="A6" s="153" t="s">
        <v>355</v>
      </c>
      <c r="B6" s="169">
        <f>B5*$B$2</f>
        <v>0.24</v>
      </c>
    </row>
    <row r="7" spans="1:2" x14ac:dyDescent="0.25">
      <c r="A7" s="153" t="s">
        <v>356</v>
      </c>
      <c r="B7" s="169">
        <f>B6*$B$2</f>
        <v>9.6000000000000002E-2</v>
      </c>
    </row>
    <row r="8" spans="1:2" x14ac:dyDescent="0.25">
      <c r="A8" s="153" t="s">
        <v>357</v>
      </c>
      <c r="B8" s="169">
        <f t="shared" ref="B8:B13" si="0">B7*$B$2</f>
        <v>3.8400000000000004E-2</v>
      </c>
    </row>
    <row r="9" spans="1:2" x14ac:dyDescent="0.25">
      <c r="A9" s="153" t="s">
        <v>358</v>
      </c>
      <c r="B9" s="169">
        <f t="shared" si="0"/>
        <v>1.5360000000000002E-2</v>
      </c>
    </row>
    <row r="10" spans="1:2" x14ac:dyDescent="0.25">
      <c r="A10" s="153" t="s">
        <v>359</v>
      </c>
      <c r="B10" s="169">
        <f t="shared" si="0"/>
        <v>6.144000000000001E-3</v>
      </c>
    </row>
    <row r="11" spans="1:2" x14ac:dyDescent="0.25">
      <c r="A11" s="153" t="s">
        <v>360</v>
      </c>
      <c r="B11" s="169">
        <f t="shared" si="0"/>
        <v>2.4576000000000008E-3</v>
      </c>
    </row>
    <row r="12" spans="1:2" x14ac:dyDescent="0.25">
      <c r="A12" s="153" t="s">
        <v>361</v>
      </c>
      <c r="B12" s="169">
        <f t="shared" si="0"/>
        <v>9.8304000000000035E-4</v>
      </c>
    </row>
    <row r="13" spans="1:2" x14ac:dyDescent="0.25">
      <c r="A13" s="153" t="s">
        <v>362</v>
      </c>
      <c r="B13" s="169">
        <f t="shared" si="0"/>
        <v>3.9321600000000016E-4</v>
      </c>
    </row>
    <row r="14" spans="1:2" x14ac:dyDescent="0.25">
      <c r="B14" s="169"/>
    </row>
  </sheetData>
  <pageMargins left="0.7" right="0.7" top="0.75" bottom="0.75" header="0.3" footer="0.3"/>
  <pageSetup paperSize="9" orientation="portrait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64FB-9CE9-4152-9EED-4B9696919ABE}">
  <dimension ref="A1:D3"/>
  <sheetViews>
    <sheetView showFormulas="1" workbookViewId="0"/>
  </sheetViews>
  <sheetFormatPr defaultColWidth="4.7109375" defaultRowHeight="15" x14ac:dyDescent="0.25"/>
  <sheetData>
    <row r="1" spans="1:4" x14ac:dyDescent="0.25">
      <c r="A1">
        <v>1</v>
      </c>
      <c r="B1">
        <v>3</v>
      </c>
      <c r="C1">
        <v>5</v>
      </c>
      <c r="D1">
        <v>7</v>
      </c>
    </row>
    <row r="2" spans="1:4" x14ac:dyDescent="0.25">
      <c r="A2">
        <v>2</v>
      </c>
      <c r="B2">
        <v>4</v>
      </c>
      <c r="C2">
        <v>6</v>
      </c>
      <c r="D2">
        <v>8</v>
      </c>
    </row>
    <row r="3" spans="1:4" x14ac:dyDescent="0.25">
      <c r="A3">
        <f>A1+A2</f>
        <v>3</v>
      </c>
      <c r="B3">
        <f t="shared" ref="B3:D3" si="0">B1+B2</f>
        <v>7</v>
      </c>
      <c r="C3">
        <f t="shared" si="0"/>
        <v>11</v>
      </c>
      <c r="D3">
        <f t="shared" si="0"/>
        <v>15</v>
      </c>
    </row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DD24-CC8F-4B26-955E-43CBCB806D84}">
  <dimension ref="A1:B6"/>
  <sheetViews>
    <sheetView showFormulas="1" workbookViewId="0">
      <selection activeCell="I23" sqref="I23"/>
    </sheetView>
  </sheetViews>
  <sheetFormatPr defaultRowHeight="15" x14ac:dyDescent="0.25"/>
  <cols>
    <col min="1" max="1" width="3.7109375" customWidth="1"/>
    <col min="2" max="2" width="4.7109375" customWidth="1"/>
  </cols>
  <sheetData>
    <row r="1" spans="1:2" x14ac:dyDescent="0.25">
      <c r="A1" s="248" t="s">
        <v>75</v>
      </c>
      <c r="B1" s="246" t="s">
        <v>1024</v>
      </c>
    </row>
    <row r="2" spans="1:2" x14ac:dyDescent="0.25">
      <c r="A2" s="247">
        <v>1</v>
      </c>
      <c r="B2" s="245">
        <f>2*A2-1</f>
        <v>1</v>
      </c>
    </row>
    <row r="3" spans="1:2" x14ac:dyDescent="0.25">
      <c r="A3" s="247">
        <v>2</v>
      </c>
      <c r="B3" s="245">
        <f t="shared" ref="B3:B6" si="0">2*A3-1</f>
        <v>3</v>
      </c>
    </row>
    <row r="4" spans="1:2" x14ac:dyDescent="0.25">
      <c r="A4" s="247">
        <v>3</v>
      </c>
      <c r="B4" s="245">
        <f t="shared" si="0"/>
        <v>5</v>
      </c>
    </row>
    <row r="5" spans="1:2" x14ac:dyDescent="0.25">
      <c r="A5" s="247">
        <v>4</v>
      </c>
      <c r="B5" s="245">
        <f t="shared" si="0"/>
        <v>7</v>
      </c>
    </row>
    <row r="6" spans="1:2" x14ac:dyDescent="0.25">
      <c r="A6" s="247">
        <v>5</v>
      </c>
      <c r="B6" s="245">
        <f t="shared" si="0"/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4877-1441-47B6-9640-A29000294D54}">
  <dimension ref="A1:T923"/>
  <sheetViews>
    <sheetView workbookViewId="0">
      <selection activeCell="S32" sqref="S32"/>
    </sheetView>
  </sheetViews>
  <sheetFormatPr defaultRowHeight="12.75" x14ac:dyDescent="0.2"/>
  <cols>
    <col min="1" max="1" width="8.5703125" style="90" bestFit="1" customWidth="1"/>
    <col min="2" max="2" width="11.5703125" style="90" bestFit="1" customWidth="1"/>
    <col min="3" max="3" width="12" style="90" bestFit="1" customWidth="1"/>
    <col min="4" max="4" width="16" style="90" bestFit="1" customWidth="1"/>
    <col min="5" max="5" width="16" style="90" customWidth="1"/>
    <col min="6" max="6" width="16.7109375" style="90" bestFit="1" customWidth="1"/>
    <col min="7" max="7" width="9.140625" style="90"/>
    <col min="8" max="8" width="12.42578125" style="90" bestFit="1" customWidth="1"/>
    <col min="9" max="9" width="22" style="90" bestFit="1" customWidth="1"/>
    <col min="10" max="11" width="11.5703125" style="90" bestFit="1" customWidth="1"/>
    <col min="12" max="12" width="10.5703125" style="90" bestFit="1" customWidth="1"/>
    <col min="13" max="13" width="8.28515625" style="90" bestFit="1" customWidth="1"/>
    <col min="14" max="16" width="7.140625" style="90" bestFit="1" customWidth="1"/>
    <col min="17" max="17" width="7.5703125" style="90" bestFit="1" customWidth="1"/>
    <col min="18" max="18" width="7.140625" style="90" bestFit="1" customWidth="1"/>
    <col min="19" max="19" width="8.85546875" style="90" bestFit="1" customWidth="1"/>
    <col min="20" max="20" width="10" style="90" bestFit="1" customWidth="1"/>
    <col min="21" max="257" width="9.140625" style="90"/>
    <col min="258" max="258" width="6.28515625" style="90" bestFit="1" customWidth="1"/>
    <col min="259" max="259" width="10.28515625" style="90" bestFit="1" customWidth="1"/>
    <col min="260" max="260" width="14.42578125" style="90" bestFit="1" customWidth="1"/>
    <col min="261" max="261" width="9.7109375" style="90" bestFit="1" customWidth="1"/>
    <col min="262" max="262" width="13.7109375" style="90" bestFit="1" customWidth="1"/>
    <col min="263" max="513" width="9.140625" style="90"/>
    <col min="514" max="514" width="6.28515625" style="90" bestFit="1" customWidth="1"/>
    <col min="515" max="515" width="10.28515625" style="90" bestFit="1" customWidth="1"/>
    <col min="516" max="516" width="14.42578125" style="90" bestFit="1" customWidth="1"/>
    <col min="517" max="517" width="9.7109375" style="90" bestFit="1" customWidth="1"/>
    <col min="518" max="518" width="13.7109375" style="90" bestFit="1" customWidth="1"/>
    <col min="519" max="769" width="9.140625" style="90"/>
    <col min="770" max="770" width="6.28515625" style="90" bestFit="1" customWidth="1"/>
    <col min="771" max="771" width="10.28515625" style="90" bestFit="1" customWidth="1"/>
    <col min="772" max="772" width="14.42578125" style="90" bestFit="1" customWidth="1"/>
    <col min="773" max="773" width="9.7109375" style="90" bestFit="1" customWidth="1"/>
    <col min="774" max="774" width="13.7109375" style="90" bestFit="1" customWidth="1"/>
    <col min="775" max="1025" width="9.140625" style="90"/>
    <col min="1026" max="1026" width="6.28515625" style="90" bestFit="1" customWidth="1"/>
    <col min="1027" max="1027" width="10.28515625" style="90" bestFit="1" customWidth="1"/>
    <col min="1028" max="1028" width="14.42578125" style="90" bestFit="1" customWidth="1"/>
    <col min="1029" max="1029" width="9.7109375" style="90" bestFit="1" customWidth="1"/>
    <col min="1030" max="1030" width="13.7109375" style="90" bestFit="1" customWidth="1"/>
    <col min="1031" max="1281" width="9.140625" style="90"/>
    <col min="1282" max="1282" width="6.28515625" style="90" bestFit="1" customWidth="1"/>
    <col min="1283" max="1283" width="10.28515625" style="90" bestFit="1" customWidth="1"/>
    <col min="1284" max="1284" width="14.42578125" style="90" bestFit="1" customWidth="1"/>
    <col min="1285" max="1285" width="9.7109375" style="90" bestFit="1" customWidth="1"/>
    <col min="1286" max="1286" width="13.7109375" style="90" bestFit="1" customWidth="1"/>
    <col min="1287" max="1537" width="9.140625" style="90"/>
    <col min="1538" max="1538" width="6.28515625" style="90" bestFit="1" customWidth="1"/>
    <col min="1539" max="1539" width="10.28515625" style="90" bestFit="1" customWidth="1"/>
    <col min="1540" max="1540" width="14.42578125" style="90" bestFit="1" customWidth="1"/>
    <col min="1541" max="1541" width="9.7109375" style="90" bestFit="1" customWidth="1"/>
    <col min="1542" max="1542" width="13.7109375" style="90" bestFit="1" customWidth="1"/>
    <col min="1543" max="1793" width="9.140625" style="90"/>
    <col min="1794" max="1794" width="6.28515625" style="90" bestFit="1" customWidth="1"/>
    <col min="1795" max="1795" width="10.28515625" style="90" bestFit="1" customWidth="1"/>
    <col min="1796" max="1796" width="14.42578125" style="90" bestFit="1" customWidth="1"/>
    <col min="1797" max="1797" width="9.7109375" style="90" bestFit="1" customWidth="1"/>
    <col min="1798" max="1798" width="13.7109375" style="90" bestFit="1" customWidth="1"/>
    <col min="1799" max="2049" width="9.140625" style="90"/>
    <col min="2050" max="2050" width="6.28515625" style="90" bestFit="1" customWidth="1"/>
    <col min="2051" max="2051" width="10.28515625" style="90" bestFit="1" customWidth="1"/>
    <col min="2052" max="2052" width="14.42578125" style="90" bestFit="1" customWidth="1"/>
    <col min="2053" max="2053" width="9.7109375" style="90" bestFit="1" customWidth="1"/>
    <col min="2054" max="2054" width="13.7109375" style="90" bestFit="1" customWidth="1"/>
    <col min="2055" max="2305" width="9.140625" style="90"/>
    <col min="2306" max="2306" width="6.28515625" style="90" bestFit="1" customWidth="1"/>
    <col min="2307" max="2307" width="10.28515625" style="90" bestFit="1" customWidth="1"/>
    <col min="2308" max="2308" width="14.42578125" style="90" bestFit="1" customWidth="1"/>
    <col min="2309" max="2309" width="9.7109375" style="90" bestFit="1" customWidth="1"/>
    <col min="2310" max="2310" width="13.7109375" style="90" bestFit="1" customWidth="1"/>
    <col min="2311" max="2561" width="9.140625" style="90"/>
    <col min="2562" max="2562" width="6.28515625" style="90" bestFit="1" customWidth="1"/>
    <col min="2563" max="2563" width="10.28515625" style="90" bestFit="1" customWidth="1"/>
    <col min="2564" max="2564" width="14.42578125" style="90" bestFit="1" customWidth="1"/>
    <col min="2565" max="2565" width="9.7109375" style="90" bestFit="1" customWidth="1"/>
    <col min="2566" max="2566" width="13.7109375" style="90" bestFit="1" customWidth="1"/>
    <col min="2567" max="2817" width="9.140625" style="90"/>
    <col min="2818" max="2818" width="6.28515625" style="90" bestFit="1" customWidth="1"/>
    <col min="2819" max="2819" width="10.28515625" style="90" bestFit="1" customWidth="1"/>
    <col min="2820" max="2820" width="14.42578125" style="90" bestFit="1" customWidth="1"/>
    <col min="2821" max="2821" width="9.7109375" style="90" bestFit="1" customWidth="1"/>
    <col min="2822" max="2822" width="13.7109375" style="90" bestFit="1" customWidth="1"/>
    <col min="2823" max="3073" width="9.140625" style="90"/>
    <col min="3074" max="3074" width="6.28515625" style="90" bestFit="1" customWidth="1"/>
    <col min="3075" max="3075" width="10.28515625" style="90" bestFit="1" customWidth="1"/>
    <col min="3076" max="3076" width="14.42578125" style="90" bestFit="1" customWidth="1"/>
    <col min="3077" max="3077" width="9.7109375" style="90" bestFit="1" customWidth="1"/>
    <col min="3078" max="3078" width="13.7109375" style="90" bestFit="1" customWidth="1"/>
    <col min="3079" max="3329" width="9.140625" style="90"/>
    <col min="3330" max="3330" width="6.28515625" style="90" bestFit="1" customWidth="1"/>
    <col min="3331" max="3331" width="10.28515625" style="90" bestFit="1" customWidth="1"/>
    <col min="3332" max="3332" width="14.42578125" style="90" bestFit="1" customWidth="1"/>
    <col min="3333" max="3333" width="9.7109375" style="90" bestFit="1" customWidth="1"/>
    <col min="3334" max="3334" width="13.7109375" style="90" bestFit="1" customWidth="1"/>
    <col min="3335" max="3585" width="9.140625" style="90"/>
    <col min="3586" max="3586" width="6.28515625" style="90" bestFit="1" customWidth="1"/>
    <col min="3587" max="3587" width="10.28515625" style="90" bestFit="1" customWidth="1"/>
    <col min="3588" max="3588" width="14.42578125" style="90" bestFit="1" customWidth="1"/>
    <col min="3589" max="3589" width="9.7109375" style="90" bestFit="1" customWidth="1"/>
    <col min="3590" max="3590" width="13.7109375" style="90" bestFit="1" customWidth="1"/>
    <col min="3591" max="3841" width="9.140625" style="90"/>
    <col min="3842" max="3842" width="6.28515625" style="90" bestFit="1" customWidth="1"/>
    <col min="3843" max="3843" width="10.28515625" style="90" bestFit="1" customWidth="1"/>
    <col min="3844" max="3844" width="14.42578125" style="90" bestFit="1" customWidth="1"/>
    <col min="3845" max="3845" width="9.7109375" style="90" bestFit="1" customWidth="1"/>
    <col min="3846" max="3846" width="13.7109375" style="90" bestFit="1" customWidth="1"/>
    <col min="3847" max="4097" width="9.140625" style="90"/>
    <col min="4098" max="4098" width="6.28515625" style="90" bestFit="1" customWidth="1"/>
    <col min="4099" max="4099" width="10.28515625" style="90" bestFit="1" customWidth="1"/>
    <col min="4100" max="4100" width="14.42578125" style="90" bestFit="1" customWidth="1"/>
    <col min="4101" max="4101" width="9.7109375" style="90" bestFit="1" customWidth="1"/>
    <col min="4102" max="4102" width="13.7109375" style="90" bestFit="1" customWidth="1"/>
    <col min="4103" max="4353" width="9.140625" style="90"/>
    <col min="4354" max="4354" width="6.28515625" style="90" bestFit="1" customWidth="1"/>
    <col min="4355" max="4355" width="10.28515625" style="90" bestFit="1" customWidth="1"/>
    <col min="4356" max="4356" width="14.42578125" style="90" bestFit="1" customWidth="1"/>
    <col min="4357" max="4357" width="9.7109375" style="90" bestFit="1" customWidth="1"/>
    <col min="4358" max="4358" width="13.7109375" style="90" bestFit="1" customWidth="1"/>
    <col min="4359" max="4609" width="9.140625" style="90"/>
    <col min="4610" max="4610" width="6.28515625" style="90" bestFit="1" customWidth="1"/>
    <col min="4611" max="4611" width="10.28515625" style="90" bestFit="1" customWidth="1"/>
    <col min="4612" max="4612" width="14.42578125" style="90" bestFit="1" customWidth="1"/>
    <col min="4613" max="4613" width="9.7109375" style="90" bestFit="1" customWidth="1"/>
    <col min="4614" max="4614" width="13.7109375" style="90" bestFit="1" customWidth="1"/>
    <col min="4615" max="4865" width="9.140625" style="90"/>
    <col min="4866" max="4866" width="6.28515625" style="90" bestFit="1" customWidth="1"/>
    <col min="4867" max="4867" width="10.28515625" style="90" bestFit="1" customWidth="1"/>
    <col min="4868" max="4868" width="14.42578125" style="90" bestFit="1" customWidth="1"/>
    <col min="4869" max="4869" width="9.7109375" style="90" bestFit="1" customWidth="1"/>
    <col min="4870" max="4870" width="13.7109375" style="90" bestFit="1" customWidth="1"/>
    <col min="4871" max="5121" width="9.140625" style="90"/>
    <col min="5122" max="5122" width="6.28515625" style="90" bestFit="1" customWidth="1"/>
    <col min="5123" max="5123" width="10.28515625" style="90" bestFit="1" customWidth="1"/>
    <col min="5124" max="5124" width="14.42578125" style="90" bestFit="1" customWidth="1"/>
    <col min="5125" max="5125" width="9.7109375" style="90" bestFit="1" customWidth="1"/>
    <col min="5126" max="5126" width="13.7109375" style="90" bestFit="1" customWidth="1"/>
    <col min="5127" max="5377" width="9.140625" style="90"/>
    <col min="5378" max="5378" width="6.28515625" style="90" bestFit="1" customWidth="1"/>
    <col min="5379" max="5379" width="10.28515625" style="90" bestFit="1" customWidth="1"/>
    <col min="5380" max="5380" width="14.42578125" style="90" bestFit="1" customWidth="1"/>
    <col min="5381" max="5381" width="9.7109375" style="90" bestFit="1" customWidth="1"/>
    <col min="5382" max="5382" width="13.7109375" style="90" bestFit="1" customWidth="1"/>
    <col min="5383" max="5633" width="9.140625" style="90"/>
    <col min="5634" max="5634" width="6.28515625" style="90" bestFit="1" customWidth="1"/>
    <col min="5635" max="5635" width="10.28515625" style="90" bestFit="1" customWidth="1"/>
    <col min="5636" max="5636" width="14.42578125" style="90" bestFit="1" customWidth="1"/>
    <col min="5637" max="5637" width="9.7109375" style="90" bestFit="1" customWidth="1"/>
    <col min="5638" max="5638" width="13.7109375" style="90" bestFit="1" customWidth="1"/>
    <col min="5639" max="5889" width="9.140625" style="90"/>
    <col min="5890" max="5890" width="6.28515625" style="90" bestFit="1" customWidth="1"/>
    <col min="5891" max="5891" width="10.28515625" style="90" bestFit="1" customWidth="1"/>
    <col min="5892" max="5892" width="14.42578125" style="90" bestFit="1" customWidth="1"/>
    <col min="5893" max="5893" width="9.7109375" style="90" bestFit="1" customWidth="1"/>
    <col min="5894" max="5894" width="13.7109375" style="90" bestFit="1" customWidth="1"/>
    <col min="5895" max="6145" width="9.140625" style="90"/>
    <col min="6146" max="6146" width="6.28515625" style="90" bestFit="1" customWidth="1"/>
    <col min="6147" max="6147" width="10.28515625" style="90" bestFit="1" customWidth="1"/>
    <col min="6148" max="6148" width="14.42578125" style="90" bestFit="1" customWidth="1"/>
    <col min="6149" max="6149" width="9.7109375" style="90" bestFit="1" customWidth="1"/>
    <col min="6150" max="6150" width="13.7109375" style="90" bestFit="1" customWidth="1"/>
    <col min="6151" max="6401" width="9.140625" style="90"/>
    <col min="6402" max="6402" width="6.28515625" style="90" bestFit="1" customWidth="1"/>
    <col min="6403" max="6403" width="10.28515625" style="90" bestFit="1" customWidth="1"/>
    <col min="6404" max="6404" width="14.42578125" style="90" bestFit="1" customWidth="1"/>
    <col min="6405" max="6405" width="9.7109375" style="90" bestFit="1" customWidth="1"/>
    <col min="6406" max="6406" width="13.7109375" style="90" bestFit="1" customWidth="1"/>
    <col min="6407" max="6657" width="9.140625" style="90"/>
    <col min="6658" max="6658" width="6.28515625" style="90" bestFit="1" customWidth="1"/>
    <col min="6659" max="6659" width="10.28515625" style="90" bestFit="1" customWidth="1"/>
    <col min="6660" max="6660" width="14.42578125" style="90" bestFit="1" customWidth="1"/>
    <col min="6661" max="6661" width="9.7109375" style="90" bestFit="1" customWidth="1"/>
    <col min="6662" max="6662" width="13.7109375" style="90" bestFit="1" customWidth="1"/>
    <col min="6663" max="6913" width="9.140625" style="90"/>
    <col min="6914" max="6914" width="6.28515625" style="90" bestFit="1" customWidth="1"/>
    <col min="6915" max="6915" width="10.28515625" style="90" bestFit="1" customWidth="1"/>
    <col min="6916" max="6916" width="14.42578125" style="90" bestFit="1" customWidth="1"/>
    <col min="6917" max="6917" width="9.7109375" style="90" bestFit="1" customWidth="1"/>
    <col min="6918" max="6918" width="13.7109375" style="90" bestFit="1" customWidth="1"/>
    <col min="6919" max="7169" width="9.140625" style="90"/>
    <col min="7170" max="7170" width="6.28515625" style="90" bestFit="1" customWidth="1"/>
    <col min="7171" max="7171" width="10.28515625" style="90" bestFit="1" customWidth="1"/>
    <col min="7172" max="7172" width="14.42578125" style="90" bestFit="1" customWidth="1"/>
    <col min="7173" max="7173" width="9.7109375" style="90" bestFit="1" customWidth="1"/>
    <col min="7174" max="7174" width="13.7109375" style="90" bestFit="1" customWidth="1"/>
    <col min="7175" max="7425" width="9.140625" style="90"/>
    <col min="7426" max="7426" width="6.28515625" style="90" bestFit="1" customWidth="1"/>
    <col min="7427" max="7427" width="10.28515625" style="90" bestFit="1" customWidth="1"/>
    <col min="7428" max="7428" width="14.42578125" style="90" bestFit="1" customWidth="1"/>
    <col min="7429" max="7429" width="9.7109375" style="90" bestFit="1" customWidth="1"/>
    <col min="7430" max="7430" width="13.7109375" style="90" bestFit="1" customWidth="1"/>
    <col min="7431" max="7681" width="9.140625" style="90"/>
    <col min="7682" max="7682" width="6.28515625" style="90" bestFit="1" customWidth="1"/>
    <col min="7683" max="7683" width="10.28515625" style="90" bestFit="1" customWidth="1"/>
    <col min="7684" max="7684" width="14.42578125" style="90" bestFit="1" customWidth="1"/>
    <col min="7685" max="7685" width="9.7109375" style="90" bestFit="1" customWidth="1"/>
    <col min="7686" max="7686" width="13.7109375" style="90" bestFit="1" customWidth="1"/>
    <col min="7687" max="7937" width="9.140625" style="90"/>
    <col min="7938" max="7938" width="6.28515625" style="90" bestFit="1" customWidth="1"/>
    <col min="7939" max="7939" width="10.28515625" style="90" bestFit="1" customWidth="1"/>
    <col min="7940" max="7940" width="14.42578125" style="90" bestFit="1" customWidth="1"/>
    <col min="7941" max="7941" width="9.7109375" style="90" bestFit="1" customWidth="1"/>
    <col min="7942" max="7942" width="13.7109375" style="90" bestFit="1" customWidth="1"/>
    <col min="7943" max="8193" width="9.140625" style="90"/>
    <col min="8194" max="8194" width="6.28515625" style="90" bestFit="1" customWidth="1"/>
    <col min="8195" max="8195" width="10.28515625" style="90" bestFit="1" customWidth="1"/>
    <col min="8196" max="8196" width="14.42578125" style="90" bestFit="1" customWidth="1"/>
    <col min="8197" max="8197" width="9.7109375" style="90" bestFit="1" customWidth="1"/>
    <col min="8198" max="8198" width="13.7109375" style="90" bestFit="1" customWidth="1"/>
    <col min="8199" max="8449" width="9.140625" style="90"/>
    <col min="8450" max="8450" width="6.28515625" style="90" bestFit="1" customWidth="1"/>
    <col min="8451" max="8451" width="10.28515625" style="90" bestFit="1" customWidth="1"/>
    <col min="8452" max="8452" width="14.42578125" style="90" bestFit="1" customWidth="1"/>
    <col min="8453" max="8453" width="9.7109375" style="90" bestFit="1" customWidth="1"/>
    <col min="8454" max="8454" width="13.7109375" style="90" bestFit="1" customWidth="1"/>
    <col min="8455" max="8705" width="9.140625" style="90"/>
    <col min="8706" max="8706" width="6.28515625" style="90" bestFit="1" customWidth="1"/>
    <col min="8707" max="8707" width="10.28515625" style="90" bestFit="1" customWidth="1"/>
    <col min="8708" max="8708" width="14.42578125" style="90" bestFit="1" customWidth="1"/>
    <col min="8709" max="8709" width="9.7109375" style="90" bestFit="1" customWidth="1"/>
    <col min="8710" max="8710" width="13.7109375" style="90" bestFit="1" customWidth="1"/>
    <col min="8711" max="8961" width="9.140625" style="90"/>
    <col min="8962" max="8962" width="6.28515625" style="90" bestFit="1" customWidth="1"/>
    <col min="8963" max="8963" width="10.28515625" style="90" bestFit="1" customWidth="1"/>
    <col min="8964" max="8964" width="14.42578125" style="90" bestFit="1" customWidth="1"/>
    <col min="8965" max="8965" width="9.7109375" style="90" bestFit="1" customWidth="1"/>
    <col min="8966" max="8966" width="13.7109375" style="90" bestFit="1" customWidth="1"/>
    <col min="8967" max="9217" width="9.140625" style="90"/>
    <col min="9218" max="9218" width="6.28515625" style="90" bestFit="1" customWidth="1"/>
    <col min="9219" max="9219" width="10.28515625" style="90" bestFit="1" customWidth="1"/>
    <col min="9220" max="9220" width="14.42578125" style="90" bestFit="1" customWidth="1"/>
    <col min="9221" max="9221" width="9.7109375" style="90" bestFit="1" customWidth="1"/>
    <col min="9222" max="9222" width="13.7109375" style="90" bestFit="1" customWidth="1"/>
    <col min="9223" max="9473" width="9.140625" style="90"/>
    <col min="9474" max="9474" width="6.28515625" style="90" bestFit="1" customWidth="1"/>
    <col min="9475" max="9475" width="10.28515625" style="90" bestFit="1" customWidth="1"/>
    <col min="9476" max="9476" width="14.42578125" style="90" bestFit="1" customWidth="1"/>
    <col min="9477" max="9477" width="9.7109375" style="90" bestFit="1" customWidth="1"/>
    <col min="9478" max="9478" width="13.7109375" style="90" bestFit="1" customWidth="1"/>
    <col min="9479" max="9729" width="9.140625" style="90"/>
    <col min="9730" max="9730" width="6.28515625" style="90" bestFit="1" customWidth="1"/>
    <col min="9731" max="9731" width="10.28515625" style="90" bestFit="1" customWidth="1"/>
    <col min="9732" max="9732" width="14.42578125" style="90" bestFit="1" customWidth="1"/>
    <col min="9733" max="9733" width="9.7109375" style="90" bestFit="1" customWidth="1"/>
    <col min="9734" max="9734" width="13.7109375" style="90" bestFit="1" customWidth="1"/>
    <col min="9735" max="9985" width="9.140625" style="90"/>
    <col min="9986" max="9986" width="6.28515625" style="90" bestFit="1" customWidth="1"/>
    <col min="9987" max="9987" width="10.28515625" style="90" bestFit="1" customWidth="1"/>
    <col min="9988" max="9988" width="14.42578125" style="90" bestFit="1" customWidth="1"/>
    <col min="9989" max="9989" width="9.7109375" style="90" bestFit="1" customWidth="1"/>
    <col min="9990" max="9990" width="13.7109375" style="90" bestFit="1" customWidth="1"/>
    <col min="9991" max="10241" width="9.140625" style="90"/>
    <col min="10242" max="10242" width="6.28515625" style="90" bestFit="1" customWidth="1"/>
    <col min="10243" max="10243" width="10.28515625" style="90" bestFit="1" customWidth="1"/>
    <col min="10244" max="10244" width="14.42578125" style="90" bestFit="1" customWidth="1"/>
    <col min="10245" max="10245" width="9.7109375" style="90" bestFit="1" customWidth="1"/>
    <col min="10246" max="10246" width="13.7109375" style="90" bestFit="1" customWidth="1"/>
    <col min="10247" max="10497" width="9.140625" style="90"/>
    <col min="10498" max="10498" width="6.28515625" style="90" bestFit="1" customWidth="1"/>
    <col min="10499" max="10499" width="10.28515625" style="90" bestFit="1" customWidth="1"/>
    <col min="10500" max="10500" width="14.42578125" style="90" bestFit="1" customWidth="1"/>
    <col min="10501" max="10501" width="9.7109375" style="90" bestFit="1" customWidth="1"/>
    <col min="10502" max="10502" width="13.7109375" style="90" bestFit="1" customWidth="1"/>
    <col min="10503" max="10753" width="9.140625" style="90"/>
    <col min="10754" max="10754" width="6.28515625" style="90" bestFit="1" customWidth="1"/>
    <col min="10755" max="10755" width="10.28515625" style="90" bestFit="1" customWidth="1"/>
    <col min="10756" max="10756" width="14.42578125" style="90" bestFit="1" customWidth="1"/>
    <col min="10757" max="10757" width="9.7109375" style="90" bestFit="1" customWidth="1"/>
    <col min="10758" max="10758" width="13.7109375" style="90" bestFit="1" customWidth="1"/>
    <col min="10759" max="11009" width="9.140625" style="90"/>
    <col min="11010" max="11010" width="6.28515625" style="90" bestFit="1" customWidth="1"/>
    <col min="11011" max="11011" width="10.28515625" style="90" bestFit="1" customWidth="1"/>
    <col min="11012" max="11012" width="14.42578125" style="90" bestFit="1" customWidth="1"/>
    <col min="11013" max="11013" width="9.7109375" style="90" bestFit="1" customWidth="1"/>
    <col min="11014" max="11014" width="13.7109375" style="90" bestFit="1" customWidth="1"/>
    <col min="11015" max="11265" width="9.140625" style="90"/>
    <col min="11266" max="11266" width="6.28515625" style="90" bestFit="1" customWidth="1"/>
    <col min="11267" max="11267" width="10.28515625" style="90" bestFit="1" customWidth="1"/>
    <col min="11268" max="11268" width="14.42578125" style="90" bestFit="1" customWidth="1"/>
    <col min="11269" max="11269" width="9.7109375" style="90" bestFit="1" customWidth="1"/>
    <col min="11270" max="11270" width="13.7109375" style="90" bestFit="1" customWidth="1"/>
    <col min="11271" max="11521" width="9.140625" style="90"/>
    <col min="11522" max="11522" width="6.28515625" style="90" bestFit="1" customWidth="1"/>
    <col min="11523" max="11523" width="10.28515625" style="90" bestFit="1" customWidth="1"/>
    <col min="11524" max="11524" width="14.42578125" style="90" bestFit="1" customWidth="1"/>
    <col min="11525" max="11525" width="9.7109375" style="90" bestFit="1" customWidth="1"/>
    <col min="11526" max="11526" width="13.7109375" style="90" bestFit="1" customWidth="1"/>
    <col min="11527" max="11777" width="9.140625" style="90"/>
    <col min="11778" max="11778" width="6.28515625" style="90" bestFit="1" customWidth="1"/>
    <col min="11779" max="11779" width="10.28515625" style="90" bestFit="1" customWidth="1"/>
    <col min="11780" max="11780" width="14.42578125" style="90" bestFit="1" customWidth="1"/>
    <col min="11781" max="11781" width="9.7109375" style="90" bestFit="1" customWidth="1"/>
    <col min="11782" max="11782" width="13.7109375" style="90" bestFit="1" customWidth="1"/>
    <col min="11783" max="12033" width="9.140625" style="90"/>
    <col min="12034" max="12034" width="6.28515625" style="90" bestFit="1" customWidth="1"/>
    <col min="12035" max="12035" width="10.28515625" style="90" bestFit="1" customWidth="1"/>
    <col min="12036" max="12036" width="14.42578125" style="90" bestFit="1" customWidth="1"/>
    <col min="12037" max="12037" width="9.7109375" style="90" bestFit="1" customWidth="1"/>
    <col min="12038" max="12038" width="13.7109375" style="90" bestFit="1" customWidth="1"/>
    <col min="12039" max="12289" width="9.140625" style="90"/>
    <col min="12290" max="12290" width="6.28515625" style="90" bestFit="1" customWidth="1"/>
    <col min="12291" max="12291" width="10.28515625" style="90" bestFit="1" customWidth="1"/>
    <col min="12292" max="12292" width="14.42578125" style="90" bestFit="1" customWidth="1"/>
    <col min="12293" max="12293" width="9.7109375" style="90" bestFit="1" customWidth="1"/>
    <col min="12294" max="12294" width="13.7109375" style="90" bestFit="1" customWidth="1"/>
    <col min="12295" max="12545" width="9.140625" style="90"/>
    <col min="12546" max="12546" width="6.28515625" style="90" bestFit="1" customWidth="1"/>
    <col min="12547" max="12547" width="10.28515625" style="90" bestFit="1" customWidth="1"/>
    <col min="12548" max="12548" width="14.42578125" style="90" bestFit="1" customWidth="1"/>
    <col min="12549" max="12549" width="9.7109375" style="90" bestFit="1" customWidth="1"/>
    <col min="12550" max="12550" width="13.7109375" style="90" bestFit="1" customWidth="1"/>
    <col min="12551" max="12801" width="9.140625" style="90"/>
    <col min="12802" max="12802" width="6.28515625" style="90" bestFit="1" customWidth="1"/>
    <col min="12803" max="12803" width="10.28515625" style="90" bestFit="1" customWidth="1"/>
    <col min="12804" max="12804" width="14.42578125" style="90" bestFit="1" customWidth="1"/>
    <col min="12805" max="12805" width="9.7109375" style="90" bestFit="1" customWidth="1"/>
    <col min="12806" max="12806" width="13.7109375" style="90" bestFit="1" customWidth="1"/>
    <col min="12807" max="13057" width="9.140625" style="90"/>
    <col min="13058" max="13058" width="6.28515625" style="90" bestFit="1" customWidth="1"/>
    <col min="13059" max="13059" width="10.28515625" style="90" bestFit="1" customWidth="1"/>
    <col min="13060" max="13060" width="14.42578125" style="90" bestFit="1" customWidth="1"/>
    <col min="13061" max="13061" width="9.7109375" style="90" bestFit="1" customWidth="1"/>
    <col min="13062" max="13062" width="13.7109375" style="90" bestFit="1" customWidth="1"/>
    <col min="13063" max="13313" width="9.140625" style="90"/>
    <col min="13314" max="13314" width="6.28515625" style="90" bestFit="1" customWidth="1"/>
    <col min="13315" max="13315" width="10.28515625" style="90" bestFit="1" customWidth="1"/>
    <col min="13316" max="13316" width="14.42578125" style="90" bestFit="1" customWidth="1"/>
    <col min="13317" max="13317" width="9.7109375" style="90" bestFit="1" customWidth="1"/>
    <col min="13318" max="13318" width="13.7109375" style="90" bestFit="1" customWidth="1"/>
    <col min="13319" max="13569" width="9.140625" style="90"/>
    <col min="13570" max="13570" width="6.28515625" style="90" bestFit="1" customWidth="1"/>
    <col min="13571" max="13571" width="10.28515625" style="90" bestFit="1" customWidth="1"/>
    <col min="13572" max="13572" width="14.42578125" style="90" bestFit="1" customWidth="1"/>
    <col min="13573" max="13573" width="9.7109375" style="90" bestFit="1" customWidth="1"/>
    <col min="13574" max="13574" width="13.7109375" style="90" bestFit="1" customWidth="1"/>
    <col min="13575" max="13825" width="9.140625" style="90"/>
    <col min="13826" max="13826" width="6.28515625" style="90" bestFit="1" customWidth="1"/>
    <col min="13827" max="13827" width="10.28515625" style="90" bestFit="1" customWidth="1"/>
    <col min="13828" max="13828" width="14.42578125" style="90" bestFit="1" customWidth="1"/>
    <col min="13829" max="13829" width="9.7109375" style="90" bestFit="1" customWidth="1"/>
    <col min="13830" max="13830" width="13.7109375" style="90" bestFit="1" customWidth="1"/>
    <col min="13831" max="14081" width="9.140625" style="90"/>
    <col min="14082" max="14082" width="6.28515625" style="90" bestFit="1" customWidth="1"/>
    <col min="14083" max="14083" width="10.28515625" style="90" bestFit="1" customWidth="1"/>
    <col min="14084" max="14084" width="14.42578125" style="90" bestFit="1" customWidth="1"/>
    <col min="14085" max="14085" width="9.7109375" style="90" bestFit="1" customWidth="1"/>
    <col min="14086" max="14086" width="13.7109375" style="90" bestFit="1" customWidth="1"/>
    <col min="14087" max="14337" width="9.140625" style="90"/>
    <col min="14338" max="14338" width="6.28515625" style="90" bestFit="1" customWidth="1"/>
    <col min="14339" max="14339" width="10.28515625" style="90" bestFit="1" customWidth="1"/>
    <col min="14340" max="14340" width="14.42578125" style="90" bestFit="1" customWidth="1"/>
    <col min="14341" max="14341" width="9.7109375" style="90" bestFit="1" customWidth="1"/>
    <col min="14342" max="14342" width="13.7109375" style="90" bestFit="1" customWidth="1"/>
    <col min="14343" max="14593" width="9.140625" style="90"/>
    <col min="14594" max="14594" width="6.28515625" style="90" bestFit="1" customWidth="1"/>
    <col min="14595" max="14595" width="10.28515625" style="90" bestFit="1" customWidth="1"/>
    <col min="14596" max="14596" width="14.42578125" style="90" bestFit="1" customWidth="1"/>
    <col min="14597" max="14597" width="9.7109375" style="90" bestFit="1" customWidth="1"/>
    <col min="14598" max="14598" width="13.7109375" style="90" bestFit="1" customWidth="1"/>
    <col min="14599" max="14849" width="9.140625" style="90"/>
    <col min="14850" max="14850" width="6.28515625" style="90" bestFit="1" customWidth="1"/>
    <col min="14851" max="14851" width="10.28515625" style="90" bestFit="1" customWidth="1"/>
    <col min="14852" max="14852" width="14.42578125" style="90" bestFit="1" customWidth="1"/>
    <col min="14853" max="14853" width="9.7109375" style="90" bestFit="1" customWidth="1"/>
    <col min="14854" max="14854" width="13.7109375" style="90" bestFit="1" customWidth="1"/>
    <col min="14855" max="15105" width="9.140625" style="90"/>
    <col min="15106" max="15106" width="6.28515625" style="90" bestFit="1" customWidth="1"/>
    <col min="15107" max="15107" width="10.28515625" style="90" bestFit="1" customWidth="1"/>
    <col min="15108" max="15108" width="14.42578125" style="90" bestFit="1" customWidth="1"/>
    <col min="15109" max="15109" width="9.7109375" style="90" bestFit="1" customWidth="1"/>
    <col min="15110" max="15110" width="13.7109375" style="90" bestFit="1" customWidth="1"/>
    <col min="15111" max="15361" width="9.140625" style="90"/>
    <col min="15362" max="15362" width="6.28515625" style="90" bestFit="1" customWidth="1"/>
    <col min="15363" max="15363" width="10.28515625" style="90" bestFit="1" customWidth="1"/>
    <col min="15364" max="15364" width="14.42578125" style="90" bestFit="1" customWidth="1"/>
    <col min="15365" max="15365" width="9.7109375" style="90" bestFit="1" customWidth="1"/>
    <col min="15366" max="15366" width="13.7109375" style="90" bestFit="1" customWidth="1"/>
    <col min="15367" max="15617" width="9.140625" style="90"/>
    <col min="15618" max="15618" width="6.28515625" style="90" bestFit="1" customWidth="1"/>
    <col min="15619" max="15619" width="10.28515625" style="90" bestFit="1" customWidth="1"/>
    <col min="15620" max="15620" width="14.42578125" style="90" bestFit="1" customWidth="1"/>
    <col min="15621" max="15621" width="9.7109375" style="90" bestFit="1" customWidth="1"/>
    <col min="15622" max="15622" width="13.7109375" style="90" bestFit="1" customWidth="1"/>
    <col min="15623" max="15873" width="9.140625" style="90"/>
    <col min="15874" max="15874" width="6.28515625" style="90" bestFit="1" customWidth="1"/>
    <col min="15875" max="15875" width="10.28515625" style="90" bestFit="1" customWidth="1"/>
    <col min="15876" max="15876" width="14.42578125" style="90" bestFit="1" customWidth="1"/>
    <col min="15877" max="15877" width="9.7109375" style="90" bestFit="1" customWidth="1"/>
    <col min="15878" max="15878" width="13.7109375" style="90" bestFit="1" customWidth="1"/>
    <col min="15879" max="16129" width="9.140625" style="90"/>
    <col min="16130" max="16130" width="6.28515625" style="90" bestFit="1" customWidth="1"/>
    <col min="16131" max="16131" width="10.28515625" style="90" bestFit="1" customWidth="1"/>
    <col min="16132" max="16132" width="14.42578125" style="90" bestFit="1" customWidth="1"/>
    <col min="16133" max="16133" width="9.7109375" style="90" bestFit="1" customWidth="1"/>
    <col min="16134" max="16134" width="13.7109375" style="90" bestFit="1" customWidth="1"/>
    <col min="16135" max="16384" width="9.140625" style="90"/>
  </cols>
  <sheetData>
    <row r="1" spans="1:20" x14ac:dyDescent="0.2">
      <c r="A1" s="250" t="s">
        <v>12</v>
      </c>
      <c r="B1" s="250" t="s">
        <v>11</v>
      </c>
      <c r="C1" s="250" t="s">
        <v>88</v>
      </c>
      <c r="D1" s="250" t="s">
        <v>89</v>
      </c>
      <c r="E1" s="250" t="s">
        <v>1057</v>
      </c>
      <c r="F1" s="250" t="s">
        <v>87</v>
      </c>
    </row>
    <row r="2" spans="1:20" ht="15" x14ac:dyDescent="0.25">
      <c r="A2" s="90" t="s">
        <v>20</v>
      </c>
      <c r="B2" s="90" t="s">
        <v>1058</v>
      </c>
      <c r="C2" s="90">
        <v>2010001</v>
      </c>
      <c r="D2" s="251">
        <v>40179</v>
      </c>
      <c r="E2" s="251" t="s">
        <v>1059</v>
      </c>
      <c r="F2" s="252">
        <v>109.39</v>
      </c>
      <c r="H2"/>
      <c r="I2"/>
    </row>
    <row r="3" spans="1:20" ht="15" x14ac:dyDescent="0.25">
      <c r="A3" s="90" t="s">
        <v>20</v>
      </c>
      <c r="B3" s="90" t="s">
        <v>1058</v>
      </c>
      <c r="C3" s="90">
        <v>2010002</v>
      </c>
      <c r="D3" s="251">
        <v>40179</v>
      </c>
      <c r="E3" s="251" t="s">
        <v>1060</v>
      </c>
      <c r="F3" s="252">
        <v>37.520000000000003</v>
      </c>
    </row>
    <row r="4" spans="1:20" ht="15" x14ac:dyDescent="0.25">
      <c r="A4" s="90" t="s">
        <v>20</v>
      </c>
      <c r="B4" s="90" t="s">
        <v>1061</v>
      </c>
      <c r="C4" s="90">
        <v>2010003</v>
      </c>
      <c r="D4" s="251">
        <v>40179</v>
      </c>
      <c r="E4" s="251" t="s">
        <v>1059</v>
      </c>
      <c r="F4" s="252">
        <v>512.91999999999996</v>
      </c>
      <c r="H4" s="11" t="s">
        <v>86</v>
      </c>
      <c r="I4" t="s">
        <v>97</v>
      </c>
      <c r="J4"/>
      <c r="K4"/>
      <c r="L4"/>
      <c r="M4"/>
      <c r="N4"/>
      <c r="O4"/>
      <c r="P4"/>
      <c r="Q4"/>
      <c r="R4"/>
      <c r="S4"/>
      <c r="T4"/>
    </row>
    <row r="5" spans="1:20" ht="15" x14ac:dyDescent="0.25">
      <c r="A5" s="90" t="s">
        <v>22</v>
      </c>
      <c r="B5" s="90" t="s">
        <v>1062</v>
      </c>
      <c r="C5" s="90">
        <v>2010004</v>
      </c>
      <c r="D5" s="251">
        <v>40184</v>
      </c>
      <c r="E5" s="251" t="s">
        <v>1059</v>
      </c>
      <c r="F5" s="252">
        <v>508.09</v>
      </c>
      <c r="H5" s="3" t="s">
        <v>1061</v>
      </c>
      <c r="I5" s="253">
        <v>104719.86</v>
      </c>
      <c r="J5"/>
      <c r="K5"/>
      <c r="L5"/>
      <c r="M5"/>
      <c r="N5"/>
      <c r="O5"/>
      <c r="P5"/>
      <c r="Q5"/>
      <c r="R5"/>
      <c r="S5"/>
      <c r="T5"/>
    </row>
    <row r="6" spans="1:20" ht="15" x14ac:dyDescent="0.25">
      <c r="A6" s="90" t="s">
        <v>20</v>
      </c>
      <c r="B6" s="90" t="s">
        <v>1063</v>
      </c>
      <c r="C6" s="90">
        <v>2010005</v>
      </c>
      <c r="D6" s="251">
        <v>40184</v>
      </c>
      <c r="E6" s="251" t="s">
        <v>1059</v>
      </c>
      <c r="F6" s="252">
        <v>935.59</v>
      </c>
      <c r="H6" s="254" t="s">
        <v>121</v>
      </c>
      <c r="I6" s="253">
        <v>12184.4</v>
      </c>
      <c r="J6"/>
      <c r="K6"/>
      <c r="L6"/>
      <c r="M6"/>
      <c r="N6"/>
      <c r="O6"/>
      <c r="P6"/>
      <c r="Q6"/>
      <c r="R6"/>
      <c r="S6"/>
      <c r="T6"/>
    </row>
    <row r="7" spans="1:20" ht="15" x14ac:dyDescent="0.25">
      <c r="A7" s="90" t="s">
        <v>22</v>
      </c>
      <c r="B7" s="90" t="s">
        <v>1064</v>
      </c>
      <c r="C7" s="90">
        <v>2010006</v>
      </c>
      <c r="D7" s="251">
        <v>40184</v>
      </c>
      <c r="E7" s="251" t="s">
        <v>1059</v>
      </c>
      <c r="F7" s="252">
        <v>709.27</v>
      </c>
      <c r="H7" s="254" t="s">
        <v>122</v>
      </c>
      <c r="I7" s="253">
        <v>8424.09</v>
      </c>
      <c r="J7"/>
      <c r="K7"/>
      <c r="L7"/>
      <c r="M7"/>
      <c r="N7"/>
      <c r="O7"/>
      <c r="P7"/>
      <c r="Q7"/>
      <c r="R7"/>
      <c r="S7"/>
      <c r="T7"/>
    </row>
    <row r="8" spans="1:20" ht="15" x14ac:dyDescent="0.25">
      <c r="A8" s="90" t="s">
        <v>20</v>
      </c>
      <c r="B8" s="90" t="s">
        <v>1063</v>
      </c>
      <c r="C8" s="90">
        <v>2010007</v>
      </c>
      <c r="D8" s="251">
        <v>40185</v>
      </c>
      <c r="E8" s="251" t="s">
        <v>1059</v>
      </c>
      <c r="F8" s="252">
        <v>752.04</v>
      </c>
      <c r="H8" s="254" t="s">
        <v>123</v>
      </c>
      <c r="I8" s="253">
        <v>8656.65</v>
      </c>
      <c r="J8"/>
      <c r="K8"/>
      <c r="L8"/>
      <c r="M8"/>
      <c r="N8"/>
      <c r="O8"/>
      <c r="P8"/>
      <c r="Q8"/>
      <c r="R8"/>
      <c r="S8"/>
      <c r="T8"/>
    </row>
    <row r="9" spans="1:20" ht="15" x14ac:dyDescent="0.25">
      <c r="A9" s="90" t="s">
        <v>20</v>
      </c>
      <c r="B9" s="90" t="s">
        <v>1065</v>
      </c>
      <c r="C9" s="90">
        <v>2010008</v>
      </c>
      <c r="D9" s="251">
        <v>40186</v>
      </c>
      <c r="E9" s="251" t="s">
        <v>1059</v>
      </c>
      <c r="F9" s="252">
        <v>398.5</v>
      </c>
      <c r="H9" s="254" t="s">
        <v>124</v>
      </c>
      <c r="I9" s="253">
        <v>7172.6299999999992</v>
      </c>
      <c r="J9"/>
      <c r="K9"/>
      <c r="L9"/>
      <c r="M9"/>
      <c r="N9"/>
      <c r="O9"/>
      <c r="P9"/>
      <c r="Q9"/>
      <c r="R9"/>
      <c r="S9"/>
      <c r="T9"/>
    </row>
    <row r="10" spans="1:20" ht="15" x14ac:dyDescent="0.25">
      <c r="A10" s="90" t="s">
        <v>20</v>
      </c>
      <c r="B10" s="90" t="s">
        <v>1058</v>
      </c>
      <c r="C10" s="90">
        <v>2010009</v>
      </c>
      <c r="D10" s="251">
        <v>40186</v>
      </c>
      <c r="E10" s="251" t="s">
        <v>1060</v>
      </c>
      <c r="F10" s="252">
        <v>887.84</v>
      </c>
      <c r="H10" s="254" t="s">
        <v>125</v>
      </c>
      <c r="I10" s="253">
        <v>16114.460000000001</v>
      </c>
      <c r="J10"/>
      <c r="K10"/>
      <c r="L10"/>
      <c r="M10"/>
      <c r="N10"/>
      <c r="O10"/>
      <c r="P10"/>
      <c r="Q10"/>
      <c r="R10"/>
      <c r="S10"/>
      <c r="T10"/>
    </row>
    <row r="11" spans="1:20" ht="15" x14ac:dyDescent="0.25">
      <c r="A11" s="90" t="s">
        <v>20</v>
      </c>
      <c r="B11" s="90" t="s">
        <v>1066</v>
      </c>
      <c r="C11" s="90">
        <v>2010010</v>
      </c>
      <c r="D11" s="251">
        <v>40187</v>
      </c>
      <c r="E11" s="251" t="s">
        <v>1060</v>
      </c>
      <c r="F11" s="252">
        <v>908.22</v>
      </c>
      <c r="H11" s="254" t="s">
        <v>126</v>
      </c>
      <c r="I11" s="253">
        <v>9156.6099999999988</v>
      </c>
      <c r="J11"/>
      <c r="K11"/>
      <c r="L11"/>
      <c r="M11"/>
      <c r="N11"/>
      <c r="O11"/>
      <c r="P11"/>
      <c r="Q11"/>
      <c r="R11"/>
      <c r="S11"/>
      <c r="T11"/>
    </row>
    <row r="12" spans="1:20" ht="15" x14ac:dyDescent="0.25">
      <c r="A12" s="90" t="s">
        <v>22</v>
      </c>
      <c r="B12" s="90" t="s">
        <v>1067</v>
      </c>
      <c r="C12" s="90">
        <v>2010011</v>
      </c>
      <c r="D12" s="251">
        <v>40188</v>
      </c>
      <c r="E12" s="251" t="s">
        <v>1060</v>
      </c>
      <c r="F12" s="252">
        <v>349.06</v>
      </c>
      <c r="H12" s="254" t="s">
        <v>1072</v>
      </c>
      <c r="I12" s="253">
        <v>5662.9400000000005</v>
      </c>
      <c r="J12"/>
      <c r="K12"/>
      <c r="L12"/>
      <c r="M12"/>
      <c r="N12"/>
      <c r="O12"/>
      <c r="P12"/>
      <c r="Q12"/>
      <c r="R12"/>
      <c r="S12"/>
      <c r="T12"/>
    </row>
    <row r="13" spans="1:20" ht="15" x14ac:dyDescent="0.25">
      <c r="A13" s="90" t="s">
        <v>20</v>
      </c>
      <c r="B13" s="90" t="s">
        <v>1061</v>
      </c>
      <c r="C13" s="90">
        <v>2010012</v>
      </c>
      <c r="D13" s="251">
        <v>40188</v>
      </c>
      <c r="E13" s="251" t="s">
        <v>1060</v>
      </c>
      <c r="F13" s="252">
        <v>901.96</v>
      </c>
      <c r="H13" s="254" t="s">
        <v>1073</v>
      </c>
      <c r="I13" s="253">
        <v>5280.94</v>
      </c>
      <c r="J13"/>
      <c r="K13"/>
      <c r="L13"/>
      <c r="M13"/>
      <c r="N13"/>
      <c r="O13"/>
      <c r="P13"/>
      <c r="Q13"/>
      <c r="R13"/>
      <c r="S13"/>
      <c r="T13"/>
    </row>
    <row r="14" spans="1:20" ht="15" x14ac:dyDescent="0.25">
      <c r="A14" s="90" t="s">
        <v>20</v>
      </c>
      <c r="B14" s="90" t="s">
        <v>1061</v>
      </c>
      <c r="C14" s="90">
        <v>2010013</v>
      </c>
      <c r="D14" s="251">
        <v>40191</v>
      </c>
      <c r="E14" s="251" t="s">
        <v>1060</v>
      </c>
      <c r="F14" s="252">
        <v>1037.8599999999999</v>
      </c>
      <c r="H14" s="254" t="s">
        <v>1074</v>
      </c>
      <c r="I14" s="253">
        <v>3939.6800000000003</v>
      </c>
      <c r="J14"/>
      <c r="K14"/>
      <c r="L14"/>
      <c r="M14"/>
      <c r="N14"/>
      <c r="O14"/>
      <c r="P14"/>
      <c r="Q14"/>
      <c r="R14"/>
      <c r="S14"/>
      <c r="T14"/>
    </row>
    <row r="15" spans="1:20" ht="15" x14ac:dyDescent="0.25">
      <c r="A15" s="90" t="s">
        <v>20</v>
      </c>
      <c r="B15" s="90" t="s">
        <v>1065</v>
      </c>
      <c r="C15" s="90">
        <v>2010014</v>
      </c>
      <c r="D15" s="251">
        <v>40191</v>
      </c>
      <c r="E15" s="251" t="s">
        <v>1060</v>
      </c>
      <c r="F15" s="252">
        <v>710.33</v>
      </c>
      <c r="H15" s="254" t="s">
        <v>1075</v>
      </c>
      <c r="I15" s="253">
        <v>11602.630000000001</v>
      </c>
      <c r="J15"/>
      <c r="K15"/>
      <c r="L15"/>
      <c r="M15"/>
      <c r="N15"/>
      <c r="O15"/>
      <c r="P15"/>
      <c r="Q15"/>
      <c r="R15"/>
      <c r="S15"/>
      <c r="T15"/>
    </row>
    <row r="16" spans="1:20" ht="15" x14ac:dyDescent="0.25">
      <c r="A16" s="90" t="s">
        <v>20</v>
      </c>
      <c r="B16" s="90" t="s">
        <v>1063</v>
      </c>
      <c r="C16" s="90">
        <v>2010015</v>
      </c>
      <c r="D16" s="251">
        <v>40191</v>
      </c>
      <c r="E16" s="251" t="s">
        <v>1060</v>
      </c>
      <c r="F16" s="252">
        <v>169.25</v>
      </c>
      <c r="H16" s="254" t="s">
        <v>1076</v>
      </c>
      <c r="I16" s="253">
        <v>10484.880000000001</v>
      </c>
      <c r="J16"/>
      <c r="K16"/>
      <c r="L16"/>
      <c r="M16"/>
      <c r="N16"/>
      <c r="O16"/>
      <c r="P16"/>
      <c r="Q16"/>
      <c r="R16"/>
      <c r="S16"/>
      <c r="T16"/>
    </row>
    <row r="17" spans="1:20" ht="15" x14ac:dyDescent="0.25">
      <c r="A17" s="90" t="s">
        <v>20</v>
      </c>
      <c r="B17" s="90" t="s">
        <v>1061</v>
      </c>
      <c r="C17" s="90">
        <v>2010016</v>
      </c>
      <c r="D17" s="251">
        <v>40191</v>
      </c>
      <c r="E17" s="251" t="s">
        <v>1059</v>
      </c>
      <c r="F17" s="252">
        <v>1058.72</v>
      </c>
      <c r="H17" s="254" t="s">
        <v>1077</v>
      </c>
      <c r="I17" s="253">
        <v>6039.95</v>
      </c>
      <c r="J17"/>
      <c r="K17"/>
      <c r="L17"/>
      <c r="M17"/>
      <c r="N17"/>
      <c r="O17"/>
      <c r="P17"/>
      <c r="Q17"/>
      <c r="R17"/>
      <c r="S17"/>
      <c r="T17"/>
    </row>
    <row r="18" spans="1:20" ht="15" x14ac:dyDescent="0.25">
      <c r="A18" s="90" t="s">
        <v>20</v>
      </c>
      <c r="B18" s="90" t="s">
        <v>1058</v>
      </c>
      <c r="C18" s="90">
        <v>2010017</v>
      </c>
      <c r="D18" s="251">
        <v>40192</v>
      </c>
      <c r="E18" s="251" t="s">
        <v>1060</v>
      </c>
      <c r="F18" s="252">
        <v>1005.3</v>
      </c>
      <c r="H18" s="3" t="s">
        <v>1070</v>
      </c>
      <c r="I18" s="253">
        <v>12895.96</v>
      </c>
      <c r="J18"/>
      <c r="K18"/>
      <c r="L18"/>
      <c r="M18"/>
      <c r="N18"/>
      <c r="O18"/>
      <c r="P18"/>
      <c r="Q18"/>
      <c r="R18"/>
      <c r="S18"/>
      <c r="T18"/>
    </row>
    <row r="19" spans="1:20" ht="15" x14ac:dyDescent="0.25">
      <c r="A19" s="90" t="s">
        <v>20</v>
      </c>
      <c r="B19" s="90" t="s">
        <v>1066</v>
      </c>
      <c r="C19" s="90">
        <v>2010018</v>
      </c>
      <c r="D19" s="251">
        <v>40193</v>
      </c>
      <c r="E19" s="251" t="s">
        <v>1059</v>
      </c>
      <c r="F19" s="252">
        <v>1113.06</v>
      </c>
      <c r="H19" s="254" t="s">
        <v>121</v>
      </c>
      <c r="I19" s="253">
        <v>1199.01</v>
      </c>
      <c r="J19"/>
      <c r="K19"/>
      <c r="L19"/>
      <c r="M19"/>
      <c r="N19"/>
      <c r="O19"/>
      <c r="P19"/>
      <c r="Q19"/>
      <c r="R19"/>
      <c r="S19"/>
      <c r="T19"/>
    </row>
    <row r="20" spans="1:20" ht="15" x14ac:dyDescent="0.25">
      <c r="A20" s="90" t="s">
        <v>20</v>
      </c>
      <c r="B20" s="90" t="s">
        <v>1058</v>
      </c>
      <c r="C20" s="90">
        <v>2010019</v>
      </c>
      <c r="D20" s="251">
        <v>40194</v>
      </c>
      <c r="E20" s="251" t="s">
        <v>1060</v>
      </c>
      <c r="F20" s="252">
        <v>204.71</v>
      </c>
      <c r="H20" s="254" t="s">
        <v>122</v>
      </c>
      <c r="I20" s="253">
        <v>684.34</v>
      </c>
      <c r="J20"/>
      <c r="K20"/>
      <c r="L20"/>
      <c r="M20"/>
      <c r="N20"/>
      <c r="O20"/>
      <c r="P20"/>
      <c r="Q20"/>
      <c r="R20"/>
      <c r="S20"/>
      <c r="T20"/>
    </row>
    <row r="21" spans="1:20" ht="15" x14ac:dyDescent="0.25">
      <c r="A21" s="90" t="s">
        <v>22</v>
      </c>
      <c r="B21" s="90" t="s">
        <v>1064</v>
      </c>
      <c r="C21" s="90">
        <v>2010020</v>
      </c>
      <c r="D21" s="251">
        <v>40195</v>
      </c>
      <c r="E21" s="251" t="s">
        <v>1060</v>
      </c>
      <c r="F21" s="252">
        <v>32.909999999999997</v>
      </c>
      <c r="H21" s="254" t="s">
        <v>123</v>
      </c>
      <c r="I21" s="253">
        <v>2316.6799999999998</v>
      </c>
      <c r="J21"/>
      <c r="K21"/>
      <c r="L21"/>
      <c r="M21"/>
    </row>
    <row r="22" spans="1:20" ht="15" x14ac:dyDescent="0.25">
      <c r="A22" s="90" t="s">
        <v>20</v>
      </c>
      <c r="B22" s="90" t="s">
        <v>1061</v>
      </c>
      <c r="C22" s="90">
        <v>2010021</v>
      </c>
      <c r="D22" s="251">
        <v>40195</v>
      </c>
      <c r="E22" s="251" t="s">
        <v>1060</v>
      </c>
      <c r="F22" s="252">
        <v>618.63</v>
      </c>
      <c r="H22" s="254" t="s">
        <v>126</v>
      </c>
      <c r="I22" s="253">
        <v>579.33000000000004</v>
      </c>
      <c r="J22"/>
      <c r="K22"/>
      <c r="L22"/>
      <c r="M22"/>
    </row>
    <row r="23" spans="1:20" ht="15" x14ac:dyDescent="0.25">
      <c r="A23" s="90" t="s">
        <v>20</v>
      </c>
      <c r="B23" s="90" t="s">
        <v>1065</v>
      </c>
      <c r="C23" s="90">
        <v>2010022</v>
      </c>
      <c r="D23" s="251">
        <v>40195</v>
      </c>
      <c r="E23" s="251" t="s">
        <v>1060</v>
      </c>
      <c r="F23" s="252">
        <v>278</v>
      </c>
      <c r="H23" s="254" t="s">
        <v>1072</v>
      </c>
      <c r="I23" s="253">
        <v>1351.62</v>
      </c>
      <c r="J23"/>
      <c r="K23"/>
      <c r="L23"/>
      <c r="M23"/>
    </row>
    <row r="24" spans="1:20" ht="15" x14ac:dyDescent="0.25">
      <c r="A24" s="90" t="s">
        <v>20</v>
      </c>
      <c r="B24" s="90" t="s">
        <v>1065</v>
      </c>
      <c r="C24" s="90">
        <v>2010023</v>
      </c>
      <c r="D24" s="251">
        <v>40198</v>
      </c>
      <c r="E24" s="251" t="s">
        <v>1060</v>
      </c>
      <c r="F24" s="252">
        <v>599.09</v>
      </c>
      <c r="H24" s="254" t="s">
        <v>1073</v>
      </c>
      <c r="I24" s="253">
        <v>3037.2999999999997</v>
      </c>
      <c r="J24"/>
      <c r="K24"/>
      <c r="L24"/>
      <c r="M24"/>
    </row>
    <row r="25" spans="1:20" ht="15" x14ac:dyDescent="0.25">
      <c r="A25" s="90" t="s">
        <v>20</v>
      </c>
      <c r="B25" s="90" t="s">
        <v>1065</v>
      </c>
      <c r="C25" s="90">
        <v>2010024</v>
      </c>
      <c r="D25" s="251">
        <v>40198</v>
      </c>
      <c r="E25" s="251" t="s">
        <v>1059</v>
      </c>
      <c r="F25" s="252">
        <v>312.58</v>
      </c>
      <c r="H25" s="254" t="s">
        <v>1074</v>
      </c>
      <c r="I25" s="253">
        <v>184.42</v>
      </c>
      <c r="J25"/>
      <c r="K25"/>
      <c r="L25"/>
      <c r="M25"/>
    </row>
    <row r="26" spans="1:20" ht="15" x14ac:dyDescent="0.25">
      <c r="A26" s="90" t="s">
        <v>20</v>
      </c>
      <c r="B26" s="90" t="s">
        <v>1061</v>
      </c>
      <c r="C26" s="90">
        <v>2010025</v>
      </c>
      <c r="D26" s="251">
        <v>40198</v>
      </c>
      <c r="E26" s="251" t="s">
        <v>1059</v>
      </c>
      <c r="F26" s="252">
        <v>827.39</v>
      </c>
      <c r="H26" s="254" t="s">
        <v>1075</v>
      </c>
      <c r="I26" s="253">
        <v>423.44</v>
      </c>
      <c r="J26"/>
      <c r="K26"/>
      <c r="L26"/>
      <c r="M26"/>
    </row>
    <row r="27" spans="1:20" ht="15" x14ac:dyDescent="0.25">
      <c r="A27" s="90" t="s">
        <v>20</v>
      </c>
      <c r="B27" s="90" t="s">
        <v>1061</v>
      </c>
      <c r="C27" s="90">
        <v>2010026</v>
      </c>
      <c r="D27" s="251">
        <v>40200</v>
      </c>
      <c r="E27" s="251" t="s">
        <v>1059</v>
      </c>
      <c r="F27" s="252">
        <v>877.66</v>
      </c>
      <c r="H27" s="254" t="s">
        <v>1076</v>
      </c>
      <c r="I27" s="253">
        <v>1269.1000000000001</v>
      </c>
      <c r="J27"/>
      <c r="K27"/>
      <c r="L27"/>
      <c r="M27"/>
    </row>
    <row r="28" spans="1:20" ht="15" x14ac:dyDescent="0.25">
      <c r="A28" s="90" t="s">
        <v>20</v>
      </c>
      <c r="B28" s="90" t="s">
        <v>1065</v>
      </c>
      <c r="C28" s="90">
        <v>2010027</v>
      </c>
      <c r="D28" s="251">
        <v>40201</v>
      </c>
      <c r="E28" s="251" t="s">
        <v>1060</v>
      </c>
      <c r="F28" s="252">
        <v>753.22</v>
      </c>
      <c r="H28" s="254" t="s">
        <v>1077</v>
      </c>
      <c r="I28" s="253">
        <v>1850.72</v>
      </c>
      <c r="J28"/>
      <c r="K28"/>
      <c r="L28"/>
      <c r="M28"/>
    </row>
    <row r="29" spans="1:20" ht="15" x14ac:dyDescent="0.25">
      <c r="A29" s="90" t="s">
        <v>20</v>
      </c>
      <c r="B29" s="90" t="s">
        <v>1065</v>
      </c>
      <c r="C29" s="90">
        <v>2010028</v>
      </c>
      <c r="D29" s="251">
        <v>40201</v>
      </c>
      <c r="E29" s="251" t="s">
        <v>1059</v>
      </c>
      <c r="F29" s="252">
        <v>307.93</v>
      </c>
      <c r="H29" s="3" t="s">
        <v>1066</v>
      </c>
      <c r="I29" s="253">
        <v>75391.209999999992</v>
      </c>
      <c r="J29"/>
      <c r="K29"/>
      <c r="L29"/>
      <c r="M29"/>
    </row>
    <row r="30" spans="1:20" ht="15" x14ac:dyDescent="0.25">
      <c r="A30" s="90" t="s">
        <v>20</v>
      </c>
      <c r="B30" s="90" t="s">
        <v>1061</v>
      </c>
      <c r="C30" s="90">
        <v>2010029</v>
      </c>
      <c r="D30" s="251">
        <v>40201</v>
      </c>
      <c r="E30" s="251" t="s">
        <v>1059</v>
      </c>
      <c r="F30" s="252">
        <v>46.7</v>
      </c>
      <c r="H30" s="254" t="s">
        <v>121</v>
      </c>
      <c r="I30" s="253">
        <v>5922.1</v>
      </c>
      <c r="J30"/>
      <c r="K30"/>
      <c r="L30"/>
      <c r="M30"/>
    </row>
    <row r="31" spans="1:20" ht="15" x14ac:dyDescent="0.25">
      <c r="A31" s="90" t="s">
        <v>22</v>
      </c>
      <c r="B31" s="90" t="s">
        <v>1068</v>
      </c>
      <c r="C31" s="90">
        <v>2010030</v>
      </c>
      <c r="D31" s="251">
        <v>40202</v>
      </c>
      <c r="E31" s="251" t="s">
        <v>1060</v>
      </c>
      <c r="F31" s="252">
        <v>195.89</v>
      </c>
      <c r="H31" s="254" t="s">
        <v>122</v>
      </c>
      <c r="I31" s="253">
        <v>4834.9399999999996</v>
      </c>
      <c r="J31"/>
      <c r="K31"/>
      <c r="L31"/>
      <c r="M31"/>
    </row>
    <row r="32" spans="1:20" ht="15" x14ac:dyDescent="0.25">
      <c r="A32" s="90" t="s">
        <v>20</v>
      </c>
      <c r="B32" s="90" t="s">
        <v>1065</v>
      </c>
      <c r="C32" s="90">
        <v>2010031</v>
      </c>
      <c r="D32" s="251">
        <v>40202</v>
      </c>
      <c r="E32" s="251" t="s">
        <v>1060</v>
      </c>
      <c r="F32" s="252">
        <v>972.14</v>
      </c>
      <c r="H32" s="254" t="s">
        <v>123</v>
      </c>
      <c r="I32" s="253">
        <v>11941.710000000001</v>
      </c>
      <c r="J32"/>
      <c r="K32"/>
      <c r="L32"/>
      <c r="M32"/>
    </row>
    <row r="33" spans="1:13" ht="15" x14ac:dyDescent="0.25">
      <c r="A33" s="90" t="s">
        <v>22</v>
      </c>
      <c r="B33" s="90" t="s">
        <v>1064</v>
      </c>
      <c r="C33" s="90">
        <v>2010032</v>
      </c>
      <c r="D33" s="251">
        <v>40202</v>
      </c>
      <c r="E33" s="251" t="s">
        <v>1059</v>
      </c>
      <c r="F33" s="252">
        <v>981.04</v>
      </c>
      <c r="H33" s="254" t="s">
        <v>124</v>
      </c>
      <c r="I33" s="253">
        <v>2278.15</v>
      </c>
      <c r="J33"/>
      <c r="K33"/>
      <c r="L33"/>
      <c r="M33"/>
    </row>
    <row r="34" spans="1:13" ht="15" x14ac:dyDescent="0.25">
      <c r="A34" s="90" t="s">
        <v>20</v>
      </c>
      <c r="B34" s="90" t="s">
        <v>1061</v>
      </c>
      <c r="C34" s="90">
        <v>2010033</v>
      </c>
      <c r="D34" s="251">
        <v>40205</v>
      </c>
      <c r="E34" s="251" t="s">
        <v>1059</v>
      </c>
      <c r="F34" s="252">
        <v>1188</v>
      </c>
      <c r="H34" s="254" t="s">
        <v>125</v>
      </c>
      <c r="I34" s="253">
        <v>9383.7000000000007</v>
      </c>
      <c r="J34"/>
      <c r="K34"/>
      <c r="L34"/>
      <c r="M34"/>
    </row>
    <row r="35" spans="1:13" ht="15" x14ac:dyDescent="0.25">
      <c r="A35" s="90" t="s">
        <v>20</v>
      </c>
      <c r="B35" s="90" t="s">
        <v>1063</v>
      </c>
      <c r="C35" s="90">
        <v>2010034</v>
      </c>
      <c r="D35" s="251">
        <v>40205</v>
      </c>
      <c r="E35" s="251" t="s">
        <v>1060</v>
      </c>
      <c r="F35" s="252">
        <v>1106.73</v>
      </c>
      <c r="H35" s="254" t="s">
        <v>126</v>
      </c>
      <c r="I35" s="253">
        <v>5356.9</v>
      </c>
      <c r="J35"/>
      <c r="K35"/>
      <c r="L35"/>
      <c r="M35"/>
    </row>
    <row r="36" spans="1:13" ht="15" x14ac:dyDescent="0.25">
      <c r="A36" s="90" t="s">
        <v>20</v>
      </c>
      <c r="B36" s="90" t="s">
        <v>1065</v>
      </c>
      <c r="C36" s="90">
        <v>2010035</v>
      </c>
      <c r="D36" s="251">
        <v>40206</v>
      </c>
      <c r="E36" s="251" t="s">
        <v>1060</v>
      </c>
      <c r="F36" s="252">
        <v>1077.24</v>
      </c>
      <c r="H36" s="254" t="s">
        <v>1072</v>
      </c>
      <c r="I36" s="253">
        <v>5822.4999999999991</v>
      </c>
      <c r="J36"/>
      <c r="K36"/>
      <c r="L36"/>
      <c r="M36"/>
    </row>
    <row r="37" spans="1:13" ht="15" x14ac:dyDescent="0.25">
      <c r="A37" s="90" t="s">
        <v>20</v>
      </c>
      <c r="B37" s="90" t="s">
        <v>1065</v>
      </c>
      <c r="C37" s="90">
        <v>2010036</v>
      </c>
      <c r="D37" s="251">
        <v>40207</v>
      </c>
      <c r="E37" s="251" t="s">
        <v>1060</v>
      </c>
      <c r="F37" s="252">
        <v>705.76</v>
      </c>
      <c r="H37" s="254" t="s">
        <v>1073</v>
      </c>
      <c r="I37" s="253">
        <v>7004.71</v>
      </c>
      <c r="J37"/>
      <c r="K37"/>
      <c r="L37"/>
      <c r="M37"/>
    </row>
    <row r="38" spans="1:13" ht="15" x14ac:dyDescent="0.25">
      <c r="A38" s="90" t="s">
        <v>20</v>
      </c>
      <c r="B38" s="90" t="s">
        <v>1066</v>
      </c>
      <c r="C38" s="90">
        <v>2010037</v>
      </c>
      <c r="D38" s="251">
        <v>40208</v>
      </c>
      <c r="E38" s="251" t="s">
        <v>1060</v>
      </c>
      <c r="F38" s="252">
        <v>100.27</v>
      </c>
      <c r="H38" s="254" t="s">
        <v>1074</v>
      </c>
      <c r="I38" s="253">
        <v>5142.53</v>
      </c>
      <c r="J38"/>
      <c r="K38"/>
      <c r="L38"/>
      <c r="M38"/>
    </row>
    <row r="39" spans="1:13" ht="15" x14ac:dyDescent="0.25">
      <c r="A39" s="90" t="s">
        <v>20</v>
      </c>
      <c r="B39" s="90" t="s">
        <v>1065</v>
      </c>
      <c r="C39" s="90">
        <v>2010038</v>
      </c>
      <c r="D39" s="251">
        <v>40210</v>
      </c>
      <c r="E39" s="251" t="s">
        <v>1059</v>
      </c>
      <c r="F39" s="252">
        <v>662.07</v>
      </c>
      <c r="H39" s="254" t="s">
        <v>1075</v>
      </c>
      <c r="I39" s="253">
        <v>5666.71</v>
      </c>
      <c r="J39"/>
      <c r="K39"/>
      <c r="L39"/>
      <c r="M39"/>
    </row>
    <row r="40" spans="1:13" ht="15" x14ac:dyDescent="0.25">
      <c r="A40" s="90" t="s">
        <v>20</v>
      </c>
      <c r="B40" s="90" t="s">
        <v>1063</v>
      </c>
      <c r="C40" s="90">
        <v>2010039</v>
      </c>
      <c r="D40" s="251">
        <v>40210</v>
      </c>
      <c r="E40" s="251" t="s">
        <v>1060</v>
      </c>
      <c r="F40" s="252">
        <v>457.08</v>
      </c>
      <c r="H40" s="254" t="s">
        <v>1076</v>
      </c>
      <c r="I40" s="253">
        <v>6814.9699999999993</v>
      </c>
      <c r="J40"/>
      <c r="K40"/>
      <c r="L40"/>
      <c r="M40"/>
    </row>
    <row r="41" spans="1:13" ht="15" x14ac:dyDescent="0.25">
      <c r="A41" s="90" t="s">
        <v>20</v>
      </c>
      <c r="B41" s="90" t="s">
        <v>1061</v>
      </c>
      <c r="C41" s="90">
        <v>2010040</v>
      </c>
      <c r="D41" s="251">
        <v>40210</v>
      </c>
      <c r="E41" s="251" t="s">
        <v>1060</v>
      </c>
      <c r="F41" s="252">
        <v>667.55</v>
      </c>
      <c r="H41" s="254" t="s">
        <v>1077</v>
      </c>
      <c r="I41" s="253">
        <v>5222.29</v>
      </c>
      <c r="J41"/>
      <c r="K41"/>
      <c r="L41"/>
      <c r="M41"/>
    </row>
    <row r="42" spans="1:13" ht="15" x14ac:dyDescent="0.25">
      <c r="A42" s="90" t="s">
        <v>22</v>
      </c>
      <c r="B42" s="90" t="s">
        <v>1067</v>
      </c>
      <c r="C42" s="90">
        <v>2010041</v>
      </c>
      <c r="D42" s="251">
        <v>40211</v>
      </c>
      <c r="E42" s="251" t="s">
        <v>1059</v>
      </c>
      <c r="F42" s="252">
        <v>1080.3800000000001</v>
      </c>
      <c r="H42" s="3" t="s">
        <v>1067</v>
      </c>
      <c r="I42" s="253">
        <v>24814.639999999999</v>
      </c>
      <c r="J42"/>
      <c r="K42"/>
      <c r="L42"/>
      <c r="M42"/>
    </row>
    <row r="43" spans="1:13" ht="15" x14ac:dyDescent="0.25">
      <c r="A43" s="90" t="s">
        <v>20</v>
      </c>
      <c r="B43" s="90" t="s">
        <v>1065</v>
      </c>
      <c r="C43" s="90">
        <v>2010042</v>
      </c>
      <c r="D43" s="251">
        <v>40211</v>
      </c>
      <c r="E43" s="251" t="s">
        <v>1060</v>
      </c>
      <c r="F43" s="252">
        <v>50.62</v>
      </c>
      <c r="H43" s="254" t="s">
        <v>121</v>
      </c>
      <c r="I43" s="253">
        <v>2040.26</v>
      </c>
      <c r="J43"/>
      <c r="K43"/>
      <c r="L43"/>
      <c r="M43"/>
    </row>
    <row r="44" spans="1:13" ht="15" x14ac:dyDescent="0.25">
      <c r="A44" s="90" t="s">
        <v>22</v>
      </c>
      <c r="B44" s="90" t="s">
        <v>1064</v>
      </c>
      <c r="C44" s="90">
        <v>2010043</v>
      </c>
      <c r="D44" s="251">
        <v>40211</v>
      </c>
      <c r="E44" s="251" t="s">
        <v>1060</v>
      </c>
      <c r="F44" s="252">
        <v>431.76</v>
      </c>
      <c r="H44" s="254" t="s">
        <v>122</v>
      </c>
      <c r="I44" s="253">
        <v>3282.8500000000004</v>
      </c>
      <c r="J44"/>
      <c r="K44"/>
      <c r="L44"/>
      <c r="M44"/>
    </row>
    <row r="45" spans="1:13" ht="15" x14ac:dyDescent="0.25">
      <c r="A45" s="90" t="s">
        <v>22</v>
      </c>
      <c r="B45" s="90" t="s">
        <v>1064</v>
      </c>
      <c r="C45" s="90">
        <v>2010044</v>
      </c>
      <c r="D45" s="251">
        <v>40212</v>
      </c>
      <c r="E45" s="251" t="s">
        <v>1060</v>
      </c>
      <c r="F45" s="252">
        <v>838.84</v>
      </c>
      <c r="H45" s="254" t="s">
        <v>123</v>
      </c>
      <c r="I45" s="253">
        <v>1098.8399999999999</v>
      </c>
      <c r="J45"/>
      <c r="K45"/>
      <c r="L45"/>
      <c r="M45"/>
    </row>
    <row r="46" spans="1:13" ht="15" x14ac:dyDescent="0.25">
      <c r="A46" s="90" t="s">
        <v>20</v>
      </c>
      <c r="B46" s="90" t="s">
        <v>1065</v>
      </c>
      <c r="C46" s="90">
        <v>2010045</v>
      </c>
      <c r="D46" s="251">
        <v>40213</v>
      </c>
      <c r="E46" s="251" t="s">
        <v>1060</v>
      </c>
      <c r="F46" s="252">
        <v>420.63</v>
      </c>
      <c r="H46" s="254" t="s">
        <v>124</v>
      </c>
      <c r="I46" s="253">
        <v>2544.0700000000002</v>
      </c>
      <c r="J46"/>
      <c r="K46"/>
      <c r="L46"/>
      <c r="M46"/>
    </row>
    <row r="47" spans="1:13" ht="15" x14ac:dyDescent="0.25">
      <c r="A47" s="90" t="s">
        <v>20</v>
      </c>
      <c r="B47" s="90" t="s">
        <v>1061</v>
      </c>
      <c r="C47" s="90">
        <v>2010046</v>
      </c>
      <c r="D47" s="251">
        <v>40213</v>
      </c>
      <c r="E47" s="251" t="s">
        <v>1059</v>
      </c>
      <c r="F47" s="252">
        <v>804.81</v>
      </c>
      <c r="H47" s="254" t="s">
        <v>125</v>
      </c>
      <c r="I47" s="253">
        <v>1256.23</v>
      </c>
      <c r="J47"/>
      <c r="K47"/>
      <c r="L47"/>
      <c r="M47"/>
    </row>
    <row r="48" spans="1:13" ht="15" x14ac:dyDescent="0.25">
      <c r="A48" s="90" t="s">
        <v>22</v>
      </c>
      <c r="B48" s="90" t="s">
        <v>1064</v>
      </c>
      <c r="C48" s="90">
        <v>2010047</v>
      </c>
      <c r="D48" s="251">
        <v>40214</v>
      </c>
      <c r="E48" s="251" t="s">
        <v>1060</v>
      </c>
      <c r="F48" s="252">
        <v>756.84</v>
      </c>
      <c r="H48" s="254" t="s">
        <v>126</v>
      </c>
      <c r="I48" s="253">
        <v>2025.0100000000002</v>
      </c>
      <c r="J48"/>
      <c r="K48"/>
      <c r="L48"/>
      <c r="M48"/>
    </row>
    <row r="49" spans="1:13" ht="15" x14ac:dyDescent="0.25">
      <c r="A49" s="90" t="s">
        <v>22</v>
      </c>
      <c r="B49" s="90" t="s">
        <v>1067</v>
      </c>
      <c r="C49" s="90">
        <v>2010048</v>
      </c>
      <c r="D49" s="251">
        <v>40214</v>
      </c>
      <c r="E49" s="251" t="s">
        <v>1060</v>
      </c>
      <c r="F49" s="252">
        <v>718.23</v>
      </c>
      <c r="H49" s="254" t="s">
        <v>1072</v>
      </c>
      <c r="I49" s="253">
        <v>2083.25</v>
      </c>
      <c r="J49"/>
      <c r="K49"/>
      <c r="L49"/>
      <c r="M49"/>
    </row>
    <row r="50" spans="1:13" ht="15" x14ac:dyDescent="0.25">
      <c r="A50" s="90" t="s">
        <v>22</v>
      </c>
      <c r="B50" s="90" t="s">
        <v>1064</v>
      </c>
      <c r="C50" s="90">
        <v>2010049</v>
      </c>
      <c r="D50" s="251">
        <v>40217</v>
      </c>
      <c r="E50" s="251" t="s">
        <v>1059</v>
      </c>
      <c r="F50" s="252">
        <v>464.07</v>
      </c>
      <c r="H50" s="254" t="s">
        <v>1073</v>
      </c>
      <c r="I50" s="253">
        <v>3017.5199999999995</v>
      </c>
      <c r="J50"/>
      <c r="K50"/>
      <c r="L50"/>
      <c r="M50"/>
    </row>
    <row r="51" spans="1:13" ht="15" x14ac:dyDescent="0.25">
      <c r="A51" s="90" t="s">
        <v>22</v>
      </c>
      <c r="B51" s="90" t="s">
        <v>1067</v>
      </c>
      <c r="C51" s="90">
        <v>2010050</v>
      </c>
      <c r="D51" s="251">
        <v>40217</v>
      </c>
      <c r="E51" s="251" t="s">
        <v>1060</v>
      </c>
      <c r="F51" s="252">
        <v>764.12</v>
      </c>
      <c r="H51" s="254" t="s">
        <v>1074</v>
      </c>
      <c r="I51" s="253">
        <v>1310.1100000000001</v>
      </c>
      <c r="J51"/>
      <c r="K51"/>
      <c r="L51"/>
      <c r="M51"/>
    </row>
    <row r="52" spans="1:13" ht="15" x14ac:dyDescent="0.25">
      <c r="A52" s="90" t="s">
        <v>20</v>
      </c>
      <c r="B52" s="90" t="s">
        <v>1058</v>
      </c>
      <c r="C52" s="90">
        <v>2010051</v>
      </c>
      <c r="D52" s="251">
        <v>40217</v>
      </c>
      <c r="E52" s="251" t="s">
        <v>1060</v>
      </c>
      <c r="F52" s="252">
        <v>43.92</v>
      </c>
      <c r="H52" s="254" t="s">
        <v>1075</v>
      </c>
      <c r="I52" s="253">
        <v>157.71</v>
      </c>
      <c r="J52"/>
      <c r="K52"/>
      <c r="L52"/>
      <c r="M52"/>
    </row>
    <row r="53" spans="1:13" ht="15" x14ac:dyDescent="0.25">
      <c r="A53" s="90" t="s">
        <v>20</v>
      </c>
      <c r="B53" s="90" t="s">
        <v>1058</v>
      </c>
      <c r="C53" s="90">
        <v>2010052</v>
      </c>
      <c r="D53" s="251">
        <v>40217</v>
      </c>
      <c r="E53" s="251" t="s">
        <v>1060</v>
      </c>
      <c r="F53" s="252">
        <v>841.22</v>
      </c>
      <c r="H53" s="254" t="s">
        <v>1076</v>
      </c>
      <c r="I53" s="253">
        <v>833.61999999999989</v>
      </c>
      <c r="J53"/>
      <c r="K53"/>
      <c r="L53"/>
      <c r="M53"/>
    </row>
    <row r="54" spans="1:13" ht="15" x14ac:dyDescent="0.25">
      <c r="A54" s="90" t="s">
        <v>20</v>
      </c>
      <c r="B54" s="90" t="s">
        <v>1058</v>
      </c>
      <c r="C54" s="90">
        <v>2010053</v>
      </c>
      <c r="D54" s="251">
        <v>40218</v>
      </c>
      <c r="E54" s="251" t="s">
        <v>1059</v>
      </c>
      <c r="F54" s="252">
        <v>901.41</v>
      </c>
      <c r="H54" s="254" t="s">
        <v>1077</v>
      </c>
      <c r="I54" s="253">
        <v>5165.17</v>
      </c>
      <c r="J54"/>
      <c r="K54"/>
      <c r="L54"/>
      <c r="M54"/>
    </row>
    <row r="55" spans="1:13" ht="15" x14ac:dyDescent="0.25">
      <c r="A55" s="90" t="s">
        <v>22</v>
      </c>
      <c r="B55" s="90" t="s">
        <v>1067</v>
      </c>
      <c r="C55" s="90">
        <v>2010054</v>
      </c>
      <c r="D55" s="251">
        <v>40220</v>
      </c>
      <c r="E55" s="251" t="s">
        <v>1059</v>
      </c>
      <c r="F55" s="252">
        <v>46.92</v>
      </c>
      <c r="H55" s="3" t="s">
        <v>1062</v>
      </c>
      <c r="I55" s="253">
        <v>44872.590000000004</v>
      </c>
      <c r="J55"/>
      <c r="K55"/>
      <c r="L55"/>
      <c r="M55"/>
    </row>
    <row r="56" spans="1:13" ht="15" x14ac:dyDescent="0.25">
      <c r="A56" s="90" t="s">
        <v>20</v>
      </c>
      <c r="B56" s="90" t="s">
        <v>1063</v>
      </c>
      <c r="C56" s="90">
        <v>2010055</v>
      </c>
      <c r="D56" s="251">
        <v>40220</v>
      </c>
      <c r="E56" s="251" t="s">
        <v>1059</v>
      </c>
      <c r="F56" s="252">
        <v>938.88</v>
      </c>
      <c r="H56" s="254" t="s">
        <v>121</v>
      </c>
      <c r="I56" s="253">
        <v>4820.6000000000004</v>
      </c>
      <c r="J56"/>
      <c r="K56"/>
      <c r="L56"/>
      <c r="M56"/>
    </row>
    <row r="57" spans="1:13" ht="15" x14ac:dyDescent="0.25">
      <c r="A57" s="90" t="s">
        <v>20</v>
      </c>
      <c r="B57" s="90" t="s">
        <v>1063</v>
      </c>
      <c r="C57" s="90">
        <v>2010056</v>
      </c>
      <c r="D57" s="251">
        <v>40220</v>
      </c>
      <c r="E57" s="251" t="s">
        <v>1059</v>
      </c>
      <c r="F57" s="252">
        <v>310.24</v>
      </c>
      <c r="H57" s="254" t="s">
        <v>122</v>
      </c>
      <c r="I57" s="253">
        <v>2332.7399999999998</v>
      </c>
      <c r="J57"/>
      <c r="K57"/>
      <c r="L57"/>
      <c r="M57"/>
    </row>
    <row r="58" spans="1:13" ht="15" x14ac:dyDescent="0.25">
      <c r="A58" s="90" t="s">
        <v>20</v>
      </c>
      <c r="B58" s="90" t="s">
        <v>1061</v>
      </c>
      <c r="C58" s="90">
        <v>2010057</v>
      </c>
      <c r="D58" s="251">
        <v>40220</v>
      </c>
      <c r="E58" s="251" t="s">
        <v>1060</v>
      </c>
      <c r="F58" s="252">
        <v>183.85</v>
      </c>
      <c r="H58" s="254" t="s">
        <v>123</v>
      </c>
      <c r="I58" s="253">
        <v>5407.1500000000005</v>
      </c>
      <c r="J58"/>
      <c r="K58"/>
      <c r="L58"/>
      <c r="M58"/>
    </row>
    <row r="59" spans="1:13" ht="15" x14ac:dyDescent="0.25">
      <c r="A59" s="90" t="s">
        <v>20</v>
      </c>
      <c r="B59" s="90" t="s">
        <v>1065</v>
      </c>
      <c r="C59" s="90">
        <v>2010058</v>
      </c>
      <c r="D59" s="251">
        <v>40220</v>
      </c>
      <c r="E59" s="251" t="s">
        <v>1060</v>
      </c>
      <c r="F59" s="252">
        <v>297.20999999999998</v>
      </c>
      <c r="H59" s="254" t="s">
        <v>124</v>
      </c>
      <c r="I59" s="253">
        <v>4595.5199999999995</v>
      </c>
      <c r="J59"/>
      <c r="K59"/>
      <c r="L59"/>
      <c r="M59"/>
    </row>
    <row r="60" spans="1:13" ht="15" x14ac:dyDescent="0.25">
      <c r="A60" s="90" t="s">
        <v>20</v>
      </c>
      <c r="B60" s="90" t="s">
        <v>1065</v>
      </c>
      <c r="C60" s="90">
        <v>2010059</v>
      </c>
      <c r="D60" s="251">
        <v>40221</v>
      </c>
      <c r="E60" s="251" t="s">
        <v>1059</v>
      </c>
      <c r="F60" s="252">
        <v>486.13</v>
      </c>
      <c r="H60" s="254" t="s">
        <v>125</v>
      </c>
      <c r="I60" s="253">
        <v>3883.55</v>
      </c>
      <c r="J60"/>
      <c r="K60"/>
      <c r="L60"/>
      <c r="M60"/>
    </row>
    <row r="61" spans="1:13" ht="15" x14ac:dyDescent="0.25">
      <c r="A61" s="90" t="s">
        <v>20</v>
      </c>
      <c r="B61" s="90" t="s">
        <v>1066</v>
      </c>
      <c r="C61" s="90">
        <v>2010060</v>
      </c>
      <c r="D61" s="251">
        <v>40224</v>
      </c>
      <c r="E61" s="251" t="s">
        <v>1060</v>
      </c>
      <c r="F61" s="252">
        <v>721.23</v>
      </c>
      <c r="H61" s="254" t="s">
        <v>126</v>
      </c>
      <c r="I61" s="253">
        <v>4931.84</v>
      </c>
      <c r="J61"/>
      <c r="K61"/>
      <c r="L61"/>
      <c r="M61"/>
    </row>
    <row r="62" spans="1:13" ht="15" x14ac:dyDescent="0.25">
      <c r="A62" s="90" t="s">
        <v>22</v>
      </c>
      <c r="B62" s="90" t="s">
        <v>1068</v>
      </c>
      <c r="C62" s="90">
        <v>2010061</v>
      </c>
      <c r="D62" s="251">
        <v>40224</v>
      </c>
      <c r="E62" s="251" t="s">
        <v>1059</v>
      </c>
      <c r="F62" s="252">
        <v>644.9</v>
      </c>
      <c r="H62" s="254" t="s">
        <v>1072</v>
      </c>
      <c r="I62" s="253">
        <v>3467.64</v>
      </c>
      <c r="J62"/>
      <c r="K62"/>
      <c r="L62"/>
      <c r="M62"/>
    </row>
    <row r="63" spans="1:13" ht="15" x14ac:dyDescent="0.25">
      <c r="A63" s="90" t="s">
        <v>22</v>
      </c>
      <c r="B63" s="90" t="s">
        <v>1062</v>
      </c>
      <c r="C63" s="90">
        <v>2010062</v>
      </c>
      <c r="D63" s="251">
        <v>40224</v>
      </c>
      <c r="E63" s="251" t="s">
        <v>1059</v>
      </c>
      <c r="F63" s="252">
        <v>1112.55</v>
      </c>
      <c r="H63" s="254" t="s">
        <v>1073</v>
      </c>
      <c r="I63" s="253">
        <v>4845.8599999999997</v>
      </c>
      <c r="J63"/>
      <c r="K63"/>
      <c r="L63"/>
      <c r="M63"/>
    </row>
    <row r="64" spans="1:13" ht="15" x14ac:dyDescent="0.25">
      <c r="A64" s="90" t="s">
        <v>20</v>
      </c>
      <c r="B64" s="90" t="s">
        <v>1063</v>
      </c>
      <c r="C64" s="90">
        <v>2010063</v>
      </c>
      <c r="D64" s="251">
        <v>40226</v>
      </c>
      <c r="E64" s="251" t="s">
        <v>1059</v>
      </c>
      <c r="F64" s="252">
        <v>437.76</v>
      </c>
      <c r="H64" s="254" t="s">
        <v>1074</v>
      </c>
      <c r="I64" s="253">
        <v>4524.2300000000005</v>
      </c>
      <c r="J64"/>
      <c r="K64"/>
      <c r="L64"/>
      <c r="M64"/>
    </row>
    <row r="65" spans="1:13" ht="15" x14ac:dyDescent="0.25">
      <c r="A65" s="90" t="s">
        <v>20</v>
      </c>
      <c r="B65" s="90" t="s">
        <v>1061</v>
      </c>
      <c r="C65" s="90">
        <v>2010064</v>
      </c>
      <c r="D65" s="251">
        <v>40227</v>
      </c>
      <c r="E65" s="251" t="s">
        <v>1059</v>
      </c>
      <c r="F65" s="252">
        <v>822.74</v>
      </c>
      <c r="H65" s="254" t="s">
        <v>1075</v>
      </c>
      <c r="I65" s="253">
        <v>1127</v>
      </c>
      <c r="J65"/>
      <c r="K65"/>
      <c r="L65"/>
      <c r="M65"/>
    </row>
    <row r="66" spans="1:13" ht="15" x14ac:dyDescent="0.25">
      <c r="A66" s="90" t="s">
        <v>20</v>
      </c>
      <c r="B66" s="90" t="s">
        <v>1058</v>
      </c>
      <c r="C66" s="90">
        <v>2010065</v>
      </c>
      <c r="D66" s="251">
        <v>40228</v>
      </c>
      <c r="E66" s="251" t="s">
        <v>1059</v>
      </c>
      <c r="F66" s="252">
        <v>431.17</v>
      </c>
      <c r="H66" s="254" t="s">
        <v>1076</v>
      </c>
      <c r="I66" s="253">
        <v>2228.7399999999998</v>
      </c>
      <c r="J66"/>
      <c r="K66"/>
      <c r="L66"/>
      <c r="M66"/>
    </row>
    <row r="67" spans="1:13" ht="15" x14ac:dyDescent="0.25">
      <c r="A67" s="90" t="s">
        <v>22</v>
      </c>
      <c r="B67" s="90" t="s">
        <v>1064</v>
      </c>
      <c r="C67" s="90">
        <v>2010066</v>
      </c>
      <c r="D67" s="251">
        <v>40231</v>
      </c>
      <c r="E67" s="251" t="s">
        <v>1060</v>
      </c>
      <c r="F67" s="252">
        <v>627.74</v>
      </c>
      <c r="H67" s="254" t="s">
        <v>1077</v>
      </c>
      <c r="I67" s="253">
        <v>2707.7200000000003</v>
      </c>
      <c r="J67"/>
      <c r="K67"/>
      <c r="L67"/>
      <c r="M67"/>
    </row>
    <row r="68" spans="1:13" ht="15" x14ac:dyDescent="0.25">
      <c r="A68" s="90" t="s">
        <v>20</v>
      </c>
      <c r="B68" s="90" t="s">
        <v>1065</v>
      </c>
      <c r="C68" s="90">
        <v>2010067</v>
      </c>
      <c r="D68" s="251">
        <v>40231</v>
      </c>
      <c r="E68" s="251" t="s">
        <v>1060</v>
      </c>
      <c r="F68" s="252">
        <v>774.48</v>
      </c>
      <c r="H68" s="3" t="s">
        <v>1058</v>
      </c>
      <c r="I68" s="253">
        <v>71903.67</v>
      </c>
      <c r="J68"/>
      <c r="K68"/>
      <c r="L68"/>
      <c r="M68"/>
    </row>
    <row r="69" spans="1:13" ht="15" x14ac:dyDescent="0.25">
      <c r="A69" s="90" t="s">
        <v>22</v>
      </c>
      <c r="B69" s="90" t="s">
        <v>1064</v>
      </c>
      <c r="C69" s="90">
        <v>2010068</v>
      </c>
      <c r="D69" s="251">
        <v>40233</v>
      </c>
      <c r="E69" s="251" t="s">
        <v>1059</v>
      </c>
      <c r="F69" s="252">
        <v>321.14</v>
      </c>
      <c r="H69" s="254" t="s">
        <v>121</v>
      </c>
      <c r="I69" s="253">
        <v>6818.88</v>
      </c>
      <c r="J69"/>
      <c r="K69"/>
      <c r="L69"/>
      <c r="M69"/>
    </row>
    <row r="70" spans="1:13" ht="15" x14ac:dyDescent="0.25">
      <c r="A70" s="90" t="s">
        <v>20</v>
      </c>
      <c r="B70" s="90" t="s">
        <v>1066</v>
      </c>
      <c r="C70" s="90">
        <v>2010069</v>
      </c>
      <c r="D70" s="251">
        <v>40233</v>
      </c>
      <c r="E70" s="251" t="s">
        <v>1059</v>
      </c>
      <c r="F70" s="252">
        <v>369.81</v>
      </c>
      <c r="H70" s="254" t="s">
        <v>122</v>
      </c>
      <c r="I70" s="253">
        <v>6017.37</v>
      </c>
      <c r="J70"/>
      <c r="K70"/>
      <c r="L70"/>
      <c r="M70"/>
    </row>
    <row r="71" spans="1:13" ht="15" x14ac:dyDescent="0.25">
      <c r="A71" s="90" t="s">
        <v>20</v>
      </c>
      <c r="B71" s="90" t="s">
        <v>1066</v>
      </c>
      <c r="C71" s="90">
        <v>2010070</v>
      </c>
      <c r="D71" s="251">
        <v>40233</v>
      </c>
      <c r="E71" s="251" t="s">
        <v>1060</v>
      </c>
      <c r="F71" s="252">
        <v>696.21</v>
      </c>
      <c r="H71" s="254" t="s">
        <v>123</v>
      </c>
      <c r="I71" s="253">
        <v>10401.869999999999</v>
      </c>
      <c r="J71"/>
      <c r="K71"/>
      <c r="L71"/>
      <c r="M71"/>
    </row>
    <row r="72" spans="1:13" ht="15" x14ac:dyDescent="0.25">
      <c r="A72" s="90" t="s">
        <v>20</v>
      </c>
      <c r="B72" s="90" t="s">
        <v>1066</v>
      </c>
      <c r="C72" s="90">
        <v>2010071</v>
      </c>
      <c r="D72" s="251">
        <v>40233</v>
      </c>
      <c r="E72" s="251" t="s">
        <v>1060</v>
      </c>
      <c r="F72" s="252">
        <v>188.94</v>
      </c>
      <c r="H72" s="254" t="s">
        <v>124</v>
      </c>
      <c r="I72" s="253">
        <v>5917.47</v>
      </c>
      <c r="J72"/>
      <c r="K72"/>
      <c r="L72"/>
      <c r="M72"/>
    </row>
    <row r="73" spans="1:13" ht="15" x14ac:dyDescent="0.25">
      <c r="A73" s="90" t="s">
        <v>20</v>
      </c>
      <c r="B73" s="90" t="s">
        <v>1061</v>
      </c>
      <c r="C73" s="90">
        <v>2010072</v>
      </c>
      <c r="D73" s="251">
        <v>40233</v>
      </c>
      <c r="E73" s="251" t="s">
        <v>1060</v>
      </c>
      <c r="F73" s="252">
        <v>53</v>
      </c>
      <c r="H73" s="254" t="s">
        <v>125</v>
      </c>
      <c r="I73" s="253">
        <v>6405.2200000000012</v>
      </c>
      <c r="J73"/>
      <c r="K73"/>
      <c r="L73"/>
      <c r="M73"/>
    </row>
    <row r="74" spans="1:13" ht="15" x14ac:dyDescent="0.25">
      <c r="A74" s="90" t="s">
        <v>20</v>
      </c>
      <c r="B74" s="90" t="s">
        <v>1066</v>
      </c>
      <c r="C74" s="90">
        <v>2010073</v>
      </c>
      <c r="D74" s="251">
        <v>40234</v>
      </c>
      <c r="E74" s="251" t="s">
        <v>1060</v>
      </c>
      <c r="F74" s="252">
        <v>282.98</v>
      </c>
      <c r="H74" s="254" t="s">
        <v>126</v>
      </c>
      <c r="I74" s="253">
        <v>5300.9400000000005</v>
      </c>
      <c r="J74"/>
      <c r="K74"/>
      <c r="L74"/>
      <c r="M74"/>
    </row>
    <row r="75" spans="1:13" ht="15" x14ac:dyDescent="0.25">
      <c r="A75" s="90" t="s">
        <v>20</v>
      </c>
      <c r="B75" s="90" t="s">
        <v>1065</v>
      </c>
      <c r="C75" s="90">
        <v>2010074</v>
      </c>
      <c r="D75" s="251">
        <v>40238</v>
      </c>
      <c r="E75" s="251" t="s">
        <v>1060</v>
      </c>
      <c r="F75" s="252">
        <v>587.16</v>
      </c>
      <c r="H75" s="254" t="s">
        <v>1072</v>
      </c>
      <c r="I75" s="253">
        <v>5089.92</v>
      </c>
      <c r="J75"/>
      <c r="K75"/>
      <c r="L75"/>
      <c r="M75"/>
    </row>
    <row r="76" spans="1:13" ht="15" x14ac:dyDescent="0.25">
      <c r="A76" s="90" t="s">
        <v>22</v>
      </c>
      <c r="B76" s="90" t="s">
        <v>1068</v>
      </c>
      <c r="C76" s="90">
        <v>2010075</v>
      </c>
      <c r="D76" s="251">
        <v>40238</v>
      </c>
      <c r="E76" s="251" t="s">
        <v>1060</v>
      </c>
      <c r="F76" s="252">
        <v>1174.3499999999999</v>
      </c>
      <c r="H76" s="254" t="s">
        <v>1073</v>
      </c>
      <c r="I76" s="253">
        <v>8036.9800000000005</v>
      </c>
      <c r="J76"/>
      <c r="K76"/>
      <c r="L76"/>
      <c r="M76"/>
    </row>
    <row r="77" spans="1:13" ht="15" x14ac:dyDescent="0.25">
      <c r="A77" s="90" t="s">
        <v>22</v>
      </c>
      <c r="B77" s="90" t="s">
        <v>1067</v>
      </c>
      <c r="C77" s="90">
        <v>2010076</v>
      </c>
      <c r="D77" s="251">
        <v>40239</v>
      </c>
      <c r="E77" s="251" t="s">
        <v>1060</v>
      </c>
      <c r="F77" s="252">
        <v>105.03</v>
      </c>
      <c r="H77" s="254" t="s">
        <v>1074</v>
      </c>
      <c r="I77" s="253">
        <v>3570.09</v>
      </c>
      <c r="J77"/>
      <c r="K77"/>
      <c r="L77"/>
      <c r="M77"/>
    </row>
    <row r="78" spans="1:13" ht="15" x14ac:dyDescent="0.25">
      <c r="A78" s="90" t="s">
        <v>22</v>
      </c>
      <c r="B78" s="90" t="s">
        <v>1068</v>
      </c>
      <c r="C78" s="90">
        <v>2010077</v>
      </c>
      <c r="D78" s="251">
        <v>40240</v>
      </c>
      <c r="E78" s="251" t="s">
        <v>1060</v>
      </c>
      <c r="F78" s="252">
        <v>1015.4</v>
      </c>
      <c r="H78" s="254" t="s">
        <v>1075</v>
      </c>
      <c r="I78" s="253">
        <v>5152.8600000000006</v>
      </c>
      <c r="J78"/>
      <c r="K78"/>
      <c r="L78"/>
      <c r="M78"/>
    </row>
    <row r="79" spans="1:13" ht="15" x14ac:dyDescent="0.25">
      <c r="A79" s="90" t="s">
        <v>20</v>
      </c>
      <c r="B79" s="90" t="s">
        <v>1065</v>
      </c>
      <c r="C79" s="90">
        <v>2010078</v>
      </c>
      <c r="D79" s="251">
        <v>40240</v>
      </c>
      <c r="E79" s="251" t="s">
        <v>1059</v>
      </c>
      <c r="F79" s="252">
        <v>742.57</v>
      </c>
      <c r="H79" s="254" t="s">
        <v>1076</v>
      </c>
      <c r="I79" s="253">
        <v>4802.04</v>
      </c>
      <c r="J79"/>
      <c r="K79"/>
      <c r="L79"/>
      <c r="M79"/>
    </row>
    <row r="80" spans="1:13" ht="15" x14ac:dyDescent="0.25">
      <c r="A80" s="90" t="s">
        <v>20</v>
      </c>
      <c r="B80" s="90" t="s">
        <v>1058</v>
      </c>
      <c r="C80" s="90">
        <v>2010079</v>
      </c>
      <c r="D80" s="251">
        <v>40240</v>
      </c>
      <c r="E80" s="251" t="s">
        <v>1060</v>
      </c>
      <c r="F80" s="252">
        <v>985.1</v>
      </c>
      <c r="H80" s="254" t="s">
        <v>1077</v>
      </c>
      <c r="I80" s="253">
        <v>4390.0300000000007</v>
      </c>
      <c r="J80"/>
      <c r="K80"/>
      <c r="L80"/>
      <c r="M80"/>
    </row>
    <row r="81" spans="1:13" ht="15" x14ac:dyDescent="0.25">
      <c r="A81" s="90" t="s">
        <v>20</v>
      </c>
      <c r="B81" s="90" t="s">
        <v>1058</v>
      </c>
      <c r="C81" s="90">
        <v>2010080</v>
      </c>
      <c r="D81" s="251">
        <v>40240</v>
      </c>
      <c r="E81" s="251" t="s">
        <v>1060</v>
      </c>
      <c r="F81" s="252">
        <v>382.43</v>
      </c>
      <c r="H81" s="3" t="s">
        <v>1065</v>
      </c>
      <c r="I81" s="253">
        <v>97388.089999999982</v>
      </c>
      <c r="J81"/>
      <c r="K81"/>
      <c r="L81"/>
      <c r="M81"/>
    </row>
    <row r="82" spans="1:13" ht="15" x14ac:dyDescent="0.25">
      <c r="A82" s="90" t="s">
        <v>22</v>
      </c>
      <c r="B82" s="90" t="s">
        <v>1068</v>
      </c>
      <c r="C82" s="90">
        <v>2010081</v>
      </c>
      <c r="D82" s="251">
        <v>40242</v>
      </c>
      <c r="E82" s="251" t="s">
        <v>1060</v>
      </c>
      <c r="F82" s="252">
        <v>241.88</v>
      </c>
      <c r="H82" s="254" t="s">
        <v>121</v>
      </c>
      <c r="I82" s="253">
        <v>11659.860000000002</v>
      </c>
      <c r="J82"/>
      <c r="K82"/>
      <c r="L82"/>
      <c r="M82"/>
    </row>
    <row r="83" spans="1:13" ht="15" x14ac:dyDescent="0.25">
      <c r="A83" s="90" t="s">
        <v>20</v>
      </c>
      <c r="B83" s="90" t="s">
        <v>1061</v>
      </c>
      <c r="C83" s="90">
        <v>2010082</v>
      </c>
      <c r="D83" s="251">
        <v>40242</v>
      </c>
      <c r="E83" s="251" t="s">
        <v>1059</v>
      </c>
      <c r="F83" s="252">
        <v>556.42999999999995</v>
      </c>
      <c r="H83" s="254" t="s">
        <v>122</v>
      </c>
      <c r="I83" s="253">
        <v>7135.47</v>
      </c>
      <c r="J83"/>
      <c r="K83"/>
      <c r="L83"/>
      <c r="M83"/>
    </row>
    <row r="84" spans="1:13" ht="15" x14ac:dyDescent="0.25">
      <c r="A84" s="90" t="s">
        <v>20</v>
      </c>
      <c r="B84" s="90" t="s">
        <v>1058</v>
      </c>
      <c r="C84" s="90">
        <v>2010083</v>
      </c>
      <c r="D84" s="251">
        <v>40245</v>
      </c>
      <c r="E84" s="251" t="s">
        <v>1059</v>
      </c>
      <c r="F84" s="252">
        <v>703.38</v>
      </c>
      <c r="H84" s="254" t="s">
        <v>123</v>
      </c>
      <c r="I84" s="253">
        <v>12895.250000000002</v>
      </c>
      <c r="J84"/>
      <c r="K84"/>
      <c r="L84"/>
      <c r="M84"/>
    </row>
    <row r="85" spans="1:13" ht="15" x14ac:dyDescent="0.25">
      <c r="A85" s="90" t="s">
        <v>20</v>
      </c>
      <c r="B85" s="90" t="s">
        <v>1061</v>
      </c>
      <c r="C85" s="90">
        <v>2010084</v>
      </c>
      <c r="D85" s="251">
        <v>40246</v>
      </c>
      <c r="E85" s="251" t="s">
        <v>1059</v>
      </c>
      <c r="F85" s="252">
        <v>1088.18</v>
      </c>
      <c r="H85" s="254" t="s">
        <v>124</v>
      </c>
      <c r="I85" s="253">
        <v>6959.59</v>
      </c>
      <c r="J85"/>
      <c r="K85"/>
      <c r="L85"/>
      <c r="M85"/>
    </row>
    <row r="86" spans="1:13" ht="15" x14ac:dyDescent="0.25">
      <c r="A86" s="90" t="s">
        <v>20</v>
      </c>
      <c r="B86" s="90" t="s">
        <v>1058</v>
      </c>
      <c r="C86" s="90">
        <v>2010085</v>
      </c>
      <c r="D86" s="251">
        <v>40246</v>
      </c>
      <c r="E86" s="251" t="s">
        <v>1059</v>
      </c>
      <c r="F86" s="252">
        <v>317.45</v>
      </c>
      <c r="H86" s="254" t="s">
        <v>125</v>
      </c>
      <c r="I86" s="253">
        <v>4472.3500000000004</v>
      </c>
      <c r="J86"/>
      <c r="K86"/>
      <c r="L86"/>
      <c r="M86"/>
    </row>
    <row r="87" spans="1:13" ht="15" x14ac:dyDescent="0.25">
      <c r="A87" s="90" t="s">
        <v>20</v>
      </c>
      <c r="B87" s="90" t="s">
        <v>1063</v>
      </c>
      <c r="C87" s="90">
        <v>2010086</v>
      </c>
      <c r="D87" s="251">
        <v>40247</v>
      </c>
      <c r="E87" s="251" t="s">
        <v>1059</v>
      </c>
      <c r="F87" s="252">
        <v>996.18</v>
      </c>
      <c r="H87" s="254" t="s">
        <v>126</v>
      </c>
      <c r="I87" s="253">
        <v>9394.39</v>
      </c>
      <c r="J87"/>
      <c r="K87"/>
      <c r="L87"/>
      <c r="M87"/>
    </row>
    <row r="88" spans="1:13" ht="15" x14ac:dyDescent="0.25">
      <c r="A88" s="90" t="s">
        <v>20</v>
      </c>
      <c r="B88" s="90" t="s">
        <v>1061</v>
      </c>
      <c r="C88" s="90">
        <v>2010087</v>
      </c>
      <c r="D88" s="251">
        <v>40248</v>
      </c>
      <c r="E88" s="251" t="s">
        <v>1060</v>
      </c>
      <c r="F88" s="252">
        <v>19.48</v>
      </c>
      <c r="H88" s="254" t="s">
        <v>1072</v>
      </c>
      <c r="I88" s="253">
        <v>10421.960000000001</v>
      </c>
      <c r="J88"/>
      <c r="K88"/>
      <c r="L88"/>
      <c r="M88"/>
    </row>
    <row r="89" spans="1:13" ht="15" x14ac:dyDescent="0.25">
      <c r="A89" s="90" t="s">
        <v>20</v>
      </c>
      <c r="B89" s="90" t="s">
        <v>1066</v>
      </c>
      <c r="C89" s="90">
        <v>2010088</v>
      </c>
      <c r="D89" s="251">
        <v>40248</v>
      </c>
      <c r="E89" s="251" t="s">
        <v>1060</v>
      </c>
      <c r="F89" s="252">
        <v>364.76</v>
      </c>
      <c r="H89" s="254" t="s">
        <v>1073</v>
      </c>
      <c r="I89" s="253">
        <v>4722.1900000000005</v>
      </c>
      <c r="J89"/>
      <c r="K89"/>
      <c r="L89"/>
      <c r="M89"/>
    </row>
    <row r="90" spans="1:13" ht="15" x14ac:dyDescent="0.25">
      <c r="A90" s="90" t="s">
        <v>22</v>
      </c>
      <c r="B90" s="90" t="s">
        <v>1064</v>
      </c>
      <c r="C90" s="90">
        <v>2010089</v>
      </c>
      <c r="D90" s="251">
        <v>40249</v>
      </c>
      <c r="E90" s="251" t="s">
        <v>1059</v>
      </c>
      <c r="F90" s="252">
        <v>553.02</v>
      </c>
      <c r="H90" s="254" t="s">
        <v>1074</v>
      </c>
      <c r="I90" s="253">
        <v>5298.25</v>
      </c>
      <c r="J90"/>
      <c r="K90"/>
      <c r="L90"/>
      <c r="M90"/>
    </row>
    <row r="91" spans="1:13" ht="15" x14ac:dyDescent="0.25">
      <c r="A91" s="90" t="s">
        <v>20</v>
      </c>
      <c r="B91" s="90" t="s">
        <v>1061</v>
      </c>
      <c r="C91" s="90">
        <v>2010090</v>
      </c>
      <c r="D91" s="251">
        <v>40252</v>
      </c>
      <c r="E91" s="251" t="s">
        <v>1060</v>
      </c>
      <c r="F91" s="252">
        <v>83.3</v>
      </c>
      <c r="H91" s="254" t="s">
        <v>1075</v>
      </c>
      <c r="I91" s="253">
        <v>5053.26</v>
      </c>
      <c r="J91"/>
      <c r="K91"/>
      <c r="L91"/>
      <c r="M91"/>
    </row>
    <row r="92" spans="1:13" ht="15" x14ac:dyDescent="0.25">
      <c r="A92" s="90" t="s">
        <v>22</v>
      </c>
      <c r="B92" s="90" t="s">
        <v>1062</v>
      </c>
      <c r="C92" s="90">
        <v>2010091</v>
      </c>
      <c r="D92" s="251">
        <v>40253</v>
      </c>
      <c r="E92" s="251" t="s">
        <v>1059</v>
      </c>
      <c r="F92" s="252">
        <v>994.1</v>
      </c>
      <c r="H92" s="254" t="s">
        <v>1076</v>
      </c>
      <c r="I92" s="253">
        <v>9906.48</v>
      </c>
      <c r="J92"/>
      <c r="K92"/>
      <c r="L92"/>
      <c r="M92"/>
    </row>
    <row r="93" spans="1:13" ht="15" x14ac:dyDescent="0.25">
      <c r="A93" s="90" t="s">
        <v>20</v>
      </c>
      <c r="B93" s="90" t="s">
        <v>1065</v>
      </c>
      <c r="C93" s="90">
        <v>2010092</v>
      </c>
      <c r="D93" s="251">
        <v>40253</v>
      </c>
      <c r="E93" s="251" t="s">
        <v>1059</v>
      </c>
      <c r="F93" s="252">
        <v>883.45</v>
      </c>
      <c r="H93" s="254" t="s">
        <v>1077</v>
      </c>
      <c r="I93" s="253">
        <v>9469.0399999999991</v>
      </c>
      <c r="J93"/>
      <c r="K93"/>
      <c r="L93"/>
      <c r="M93"/>
    </row>
    <row r="94" spans="1:13" ht="15" x14ac:dyDescent="0.25">
      <c r="A94" s="90" t="s">
        <v>20</v>
      </c>
      <c r="B94" s="90" t="s">
        <v>1066</v>
      </c>
      <c r="C94" s="90">
        <v>2010093</v>
      </c>
      <c r="D94" s="251">
        <v>40254</v>
      </c>
      <c r="E94" s="251" t="s">
        <v>1059</v>
      </c>
      <c r="F94" s="252">
        <v>194.17</v>
      </c>
      <c r="H94" s="3" t="s">
        <v>1069</v>
      </c>
      <c r="I94" s="253">
        <v>20001.37</v>
      </c>
      <c r="J94"/>
      <c r="K94"/>
      <c r="L94"/>
      <c r="M94"/>
    </row>
    <row r="95" spans="1:13" ht="15" x14ac:dyDescent="0.25">
      <c r="A95" s="90" t="s">
        <v>22</v>
      </c>
      <c r="B95" s="90" t="s">
        <v>1064</v>
      </c>
      <c r="C95" s="90">
        <v>2010094</v>
      </c>
      <c r="D95" s="251">
        <v>40254</v>
      </c>
      <c r="E95" s="251" t="s">
        <v>1059</v>
      </c>
      <c r="F95" s="252">
        <v>996.44</v>
      </c>
      <c r="H95" s="254" t="s">
        <v>121</v>
      </c>
      <c r="I95" s="253">
        <v>800.23</v>
      </c>
      <c r="J95"/>
      <c r="K95"/>
      <c r="L95"/>
      <c r="M95"/>
    </row>
    <row r="96" spans="1:13" ht="15" x14ac:dyDescent="0.25">
      <c r="A96" s="90" t="s">
        <v>22</v>
      </c>
      <c r="B96" s="90" t="s">
        <v>1062</v>
      </c>
      <c r="C96" s="90">
        <v>2010095</v>
      </c>
      <c r="D96" s="251">
        <v>40255</v>
      </c>
      <c r="E96" s="251" t="s">
        <v>1060</v>
      </c>
      <c r="F96" s="252">
        <v>386.49</v>
      </c>
      <c r="H96" s="254" t="s">
        <v>122</v>
      </c>
      <c r="I96" s="253">
        <v>456.34</v>
      </c>
      <c r="J96"/>
      <c r="K96"/>
      <c r="L96"/>
      <c r="M96"/>
    </row>
    <row r="97" spans="1:13" ht="15" x14ac:dyDescent="0.25">
      <c r="A97" s="90" t="s">
        <v>20</v>
      </c>
      <c r="B97" s="90" t="s">
        <v>1066</v>
      </c>
      <c r="C97" s="90">
        <v>2010096</v>
      </c>
      <c r="D97" s="251">
        <v>40255</v>
      </c>
      <c r="E97" s="251" t="s">
        <v>1059</v>
      </c>
      <c r="F97" s="252">
        <v>942.58</v>
      </c>
      <c r="H97" s="254" t="s">
        <v>123</v>
      </c>
      <c r="I97" s="253">
        <v>1113.5999999999999</v>
      </c>
      <c r="J97"/>
      <c r="K97"/>
      <c r="L97"/>
      <c r="M97"/>
    </row>
    <row r="98" spans="1:13" ht="15" x14ac:dyDescent="0.25">
      <c r="A98" s="90" t="s">
        <v>20</v>
      </c>
      <c r="B98" s="90" t="s">
        <v>1065</v>
      </c>
      <c r="C98" s="90">
        <v>2010097</v>
      </c>
      <c r="D98" s="251">
        <v>40255</v>
      </c>
      <c r="E98" s="251" t="s">
        <v>1059</v>
      </c>
      <c r="F98" s="252">
        <v>1080.53</v>
      </c>
      <c r="H98" s="254" t="s">
        <v>124</v>
      </c>
      <c r="I98" s="253">
        <v>1335.6999999999998</v>
      </c>
      <c r="J98"/>
      <c r="K98"/>
      <c r="L98"/>
      <c r="M98"/>
    </row>
    <row r="99" spans="1:13" ht="15" x14ac:dyDescent="0.25">
      <c r="A99" s="90" t="s">
        <v>20</v>
      </c>
      <c r="B99" s="90" t="s">
        <v>1061</v>
      </c>
      <c r="C99" s="90">
        <v>2010098</v>
      </c>
      <c r="D99" s="251">
        <v>40256</v>
      </c>
      <c r="E99" s="251" t="s">
        <v>1060</v>
      </c>
      <c r="F99" s="252">
        <v>543.4</v>
      </c>
      <c r="H99" s="254" t="s">
        <v>125</v>
      </c>
      <c r="I99" s="253">
        <v>1972.5900000000001</v>
      </c>
      <c r="J99"/>
      <c r="K99"/>
      <c r="L99"/>
      <c r="M99"/>
    </row>
    <row r="100" spans="1:13" ht="15" x14ac:dyDescent="0.25">
      <c r="A100" s="90" t="s">
        <v>20</v>
      </c>
      <c r="B100" s="90" t="s">
        <v>1065</v>
      </c>
      <c r="C100" s="90">
        <v>2010099</v>
      </c>
      <c r="D100" s="251">
        <v>40256</v>
      </c>
      <c r="E100" s="251" t="s">
        <v>1059</v>
      </c>
      <c r="F100" s="252">
        <v>940.93</v>
      </c>
      <c r="H100" s="254" t="s">
        <v>126</v>
      </c>
      <c r="I100" s="253">
        <v>900.86</v>
      </c>
      <c r="J100"/>
      <c r="K100"/>
      <c r="L100"/>
      <c r="M100"/>
    </row>
    <row r="101" spans="1:13" ht="15" x14ac:dyDescent="0.25">
      <c r="A101" s="90" t="s">
        <v>20</v>
      </c>
      <c r="B101" s="90" t="s">
        <v>1065</v>
      </c>
      <c r="C101" s="90">
        <v>2010100</v>
      </c>
      <c r="D101" s="251">
        <v>40259</v>
      </c>
      <c r="E101" s="251" t="s">
        <v>1060</v>
      </c>
      <c r="F101" s="252">
        <v>296.62</v>
      </c>
      <c r="H101" s="254" t="s">
        <v>1072</v>
      </c>
      <c r="I101" s="253">
        <v>2729.32</v>
      </c>
      <c r="J101"/>
      <c r="K101"/>
      <c r="L101"/>
      <c r="M101"/>
    </row>
    <row r="102" spans="1:13" ht="15" x14ac:dyDescent="0.25">
      <c r="A102" s="90" t="s">
        <v>20</v>
      </c>
      <c r="B102" s="90" t="s">
        <v>1066</v>
      </c>
      <c r="C102" s="90">
        <v>2010101</v>
      </c>
      <c r="D102" s="251">
        <v>40260</v>
      </c>
      <c r="E102" s="251" t="s">
        <v>1060</v>
      </c>
      <c r="F102" s="252">
        <v>913.78</v>
      </c>
      <c r="H102" s="254" t="s">
        <v>1073</v>
      </c>
      <c r="I102" s="253">
        <v>2814.81</v>
      </c>
      <c r="J102"/>
      <c r="K102"/>
      <c r="L102"/>
      <c r="M102"/>
    </row>
    <row r="103" spans="1:13" ht="15" x14ac:dyDescent="0.25">
      <c r="A103" s="90" t="s">
        <v>20</v>
      </c>
      <c r="B103" s="90" t="s">
        <v>1063</v>
      </c>
      <c r="C103" s="90">
        <v>2010102</v>
      </c>
      <c r="D103" s="251">
        <v>40261</v>
      </c>
      <c r="E103" s="251" t="s">
        <v>1060</v>
      </c>
      <c r="F103" s="252">
        <v>829.84</v>
      </c>
      <c r="H103" s="254" t="s">
        <v>1074</v>
      </c>
      <c r="I103" s="253">
        <v>2393.1799999999998</v>
      </c>
      <c r="J103"/>
      <c r="K103"/>
      <c r="L103"/>
      <c r="M103"/>
    </row>
    <row r="104" spans="1:13" ht="15" x14ac:dyDescent="0.25">
      <c r="A104" s="90" t="s">
        <v>20</v>
      </c>
      <c r="B104" s="90" t="s">
        <v>1061</v>
      </c>
      <c r="C104" s="90">
        <v>2010103</v>
      </c>
      <c r="D104" s="251">
        <v>40262</v>
      </c>
      <c r="E104" s="251" t="s">
        <v>1059</v>
      </c>
      <c r="F104" s="252">
        <v>310.45999999999998</v>
      </c>
      <c r="H104" s="254" t="s">
        <v>1075</v>
      </c>
      <c r="I104" s="253">
        <v>509.43999999999994</v>
      </c>
      <c r="J104"/>
      <c r="K104"/>
      <c r="L104"/>
      <c r="M104"/>
    </row>
    <row r="105" spans="1:13" ht="15" x14ac:dyDescent="0.25">
      <c r="A105" s="90" t="s">
        <v>20</v>
      </c>
      <c r="B105" s="90" t="s">
        <v>1058</v>
      </c>
      <c r="C105" s="90">
        <v>2010104</v>
      </c>
      <c r="D105" s="251">
        <v>40262</v>
      </c>
      <c r="E105" s="251" t="s">
        <v>1059</v>
      </c>
      <c r="F105" s="252">
        <v>730.49</v>
      </c>
      <c r="H105" s="254" t="s">
        <v>1076</v>
      </c>
      <c r="I105" s="253">
        <v>3845.68</v>
      </c>
      <c r="J105"/>
      <c r="K105"/>
      <c r="L105"/>
      <c r="M105"/>
    </row>
    <row r="106" spans="1:13" ht="15" x14ac:dyDescent="0.25">
      <c r="A106" s="90" t="s">
        <v>20</v>
      </c>
      <c r="B106" s="90" t="s">
        <v>1063</v>
      </c>
      <c r="C106" s="90">
        <v>2010105</v>
      </c>
      <c r="D106" s="251">
        <v>40266</v>
      </c>
      <c r="E106" s="251" t="s">
        <v>1059</v>
      </c>
      <c r="F106" s="252">
        <v>981.37</v>
      </c>
      <c r="H106" s="254" t="s">
        <v>1077</v>
      </c>
      <c r="I106" s="253">
        <v>1129.6199999999999</v>
      </c>
      <c r="J106"/>
      <c r="K106"/>
      <c r="L106"/>
      <c r="M106"/>
    </row>
    <row r="107" spans="1:13" ht="15" x14ac:dyDescent="0.25">
      <c r="A107" s="90" t="s">
        <v>20</v>
      </c>
      <c r="B107" s="90" t="s">
        <v>1061</v>
      </c>
      <c r="C107" s="90">
        <v>2010106</v>
      </c>
      <c r="D107" s="251">
        <v>40266</v>
      </c>
      <c r="E107" s="251" t="s">
        <v>1059</v>
      </c>
      <c r="F107" s="252">
        <v>836.57</v>
      </c>
      <c r="H107" s="3" t="s">
        <v>1063</v>
      </c>
      <c r="I107" s="253">
        <v>70754.540000000008</v>
      </c>
      <c r="J107"/>
      <c r="K107"/>
      <c r="L107"/>
      <c r="M107"/>
    </row>
    <row r="108" spans="1:13" ht="15" x14ac:dyDescent="0.25">
      <c r="A108" s="90" t="s">
        <v>20</v>
      </c>
      <c r="B108" s="90" t="s">
        <v>1058</v>
      </c>
      <c r="C108" s="90">
        <v>2010107</v>
      </c>
      <c r="D108" s="251">
        <v>40266</v>
      </c>
      <c r="E108" s="251" t="s">
        <v>1060</v>
      </c>
      <c r="F108" s="252">
        <v>233.58</v>
      </c>
      <c r="H108" s="254" t="s">
        <v>121</v>
      </c>
      <c r="I108" s="253">
        <v>5459.75</v>
      </c>
      <c r="J108"/>
      <c r="K108"/>
      <c r="L108"/>
      <c r="M108"/>
    </row>
    <row r="109" spans="1:13" ht="15" x14ac:dyDescent="0.25">
      <c r="A109" s="90" t="s">
        <v>20</v>
      </c>
      <c r="B109" s="90" t="s">
        <v>1065</v>
      </c>
      <c r="C109" s="90">
        <v>2010108</v>
      </c>
      <c r="D109" s="251">
        <v>40268</v>
      </c>
      <c r="E109" s="251" t="s">
        <v>1060</v>
      </c>
      <c r="F109" s="252">
        <v>1157.81</v>
      </c>
      <c r="H109" s="254" t="s">
        <v>122</v>
      </c>
      <c r="I109" s="253">
        <v>5928.6500000000015</v>
      </c>
      <c r="J109"/>
      <c r="K109"/>
      <c r="L109"/>
      <c r="M109"/>
    </row>
    <row r="110" spans="1:13" ht="15" x14ac:dyDescent="0.25">
      <c r="A110" s="90" t="s">
        <v>20</v>
      </c>
      <c r="B110" s="90" t="s">
        <v>1063</v>
      </c>
      <c r="C110" s="90">
        <v>2010109</v>
      </c>
      <c r="D110" s="251">
        <v>40268</v>
      </c>
      <c r="E110" s="251" t="s">
        <v>1059</v>
      </c>
      <c r="F110" s="252">
        <v>1052.94</v>
      </c>
      <c r="H110" s="254" t="s">
        <v>123</v>
      </c>
      <c r="I110" s="253">
        <v>5087.99</v>
      </c>
      <c r="J110"/>
      <c r="K110"/>
      <c r="L110"/>
      <c r="M110"/>
    </row>
    <row r="111" spans="1:13" ht="15" x14ac:dyDescent="0.25">
      <c r="A111" s="90" t="s">
        <v>20</v>
      </c>
      <c r="B111" s="90" t="s">
        <v>1061</v>
      </c>
      <c r="C111" s="90">
        <v>2010110</v>
      </c>
      <c r="D111" s="251">
        <v>40269</v>
      </c>
      <c r="E111" s="251" t="s">
        <v>1060</v>
      </c>
      <c r="F111" s="252">
        <v>498.14</v>
      </c>
      <c r="H111" s="254" t="s">
        <v>124</v>
      </c>
      <c r="I111" s="253">
        <v>7101.54</v>
      </c>
      <c r="J111"/>
      <c r="K111"/>
      <c r="L111"/>
      <c r="M111"/>
    </row>
    <row r="112" spans="1:13" ht="15" x14ac:dyDescent="0.25">
      <c r="A112" s="90" t="s">
        <v>20</v>
      </c>
      <c r="B112" s="90" t="s">
        <v>1066</v>
      </c>
      <c r="C112" s="90">
        <v>2010111</v>
      </c>
      <c r="D112" s="251">
        <v>40269</v>
      </c>
      <c r="E112" s="251" t="s">
        <v>1060</v>
      </c>
      <c r="F112" s="252">
        <v>1032.6300000000001</v>
      </c>
      <c r="H112" s="254" t="s">
        <v>125</v>
      </c>
      <c r="I112" s="253">
        <v>4110.76</v>
      </c>
      <c r="J112"/>
      <c r="K112"/>
      <c r="L112"/>
      <c r="M112"/>
    </row>
    <row r="113" spans="1:13" ht="15" x14ac:dyDescent="0.25">
      <c r="A113" s="90" t="s">
        <v>20</v>
      </c>
      <c r="B113" s="90" t="s">
        <v>1065</v>
      </c>
      <c r="C113" s="90">
        <v>2010112</v>
      </c>
      <c r="D113" s="251">
        <v>40269</v>
      </c>
      <c r="E113" s="251" t="s">
        <v>1059</v>
      </c>
      <c r="F113" s="252">
        <v>729.5</v>
      </c>
      <c r="H113" s="254" t="s">
        <v>126</v>
      </c>
      <c r="I113" s="253">
        <v>5927.1100000000006</v>
      </c>
      <c r="J113"/>
      <c r="K113"/>
      <c r="L113"/>
      <c r="M113"/>
    </row>
    <row r="114" spans="1:13" ht="15" x14ac:dyDescent="0.25">
      <c r="A114" s="90" t="s">
        <v>20</v>
      </c>
      <c r="B114" s="90" t="s">
        <v>1065</v>
      </c>
      <c r="C114" s="90">
        <v>2010113</v>
      </c>
      <c r="D114" s="251">
        <v>40269</v>
      </c>
      <c r="E114" s="251" t="s">
        <v>1060</v>
      </c>
      <c r="F114" s="252">
        <v>1010.02</v>
      </c>
      <c r="H114" s="254" t="s">
        <v>1072</v>
      </c>
      <c r="I114" s="253">
        <v>6155.95</v>
      </c>
      <c r="J114"/>
      <c r="K114"/>
      <c r="L114"/>
      <c r="M114"/>
    </row>
    <row r="115" spans="1:13" ht="15" x14ac:dyDescent="0.25">
      <c r="A115" s="90" t="s">
        <v>20</v>
      </c>
      <c r="B115" s="90" t="s">
        <v>1063</v>
      </c>
      <c r="C115" s="90">
        <v>2010114</v>
      </c>
      <c r="D115" s="251">
        <v>40270</v>
      </c>
      <c r="E115" s="251" t="s">
        <v>1060</v>
      </c>
      <c r="F115" s="252">
        <v>333.58</v>
      </c>
      <c r="H115" s="254" t="s">
        <v>1073</v>
      </c>
      <c r="I115" s="253">
        <v>7057.74</v>
      </c>
      <c r="J115"/>
      <c r="K115"/>
      <c r="L115"/>
      <c r="M115"/>
    </row>
    <row r="116" spans="1:13" ht="15" x14ac:dyDescent="0.25">
      <c r="A116" s="90" t="s">
        <v>22</v>
      </c>
      <c r="B116" s="90" t="s">
        <v>1067</v>
      </c>
      <c r="C116" s="90">
        <v>2010115</v>
      </c>
      <c r="D116" s="251">
        <v>40273</v>
      </c>
      <c r="E116" s="251" t="s">
        <v>1059</v>
      </c>
      <c r="F116" s="252">
        <v>861.49</v>
      </c>
      <c r="H116" s="254" t="s">
        <v>1074</v>
      </c>
      <c r="I116" s="253">
        <v>6819.4800000000005</v>
      </c>
      <c r="J116"/>
      <c r="K116"/>
      <c r="L116"/>
      <c r="M116"/>
    </row>
    <row r="117" spans="1:13" ht="15" x14ac:dyDescent="0.25">
      <c r="A117" s="90" t="s">
        <v>20</v>
      </c>
      <c r="B117" s="90" t="s">
        <v>1058</v>
      </c>
      <c r="C117" s="90">
        <v>2010116</v>
      </c>
      <c r="D117" s="251">
        <v>40273</v>
      </c>
      <c r="E117" s="251" t="s">
        <v>1060</v>
      </c>
      <c r="F117" s="252">
        <v>51.5</v>
      </c>
      <c r="H117" s="254" t="s">
        <v>1075</v>
      </c>
      <c r="I117" s="253">
        <v>6772.67</v>
      </c>
      <c r="J117"/>
      <c r="K117"/>
      <c r="L117"/>
      <c r="M117"/>
    </row>
    <row r="118" spans="1:13" ht="15" x14ac:dyDescent="0.25">
      <c r="A118" s="90" t="s">
        <v>20</v>
      </c>
      <c r="B118" s="90" t="s">
        <v>1058</v>
      </c>
      <c r="C118" s="90">
        <v>2010117</v>
      </c>
      <c r="D118" s="251">
        <v>40273</v>
      </c>
      <c r="E118" s="251" t="s">
        <v>1059</v>
      </c>
      <c r="F118" s="252">
        <v>962.96</v>
      </c>
      <c r="H118" s="254" t="s">
        <v>1076</v>
      </c>
      <c r="I118" s="253">
        <v>2702.9700000000003</v>
      </c>
      <c r="J118"/>
      <c r="K118"/>
      <c r="L118"/>
      <c r="M118"/>
    </row>
    <row r="119" spans="1:13" ht="15" x14ac:dyDescent="0.25">
      <c r="A119" s="90" t="s">
        <v>20</v>
      </c>
      <c r="B119" s="90" t="s">
        <v>1058</v>
      </c>
      <c r="C119" s="90">
        <v>2010118</v>
      </c>
      <c r="D119" s="251">
        <v>40275</v>
      </c>
      <c r="E119" s="251" t="s">
        <v>1060</v>
      </c>
      <c r="F119" s="252">
        <v>370.25</v>
      </c>
      <c r="H119" s="254" t="s">
        <v>1077</v>
      </c>
      <c r="I119" s="253">
        <v>7629.93</v>
      </c>
      <c r="J119"/>
      <c r="K119"/>
      <c r="L119"/>
      <c r="M119"/>
    </row>
    <row r="120" spans="1:13" ht="15" x14ac:dyDescent="0.25">
      <c r="A120" s="90" t="s">
        <v>20</v>
      </c>
      <c r="B120" s="90" t="s">
        <v>1058</v>
      </c>
      <c r="C120" s="90">
        <v>2010119</v>
      </c>
      <c r="D120" s="251">
        <v>40276</v>
      </c>
      <c r="E120" s="251" t="s">
        <v>1060</v>
      </c>
      <c r="F120" s="252">
        <v>1115.73</v>
      </c>
      <c r="H120" s="3" t="s">
        <v>1064</v>
      </c>
      <c r="I120" s="253">
        <v>45438.98000000001</v>
      </c>
      <c r="J120"/>
      <c r="K120"/>
      <c r="L120"/>
      <c r="M120"/>
    </row>
    <row r="121" spans="1:13" ht="15" x14ac:dyDescent="0.25">
      <c r="A121" s="90" t="s">
        <v>22</v>
      </c>
      <c r="B121" s="90" t="s">
        <v>1068</v>
      </c>
      <c r="C121" s="90">
        <v>2010120</v>
      </c>
      <c r="D121" s="251">
        <v>40276</v>
      </c>
      <c r="E121" s="251" t="s">
        <v>1059</v>
      </c>
      <c r="F121" s="252">
        <v>238.44</v>
      </c>
      <c r="H121" s="254" t="s">
        <v>121</v>
      </c>
      <c r="I121" s="253">
        <v>5423.9699999999993</v>
      </c>
      <c r="J121"/>
      <c r="K121"/>
      <c r="L121"/>
      <c r="M121"/>
    </row>
    <row r="122" spans="1:13" ht="15" x14ac:dyDescent="0.25">
      <c r="A122" s="90" t="s">
        <v>22</v>
      </c>
      <c r="B122" s="90" t="s">
        <v>1062</v>
      </c>
      <c r="C122" s="90">
        <v>2010121</v>
      </c>
      <c r="D122" s="251">
        <v>40277</v>
      </c>
      <c r="E122" s="251" t="s">
        <v>1060</v>
      </c>
      <c r="F122" s="252">
        <v>1120.56</v>
      </c>
      <c r="H122" s="254" t="s">
        <v>122</v>
      </c>
      <c r="I122" s="253">
        <v>4629.71</v>
      </c>
      <c r="J122"/>
      <c r="K122"/>
      <c r="L122"/>
      <c r="M122"/>
    </row>
    <row r="123" spans="1:13" ht="15" x14ac:dyDescent="0.25">
      <c r="A123" s="90" t="s">
        <v>20</v>
      </c>
      <c r="B123" s="90" t="s">
        <v>1063</v>
      </c>
      <c r="C123" s="90">
        <v>2010122</v>
      </c>
      <c r="D123" s="251">
        <v>40277</v>
      </c>
      <c r="E123" s="251" t="s">
        <v>1059</v>
      </c>
      <c r="F123" s="252">
        <v>759.14</v>
      </c>
      <c r="H123" s="254" t="s">
        <v>123</v>
      </c>
      <c r="I123" s="253">
        <v>3925.69</v>
      </c>
      <c r="J123"/>
      <c r="K123"/>
      <c r="L123"/>
      <c r="M123"/>
    </row>
    <row r="124" spans="1:13" ht="15" x14ac:dyDescent="0.25">
      <c r="A124" s="90" t="s">
        <v>20</v>
      </c>
      <c r="B124" s="90" t="s">
        <v>1058</v>
      </c>
      <c r="C124" s="90">
        <v>2010123</v>
      </c>
      <c r="D124" s="251">
        <v>40280</v>
      </c>
      <c r="E124" s="251" t="s">
        <v>1059</v>
      </c>
      <c r="F124" s="252">
        <v>472.16</v>
      </c>
      <c r="H124" s="254" t="s">
        <v>124</v>
      </c>
      <c r="I124" s="253">
        <v>5129.57</v>
      </c>
      <c r="J124"/>
      <c r="K124"/>
      <c r="L124"/>
      <c r="M124"/>
    </row>
    <row r="125" spans="1:13" ht="15" x14ac:dyDescent="0.25">
      <c r="A125" s="90" t="s">
        <v>20</v>
      </c>
      <c r="B125" s="90" t="s">
        <v>1058</v>
      </c>
      <c r="C125" s="90">
        <v>2010124</v>
      </c>
      <c r="D125" s="251">
        <v>40280</v>
      </c>
      <c r="E125" s="251" t="s">
        <v>1059</v>
      </c>
      <c r="F125" s="252">
        <v>673.37</v>
      </c>
      <c r="H125" s="254" t="s">
        <v>125</v>
      </c>
      <c r="I125" s="253">
        <v>1258.8600000000001</v>
      </c>
      <c r="J125"/>
      <c r="K125"/>
      <c r="L125"/>
      <c r="M125"/>
    </row>
    <row r="126" spans="1:13" ht="15" x14ac:dyDescent="0.25">
      <c r="A126" s="90" t="s">
        <v>22</v>
      </c>
      <c r="B126" s="90" t="s">
        <v>1062</v>
      </c>
      <c r="C126" s="90">
        <v>2010125</v>
      </c>
      <c r="D126" s="251">
        <v>40280</v>
      </c>
      <c r="E126" s="251" t="s">
        <v>1059</v>
      </c>
      <c r="F126" s="252">
        <v>1145.5899999999999</v>
      </c>
      <c r="H126" s="254" t="s">
        <v>126</v>
      </c>
      <c r="I126" s="253">
        <v>1795.67</v>
      </c>
      <c r="J126"/>
      <c r="K126"/>
      <c r="L126"/>
      <c r="M126"/>
    </row>
    <row r="127" spans="1:13" ht="15" x14ac:dyDescent="0.25">
      <c r="A127" s="90" t="s">
        <v>20</v>
      </c>
      <c r="B127" s="90" t="s">
        <v>1063</v>
      </c>
      <c r="C127" s="90">
        <v>2010126</v>
      </c>
      <c r="D127" s="251">
        <v>40280</v>
      </c>
      <c r="E127" s="251" t="s">
        <v>1060</v>
      </c>
      <c r="F127" s="252">
        <v>1021.58</v>
      </c>
      <c r="H127" s="254" t="s">
        <v>1072</v>
      </c>
      <c r="I127" s="253">
        <v>3820.79</v>
      </c>
      <c r="J127"/>
      <c r="K127"/>
      <c r="L127"/>
      <c r="M127"/>
    </row>
    <row r="128" spans="1:13" ht="15" x14ac:dyDescent="0.25">
      <c r="A128" s="90" t="s">
        <v>20</v>
      </c>
      <c r="B128" s="90" t="s">
        <v>1065</v>
      </c>
      <c r="C128" s="90">
        <v>2010127</v>
      </c>
      <c r="D128" s="251">
        <v>40281</v>
      </c>
      <c r="E128" s="251" t="s">
        <v>1060</v>
      </c>
      <c r="F128" s="252">
        <v>1109.6600000000001</v>
      </c>
      <c r="H128" s="254" t="s">
        <v>1073</v>
      </c>
      <c r="I128" s="253">
        <v>5362.3000000000011</v>
      </c>
      <c r="J128"/>
      <c r="K128"/>
      <c r="L128"/>
      <c r="M128"/>
    </row>
    <row r="129" spans="1:13" ht="15" x14ac:dyDescent="0.25">
      <c r="A129" s="90" t="s">
        <v>20</v>
      </c>
      <c r="B129" s="90" t="s">
        <v>1061</v>
      </c>
      <c r="C129" s="90">
        <v>2010128</v>
      </c>
      <c r="D129" s="251">
        <v>40281</v>
      </c>
      <c r="E129" s="251" t="s">
        <v>1059</v>
      </c>
      <c r="F129" s="252">
        <v>764.27</v>
      </c>
      <c r="H129" s="254" t="s">
        <v>1074</v>
      </c>
      <c r="I129" s="253">
        <v>3348.7299999999996</v>
      </c>
      <c r="J129"/>
      <c r="K129"/>
      <c r="L129"/>
      <c r="M129"/>
    </row>
    <row r="130" spans="1:13" ht="15" x14ac:dyDescent="0.25">
      <c r="A130" s="90" t="s">
        <v>20</v>
      </c>
      <c r="B130" s="90" t="s">
        <v>1058</v>
      </c>
      <c r="C130" s="90">
        <v>2010129</v>
      </c>
      <c r="D130" s="251">
        <v>40282</v>
      </c>
      <c r="E130" s="251" t="s">
        <v>1060</v>
      </c>
      <c r="F130" s="252">
        <v>285.54000000000002</v>
      </c>
      <c r="H130" s="254" t="s">
        <v>1075</v>
      </c>
      <c r="I130" s="253">
        <v>2887.79</v>
      </c>
      <c r="J130"/>
      <c r="K130"/>
      <c r="L130"/>
      <c r="M130"/>
    </row>
    <row r="131" spans="1:13" ht="15" x14ac:dyDescent="0.25">
      <c r="A131" s="90" t="s">
        <v>20</v>
      </c>
      <c r="B131" s="90" t="s">
        <v>1063</v>
      </c>
      <c r="C131" s="90">
        <v>2010130</v>
      </c>
      <c r="D131" s="251">
        <v>40284</v>
      </c>
      <c r="E131" s="251" t="s">
        <v>1060</v>
      </c>
      <c r="F131" s="252">
        <v>515.41</v>
      </c>
      <c r="H131" s="254" t="s">
        <v>1076</v>
      </c>
      <c r="I131" s="253">
        <v>4133.33</v>
      </c>
      <c r="J131"/>
      <c r="K131"/>
      <c r="L131"/>
      <c r="M131"/>
    </row>
    <row r="132" spans="1:13" ht="15" x14ac:dyDescent="0.25">
      <c r="A132" s="90" t="s">
        <v>22</v>
      </c>
      <c r="B132" s="90" t="s">
        <v>1062</v>
      </c>
      <c r="C132" s="90">
        <v>2010131</v>
      </c>
      <c r="D132" s="251">
        <v>40284</v>
      </c>
      <c r="E132" s="251" t="s">
        <v>1059</v>
      </c>
      <c r="F132" s="252">
        <v>551.04999999999995</v>
      </c>
      <c r="H132" s="254" t="s">
        <v>1077</v>
      </c>
      <c r="I132" s="253">
        <v>3722.57</v>
      </c>
      <c r="J132"/>
      <c r="K132"/>
      <c r="L132"/>
      <c r="M132"/>
    </row>
    <row r="133" spans="1:13" ht="15" x14ac:dyDescent="0.25">
      <c r="A133" s="90" t="s">
        <v>20</v>
      </c>
      <c r="B133" s="90" t="s">
        <v>1066</v>
      </c>
      <c r="C133" s="90">
        <v>2010132</v>
      </c>
      <c r="D133" s="251">
        <v>40288</v>
      </c>
      <c r="E133" s="251" t="s">
        <v>1060</v>
      </c>
      <c r="F133" s="252">
        <v>492.94</v>
      </c>
      <c r="H133" s="3" t="s">
        <v>1068</v>
      </c>
      <c r="I133" s="253">
        <v>33399.69</v>
      </c>
      <c r="J133"/>
      <c r="K133"/>
      <c r="L133"/>
      <c r="M133"/>
    </row>
    <row r="134" spans="1:13" ht="15" x14ac:dyDescent="0.25">
      <c r="A134" s="90" t="s">
        <v>22</v>
      </c>
      <c r="B134" s="90" t="s">
        <v>1068</v>
      </c>
      <c r="C134" s="90">
        <v>2010133</v>
      </c>
      <c r="D134" s="251">
        <v>40288</v>
      </c>
      <c r="E134" s="251" t="s">
        <v>1060</v>
      </c>
      <c r="F134" s="252">
        <v>398.9</v>
      </c>
      <c r="H134" s="254" t="s">
        <v>121</v>
      </c>
      <c r="I134" s="253">
        <v>2344.4899999999998</v>
      </c>
      <c r="J134"/>
      <c r="K134"/>
      <c r="L134"/>
      <c r="M134"/>
    </row>
    <row r="135" spans="1:13" ht="15" x14ac:dyDescent="0.25">
      <c r="A135" s="90" t="s">
        <v>20</v>
      </c>
      <c r="B135" s="90" t="s">
        <v>1058</v>
      </c>
      <c r="C135" s="90">
        <v>2010134</v>
      </c>
      <c r="D135" s="251">
        <v>40288</v>
      </c>
      <c r="E135" s="251" t="s">
        <v>1060</v>
      </c>
      <c r="F135" s="252">
        <v>577.25</v>
      </c>
      <c r="H135" s="254" t="s">
        <v>122</v>
      </c>
      <c r="I135" s="253">
        <v>2214.9300000000003</v>
      </c>
      <c r="J135"/>
      <c r="K135"/>
      <c r="L135"/>
      <c r="M135"/>
    </row>
    <row r="136" spans="1:13" ht="15" x14ac:dyDescent="0.25">
      <c r="A136" s="90" t="s">
        <v>22</v>
      </c>
      <c r="B136" s="90" t="s">
        <v>1064</v>
      </c>
      <c r="C136" s="90">
        <v>2010135</v>
      </c>
      <c r="D136" s="251">
        <v>40289</v>
      </c>
      <c r="E136" s="251" t="s">
        <v>1060</v>
      </c>
      <c r="F136" s="252">
        <v>911.55</v>
      </c>
      <c r="H136" s="254" t="s">
        <v>123</v>
      </c>
      <c r="I136" s="253">
        <v>5978.11</v>
      </c>
      <c r="J136"/>
      <c r="K136"/>
      <c r="L136"/>
      <c r="M136"/>
    </row>
    <row r="137" spans="1:13" ht="15" x14ac:dyDescent="0.25">
      <c r="A137" s="90" t="s">
        <v>22</v>
      </c>
      <c r="B137" s="90" t="s">
        <v>1062</v>
      </c>
      <c r="C137" s="90">
        <v>2010136</v>
      </c>
      <c r="D137" s="251">
        <v>40289</v>
      </c>
      <c r="E137" s="251" t="s">
        <v>1059</v>
      </c>
      <c r="F137" s="252">
        <v>340.79</v>
      </c>
      <c r="H137" s="254" t="s">
        <v>124</v>
      </c>
      <c r="I137" s="253">
        <v>2011.5899999999997</v>
      </c>
      <c r="J137"/>
      <c r="K137"/>
      <c r="L137"/>
      <c r="M137"/>
    </row>
    <row r="138" spans="1:13" ht="15" x14ac:dyDescent="0.25">
      <c r="A138" s="90" t="s">
        <v>22</v>
      </c>
      <c r="B138" s="90" t="s">
        <v>1068</v>
      </c>
      <c r="C138" s="90">
        <v>2010137</v>
      </c>
      <c r="D138" s="251">
        <v>40290</v>
      </c>
      <c r="E138" s="251" t="s">
        <v>1060</v>
      </c>
      <c r="F138" s="252">
        <v>544.61</v>
      </c>
      <c r="H138" s="254" t="s">
        <v>125</v>
      </c>
      <c r="I138" s="253">
        <v>2780.3</v>
      </c>
      <c r="J138"/>
      <c r="K138"/>
      <c r="L138"/>
      <c r="M138"/>
    </row>
    <row r="139" spans="1:13" ht="15" x14ac:dyDescent="0.25">
      <c r="A139" s="90" t="s">
        <v>20</v>
      </c>
      <c r="B139" s="90" t="s">
        <v>1061</v>
      </c>
      <c r="C139" s="90">
        <v>2010138</v>
      </c>
      <c r="D139" s="251">
        <v>40291</v>
      </c>
      <c r="E139" s="251" t="s">
        <v>1060</v>
      </c>
      <c r="F139" s="252">
        <v>1121.33</v>
      </c>
      <c r="H139" s="254" t="s">
        <v>126</v>
      </c>
      <c r="I139" s="253">
        <v>5361.5999999999995</v>
      </c>
      <c r="J139"/>
      <c r="K139"/>
      <c r="L139"/>
      <c r="M139"/>
    </row>
    <row r="140" spans="1:13" ht="15" x14ac:dyDescent="0.25">
      <c r="A140" s="90" t="s">
        <v>20</v>
      </c>
      <c r="B140" s="90" t="s">
        <v>1061</v>
      </c>
      <c r="C140" s="90">
        <v>2010139</v>
      </c>
      <c r="D140" s="251">
        <v>40291</v>
      </c>
      <c r="E140" s="251" t="s">
        <v>1060</v>
      </c>
      <c r="F140" s="252">
        <v>197.35</v>
      </c>
      <c r="H140" s="254" t="s">
        <v>1072</v>
      </c>
      <c r="I140" s="253">
        <v>2530.2199999999998</v>
      </c>
      <c r="J140"/>
      <c r="K140"/>
      <c r="L140"/>
      <c r="M140"/>
    </row>
    <row r="141" spans="1:13" ht="15" x14ac:dyDescent="0.25">
      <c r="A141" s="90" t="s">
        <v>22</v>
      </c>
      <c r="B141" s="90" t="s">
        <v>1062</v>
      </c>
      <c r="C141" s="90">
        <v>2010140</v>
      </c>
      <c r="D141" s="251">
        <v>40294</v>
      </c>
      <c r="E141" s="251" t="s">
        <v>1059</v>
      </c>
      <c r="F141" s="252">
        <v>388.87</v>
      </c>
      <c r="H141" s="254" t="s">
        <v>1073</v>
      </c>
      <c r="I141" s="253">
        <v>2725.66</v>
      </c>
      <c r="J141"/>
      <c r="K141"/>
      <c r="L141"/>
      <c r="M141"/>
    </row>
    <row r="142" spans="1:13" ht="15" x14ac:dyDescent="0.25">
      <c r="A142" s="90" t="s">
        <v>22</v>
      </c>
      <c r="B142" s="90" t="s">
        <v>1067</v>
      </c>
      <c r="C142" s="90">
        <v>2010141</v>
      </c>
      <c r="D142" s="251">
        <v>40296</v>
      </c>
      <c r="E142" s="251" t="s">
        <v>1060</v>
      </c>
      <c r="F142" s="252">
        <v>114.18</v>
      </c>
      <c r="H142" s="254" t="s">
        <v>1074</v>
      </c>
      <c r="I142" s="253">
        <v>2844.8300000000004</v>
      </c>
      <c r="J142"/>
      <c r="K142"/>
      <c r="L142"/>
      <c r="M142"/>
    </row>
    <row r="143" spans="1:13" ht="15" x14ac:dyDescent="0.25">
      <c r="A143" s="90" t="s">
        <v>20</v>
      </c>
      <c r="B143" s="90" t="s">
        <v>1061</v>
      </c>
      <c r="C143" s="90">
        <v>2010142</v>
      </c>
      <c r="D143" s="251">
        <v>40296</v>
      </c>
      <c r="E143" s="251" t="s">
        <v>1060</v>
      </c>
      <c r="F143" s="252">
        <v>75.87</v>
      </c>
      <c r="H143" s="254" t="s">
        <v>1075</v>
      </c>
      <c r="I143" s="253">
        <v>3848.1400000000003</v>
      </c>
      <c r="J143"/>
      <c r="K143"/>
      <c r="L143"/>
      <c r="M143"/>
    </row>
    <row r="144" spans="1:13" ht="15" x14ac:dyDescent="0.25">
      <c r="A144" s="90" t="s">
        <v>22</v>
      </c>
      <c r="B144" s="90" t="s">
        <v>1068</v>
      </c>
      <c r="C144" s="90">
        <v>2010143</v>
      </c>
      <c r="D144" s="251">
        <v>40296</v>
      </c>
      <c r="E144" s="251" t="s">
        <v>1060</v>
      </c>
      <c r="F144" s="252">
        <v>120</v>
      </c>
      <c r="H144" s="254" t="s">
        <v>1077</v>
      </c>
      <c r="I144" s="253">
        <v>759.81999999999994</v>
      </c>
      <c r="J144"/>
      <c r="K144"/>
      <c r="L144"/>
      <c r="M144"/>
    </row>
    <row r="145" spans="1:13" ht="15" x14ac:dyDescent="0.25">
      <c r="A145" s="90" t="s">
        <v>22</v>
      </c>
      <c r="B145" s="90" t="s">
        <v>1064</v>
      </c>
      <c r="C145" s="90">
        <v>2010144</v>
      </c>
      <c r="D145" s="251">
        <v>40297</v>
      </c>
      <c r="E145" s="251" t="s">
        <v>1059</v>
      </c>
      <c r="F145" s="252">
        <v>1010.93</v>
      </c>
      <c r="H145" s="3" t="s">
        <v>8</v>
      </c>
      <c r="I145" s="253">
        <v>601580.59999999963</v>
      </c>
      <c r="J145"/>
      <c r="K145"/>
      <c r="L145"/>
      <c r="M145"/>
    </row>
    <row r="146" spans="1:13" ht="15" x14ac:dyDescent="0.25">
      <c r="A146" s="90" t="s">
        <v>20</v>
      </c>
      <c r="B146" s="90" t="s">
        <v>1061</v>
      </c>
      <c r="C146" s="90">
        <v>2010145</v>
      </c>
      <c r="D146" s="251">
        <v>40297</v>
      </c>
      <c r="E146" s="251" t="s">
        <v>1059</v>
      </c>
      <c r="F146" s="252">
        <v>601.14</v>
      </c>
      <c r="H146"/>
      <c r="I146"/>
      <c r="J146"/>
      <c r="K146"/>
      <c r="L146"/>
      <c r="M146"/>
    </row>
    <row r="147" spans="1:13" ht="15" x14ac:dyDescent="0.25">
      <c r="A147" s="90" t="s">
        <v>20</v>
      </c>
      <c r="B147" s="90" t="s">
        <v>1065</v>
      </c>
      <c r="C147" s="90">
        <v>2010146</v>
      </c>
      <c r="D147" s="251">
        <v>40298</v>
      </c>
      <c r="E147" s="251" t="s">
        <v>1059</v>
      </c>
      <c r="F147" s="252">
        <v>67.930000000000007</v>
      </c>
      <c r="H147"/>
      <c r="I147"/>
      <c r="J147"/>
      <c r="K147"/>
    </row>
    <row r="148" spans="1:13" ht="15" x14ac:dyDescent="0.25">
      <c r="A148" s="90" t="s">
        <v>20</v>
      </c>
      <c r="B148" s="90" t="s">
        <v>1065</v>
      </c>
      <c r="C148" s="90">
        <v>2010147</v>
      </c>
      <c r="D148" s="251">
        <v>40298</v>
      </c>
      <c r="E148" s="251" t="s">
        <v>1059</v>
      </c>
      <c r="F148" s="252">
        <v>588.70000000000005</v>
      </c>
      <c r="H148"/>
      <c r="I148"/>
      <c r="J148"/>
      <c r="K148"/>
    </row>
    <row r="149" spans="1:13" ht="15" x14ac:dyDescent="0.25">
      <c r="A149" s="90" t="s">
        <v>22</v>
      </c>
      <c r="B149" s="90" t="s">
        <v>1068</v>
      </c>
      <c r="C149" s="90">
        <v>2010148</v>
      </c>
      <c r="D149" s="251">
        <v>40299</v>
      </c>
      <c r="E149" s="251" t="s">
        <v>1059</v>
      </c>
      <c r="F149" s="252">
        <v>615.34</v>
      </c>
      <c r="H149"/>
      <c r="I149"/>
      <c r="J149"/>
      <c r="K149"/>
    </row>
    <row r="150" spans="1:13" ht="15" x14ac:dyDescent="0.25">
      <c r="A150" s="90" t="s">
        <v>20</v>
      </c>
      <c r="B150" s="90" t="s">
        <v>1061</v>
      </c>
      <c r="C150" s="90">
        <v>2010149</v>
      </c>
      <c r="D150" s="251">
        <v>40300</v>
      </c>
      <c r="E150" s="251" t="s">
        <v>1060</v>
      </c>
      <c r="F150" s="252">
        <v>1052.3900000000001</v>
      </c>
      <c r="H150"/>
      <c r="I150"/>
      <c r="J150"/>
      <c r="K150"/>
    </row>
    <row r="151" spans="1:13" ht="15" x14ac:dyDescent="0.25">
      <c r="A151" s="90" t="s">
        <v>22</v>
      </c>
      <c r="B151" s="90" t="s">
        <v>1062</v>
      </c>
      <c r="C151" s="90">
        <v>2010150</v>
      </c>
      <c r="D151" s="251">
        <v>40301</v>
      </c>
      <c r="E151" s="251" t="s">
        <v>1059</v>
      </c>
      <c r="F151" s="252">
        <v>1068.23</v>
      </c>
      <c r="H151"/>
      <c r="I151"/>
      <c r="J151"/>
      <c r="K151"/>
    </row>
    <row r="152" spans="1:13" ht="15" x14ac:dyDescent="0.25">
      <c r="A152" s="90" t="s">
        <v>20</v>
      </c>
      <c r="B152" s="90" t="s">
        <v>1061</v>
      </c>
      <c r="C152" s="90">
        <v>2010151</v>
      </c>
      <c r="D152" s="251">
        <v>40302</v>
      </c>
      <c r="E152" s="251" t="s">
        <v>1059</v>
      </c>
      <c r="F152" s="252">
        <v>1185.03</v>
      </c>
      <c r="H152"/>
      <c r="I152"/>
      <c r="J152"/>
      <c r="K152"/>
    </row>
    <row r="153" spans="1:13" ht="15" x14ac:dyDescent="0.25">
      <c r="A153" s="90" t="s">
        <v>22</v>
      </c>
      <c r="B153" s="90" t="s">
        <v>1064</v>
      </c>
      <c r="C153" s="90">
        <v>2010152</v>
      </c>
      <c r="D153" s="251">
        <v>40302</v>
      </c>
      <c r="E153" s="251" t="s">
        <v>1060</v>
      </c>
      <c r="F153" s="252">
        <v>37.81</v>
      </c>
      <c r="H153"/>
      <c r="I153"/>
      <c r="J153"/>
      <c r="K153"/>
    </row>
    <row r="154" spans="1:13" ht="15" x14ac:dyDescent="0.25">
      <c r="A154" s="90" t="s">
        <v>20</v>
      </c>
      <c r="B154" s="90" t="s">
        <v>1061</v>
      </c>
      <c r="C154" s="90">
        <v>2010153</v>
      </c>
      <c r="D154" s="251">
        <v>40302</v>
      </c>
      <c r="E154" s="251" t="s">
        <v>1059</v>
      </c>
      <c r="F154" s="252">
        <v>1003.39</v>
      </c>
      <c r="H154"/>
      <c r="I154"/>
      <c r="J154"/>
      <c r="K154"/>
    </row>
    <row r="155" spans="1:13" ht="15" x14ac:dyDescent="0.25">
      <c r="A155" s="90" t="s">
        <v>20</v>
      </c>
      <c r="B155" s="90" t="s">
        <v>1066</v>
      </c>
      <c r="C155" s="90">
        <v>2010154</v>
      </c>
      <c r="D155" s="251">
        <v>40307</v>
      </c>
      <c r="E155" s="251" t="s">
        <v>1059</v>
      </c>
      <c r="F155" s="252">
        <v>954.03</v>
      </c>
      <c r="H155"/>
      <c r="I155"/>
      <c r="J155"/>
      <c r="K155"/>
    </row>
    <row r="156" spans="1:13" ht="15" x14ac:dyDescent="0.25">
      <c r="A156" s="90" t="s">
        <v>20</v>
      </c>
      <c r="B156" s="90" t="s">
        <v>1061</v>
      </c>
      <c r="C156" s="90">
        <v>2010155</v>
      </c>
      <c r="D156" s="251">
        <v>40307</v>
      </c>
      <c r="E156" s="251" t="s">
        <v>1060</v>
      </c>
      <c r="F156" s="252">
        <v>494.77</v>
      </c>
      <c r="H156"/>
      <c r="I156"/>
      <c r="J156"/>
      <c r="K156"/>
    </row>
    <row r="157" spans="1:13" ht="15" x14ac:dyDescent="0.25">
      <c r="A157" s="90" t="s">
        <v>20</v>
      </c>
      <c r="B157" s="90" t="s">
        <v>1066</v>
      </c>
      <c r="C157" s="90">
        <v>2010156</v>
      </c>
      <c r="D157" s="251">
        <v>40307</v>
      </c>
      <c r="E157" s="251" t="s">
        <v>1060</v>
      </c>
      <c r="F157" s="252">
        <v>445.41</v>
      </c>
      <c r="H157"/>
      <c r="I157"/>
      <c r="J157"/>
      <c r="K157"/>
    </row>
    <row r="158" spans="1:13" ht="15" x14ac:dyDescent="0.25">
      <c r="A158" s="90" t="s">
        <v>20</v>
      </c>
      <c r="B158" s="90" t="s">
        <v>1058</v>
      </c>
      <c r="C158" s="90">
        <v>2010157</v>
      </c>
      <c r="D158" s="251">
        <v>40308</v>
      </c>
      <c r="E158" s="251" t="s">
        <v>1060</v>
      </c>
      <c r="F158" s="252">
        <v>569.96</v>
      </c>
      <c r="H158"/>
      <c r="I158"/>
      <c r="J158"/>
      <c r="K158"/>
    </row>
    <row r="159" spans="1:13" ht="15" x14ac:dyDescent="0.25">
      <c r="A159" s="90" t="s">
        <v>20</v>
      </c>
      <c r="B159" s="90" t="s">
        <v>1061</v>
      </c>
      <c r="C159" s="90">
        <v>2010158</v>
      </c>
      <c r="D159" s="251">
        <v>40308</v>
      </c>
      <c r="E159" s="251" t="s">
        <v>1059</v>
      </c>
      <c r="F159" s="252">
        <v>439.22</v>
      </c>
      <c r="H159"/>
      <c r="I159"/>
      <c r="J159"/>
      <c r="K159"/>
    </row>
    <row r="160" spans="1:13" ht="15" x14ac:dyDescent="0.25">
      <c r="A160" s="90" t="s">
        <v>20</v>
      </c>
      <c r="B160" s="90" t="s">
        <v>1061</v>
      </c>
      <c r="C160" s="90">
        <v>2010159</v>
      </c>
      <c r="D160" s="251">
        <v>40308</v>
      </c>
      <c r="E160" s="251" t="s">
        <v>1059</v>
      </c>
      <c r="F160" s="252">
        <v>1028.75</v>
      </c>
      <c r="H160"/>
      <c r="I160"/>
      <c r="J160"/>
      <c r="K160"/>
    </row>
    <row r="161" spans="1:11" ht="15" x14ac:dyDescent="0.25">
      <c r="A161" s="90" t="s">
        <v>20</v>
      </c>
      <c r="B161" s="90" t="s">
        <v>1061</v>
      </c>
      <c r="C161" s="90">
        <v>2010160</v>
      </c>
      <c r="D161" s="251">
        <v>40309</v>
      </c>
      <c r="E161" s="251" t="s">
        <v>1060</v>
      </c>
      <c r="F161" s="252">
        <v>1150.3499999999999</v>
      </c>
      <c r="H161"/>
      <c r="I161"/>
      <c r="J161"/>
      <c r="K161"/>
    </row>
    <row r="162" spans="1:11" ht="15" x14ac:dyDescent="0.25">
      <c r="A162" s="90" t="s">
        <v>20</v>
      </c>
      <c r="B162" s="90" t="s">
        <v>1058</v>
      </c>
      <c r="C162" s="90">
        <v>2010161</v>
      </c>
      <c r="D162" s="251">
        <v>40309</v>
      </c>
      <c r="E162" s="251" t="s">
        <v>1059</v>
      </c>
      <c r="F162" s="252">
        <v>598.91</v>
      </c>
      <c r="H162"/>
      <c r="I162"/>
      <c r="J162"/>
      <c r="K162"/>
    </row>
    <row r="163" spans="1:11" ht="15" x14ac:dyDescent="0.25">
      <c r="A163" s="90" t="s">
        <v>20</v>
      </c>
      <c r="B163" s="90" t="s">
        <v>1066</v>
      </c>
      <c r="C163" s="90">
        <v>2010162</v>
      </c>
      <c r="D163" s="251">
        <v>40309</v>
      </c>
      <c r="E163" s="251" t="s">
        <v>1059</v>
      </c>
      <c r="F163" s="252">
        <v>637.07000000000005</v>
      </c>
      <c r="H163"/>
      <c r="I163"/>
      <c r="J163"/>
      <c r="K163"/>
    </row>
    <row r="164" spans="1:11" ht="15" x14ac:dyDescent="0.25">
      <c r="A164" s="90" t="s">
        <v>22</v>
      </c>
      <c r="B164" s="90" t="s">
        <v>1062</v>
      </c>
      <c r="C164" s="90">
        <v>2010163</v>
      </c>
      <c r="D164" s="251">
        <v>40310</v>
      </c>
      <c r="E164" s="251" t="s">
        <v>1059</v>
      </c>
      <c r="F164" s="252">
        <v>461.47</v>
      </c>
      <c r="H164"/>
      <c r="I164"/>
      <c r="J164"/>
      <c r="K164"/>
    </row>
    <row r="165" spans="1:11" ht="15" x14ac:dyDescent="0.25">
      <c r="A165" s="90" t="s">
        <v>20</v>
      </c>
      <c r="B165" s="90" t="s">
        <v>1066</v>
      </c>
      <c r="C165" s="90">
        <v>2010164</v>
      </c>
      <c r="D165" s="251">
        <v>40313</v>
      </c>
      <c r="E165" s="251" t="s">
        <v>1059</v>
      </c>
      <c r="F165" s="252">
        <v>234.24</v>
      </c>
      <c r="H165"/>
      <c r="I165"/>
      <c r="J165"/>
      <c r="K165"/>
    </row>
    <row r="166" spans="1:11" ht="15" x14ac:dyDescent="0.25">
      <c r="A166" s="90" t="s">
        <v>20</v>
      </c>
      <c r="B166" s="90" t="s">
        <v>1063</v>
      </c>
      <c r="C166" s="90">
        <v>2010165</v>
      </c>
      <c r="D166" s="251">
        <v>40314</v>
      </c>
      <c r="E166" s="251" t="s">
        <v>1060</v>
      </c>
      <c r="F166" s="252">
        <v>463.37</v>
      </c>
      <c r="H166"/>
      <c r="I166"/>
      <c r="J166"/>
      <c r="K166"/>
    </row>
    <row r="167" spans="1:11" ht="15" x14ac:dyDescent="0.25">
      <c r="A167" s="90" t="s">
        <v>20</v>
      </c>
      <c r="B167" s="90" t="s">
        <v>1065</v>
      </c>
      <c r="C167" s="90">
        <v>2010166</v>
      </c>
      <c r="D167" s="251">
        <v>40314</v>
      </c>
      <c r="E167" s="251" t="s">
        <v>1059</v>
      </c>
      <c r="F167" s="252">
        <v>896.55</v>
      </c>
      <c r="H167"/>
      <c r="I167"/>
      <c r="J167"/>
      <c r="K167"/>
    </row>
    <row r="168" spans="1:11" ht="15" x14ac:dyDescent="0.25">
      <c r="A168" s="90" t="s">
        <v>22</v>
      </c>
      <c r="B168" s="90" t="s">
        <v>1062</v>
      </c>
      <c r="C168" s="90">
        <v>2010167</v>
      </c>
      <c r="D168" s="251">
        <v>40315</v>
      </c>
      <c r="E168" s="251" t="s">
        <v>1059</v>
      </c>
      <c r="F168" s="252">
        <v>1097.6500000000001</v>
      </c>
      <c r="H168"/>
      <c r="I168"/>
      <c r="J168"/>
      <c r="K168"/>
    </row>
    <row r="169" spans="1:11" ht="15" x14ac:dyDescent="0.25">
      <c r="A169" s="90" t="s">
        <v>20</v>
      </c>
      <c r="B169" s="90" t="s">
        <v>1066</v>
      </c>
      <c r="C169" s="90">
        <v>2010168</v>
      </c>
      <c r="D169" s="251">
        <v>40316</v>
      </c>
      <c r="E169" s="251" t="s">
        <v>1060</v>
      </c>
      <c r="F169" s="252">
        <v>230.87</v>
      </c>
      <c r="H169"/>
      <c r="I169"/>
      <c r="J169"/>
      <c r="K169"/>
    </row>
    <row r="170" spans="1:11" ht="15" x14ac:dyDescent="0.25">
      <c r="A170" s="90" t="s">
        <v>20</v>
      </c>
      <c r="B170" s="90" t="s">
        <v>1066</v>
      </c>
      <c r="C170" s="90">
        <v>2010169</v>
      </c>
      <c r="D170" s="251">
        <v>40316</v>
      </c>
      <c r="E170" s="251" t="s">
        <v>1060</v>
      </c>
      <c r="F170" s="252">
        <v>92.52</v>
      </c>
      <c r="H170"/>
      <c r="I170"/>
      <c r="J170"/>
      <c r="K170"/>
    </row>
    <row r="171" spans="1:11" ht="15" x14ac:dyDescent="0.25">
      <c r="A171" s="90" t="s">
        <v>20</v>
      </c>
      <c r="B171" s="90" t="s">
        <v>1061</v>
      </c>
      <c r="C171" s="90">
        <v>2010170</v>
      </c>
      <c r="D171" s="251">
        <v>40317</v>
      </c>
      <c r="E171" s="251" t="s">
        <v>1059</v>
      </c>
      <c r="F171" s="252">
        <v>668.18</v>
      </c>
      <c r="H171"/>
      <c r="I171"/>
      <c r="J171"/>
      <c r="K171"/>
    </row>
    <row r="172" spans="1:11" ht="15" x14ac:dyDescent="0.25">
      <c r="A172" s="90" t="s">
        <v>20</v>
      </c>
      <c r="B172" s="90" t="s">
        <v>1061</v>
      </c>
      <c r="C172" s="90">
        <v>2010171</v>
      </c>
      <c r="D172" s="251">
        <v>40317</v>
      </c>
      <c r="E172" s="251" t="s">
        <v>1060</v>
      </c>
      <c r="F172" s="252">
        <v>288.72000000000003</v>
      </c>
      <c r="H172"/>
      <c r="I172"/>
      <c r="J172"/>
      <c r="K172"/>
    </row>
    <row r="173" spans="1:11" ht="15" x14ac:dyDescent="0.25">
      <c r="A173" s="90" t="s">
        <v>20</v>
      </c>
      <c r="B173" s="90" t="s">
        <v>1066</v>
      </c>
      <c r="C173" s="90">
        <v>2010172</v>
      </c>
      <c r="D173" s="251">
        <v>40320</v>
      </c>
      <c r="E173" s="251" t="s">
        <v>1059</v>
      </c>
      <c r="F173" s="252">
        <v>642.01</v>
      </c>
      <c r="H173"/>
      <c r="I173"/>
      <c r="J173"/>
      <c r="K173"/>
    </row>
    <row r="174" spans="1:11" ht="15" x14ac:dyDescent="0.25">
      <c r="A174" s="90" t="s">
        <v>20</v>
      </c>
      <c r="B174" s="90" t="s">
        <v>1058</v>
      </c>
      <c r="C174" s="90">
        <v>2010173</v>
      </c>
      <c r="D174" s="251">
        <v>40320</v>
      </c>
      <c r="E174" s="251" t="s">
        <v>1060</v>
      </c>
      <c r="F174" s="252">
        <v>782.93</v>
      </c>
      <c r="H174"/>
      <c r="I174"/>
      <c r="J174"/>
      <c r="K174"/>
    </row>
    <row r="175" spans="1:11" ht="15" x14ac:dyDescent="0.25">
      <c r="A175" s="90" t="s">
        <v>20</v>
      </c>
      <c r="B175" s="90" t="s">
        <v>1065</v>
      </c>
      <c r="C175" s="90">
        <v>2010174</v>
      </c>
      <c r="D175" s="251">
        <v>40321</v>
      </c>
      <c r="E175" s="251" t="s">
        <v>1059</v>
      </c>
      <c r="F175" s="252">
        <v>513.61</v>
      </c>
      <c r="H175"/>
      <c r="I175"/>
      <c r="J175"/>
      <c r="K175"/>
    </row>
    <row r="176" spans="1:11" ht="15" x14ac:dyDescent="0.25">
      <c r="A176" s="90" t="s">
        <v>20</v>
      </c>
      <c r="B176" s="90" t="s">
        <v>1066</v>
      </c>
      <c r="C176" s="90">
        <v>2010175</v>
      </c>
      <c r="D176" s="251">
        <v>40322</v>
      </c>
      <c r="E176" s="251" t="s">
        <v>1060</v>
      </c>
      <c r="F176" s="252">
        <v>751.94</v>
      </c>
      <c r="H176"/>
      <c r="I176"/>
      <c r="J176"/>
      <c r="K176"/>
    </row>
    <row r="177" spans="1:11" ht="15" x14ac:dyDescent="0.25">
      <c r="A177" s="90" t="s">
        <v>20</v>
      </c>
      <c r="B177" s="90" t="s">
        <v>1063</v>
      </c>
      <c r="C177" s="90">
        <v>2010176</v>
      </c>
      <c r="D177" s="251">
        <v>40322</v>
      </c>
      <c r="E177" s="251" t="s">
        <v>1059</v>
      </c>
      <c r="F177" s="252">
        <v>1190.3800000000001</v>
      </c>
      <c r="H177"/>
      <c r="I177"/>
      <c r="J177"/>
      <c r="K177"/>
    </row>
    <row r="178" spans="1:11" ht="15" x14ac:dyDescent="0.25">
      <c r="A178" s="90" t="s">
        <v>20</v>
      </c>
      <c r="B178" s="90" t="s">
        <v>1058</v>
      </c>
      <c r="C178" s="90">
        <v>2010177</v>
      </c>
      <c r="D178" s="251">
        <v>40323</v>
      </c>
      <c r="E178" s="251" t="s">
        <v>1060</v>
      </c>
      <c r="F178" s="252">
        <v>776.56</v>
      </c>
      <c r="H178"/>
      <c r="I178"/>
      <c r="J178"/>
      <c r="K178"/>
    </row>
    <row r="179" spans="1:11" ht="15" x14ac:dyDescent="0.25">
      <c r="A179" s="90" t="s">
        <v>20</v>
      </c>
      <c r="B179" s="90" t="s">
        <v>1061</v>
      </c>
      <c r="C179" s="90">
        <v>2010178</v>
      </c>
      <c r="D179" s="251">
        <v>40324</v>
      </c>
      <c r="E179" s="251" t="s">
        <v>1059</v>
      </c>
      <c r="F179" s="252">
        <v>341.34</v>
      </c>
      <c r="H179"/>
      <c r="I179"/>
      <c r="J179"/>
      <c r="K179"/>
    </row>
    <row r="180" spans="1:11" ht="15" x14ac:dyDescent="0.25">
      <c r="A180" s="90" t="s">
        <v>20</v>
      </c>
      <c r="B180" s="90" t="s">
        <v>1061</v>
      </c>
      <c r="C180" s="90">
        <v>2010179</v>
      </c>
      <c r="D180" s="251">
        <v>40327</v>
      </c>
      <c r="E180" s="251" t="s">
        <v>1060</v>
      </c>
      <c r="F180" s="252">
        <v>515.63</v>
      </c>
      <c r="H180"/>
      <c r="I180"/>
      <c r="J180"/>
      <c r="K180"/>
    </row>
    <row r="181" spans="1:11" ht="15" x14ac:dyDescent="0.25">
      <c r="A181" s="90" t="s">
        <v>22</v>
      </c>
      <c r="B181" s="90" t="s">
        <v>1064</v>
      </c>
      <c r="C181" s="90">
        <v>2010180</v>
      </c>
      <c r="D181" s="251">
        <v>40327</v>
      </c>
      <c r="E181" s="251" t="s">
        <v>1060</v>
      </c>
      <c r="F181" s="252">
        <v>99.07</v>
      </c>
      <c r="H181"/>
      <c r="I181"/>
      <c r="J181"/>
      <c r="K181"/>
    </row>
    <row r="182" spans="1:11" ht="15" x14ac:dyDescent="0.25">
      <c r="A182" s="90" t="s">
        <v>20</v>
      </c>
      <c r="B182" s="90" t="s">
        <v>1058</v>
      </c>
      <c r="C182" s="90">
        <v>2010181</v>
      </c>
      <c r="D182" s="251">
        <v>40327</v>
      </c>
      <c r="E182" s="251" t="s">
        <v>1060</v>
      </c>
      <c r="F182" s="252">
        <v>1033.8699999999999</v>
      </c>
      <c r="H182"/>
      <c r="I182"/>
      <c r="J182"/>
      <c r="K182"/>
    </row>
    <row r="183" spans="1:11" ht="15" x14ac:dyDescent="0.25">
      <c r="A183" s="90" t="s">
        <v>20</v>
      </c>
      <c r="B183" s="90" t="s">
        <v>1061</v>
      </c>
      <c r="C183" s="90">
        <v>2010182</v>
      </c>
      <c r="D183" s="251">
        <v>40327</v>
      </c>
      <c r="E183" s="251" t="s">
        <v>1060</v>
      </c>
      <c r="F183" s="252">
        <v>216.38</v>
      </c>
      <c r="H183"/>
      <c r="I183"/>
      <c r="J183"/>
      <c r="K183"/>
    </row>
    <row r="184" spans="1:11" ht="15" x14ac:dyDescent="0.25">
      <c r="A184" s="90" t="s">
        <v>20</v>
      </c>
      <c r="B184" s="90" t="s">
        <v>1066</v>
      </c>
      <c r="C184" s="90">
        <v>2010183</v>
      </c>
      <c r="D184" s="251">
        <v>40327</v>
      </c>
      <c r="E184" s="251" t="s">
        <v>1059</v>
      </c>
      <c r="F184" s="252">
        <v>705.5</v>
      </c>
      <c r="H184"/>
      <c r="I184"/>
      <c r="J184"/>
      <c r="K184"/>
    </row>
    <row r="185" spans="1:11" ht="15" x14ac:dyDescent="0.25">
      <c r="A185" s="90" t="s">
        <v>20</v>
      </c>
      <c r="B185" s="90" t="s">
        <v>1061</v>
      </c>
      <c r="C185" s="90">
        <v>2010184</v>
      </c>
      <c r="D185" s="251">
        <v>40330</v>
      </c>
      <c r="E185" s="251" t="s">
        <v>1059</v>
      </c>
      <c r="F185" s="252">
        <v>720.61</v>
      </c>
      <c r="H185"/>
      <c r="I185"/>
      <c r="J185"/>
      <c r="K185"/>
    </row>
    <row r="186" spans="1:11" ht="15" x14ac:dyDescent="0.25">
      <c r="A186" s="90" t="s">
        <v>22</v>
      </c>
      <c r="B186" s="90" t="s">
        <v>1062</v>
      </c>
      <c r="C186" s="90">
        <v>2010185</v>
      </c>
      <c r="D186" s="251">
        <v>40331</v>
      </c>
      <c r="E186" s="251" t="s">
        <v>1059</v>
      </c>
      <c r="F186" s="252">
        <v>1161.58</v>
      </c>
      <c r="H186"/>
      <c r="I186"/>
      <c r="J186"/>
      <c r="K186"/>
    </row>
    <row r="187" spans="1:11" ht="15" x14ac:dyDescent="0.25">
      <c r="A187" s="90" t="s">
        <v>20</v>
      </c>
      <c r="B187" s="90" t="s">
        <v>1058</v>
      </c>
      <c r="C187" s="90">
        <v>2010186</v>
      </c>
      <c r="D187" s="251">
        <v>40332</v>
      </c>
      <c r="E187" s="251" t="s">
        <v>1059</v>
      </c>
      <c r="F187" s="252">
        <v>338.56</v>
      </c>
      <c r="H187"/>
      <c r="I187"/>
      <c r="J187"/>
      <c r="K187"/>
    </row>
    <row r="188" spans="1:11" ht="15" x14ac:dyDescent="0.25">
      <c r="A188" s="90" t="s">
        <v>20</v>
      </c>
      <c r="B188" s="90" t="s">
        <v>1058</v>
      </c>
      <c r="C188" s="90">
        <v>2010187</v>
      </c>
      <c r="D188" s="251">
        <v>40332</v>
      </c>
      <c r="E188" s="251" t="s">
        <v>1060</v>
      </c>
      <c r="F188" s="252">
        <v>225.27</v>
      </c>
      <c r="H188"/>
      <c r="I188"/>
      <c r="J188"/>
      <c r="K188"/>
    </row>
    <row r="189" spans="1:11" ht="15" x14ac:dyDescent="0.25">
      <c r="A189" s="90" t="s">
        <v>20</v>
      </c>
      <c r="B189" s="90" t="s">
        <v>1061</v>
      </c>
      <c r="C189" s="90">
        <v>2010188</v>
      </c>
      <c r="D189" s="251">
        <v>40336</v>
      </c>
      <c r="E189" s="251" t="s">
        <v>1060</v>
      </c>
      <c r="F189" s="252">
        <v>241.15</v>
      </c>
      <c r="H189"/>
      <c r="I189"/>
      <c r="J189"/>
      <c r="K189"/>
    </row>
    <row r="190" spans="1:11" ht="15" x14ac:dyDescent="0.25">
      <c r="A190" s="90" t="s">
        <v>22</v>
      </c>
      <c r="B190" s="90" t="s">
        <v>1068</v>
      </c>
      <c r="C190" s="90">
        <v>2010189</v>
      </c>
      <c r="D190" s="251">
        <v>40336</v>
      </c>
      <c r="E190" s="251" t="s">
        <v>1060</v>
      </c>
      <c r="F190" s="252">
        <v>978.22</v>
      </c>
      <c r="H190"/>
      <c r="I190"/>
      <c r="J190"/>
      <c r="K190"/>
    </row>
    <row r="191" spans="1:11" ht="15" x14ac:dyDescent="0.25">
      <c r="A191" s="90" t="s">
        <v>22</v>
      </c>
      <c r="B191" s="90" t="s">
        <v>1062</v>
      </c>
      <c r="C191" s="90">
        <v>2010190</v>
      </c>
      <c r="D191" s="251">
        <v>40339</v>
      </c>
      <c r="E191" s="251" t="s">
        <v>1059</v>
      </c>
      <c r="F191" s="252">
        <v>931.97</v>
      </c>
      <c r="H191"/>
      <c r="I191"/>
      <c r="J191"/>
      <c r="K191"/>
    </row>
    <row r="192" spans="1:11" ht="15" x14ac:dyDescent="0.25">
      <c r="A192" s="90" t="s">
        <v>20</v>
      </c>
      <c r="B192" s="90" t="s">
        <v>1066</v>
      </c>
      <c r="C192" s="90">
        <v>2010191</v>
      </c>
      <c r="D192" s="251">
        <v>40339</v>
      </c>
      <c r="E192" s="251" t="s">
        <v>1059</v>
      </c>
      <c r="F192" s="252">
        <v>898.52</v>
      </c>
      <c r="H192"/>
      <c r="I192"/>
      <c r="J192"/>
      <c r="K192"/>
    </row>
    <row r="193" spans="1:11" ht="15" x14ac:dyDescent="0.25">
      <c r="A193" s="90" t="s">
        <v>22</v>
      </c>
      <c r="B193" s="90" t="s">
        <v>1064</v>
      </c>
      <c r="C193" s="90">
        <v>2010192</v>
      </c>
      <c r="D193" s="251">
        <v>40340</v>
      </c>
      <c r="E193" s="251" t="s">
        <v>1060</v>
      </c>
      <c r="F193" s="252">
        <v>1037.0899999999999</v>
      </c>
      <c r="H193"/>
      <c r="I193"/>
      <c r="J193"/>
      <c r="K193"/>
    </row>
    <row r="194" spans="1:11" ht="15" x14ac:dyDescent="0.25">
      <c r="A194" s="90" t="s">
        <v>20</v>
      </c>
      <c r="B194" s="90" t="s">
        <v>1061</v>
      </c>
      <c r="C194" s="90">
        <v>2010193</v>
      </c>
      <c r="D194" s="251">
        <v>40340</v>
      </c>
      <c r="E194" s="251" t="s">
        <v>1060</v>
      </c>
      <c r="F194" s="252">
        <v>292.56</v>
      </c>
      <c r="H194"/>
      <c r="I194"/>
      <c r="J194"/>
      <c r="K194"/>
    </row>
    <row r="195" spans="1:11" ht="15" x14ac:dyDescent="0.25">
      <c r="A195" s="90" t="s">
        <v>22</v>
      </c>
      <c r="B195" s="90" t="s">
        <v>1062</v>
      </c>
      <c r="C195" s="90">
        <v>2010194</v>
      </c>
      <c r="D195" s="251">
        <v>40343</v>
      </c>
      <c r="E195" s="251" t="s">
        <v>1060</v>
      </c>
      <c r="F195" s="252">
        <v>762.62</v>
      </c>
      <c r="H195"/>
      <c r="I195"/>
      <c r="J195"/>
      <c r="K195"/>
    </row>
    <row r="196" spans="1:11" ht="15" x14ac:dyDescent="0.25">
      <c r="A196" s="90" t="s">
        <v>20</v>
      </c>
      <c r="B196" s="90" t="s">
        <v>1058</v>
      </c>
      <c r="C196" s="90">
        <v>2010195</v>
      </c>
      <c r="D196" s="251">
        <v>40343</v>
      </c>
      <c r="E196" s="251" t="s">
        <v>1060</v>
      </c>
      <c r="F196" s="252">
        <v>773.05</v>
      </c>
      <c r="H196"/>
      <c r="I196"/>
      <c r="J196"/>
      <c r="K196"/>
    </row>
    <row r="197" spans="1:11" ht="15" x14ac:dyDescent="0.25">
      <c r="A197" s="90" t="s">
        <v>20</v>
      </c>
      <c r="B197" s="90" t="s">
        <v>1058</v>
      </c>
      <c r="C197" s="90">
        <v>2010196</v>
      </c>
      <c r="D197" s="251">
        <v>40345</v>
      </c>
      <c r="E197" s="251" t="s">
        <v>1060</v>
      </c>
      <c r="F197" s="252">
        <v>195.05</v>
      </c>
      <c r="H197"/>
      <c r="I197"/>
      <c r="J197"/>
      <c r="K197"/>
    </row>
    <row r="198" spans="1:11" ht="15" x14ac:dyDescent="0.25">
      <c r="A198" s="90" t="s">
        <v>20</v>
      </c>
      <c r="B198" s="90" t="s">
        <v>1065</v>
      </c>
      <c r="C198" s="90">
        <v>2010197</v>
      </c>
      <c r="D198" s="251">
        <v>40345</v>
      </c>
      <c r="E198" s="251" t="s">
        <v>1059</v>
      </c>
      <c r="F198" s="252">
        <v>568.42999999999995</v>
      </c>
      <c r="H198"/>
      <c r="I198"/>
      <c r="J198"/>
      <c r="K198"/>
    </row>
    <row r="199" spans="1:11" ht="15" x14ac:dyDescent="0.25">
      <c r="A199" s="90" t="s">
        <v>20</v>
      </c>
      <c r="B199" s="90" t="s">
        <v>1065</v>
      </c>
      <c r="C199" s="90">
        <v>2010198</v>
      </c>
      <c r="D199" s="251">
        <v>40345</v>
      </c>
      <c r="E199" s="251" t="s">
        <v>1059</v>
      </c>
      <c r="F199" s="252">
        <v>1003.06</v>
      </c>
      <c r="H199"/>
      <c r="I199"/>
      <c r="J199"/>
      <c r="K199"/>
    </row>
    <row r="200" spans="1:11" ht="15" x14ac:dyDescent="0.25">
      <c r="A200" s="90" t="s">
        <v>20</v>
      </c>
      <c r="B200" s="90" t="s">
        <v>1065</v>
      </c>
      <c r="C200" s="90">
        <v>2010199</v>
      </c>
      <c r="D200" s="251">
        <v>40347</v>
      </c>
      <c r="E200" s="251" t="s">
        <v>1060</v>
      </c>
      <c r="F200" s="252">
        <v>356.78</v>
      </c>
      <c r="H200"/>
      <c r="I200"/>
      <c r="J200"/>
      <c r="K200"/>
    </row>
    <row r="201" spans="1:11" ht="15" x14ac:dyDescent="0.25">
      <c r="A201" s="90" t="s">
        <v>20</v>
      </c>
      <c r="B201" s="90" t="s">
        <v>1066</v>
      </c>
      <c r="C201" s="90">
        <v>2010200</v>
      </c>
      <c r="D201" s="251">
        <v>40347</v>
      </c>
      <c r="E201" s="251" t="s">
        <v>1060</v>
      </c>
      <c r="F201" s="252">
        <v>288.57</v>
      </c>
      <c r="H201"/>
      <c r="I201"/>
      <c r="J201"/>
      <c r="K201"/>
    </row>
    <row r="202" spans="1:11" ht="15" x14ac:dyDescent="0.25">
      <c r="A202" s="90" t="s">
        <v>20</v>
      </c>
      <c r="B202" s="90" t="s">
        <v>1061</v>
      </c>
      <c r="C202" s="90">
        <v>2010201</v>
      </c>
      <c r="D202" s="251">
        <v>40347</v>
      </c>
      <c r="E202" s="251" t="s">
        <v>1060</v>
      </c>
      <c r="F202" s="252">
        <v>899.14</v>
      </c>
      <c r="H202"/>
      <c r="I202"/>
      <c r="J202"/>
      <c r="K202"/>
    </row>
    <row r="203" spans="1:11" ht="15" x14ac:dyDescent="0.25">
      <c r="A203" s="90" t="s">
        <v>20</v>
      </c>
      <c r="B203" s="90" t="s">
        <v>1063</v>
      </c>
      <c r="C203" s="90">
        <v>2010202</v>
      </c>
      <c r="D203" s="251">
        <v>40347</v>
      </c>
      <c r="E203" s="251" t="s">
        <v>1060</v>
      </c>
      <c r="F203" s="252">
        <v>918.57</v>
      </c>
      <c r="H203"/>
      <c r="I203"/>
      <c r="J203"/>
      <c r="K203"/>
    </row>
    <row r="204" spans="1:11" ht="15" x14ac:dyDescent="0.25">
      <c r="A204" s="90" t="s">
        <v>22</v>
      </c>
      <c r="B204" s="90" t="s">
        <v>1068</v>
      </c>
      <c r="C204" s="90">
        <v>2010203</v>
      </c>
      <c r="D204" s="251">
        <v>40350</v>
      </c>
      <c r="E204" s="251" t="s">
        <v>1060</v>
      </c>
      <c r="F204" s="252">
        <v>1140.6099999999999</v>
      </c>
      <c r="H204"/>
      <c r="I204"/>
      <c r="J204"/>
      <c r="K204"/>
    </row>
    <row r="205" spans="1:11" ht="15" x14ac:dyDescent="0.25">
      <c r="A205" s="90" t="s">
        <v>22</v>
      </c>
      <c r="B205" s="90" t="s">
        <v>1062</v>
      </c>
      <c r="C205" s="90">
        <v>2010204</v>
      </c>
      <c r="D205" s="251">
        <v>40351</v>
      </c>
      <c r="E205" s="251" t="s">
        <v>1060</v>
      </c>
      <c r="F205" s="252">
        <v>615.12</v>
      </c>
      <c r="H205"/>
      <c r="I205"/>
      <c r="J205"/>
      <c r="K205"/>
    </row>
    <row r="206" spans="1:11" ht="15" x14ac:dyDescent="0.25">
      <c r="A206" s="90" t="s">
        <v>20</v>
      </c>
      <c r="B206" s="90" t="s">
        <v>1063</v>
      </c>
      <c r="C206" s="90">
        <v>2010205</v>
      </c>
      <c r="D206" s="251">
        <v>40351</v>
      </c>
      <c r="E206" s="251" t="s">
        <v>1059</v>
      </c>
      <c r="F206" s="252">
        <v>687.53</v>
      </c>
      <c r="H206"/>
      <c r="I206"/>
      <c r="J206"/>
      <c r="K206"/>
    </row>
    <row r="207" spans="1:11" ht="15" x14ac:dyDescent="0.25">
      <c r="A207" s="90" t="s">
        <v>20</v>
      </c>
      <c r="B207" s="90" t="s">
        <v>1065</v>
      </c>
      <c r="C207" s="90">
        <v>2010206</v>
      </c>
      <c r="D207" s="251">
        <v>40352</v>
      </c>
      <c r="E207" s="251" t="s">
        <v>1059</v>
      </c>
      <c r="F207" s="252">
        <v>764.41</v>
      </c>
      <c r="H207"/>
      <c r="I207"/>
      <c r="J207"/>
      <c r="K207"/>
    </row>
    <row r="208" spans="1:11" ht="15" x14ac:dyDescent="0.25">
      <c r="A208" s="90" t="s">
        <v>22</v>
      </c>
      <c r="B208" s="90" t="s">
        <v>1067</v>
      </c>
      <c r="C208" s="90">
        <v>2010207</v>
      </c>
      <c r="D208" s="251">
        <v>40352</v>
      </c>
      <c r="E208" s="251" t="s">
        <v>1060</v>
      </c>
      <c r="F208" s="252">
        <v>219.09</v>
      </c>
      <c r="H208"/>
      <c r="I208"/>
      <c r="J208"/>
      <c r="K208"/>
    </row>
    <row r="209" spans="1:11" ht="15" x14ac:dyDescent="0.25">
      <c r="A209" s="90" t="s">
        <v>20</v>
      </c>
      <c r="B209" s="90" t="s">
        <v>1058</v>
      </c>
      <c r="C209" s="90">
        <v>2010208</v>
      </c>
      <c r="D209" s="251">
        <v>40352</v>
      </c>
      <c r="E209" s="251" t="s">
        <v>1060</v>
      </c>
      <c r="F209" s="252">
        <v>604.62</v>
      </c>
      <c r="H209"/>
      <c r="I209"/>
      <c r="J209"/>
      <c r="K209"/>
    </row>
    <row r="210" spans="1:11" ht="15" x14ac:dyDescent="0.25">
      <c r="A210" s="90" t="s">
        <v>20</v>
      </c>
      <c r="B210" s="90" t="s">
        <v>1066</v>
      </c>
      <c r="C210" s="90">
        <v>2010209</v>
      </c>
      <c r="D210" s="251">
        <v>40357</v>
      </c>
      <c r="E210" s="251" t="s">
        <v>1059</v>
      </c>
      <c r="F210" s="252">
        <v>198.56</v>
      </c>
      <c r="H210"/>
      <c r="I210"/>
      <c r="J210"/>
      <c r="K210"/>
    </row>
    <row r="211" spans="1:11" ht="15" x14ac:dyDescent="0.25">
      <c r="A211" s="90" t="s">
        <v>20</v>
      </c>
      <c r="B211" s="90" t="s">
        <v>1058</v>
      </c>
      <c r="C211" s="90">
        <v>2010210</v>
      </c>
      <c r="D211" s="251">
        <v>40357</v>
      </c>
      <c r="E211" s="251" t="s">
        <v>1060</v>
      </c>
      <c r="F211" s="252">
        <v>660.42</v>
      </c>
      <c r="H211"/>
      <c r="I211"/>
      <c r="J211"/>
      <c r="K211"/>
    </row>
    <row r="212" spans="1:11" ht="15" x14ac:dyDescent="0.25">
      <c r="A212" s="90" t="s">
        <v>20</v>
      </c>
      <c r="B212" s="90" t="s">
        <v>1063</v>
      </c>
      <c r="C212" s="90">
        <v>2010211</v>
      </c>
      <c r="D212" s="251">
        <v>40357</v>
      </c>
      <c r="E212" s="251" t="s">
        <v>1059</v>
      </c>
      <c r="F212" s="252">
        <v>327.11</v>
      </c>
      <c r="H212"/>
      <c r="I212"/>
      <c r="J212"/>
      <c r="K212"/>
    </row>
    <row r="213" spans="1:11" ht="15" x14ac:dyDescent="0.25">
      <c r="A213" s="90" t="s">
        <v>20</v>
      </c>
      <c r="B213" s="90" t="s">
        <v>1061</v>
      </c>
      <c r="C213" s="90">
        <v>2010212</v>
      </c>
      <c r="D213" s="251">
        <v>40357</v>
      </c>
      <c r="E213" s="251" t="s">
        <v>1060</v>
      </c>
      <c r="F213" s="252">
        <v>975.33</v>
      </c>
      <c r="H213"/>
      <c r="I213"/>
      <c r="J213"/>
      <c r="K213"/>
    </row>
    <row r="214" spans="1:11" ht="15" x14ac:dyDescent="0.25">
      <c r="A214" s="90" t="s">
        <v>20</v>
      </c>
      <c r="B214" s="90" t="s">
        <v>1061</v>
      </c>
      <c r="C214" s="90">
        <v>2010213</v>
      </c>
      <c r="D214" s="251">
        <v>40359</v>
      </c>
      <c r="E214" s="251" t="s">
        <v>1060</v>
      </c>
      <c r="F214" s="252">
        <v>696.24</v>
      </c>
      <c r="H214"/>
      <c r="I214"/>
      <c r="J214"/>
      <c r="K214"/>
    </row>
    <row r="215" spans="1:11" ht="15" x14ac:dyDescent="0.25">
      <c r="A215" s="90" t="s">
        <v>20</v>
      </c>
      <c r="B215" s="90" t="s">
        <v>1065</v>
      </c>
      <c r="C215" s="90">
        <v>2010214</v>
      </c>
      <c r="D215" s="251">
        <v>40359</v>
      </c>
      <c r="E215" s="251" t="s">
        <v>1060</v>
      </c>
      <c r="F215" s="252">
        <v>956.04</v>
      </c>
      <c r="H215"/>
      <c r="I215"/>
      <c r="J215"/>
      <c r="K215"/>
    </row>
    <row r="216" spans="1:11" ht="15" x14ac:dyDescent="0.25">
      <c r="A216" s="90" t="s">
        <v>20</v>
      </c>
      <c r="B216" s="90" t="s">
        <v>1061</v>
      </c>
      <c r="C216" s="90">
        <v>2010215</v>
      </c>
      <c r="D216" s="251">
        <v>40360</v>
      </c>
      <c r="E216" s="251" t="s">
        <v>1060</v>
      </c>
      <c r="F216" s="252">
        <v>444.27</v>
      </c>
      <c r="H216"/>
      <c r="I216"/>
      <c r="J216"/>
      <c r="K216"/>
    </row>
    <row r="217" spans="1:11" ht="15" x14ac:dyDescent="0.25">
      <c r="A217" s="90" t="s">
        <v>22</v>
      </c>
      <c r="B217" s="90" t="s">
        <v>1068</v>
      </c>
      <c r="C217" s="90">
        <v>2010216</v>
      </c>
      <c r="D217" s="251">
        <v>40360</v>
      </c>
      <c r="E217" s="251" t="s">
        <v>1060</v>
      </c>
      <c r="F217" s="252">
        <v>939.65</v>
      </c>
      <c r="H217"/>
      <c r="I217"/>
      <c r="J217"/>
      <c r="K217"/>
    </row>
    <row r="218" spans="1:11" ht="15" x14ac:dyDescent="0.25">
      <c r="A218" s="90" t="s">
        <v>20</v>
      </c>
      <c r="B218" s="90" t="s">
        <v>1065</v>
      </c>
      <c r="C218" s="90">
        <v>2010217</v>
      </c>
      <c r="D218" s="251">
        <v>40360</v>
      </c>
      <c r="E218" s="251" t="s">
        <v>1060</v>
      </c>
      <c r="F218" s="252">
        <v>285.20999999999998</v>
      </c>
      <c r="H218"/>
      <c r="I218"/>
      <c r="J218"/>
      <c r="K218"/>
    </row>
    <row r="219" spans="1:11" ht="15" x14ac:dyDescent="0.25">
      <c r="A219" s="90" t="s">
        <v>22</v>
      </c>
      <c r="B219" s="90" t="s">
        <v>1067</v>
      </c>
      <c r="C219" s="90">
        <v>2010218</v>
      </c>
      <c r="D219" s="251">
        <v>40360</v>
      </c>
      <c r="E219" s="251" t="s">
        <v>1059</v>
      </c>
      <c r="F219" s="252">
        <v>1095.68</v>
      </c>
      <c r="H219"/>
      <c r="I219"/>
      <c r="J219"/>
      <c r="K219"/>
    </row>
    <row r="220" spans="1:11" ht="15" x14ac:dyDescent="0.25">
      <c r="A220" s="90" t="s">
        <v>20</v>
      </c>
      <c r="B220" s="90" t="s">
        <v>1066</v>
      </c>
      <c r="C220" s="90">
        <v>2010219</v>
      </c>
      <c r="D220" s="251">
        <v>40364</v>
      </c>
      <c r="E220" s="251" t="s">
        <v>1059</v>
      </c>
      <c r="F220" s="252">
        <v>1182.4000000000001</v>
      </c>
      <c r="H220"/>
      <c r="I220"/>
      <c r="J220"/>
      <c r="K220"/>
    </row>
    <row r="221" spans="1:11" ht="15" x14ac:dyDescent="0.25">
      <c r="A221" s="90" t="s">
        <v>20</v>
      </c>
      <c r="B221" s="90" t="s">
        <v>1065</v>
      </c>
      <c r="C221" s="90">
        <v>2010220</v>
      </c>
      <c r="D221" s="251">
        <v>40365</v>
      </c>
      <c r="E221" s="251" t="s">
        <v>1060</v>
      </c>
      <c r="F221" s="252">
        <v>358.39</v>
      </c>
      <c r="H221"/>
      <c r="I221"/>
      <c r="J221"/>
      <c r="K221"/>
    </row>
    <row r="222" spans="1:11" ht="15" x14ac:dyDescent="0.25">
      <c r="A222" s="90" t="s">
        <v>20</v>
      </c>
      <c r="B222" s="90" t="s">
        <v>1063</v>
      </c>
      <c r="C222" s="90">
        <v>2010221</v>
      </c>
      <c r="D222" s="251">
        <v>40366</v>
      </c>
      <c r="E222" s="251" t="s">
        <v>1059</v>
      </c>
      <c r="F222" s="252">
        <v>753.47</v>
      </c>
      <c r="H222"/>
      <c r="I222"/>
      <c r="J222"/>
      <c r="K222"/>
    </row>
    <row r="223" spans="1:11" ht="15" x14ac:dyDescent="0.25">
      <c r="A223" s="90" t="s">
        <v>22</v>
      </c>
      <c r="B223" s="90" t="s">
        <v>1062</v>
      </c>
      <c r="C223" s="90">
        <v>2010222</v>
      </c>
      <c r="D223" s="251">
        <v>40370</v>
      </c>
      <c r="E223" s="251" t="s">
        <v>1059</v>
      </c>
      <c r="F223" s="252">
        <v>80.400000000000006</v>
      </c>
      <c r="H223"/>
      <c r="I223"/>
      <c r="J223"/>
      <c r="K223"/>
    </row>
    <row r="224" spans="1:11" ht="15" x14ac:dyDescent="0.25">
      <c r="A224" s="90" t="s">
        <v>20</v>
      </c>
      <c r="B224" s="90" t="s">
        <v>1065</v>
      </c>
      <c r="C224" s="90">
        <v>2010223</v>
      </c>
      <c r="D224" s="251">
        <v>40371</v>
      </c>
      <c r="E224" s="251" t="s">
        <v>1060</v>
      </c>
      <c r="F224" s="252">
        <v>490.71</v>
      </c>
      <c r="H224"/>
      <c r="I224"/>
      <c r="J224"/>
      <c r="K224"/>
    </row>
    <row r="225" spans="1:11" ht="15" x14ac:dyDescent="0.25">
      <c r="A225" s="90" t="s">
        <v>20</v>
      </c>
      <c r="B225" s="90" t="s">
        <v>1066</v>
      </c>
      <c r="C225" s="90">
        <v>2010224</v>
      </c>
      <c r="D225" s="251">
        <v>40372</v>
      </c>
      <c r="E225" s="251" t="s">
        <v>1060</v>
      </c>
      <c r="F225" s="252">
        <v>941.55</v>
      </c>
      <c r="H225"/>
      <c r="I225"/>
      <c r="J225"/>
      <c r="K225"/>
    </row>
    <row r="226" spans="1:11" ht="15" x14ac:dyDescent="0.25">
      <c r="A226" s="90" t="s">
        <v>22</v>
      </c>
      <c r="B226" s="90" t="s">
        <v>1067</v>
      </c>
      <c r="C226" s="90">
        <v>2010225</v>
      </c>
      <c r="D226" s="251">
        <v>40372</v>
      </c>
      <c r="E226" s="251" t="s">
        <v>1059</v>
      </c>
      <c r="F226" s="252">
        <v>28.96</v>
      </c>
      <c r="H226"/>
      <c r="I226"/>
      <c r="J226"/>
      <c r="K226"/>
    </row>
    <row r="227" spans="1:11" ht="15" x14ac:dyDescent="0.25">
      <c r="A227" s="90" t="s">
        <v>20</v>
      </c>
      <c r="B227" s="90" t="s">
        <v>1058</v>
      </c>
      <c r="C227" s="90">
        <v>2010226</v>
      </c>
      <c r="D227" s="251">
        <v>40373</v>
      </c>
      <c r="E227" s="251" t="s">
        <v>1060</v>
      </c>
      <c r="F227" s="252">
        <v>990.18</v>
      </c>
      <c r="H227"/>
      <c r="I227"/>
      <c r="J227"/>
      <c r="K227"/>
    </row>
    <row r="228" spans="1:11" ht="15" x14ac:dyDescent="0.25">
      <c r="A228" s="90" t="s">
        <v>20</v>
      </c>
      <c r="B228" s="90" t="s">
        <v>1061</v>
      </c>
      <c r="C228" s="90">
        <v>2010227</v>
      </c>
      <c r="D228" s="251">
        <v>40374</v>
      </c>
      <c r="E228" s="251" t="s">
        <v>1059</v>
      </c>
      <c r="F228" s="252">
        <v>1130.51</v>
      </c>
      <c r="H228"/>
      <c r="I228"/>
      <c r="J228"/>
      <c r="K228"/>
    </row>
    <row r="229" spans="1:11" ht="15" x14ac:dyDescent="0.25">
      <c r="A229" s="90" t="s">
        <v>20</v>
      </c>
      <c r="B229" s="90" t="s">
        <v>1065</v>
      </c>
      <c r="C229" s="90">
        <v>2010228</v>
      </c>
      <c r="D229" s="251">
        <v>40377</v>
      </c>
      <c r="E229" s="251" t="s">
        <v>1059</v>
      </c>
      <c r="F229" s="252">
        <v>1027.76</v>
      </c>
      <c r="H229"/>
      <c r="I229"/>
      <c r="J229"/>
      <c r="K229"/>
    </row>
    <row r="230" spans="1:11" ht="15" x14ac:dyDescent="0.25">
      <c r="A230" s="90" t="s">
        <v>20</v>
      </c>
      <c r="B230" s="90" t="s">
        <v>1063</v>
      </c>
      <c r="C230" s="90">
        <v>2010229</v>
      </c>
      <c r="D230" s="251">
        <v>40377</v>
      </c>
      <c r="E230" s="251" t="s">
        <v>1059</v>
      </c>
      <c r="F230" s="252">
        <v>868.41</v>
      </c>
      <c r="H230"/>
      <c r="I230"/>
      <c r="J230"/>
      <c r="K230"/>
    </row>
    <row r="231" spans="1:11" ht="15" x14ac:dyDescent="0.25">
      <c r="A231" s="90" t="s">
        <v>22</v>
      </c>
      <c r="B231" s="90" t="s">
        <v>1064</v>
      </c>
      <c r="C231" s="90">
        <v>2010230</v>
      </c>
      <c r="D231" s="251">
        <v>40377</v>
      </c>
      <c r="E231" s="251" t="s">
        <v>1060</v>
      </c>
      <c r="F231" s="252">
        <v>72.430000000000007</v>
      </c>
      <c r="H231"/>
      <c r="I231"/>
      <c r="J231"/>
      <c r="K231"/>
    </row>
    <row r="232" spans="1:11" ht="15" x14ac:dyDescent="0.25">
      <c r="A232" s="90" t="s">
        <v>20</v>
      </c>
      <c r="B232" s="90" t="s">
        <v>1058</v>
      </c>
      <c r="C232" s="90">
        <v>2010231</v>
      </c>
      <c r="D232" s="251">
        <v>40378</v>
      </c>
      <c r="E232" s="251" t="s">
        <v>1059</v>
      </c>
      <c r="F232" s="252">
        <v>147.33000000000001</v>
      </c>
      <c r="H232"/>
      <c r="I232"/>
      <c r="J232"/>
      <c r="K232"/>
    </row>
    <row r="233" spans="1:11" ht="15" x14ac:dyDescent="0.25">
      <c r="A233" s="90" t="s">
        <v>20</v>
      </c>
      <c r="B233" s="90" t="s">
        <v>1058</v>
      </c>
      <c r="C233" s="90">
        <v>2010232</v>
      </c>
      <c r="D233" s="251">
        <v>40380</v>
      </c>
      <c r="E233" s="251" t="s">
        <v>1059</v>
      </c>
      <c r="F233" s="252">
        <v>334.06</v>
      </c>
      <c r="H233"/>
      <c r="I233"/>
      <c r="J233"/>
      <c r="K233"/>
    </row>
    <row r="234" spans="1:11" ht="15" x14ac:dyDescent="0.25">
      <c r="A234" s="90" t="s">
        <v>20</v>
      </c>
      <c r="B234" s="90" t="s">
        <v>1066</v>
      </c>
      <c r="C234" s="90">
        <v>2010233</v>
      </c>
      <c r="D234" s="251">
        <v>40381</v>
      </c>
      <c r="E234" s="251" t="s">
        <v>1060</v>
      </c>
      <c r="F234" s="252">
        <v>665.25</v>
      </c>
      <c r="H234"/>
      <c r="I234"/>
      <c r="J234"/>
      <c r="K234"/>
    </row>
    <row r="235" spans="1:11" ht="15" x14ac:dyDescent="0.25">
      <c r="A235" s="90" t="s">
        <v>20</v>
      </c>
      <c r="B235" s="90" t="s">
        <v>1063</v>
      </c>
      <c r="C235" s="90">
        <v>2010234</v>
      </c>
      <c r="D235" s="251">
        <v>40381</v>
      </c>
      <c r="E235" s="251" t="s">
        <v>1060</v>
      </c>
      <c r="F235" s="252">
        <v>191.06</v>
      </c>
      <c r="H235"/>
      <c r="I235"/>
      <c r="J235"/>
      <c r="K235"/>
    </row>
    <row r="236" spans="1:11" ht="15" x14ac:dyDescent="0.25">
      <c r="A236" s="90" t="s">
        <v>20</v>
      </c>
      <c r="B236" s="90" t="s">
        <v>1065</v>
      </c>
      <c r="C236" s="90">
        <v>2010235</v>
      </c>
      <c r="D236" s="251">
        <v>40384</v>
      </c>
      <c r="E236" s="251" t="s">
        <v>1059</v>
      </c>
      <c r="F236" s="252">
        <v>1042.1400000000001</v>
      </c>
      <c r="H236"/>
      <c r="I236"/>
      <c r="J236"/>
      <c r="K236"/>
    </row>
    <row r="237" spans="1:11" ht="15" x14ac:dyDescent="0.25">
      <c r="A237" s="90" t="s">
        <v>22</v>
      </c>
      <c r="B237" s="90" t="s">
        <v>1062</v>
      </c>
      <c r="C237" s="90">
        <v>2010236</v>
      </c>
      <c r="D237" s="251">
        <v>40384</v>
      </c>
      <c r="E237" s="251" t="s">
        <v>1060</v>
      </c>
      <c r="F237" s="252">
        <v>645.78</v>
      </c>
      <c r="H237"/>
      <c r="I237"/>
      <c r="J237"/>
      <c r="K237"/>
    </row>
    <row r="238" spans="1:11" ht="15" x14ac:dyDescent="0.25">
      <c r="A238" s="90" t="s">
        <v>20</v>
      </c>
      <c r="B238" s="90" t="s">
        <v>1061</v>
      </c>
      <c r="C238" s="90">
        <v>2010237</v>
      </c>
      <c r="D238" s="251">
        <v>40384</v>
      </c>
      <c r="E238" s="251" t="s">
        <v>1060</v>
      </c>
      <c r="F238" s="252">
        <v>247.77</v>
      </c>
      <c r="H238"/>
      <c r="I238"/>
      <c r="J238"/>
      <c r="K238"/>
    </row>
    <row r="239" spans="1:11" ht="15" x14ac:dyDescent="0.25">
      <c r="A239" s="90" t="s">
        <v>22</v>
      </c>
      <c r="B239" s="90" t="s">
        <v>1067</v>
      </c>
      <c r="C239" s="90">
        <v>2010238</v>
      </c>
      <c r="D239" s="251">
        <v>40384</v>
      </c>
      <c r="E239" s="251" t="s">
        <v>1059</v>
      </c>
      <c r="F239" s="252">
        <v>958.61</v>
      </c>
      <c r="H239"/>
      <c r="I239"/>
      <c r="J239"/>
      <c r="K239"/>
    </row>
    <row r="240" spans="1:11" ht="15" x14ac:dyDescent="0.25">
      <c r="A240" s="90" t="s">
        <v>20</v>
      </c>
      <c r="B240" s="90" t="s">
        <v>1063</v>
      </c>
      <c r="C240" s="90">
        <v>2010239</v>
      </c>
      <c r="D240" s="251">
        <v>40385</v>
      </c>
      <c r="E240" s="251" t="s">
        <v>1060</v>
      </c>
      <c r="F240" s="252">
        <v>1059.23</v>
      </c>
      <c r="H240"/>
      <c r="I240"/>
      <c r="J240"/>
      <c r="K240"/>
    </row>
    <row r="241" spans="1:11" ht="15" x14ac:dyDescent="0.25">
      <c r="A241" s="90" t="s">
        <v>20</v>
      </c>
      <c r="B241" s="90" t="s">
        <v>1061</v>
      </c>
      <c r="C241" s="90">
        <v>2010240</v>
      </c>
      <c r="D241" s="251">
        <v>40385</v>
      </c>
      <c r="E241" s="251" t="s">
        <v>1060</v>
      </c>
      <c r="F241" s="252">
        <v>1135.1199999999999</v>
      </c>
      <c r="H241"/>
      <c r="I241"/>
      <c r="J241"/>
      <c r="K241"/>
    </row>
    <row r="242" spans="1:11" ht="15" x14ac:dyDescent="0.25">
      <c r="A242" s="90" t="s">
        <v>22</v>
      </c>
      <c r="B242" s="90" t="s">
        <v>1064</v>
      </c>
      <c r="C242" s="90">
        <v>2010241</v>
      </c>
      <c r="D242" s="251">
        <v>40386</v>
      </c>
      <c r="E242" s="251" t="s">
        <v>1059</v>
      </c>
      <c r="F242" s="252">
        <v>629.39</v>
      </c>
      <c r="H242"/>
      <c r="I242"/>
      <c r="J242"/>
      <c r="K242"/>
    </row>
    <row r="243" spans="1:11" ht="15" x14ac:dyDescent="0.25">
      <c r="A243" s="90" t="s">
        <v>20</v>
      </c>
      <c r="B243" s="90" t="s">
        <v>1063</v>
      </c>
      <c r="C243" s="90">
        <v>2010242</v>
      </c>
      <c r="D243" s="251">
        <v>40387</v>
      </c>
      <c r="E243" s="251" t="s">
        <v>1059</v>
      </c>
      <c r="F243" s="252">
        <v>751.83</v>
      </c>
      <c r="H243"/>
      <c r="I243"/>
      <c r="J243"/>
      <c r="K243"/>
    </row>
    <row r="244" spans="1:11" ht="15" x14ac:dyDescent="0.25">
      <c r="A244" s="90" t="s">
        <v>20</v>
      </c>
      <c r="B244" s="90" t="s">
        <v>1065</v>
      </c>
      <c r="C244" s="90">
        <v>2010243</v>
      </c>
      <c r="D244" s="251">
        <v>40388</v>
      </c>
      <c r="E244" s="251" t="s">
        <v>1060</v>
      </c>
      <c r="F244" s="252">
        <v>843.23</v>
      </c>
      <c r="H244"/>
      <c r="I244"/>
      <c r="J244"/>
      <c r="K244"/>
    </row>
    <row r="245" spans="1:11" ht="15" x14ac:dyDescent="0.25">
      <c r="A245" s="90" t="s">
        <v>20</v>
      </c>
      <c r="B245" s="90" t="s">
        <v>1065</v>
      </c>
      <c r="C245" s="90">
        <v>2010244</v>
      </c>
      <c r="D245" s="251">
        <v>40388</v>
      </c>
      <c r="E245" s="251" t="s">
        <v>1060</v>
      </c>
      <c r="F245" s="252">
        <v>582.85</v>
      </c>
      <c r="H245"/>
      <c r="I245"/>
      <c r="J245"/>
      <c r="K245"/>
    </row>
    <row r="246" spans="1:11" ht="15" x14ac:dyDescent="0.25">
      <c r="A246" s="90" t="s">
        <v>22</v>
      </c>
      <c r="B246" s="90" t="s">
        <v>1062</v>
      </c>
      <c r="C246" s="90">
        <v>2010245</v>
      </c>
      <c r="D246" s="251">
        <v>40391</v>
      </c>
      <c r="E246" s="251" t="s">
        <v>1059</v>
      </c>
      <c r="F246" s="252">
        <v>1165.8599999999999</v>
      </c>
      <c r="H246"/>
      <c r="I246"/>
      <c r="J246"/>
      <c r="K246"/>
    </row>
    <row r="247" spans="1:11" ht="15" x14ac:dyDescent="0.25">
      <c r="A247" s="90" t="s">
        <v>20</v>
      </c>
      <c r="B247" s="90" t="s">
        <v>1061</v>
      </c>
      <c r="C247" s="90">
        <v>2010246</v>
      </c>
      <c r="D247" s="251">
        <v>40391</v>
      </c>
      <c r="E247" s="251" t="s">
        <v>1060</v>
      </c>
      <c r="F247" s="252">
        <v>84.58</v>
      </c>
      <c r="H247"/>
      <c r="I247"/>
      <c r="J247"/>
      <c r="K247"/>
    </row>
    <row r="248" spans="1:11" ht="15" x14ac:dyDescent="0.25">
      <c r="A248" s="90" t="s">
        <v>22</v>
      </c>
      <c r="B248" s="90" t="s">
        <v>1068</v>
      </c>
      <c r="C248" s="90">
        <v>2010247</v>
      </c>
      <c r="D248" s="251">
        <v>40391</v>
      </c>
      <c r="E248" s="251" t="s">
        <v>1059</v>
      </c>
      <c r="F248" s="252">
        <v>968.92</v>
      </c>
      <c r="H248"/>
      <c r="I248"/>
      <c r="J248"/>
      <c r="K248"/>
    </row>
    <row r="249" spans="1:11" ht="15" x14ac:dyDescent="0.25">
      <c r="A249" s="90" t="s">
        <v>20</v>
      </c>
      <c r="B249" s="90" t="s">
        <v>1063</v>
      </c>
      <c r="C249" s="90">
        <v>2010248</v>
      </c>
      <c r="D249" s="251">
        <v>40392</v>
      </c>
      <c r="E249" s="251" t="s">
        <v>1059</v>
      </c>
      <c r="F249" s="252">
        <v>495.24</v>
      </c>
      <c r="H249"/>
      <c r="I249"/>
      <c r="J249"/>
      <c r="K249"/>
    </row>
    <row r="250" spans="1:11" ht="15" x14ac:dyDescent="0.25">
      <c r="A250" s="90" t="s">
        <v>20</v>
      </c>
      <c r="B250" s="90" t="s">
        <v>1058</v>
      </c>
      <c r="C250" s="90">
        <v>2010249</v>
      </c>
      <c r="D250" s="251">
        <v>40394</v>
      </c>
      <c r="E250" s="251" t="s">
        <v>1060</v>
      </c>
      <c r="F250" s="252">
        <v>299.7</v>
      </c>
      <c r="H250"/>
      <c r="I250"/>
      <c r="J250"/>
      <c r="K250"/>
    </row>
    <row r="251" spans="1:11" ht="15" x14ac:dyDescent="0.25">
      <c r="A251" s="90" t="s">
        <v>20</v>
      </c>
      <c r="B251" s="90" t="s">
        <v>1058</v>
      </c>
      <c r="C251" s="90">
        <v>2010250</v>
      </c>
      <c r="D251" s="251">
        <v>40395</v>
      </c>
      <c r="E251" s="251" t="s">
        <v>1060</v>
      </c>
      <c r="F251" s="252">
        <v>1102.3399999999999</v>
      </c>
      <c r="H251"/>
      <c r="I251"/>
      <c r="J251"/>
      <c r="K251"/>
    </row>
    <row r="252" spans="1:11" ht="15" x14ac:dyDescent="0.25">
      <c r="A252" s="90" t="s">
        <v>20</v>
      </c>
      <c r="B252" s="90" t="s">
        <v>1063</v>
      </c>
      <c r="C252" s="90">
        <v>2010251</v>
      </c>
      <c r="D252" s="251">
        <v>40398</v>
      </c>
      <c r="E252" s="251" t="s">
        <v>1060</v>
      </c>
      <c r="F252" s="252">
        <v>1163.74</v>
      </c>
      <c r="H252"/>
      <c r="I252"/>
      <c r="J252"/>
      <c r="K252"/>
    </row>
    <row r="253" spans="1:11" ht="15" x14ac:dyDescent="0.25">
      <c r="A253" s="90" t="s">
        <v>20</v>
      </c>
      <c r="B253" s="90" t="s">
        <v>1058</v>
      </c>
      <c r="C253" s="90">
        <v>2010252</v>
      </c>
      <c r="D253" s="251">
        <v>40398</v>
      </c>
      <c r="E253" s="251" t="s">
        <v>1060</v>
      </c>
      <c r="F253" s="252">
        <v>15.49</v>
      </c>
      <c r="H253"/>
      <c r="I253"/>
      <c r="J253"/>
      <c r="K253"/>
    </row>
    <row r="254" spans="1:11" ht="15" x14ac:dyDescent="0.25">
      <c r="A254" s="90" t="s">
        <v>22</v>
      </c>
      <c r="B254" s="90" t="s">
        <v>1064</v>
      </c>
      <c r="C254" s="90">
        <v>2010253</v>
      </c>
      <c r="D254" s="251">
        <v>40398</v>
      </c>
      <c r="E254" s="251" t="s">
        <v>1059</v>
      </c>
      <c r="F254" s="252">
        <v>888.42</v>
      </c>
      <c r="H254"/>
      <c r="I254"/>
      <c r="J254"/>
      <c r="K254"/>
    </row>
    <row r="255" spans="1:11" ht="15" x14ac:dyDescent="0.25">
      <c r="A255" s="90" t="s">
        <v>20</v>
      </c>
      <c r="B255" s="90" t="s">
        <v>1066</v>
      </c>
      <c r="C255" s="90">
        <v>2010254</v>
      </c>
      <c r="D255" s="251">
        <v>40398</v>
      </c>
      <c r="E255" s="251" t="s">
        <v>1060</v>
      </c>
      <c r="F255" s="252">
        <v>786.59</v>
      </c>
      <c r="H255"/>
      <c r="I255"/>
      <c r="J255"/>
      <c r="K255"/>
    </row>
    <row r="256" spans="1:11" ht="15" x14ac:dyDescent="0.25">
      <c r="A256" s="90" t="s">
        <v>20</v>
      </c>
      <c r="B256" s="90" t="s">
        <v>1066</v>
      </c>
      <c r="C256" s="90">
        <v>2010255</v>
      </c>
      <c r="D256" s="251">
        <v>40399</v>
      </c>
      <c r="E256" s="251" t="s">
        <v>1060</v>
      </c>
      <c r="F256" s="252">
        <v>562.83000000000004</v>
      </c>
      <c r="H256"/>
      <c r="I256"/>
      <c r="J256"/>
      <c r="K256"/>
    </row>
    <row r="257" spans="1:11" ht="15" x14ac:dyDescent="0.25">
      <c r="A257" s="90" t="s">
        <v>20</v>
      </c>
      <c r="B257" s="90" t="s">
        <v>1061</v>
      </c>
      <c r="C257" s="90">
        <v>2010256</v>
      </c>
      <c r="D257" s="251">
        <v>40400</v>
      </c>
      <c r="E257" s="251" t="s">
        <v>1059</v>
      </c>
      <c r="F257" s="252">
        <v>687.09</v>
      </c>
      <c r="H257"/>
      <c r="I257"/>
      <c r="J257"/>
      <c r="K257"/>
    </row>
    <row r="258" spans="1:11" ht="15" x14ac:dyDescent="0.25">
      <c r="A258" s="90" t="s">
        <v>22</v>
      </c>
      <c r="B258" s="90" t="s">
        <v>1062</v>
      </c>
      <c r="C258" s="90">
        <v>2010257</v>
      </c>
      <c r="D258" s="251">
        <v>40402</v>
      </c>
      <c r="E258" s="251" t="s">
        <v>1060</v>
      </c>
      <c r="F258" s="252">
        <v>80.11</v>
      </c>
      <c r="H258"/>
      <c r="I258"/>
      <c r="J258"/>
      <c r="K258"/>
    </row>
    <row r="259" spans="1:11" ht="15" x14ac:dyDescent="0.25">
      <c r="A259" s="90" t="s">
        <v>20</v>
      </c>
      <c r="B259" s="90" t="s">
        <v>1058</v>
      </c>
      <c r="C259" s="90">
        <v>2010258</v>
      </c>
      <c r="D259" s="251">
        <v>40402</v>
      </c>
      <c r="E259" s="251" t="s">
        <v>1060</v>
      </c>
      <c r="F259" s="252">
        <v>1142.55</v>
      </c>
      <c r="H259"/>
      <c r="I259"/>
      <c r="J259"/>
      <c r="K259"/>
    </row>
    <row r="260" spans="1:11" ht="15" x14ac:dyDescent="0.25">
      <c r="A260" s="90" t="s">
        <v>20</v>
      </c>
      <c r="B260" s="90" t="s">
        <v>1065</v>
      </c>
      <c r="C260" s="90">
        <v>2010259</v>
      </c>
      <c r="D260" s="251">
        <v>40405</v>
      </c>
      <c r="E260" s="251" t="s">
        <v>1059</v>
      </c>
      <c r="F260" s="252">
        <v>598.36</v>
      </c>
      <c r="H260"/>
      <c r="I260"/>
      <c r="J260"/>
      <c r="K260"/>
    </row>
    <row r="261" spans="1:11" ht="15" x14ac:dyDescent="0.25">
      <c r="A261" s="90" t="s">
        <v>22</v>
      </c>
      <c r="B261" s="90" t="s">
        <v>1067</v>
      </c>
      <c r="C261" s="90">
        <v>2010260</v>
      </c>
      <c r="D261" s="251">
        <v>40405</v>
      </c>
      <c r="E261" s="251" t="s">
        <v>1060</v>
      </c>
      <c r="F261" s="252">
        <v>581.53</v>
      </c>
      <c r="H261"/>
      <c r="I261"/>
      <c r="J261"/>
      <c r="K261"/>
    </row>
    <row r="262" spans="1:11" ht="15" x14ac:dyDescent="0.25">
      <c r="A262" s="90" t="s">
        <v>20</v>
      </c>
      <c r="B262" s="90" t="s">
        <v>1061</v>
      </c>
      <c r="C262" s="90">
        <v>2010261</v>
      </c>
      <c r="D262" s="251">
        <v>40406</v>
      </c>
      <c r="E262" s="251" t="s">
        <v>1059</v>
      </c>
      <c r="F262" s="252">
        <v>676.7</v>
      </c>
      <c r="H262"/>
      <c r="I262"/>
      <c r="J262"/>
      <c r="K262"/>
    </row>
    <row r="263" spans="1:11" ht="15" x14ac:dyDescent="0.25">
      <c r="A263" s="90" t="s">
        <v>20</v>
      </c>
      <c r="B263" s="90" t="s">
        <v>1066</v>
      </c>
      <c r="C263" s="90">
        <v>2010262</v>
      </c>
      <c r="D263" s="251">
        <v>40407</v>
      </c>
      <c r="E263" s="251" t="s">
        <v>1060</v>
      </c>
      <c r="F263" s="252">
        <v>816.67</v>
      </c>
      <c r="H263"/>
      <c r="I263"/>
      <c r="J263"/>
      <c r="K263"/>
    </row>
    <row r="264" spans="1:11" ht="15" x14ac:dyDescent="0.25">
      <c r="A264" s="90" t="s">
        <v>20</v>
      </c>
      <c r="B264" s="90" t="s">
        <v>1058</v>
      </c>
      <c r="C264" s="90">
        <v>2010263</v>
      </c>
      <c r="D264" s="251">
        <v>40408</v>
      </c>
      <c r="E264" s="251" t="s">
        <v>1059</v>
      </c>
      <c r="F264" s="252">
        <v>1050.4100000000001</v>
      </c>
      <c r="H264"/>
      <c r="I264"/>
      <c r="J264"/>
      <c r="K264"/>
    </row>
    <row r="265" spans="1:11" ht="15" x14ac:dyDescent="0.25">
      <c r="A265" s="90" t="s">
        <v>20</v>
      </c>
      <c r="B265" s="90" t="s">
        <v>1065</v>
      </c>
      <c r="C265" s="90">
        <v>2010264</v>
      </c>
      <c r="D265" s="251">
        <v>40409</v>
      </c>
      <c r="E265" s="251" t="s">
        <v>1060</v>
      </c>
      <c r="F265" s="252">
        <v>540.73</v>
      </c>
      <c r="H265"/>
      <c r="I265"/>
      <c r="J265"/>
      <c r="K265"/>
    </row>
    <row r="266" spans="1:11" ht="15" x14ac:dyDescent="0.25">
      <c r="A266" s="90" t="s">
        <v>22</v>
      </c>
      <c r="B266" s="90" t="s">
        <v>1062</v>
      </c>
      <c r="C266" s="90">
        <v>2010265</v>
      </c>
      <c r="D266" s="251">
        <v>40409</v>
      </c>
      <c r="E266" s="251" t="s">
        <v>1059</v>
      </c>
      <c r="F266" s="252">
        <v>480.24</v>
      </c>
      <c r="H266"/>
      <c r="I266"/>
      <c r="J266"/>
      <c r="K266"/>
    </row>
    <row r="267" spans="1:11" ht="15" x14ac:dyDescent="0.25">
      <c r="A267" s="90" t="s">
        <v>22</v>
      </c>
      <c r="B267" s="90" t="s">
        <v>1064</v>
      </c>
      <c r="C267" s="90">
        <v>2010266</v>
      </c>
      <c r="D267" s="251">
        <v>40412</v>
      </c>
      <c r="E267" s="251" t="s">
        <v>1060</v>
      </c>
      <c r="F267" s="252">
        <v>815.49</v>
      </c>
      <c r="H267"/>
      <c r="I267"/>
      <c r="J267"/>
      <c r="K267"/>
    </row>
    <row r="268" spans="1:11" ht="15" x14ac:dyDescent="0.25">
      <c r="A268" s="90" t="s">
        <v>22</v>
      </c>
      <c r="B268" s="90" t="s">
        <v>1068</v>
      </c>
      <c r="C268" s="90">
        <v>2010267</v>
      </c>
      <c r="D268" s="251">
        <v>40412</v>
      </c>
      <c r="E268" s="251" t="s">
        <v>1060</v>
      </c>
      <c r="F268" s="252">
        <v>474.28</v>
      </c>
      <c r="H268"/>
      <c r="I268"/>
      <c r="J268"/>
      <c r="K268"/>
    </row>
    <row r="269" spans="1:11" ht="15" x14ac:dyDescent="0.25">
      <c r="A269" s="90" t="s">
        <v>20</v>
      </c>
      <c r="B269" s="90" t="s">
        <v>1058</v>
      </c>
      <c r="C269" s="90">
        <v>2010268</v>
      </c>
      <c r="D269" s="251">
        <v>40414</v>
      </c>
      <c r="E269" s="251" t="s">
        <v>1060</v>
      </c>
      <c r="F269" s="252">
        <v>893.07</v>
      </c>
      <c r="H269"/>
      <c r="I269"/>
      <c r="J269"/>
      <c r="K269"/>
    </row>
    <row r="270" spans="1:11" ht="15" x14ac:dyDescent="0.25">
      <c r="A270" s="90" t="s">
        <v>22</v>
      </c>
      <c r="B270" s="90" t="s">
        <v>1062</v>
      </c>
      <c r="C270" s="90">
        <v>2010269</v>
      </c>
      <c r="D270" s="251">
        <v>40414</v>
      </c>
      <c r="E270" s="251" t="s">
        <v>1059</v>
      </c>
      <c r="F270" s="252">
        <v>1192.28</v>
      </c>
      <c r="H270"/>
      <c r="I270"/>
      <c r="J270"/>
      <c r="K270"/>
    </row>
    <row r="271" spans="1:11" ht="15" x14ac:dyDescent="0.25">
      <c r="A271" s="90" t="s">
        <v>20</v>
      </c>
      <c r="B271" s="90" t="s">
        <v>1061</v>
      </c>
      <c r="C271" s="90">
        <v>2010270</v>
      </c>
      <c r="D271" s="251">
        <v>40415</v>
      </c>
      <c r="E271" s="251" t="s">
        <v>1059</v>
      </c>
      <c r="F271" s="252">
        <v>1034.42</v>
      </c>
      <c r="H271"/>
      <c r="I271"/>
      <c r="J271"/>
      <c r="K271"/>
    </row>
    <row r="272" spans="1:11" ht="15" x14ac:dyDescent="0.25">
      <c r="A272" s="90" t="s">
        <v>20</v>
      </c>
      <c r="B272" s="90" t="s">
        <v>1061</v>
      </c>
      <c r="C272" s="90">
        <v>2010271</v>
      </c>
      <c r="D272" s="251">
        <v>40416</v>
      </c>
      <c r="E272" s="251" t="s">
        <v>1060</v>
      </c>
      <c r="F272" s="252">
        <v>359.38</v>
      </c>
      <c r="H272"/>
      <c r="I272"/>
      <c r="J272"/>
      <c r="K272"/>
    </row>
    <row r="273" spans="1:11" ht="15" x14ac:dyDescent="0.25">
      <c r="A273" s="90" t="s">
        <v>22</v>
      </c>
      <c r="B273" s="90" t="s">
        <v>1067</v>
      </c>
      <c r="C273" s="90">
        <v>2010272</v>
      </c>
      <c r="D273" s="251">
        <v>40419</v>
      </c>
      <c r="E273" s="251" t="s">
        <v>1059</v>
      </c>
      <c r="F273" s="252">
        <v>876.82</v>
      </c>
      <c r="H273"/>
      <c r="I273"/>
      <c r="J273"/>
      <c r="K273"/>
    </row>
    <row r="274" spans="1:11" ht="15" x14ac:dyDescent="0.25">
      <c r="A274" s="90" t="s">
        <v>20</v>
      </c>
      <c r="B274" s="90" t="s">
        <v>1066</v>
      </c>
      <c r="C274" s="90">
        <v>2010273</v>
      </c>
      <c r="D274" s="251">
        <v>40419</v>
      </c>
      <c r="E274" s="251" t="s">
        <v>1060</v>
      </c>
      <c r="F274" s="252">
        <v>586.16999999999996</v>
      </c>
      <c r="H274"/>
      <c r="I274"/>
      <c r="J274"/>
      <c r="K274"/>
    </row>
    <row r="275" spans="1:11" ht="15" x14ac:dyDescent="0.25">
      <c r="A275" s="90" t="s">
        <v>20</v>
      </c>
      <c r="B275" s="90" t="s">
        <v>1063</v>
      </c>
      <c r="C275" s="90">
        <v>2010274</v>
      </c>
      <c r="D275" s="251">
        <v>40420</v>
      </c>
      <c r="E275" s="251" t="s">
        <v>1060</v>
      </c>
      <c r="F275" s="252">
        <v>789.81</v>
      </c>
      <c r="H275"/>
      <c r="I275"/>
      <c r="J275"/>
      <c r="K275"/>
    </row>
    <row r="276" spans="1:11" ht="15" x14ac:dyDescent="0.25">
      <c r="A276" s="90" t="s">
        <v>22</v>
      </c>
      <c r="B276" s="90" t="s">
        <v>1064</v>
      </c>
      <c r="C276" s="90">
        <v>2010275</v>
      </c>
      <c r="D276" s="251">
        <v>40420</v>
      </c>
      <c r="E276" s="251" t="s">
        <v>1059</v>
      </c>
      <c r="F276" s="252">
        <v>332.48</v>
      </c>
      <c r="H276"/>
      <c r="I276"/>
      <c r="J276"/>
      <c r="K276"/>
    </row>
    <row r="277" spans="1:11" ht="15" x14ac:dyDescent="0.25">
      <c r="A277" s="90" t="s">
        <v>22</v>
      </c>
      <c r="B277" s="90" t="s">
        <v>1062</v>
      </c>
      <c r="C277" s="90">
        <v>2010276</v>
      </c>
      <c r="D277" s="251">
        <v>40420</v>
      </c>
      <c r="E277" s="251" t="s">
        <v>1059</v>
      </c>
      <c r="F277" s="252">
        <v>1160.1500000000001</v>
      </c>
      <c r="H277"/>
      <c r="I277"/>
      <c r="J277"/>
      <c r="K277"/>
    </row>
    <row r="278" spans="1:11" ht="15" x14ac:dyDescent="0.25">
      <c r="A278" s="90" t="s">
        <v>20</v>
      </c>
      <c r="B278" s="90" t="s">
        <v>1063</v>
      </c>
      <c r="C278" s="90">
        <v>2010277</v>
      </c>
      <c r="D278" s="251">
        <v>40422</v>
      </c>
      <c r="E278" s="251" t="s">
        <v>1060</v>
      </c>
      <c r="F278" s="252">
        <v>255.24</v>
      </c>
      <c r="H278"/>
      <c r="I278"/>
      <c r="J278"/>
      <c r="K278"/>
    </row>
    <row r="279" spans="1:11" ht="15" x14ac:dyDescent="0.25">
      <c r="A279" s="90" t="s">
        <v>20</v>
      </c>
      <c r="B279" s="90" t="s">
        <v>1061</v>
      </c>
      <c r="C279" s="90">
        <v>2010278</v>
      </c>
      <c r="D279" s="251">
        <v>40422</v>
      </c>
      <c r="E279" s="251" t="s">
        <v>1059</v>
      </c>
      <c r="F279" s="252">
        <v>37.01</v>
      </c>
      <c r="H279"/>
      <c r="I279"/>
      <c r="J279"/>
      <c r="K279"/>
    </row>
    <row r="280" spans="1:11" ht="15" x14ac:dyDescent="0.25">
      <c r="A280" s="90" t="s">
        <v>20</v>
      </c>
      <c r="B280" s="90" t="s">
        <v>1065</v>
      </c>
      <c r="C280" s="90">
        <v>2010279</v>
      </c>
      <c r="D280" s="251">
        <v>40422</v>
      </c>
      <c r="E280" s="251" t="s">
        <v>1060</v>
      </c>
      <c r="F280" s="252">
        <v>51.75</v>
      </c>
      <c r="H280"/>
      <c r="I280"/>
      <c r="J280"/>
      <c r="K280"/>
    </row>
    <row r="281" spans="1:11" ht="15" x14ac:dyDescent="0.25">
      <c r="A281" s="90" t="s">
        <v>22</v>
      </c>
      <c r="B281" s="90" t="s">
        <v>1064</v>
      </c>
      <c r="C281" s="90">
        <v>2010280</v>
      </c>
      <c r="D281" s="251">
        <v>40423</v>
      </c>
      <c r="E281" s="251" t="s">
        <v>1059</v>
      </c>
      <c r="F281" s="252">
        <v>802.8</v>
      </c>
      <c r="H281"/>
      <c r="I281"/>
      <c r="J281"/>
      <c r="K281"/>
    </row>
    <row r="282" spans="1:11" ht="15" x14ac:dyDescent="0.25">
      <c r="A282" s="90" t="s">
        <v>22</v>
      </c>
      <c r="B282" s="90" t="s">
        <v>1062</v>
      </c>
      <c r="C282" s="90">
        <v>2010281</v>
      </c>
      <c r="D282" s="251">
        <v>40423</v>
      </c>
      <c r="E282" s="251" t="s">
        <v>1059</v>
      </c>
      <c r="F282" s="252">
        <v>848.5</v>
      </c>
      <c r="H282"/>
      <c r="I282"/>
      <c r="J282"/>
      <c r="K282"/>
    </row>
    <row r="283" spans="1:11" ht="15" x14ac:dyDescent="0.25">
      <c r="A283" s="90" t="s">
        <v>22</v>
      </c>
      <c r="B283" s="90" t="s">
        <v>1062</v>
      </c>
      <c r="C283" s="90">
        <v>2010282</v>
      </c>
      <c r="D283" s="251">
        <v>40426</v>
      </c>
      <c r="E283" s="251" t="s">
        <v>1060</v>
      </c>
      <c r="F283" s="252">
        <v>574.1</v>
      </c>
      <c r="H283"/>
      <c r="I283"/>
      <c r="J283"/>
      <c r="K283"/>
    </row>
    <row r="284" spans="1:11" ht="15" x14ac:dyDescent="0.25">
      <c r="A284" s="90" t="s">
        <v>22</v>
      </c>
      <c r="B284" s="90" t="s">
        <v>1062</v>
      </c>
      <c r="C284" s="90">
        <v>2010283</v>
      </c>
      <c r="D284" s="251">
        <v>40427</v>
      </c>
      <c r="E284" s="251" t="s">
        <v>1059</v>
      </c>
      <c r="F284" s="252">
        <v>101.12</v>
      </c>
      <c r="H284"/>
      <c r="I284"/>
      <c r="J284"/>
      <c r="K284"/>
    </row>
    <row r="285" spans="1:11" ht="15" x14ac:dyDescent="0.25">
      <c r="A285" s="90" t="s">
        <v>22</v>
      </c>
      <c r="B285" s="90" t="s">
        <v>1062</v>
      </c>
      <c r="C285" s="90">
        <v>2010284</v>
      </c>
      <c r="D285" s="251">
        <v>40429</v>
      </c>
      <c r="E285" s="251" t="s">
        <v>1059</v>
      </c>
      <c r="F285" s="252">
        <v>883.52</v>
      </c>
      <c r="H285"/>
      <c r="I285"/>
      <c r="J285"/>
      <c r="K285"/>
    </row>
    <row r="286" spans="1:11" ht="15" x14ac:dyDescent="0.25">
      <c r="A286" s="90" t="s">
        <v>20</v>
      </c>
      <c r="B286" s="90" t="s">
        <v>1065</v>
      </c>
      <c r="C286" s="90">
        <v>2010285</v>
      </c>
      <c r="D286" s="251">
        <v>40430</v>
      </c>
      <c r="E286" s="251" t="s">
        <v>1060</v>
      </c>
      <c r="F286" s="252">
        <v>494.88</v>
      </c>
      <c r="H286"/>
      <c r="I286"/>
      <c r="J286"/>
      <c r="K286"/>
    </row>
    <row r="287" spans="1:11" ht="15" x14ac:dyDescent="0.25">
      <c r="A287" s="90" t="s">
        <v>20</v>
      </c>
      <c r="B287" s="90" t="s">
        <v>1061</v>
      </c>
      <c r="C287" s="90">
        <v>2010286</v>
      </c>
      <c r="D287" s="251">
        <v>40430</v>
      </c>
      <c r="E287" s="251" t="s">
        <v>1059</v>
      </c>
      <c r="F287" s="252">
        <v>817.21</v>
      </c>
      <c r="H287"/>
      <c r="I287"/>
      <c r="J287"/>
      <c r="K287"/>
    </row>
    <row r="288" spans="1:11" ht="15" x14ac:dyDescent="0.25">
      <c r="A288" s="90" t="s">
        <v>20</v>
      </c>
      <c r="B288" s="90" t="s">
        <v>1061</v>
      </c>
      <c r="C288" s="90">
        <v>2010287</v>
      </c>
      <c r="D288" s="251">
        <v>40433</v>
      </c>
      <c r="E288" s="251" t="s">
        <v>1060</v>
      </c>
      <c r="F288" s="252">
        <v>119.7</v>
      </c>
      <c r="H288"/>
      <c r="I288"/>
      <c r="J288"/>
      <c r="K288"/>
    </row>
    <row r="289" spans="1:11" ht="15" x14ac:dyDescent="0.25">
      <c r="A289" s="90" t="s">
        <v>22</v>
      </c>
      <c r="B289" s="90" t="s">
        <v>1064</v>
      </c>
      <c r="C289" s="90">
        <v>2010288</v>
      </c>
      <c r="D289" s="251">
        <v>40434</v>
      </c>
      <c r="E289" s="251" t="s">
        <v>1059</v>
      </c>
      <c r="F289" s="252">
        <v>319.06</v>
      </c>
      <c r="H289"/>
      <c r="I289"/>
      <c r="J289"/>
      <c r="K289"/>
    </row>
    <row r="290" spans="1:11" ht="15" x14ac:dyDescent="0.25">
      <c r="A290" s="90" t="s">
        <v>20</v>
      </c>
      <c r="B290" s="90" t="s">
        <v>1061</v>
      </c>
      <c r="C290" s="90">
        <v>2010289</v>
      </c>
      <c r="D290" s="251">
        <v>40435</v>
      </c>
      <c r="E290" s="251" t="s">
        <v>1060</v>
      </c>
      <c r="F290" s="252">
        <v>640.66</v>
      </c>
      <c r="H290"/>
      <c r="I290"/>
      <c r="J290"/>
      <c r="K290"/>
    </row>
    <row r="291" spans="1:11" ht="15" x14ac:dyDescent="0.25">
      <c r="A291" s="90" t="s">
        <v>22</v>
      </c>
      <c r="B291" s="90" t="s">
        <v>1067</v>
      </c>
      <c r="C291" s="90">
        <v>2010290</v>
      </c>
      <c r="D291" s="251">
        <v>40435</v>
      </c>
      <c r="E291" s="251" t="s">
        <v>1060</v>
      </c>
      <c r="F291" s="252">
        <v>365.86</v>
      </c>
      <c r="H291"/>
      <c r="I291"/>
      <c r="J291"/>
      <c r="K291"/>
    </row>
    <row r="292" spans="1:11" ht="15" x14ac:dyDescent="0.25">
      <c r="A292" s="90" t="s">
        <v>22</v>
      </c>
      <c r="B292" s="90" t="s">
        <v>1064</v>
      </c>
      <c r="C292" s="90">
        <v>2010291</v>
      </c>
      <c r="D292" s="251">
        <v>40435</v>
      </c>
      <c r="E292" s="251" t="s">
        <v>1059</v>
      </c>
      <c r="F292" s="252">
        <v>420.3</v>
      </c>
      <c r="H292"/>
      <c r="I292"/>
      <c r="J292"/>
      <c r="K292"/>
    </row>
    <row r="293" spans="1:11" ht="15" x14ac:dyDescent="0.25">
      <c r="A293" s="90" t="s">
        <v>20</v>
      </c>
      <c r="B293" s="90" t="s">
        <v>1065</v>
      </c>
      <c r="C293" s="90">
        <v>2010292</v>
      </c>
      <c r="D293" s="251">
        <v>40440</v>
      </c>
      <c r="E293" s="251" t="s">
        <v>1060</v>
      </c>
      <c r="F293" s="252">
        <v>119.96</v>
      </c>
      <c r="H293"/>
      <c r="I293"/>
      <c r="J293"/>
      <c r="K293"/>
    </row>
    <row r="294" spans="1:11" ht="15" x14ac:dyDescent="0.25">
      <c r="A294" s="90" t="s">
        <v>20</v>
      </c>
      <c r="B294" s="90" t="s">
        <v>1065</v>
      </c>
      <c r="C294" s="90">
        <v>2010293</v>
      </c>
      <c r="D294" s="251">
        <v>40440</v>
      </c>
      <c r="E294" s="251" t="s">
        <v>1059</v>
      </c>
      <c r="F294" s="252">
        <v>1186.5</v>
      </c>
      <c r="H294"/>
      <c r="I294"/>
      <c r="J294"/>
      <c r="K294"/>
    </row>
    <row r="295" spans="1:11" ht="15" x14ac:dyDescent="0.25">
      <c r="A295" s="90" t="s">
        <v>20</v>
      </c>
      <c r="B295" s="90" t="s">
        <v>1066</v>
      </c>
      <c r="C295" s="90">
        <v>2010294</v>
      </c>
      <c r="D295" s="251">
        <v>40440</v>
      </c>
      <c r="E295" s="251" t="s">
        <v>1060</v>
      </c>
      <c r="F295" s="252">
        <v>473.51</v>
      </c>
      <c r="H295"/>
      <c r="I295"/>
      <c r="J295"/>
      <c r="K295"/>
    </row>
    <row r="296" spans="1:11" ht="15" x14ac:dyDescent="0.25">
      <c r="A296" s="90" t="s">
        <v>20</v>
      </c>
      <c r="B296" s="90" t="s">
        <v>1058</v>
      </c>
      <c r="C296" s="90">
        <v>2010295</v>
      </c>
      <c r="D296" s="251">
        <v>40441</v>
      </c>
      <c r="E296" s="251" t="s">
        <v>1059</v>
      </c>
      <c r="F296" s="252">
        <v>598.69000000000005</v>
      </c>
      <c r="H296"/>
      <c r="I296"/>
      <c r="J296"/>
      <c r="K296"/>
    </row>
    <row r="297" spans="1:11" ht="15" x14ac:dyDescent="0.25">
      <c r="A297" s="90" t="s">
        <v>20</v>
      </c>
      <c r="B297" s="90" t="s">
        <v>1061</v>
      </c>
      <c r="C297" s="90">
        <v>2010296</v>
      </c>
      <c r="D297" s="251">
        <v>40441</v>
      </c>
      <c r="E297" s="251" t="s">
        <v>1059</v>
      </c>
      <c r="F297" s="252">
        <v>470.65</v>
      </c>
      <c r="H297"/>
      <c r="I297"/>
      <c r="J297"/>
      <c r="K297"/>
    </row>
    <row r="298" spans="1:11" ht="15" x14ac:dyDescent="0.25">
      <c r="A298" s="90" t="s">
        <v>22</v>
      </c>
      <c r="B298" s="90" t="s">
        <v>1064</v>
      </c>
      <c r="C298" s="90">
        <v>2010297</v>
      </c>
      <c r="D298" s="251">
        <v>40442</v>
      </c>
      <c r="E298" s="251" t="s">
        <v>1060</v>
      </c>
      <c r="F298" s="252">
        <v>1115.03</v>
      </c>
      <c r="H298"/>
      <c r="I298"/>
      <c r="J298"/>
      <c r="K298"/>
    </row>
    <row r="299" spans="1:11" ht="15" x14ac:dyDescent="0.25">
      <c r="A299" s="90" t="s">
        <v>20</v>
      </c>
      <c r="B299" s="90" t="s">
        <v>1061</v>
      </c>
      <c r="C299" s="90">
        <v>2010298</v>
      </c>
      <c r="D299" s="251">
        <v>40442</v>
      </c>
      <c r="E299" s="251" t="s">
        <v>1059</v>
      </c>
      <c r="F299" s="252">
        <v>279.27999999999997</v>
      </c>
      <c r="H299"/>
      <c r="I299"/>
      <c r="J299"/>
      <c r="K299"/>
    </row>
    <row r="300" spans="1:11" ht="15" x14ac:dyDescent="0.25">
      <c r="A300" s="90" t="s">
        <v>20</v>
      </c>
      <c r="B300" s="90" t="s">
        <v>1066</v>
      </c>
      <c r="C300" s="90">
        <v>2010299</v>
      </c>
      <c r="D300" s="251">
        <v>40443</v>
      </c>
      <c r="E300" s="251" t="s">
        <v>1059</v>
      </c>
      <c r="F300" s="252">
        <v>715.42</v>
      </c>
      <c r="H300"/>
      <c r="I300"/>
      <c r="J300"/>
      <c r="K300"/>
    </row>
    <row r="301" spans="1:11" ht="15" x14ac:dyDescent="0.25">
      <c r="A301" s="90" t="s">
        <v>22</v>
      </c>
      <c r="B301" s="90" t="s">
        <v>1062</v>
      </c>
      <c r="C301" s="90">
        <v>2010300</v>
      </c>
      <c r="D301" s="251">
        <v>40444</v>
      </c>
      <c r="E301" s="251" t="s">
        <v>1059</v>
      </c>
      <c r="F301" s="252">
        <v>170.38</v>
      </c>
      <c r="H301"/>
      <c r="I301"/>
      <c r="J301"/>
      <c r="K301"/>
    </row>
    <row r="302" spans="1:11" ht="15" x14ac:dyDescent="0.25">
      <c r="A302" s="90" t="s">
        <v>22</v>
      </c>
      <c r="B302" s="90" t="s">
        <v>1062</v>
      </c>
      <c r="C302" s="90">
        <v>2010301</v>
      </c>
      <c r="D302" s="251">
        <v>40444</v>
      </c>
      <c r="E302" s="251" t="s">
        <v>1059</v>
      </c>
      <c r="F302" s="252">
        <v>254.84</v>
      </c>
      <c r="H302"/>
      <c r="I302"/>
      <c r="J302"/>
      <c r="K302"/>
    </row>
    <row r="303" spans="1:11" ht="15" x14ac:dyDescent="0.25">
      <c r="A303" s="90" t="s">
        <v>22</v>
      </c>
      <c r="B303" s="90" t="s">
        <v>1067</v>
      </c>
      <c r="C303" s="90">
        <v>2010302</v>
      </c>
      <c r="D303" s="251">
        <v>40447</v>
      </c>
      <c r="E303" s="251" t="s">
        <v>1059</v>
      </c>
      <c r="F303" s="252">
        <v>918.54</v>
      </c>
      <c r="H303"/>
      <c r="I303"/>
      <c r="J303"/>
      <c r="K303"/>
    </row>
    <row r="304" spans="1:11" ht="15" x14ac:dyDescent="0.25">
      <c r="A304" s="90" t="s">
        <v>22</v>
      </c>
      <c r="B304" s="90" t="s">
        <v>1062</v>
      </c>
      <c r="C304" s="90">
        <v>2010303</v>
      </c>
      <c r="D304" s="251">
        <v>40448</v>
      </c>
      <c r="E304" s="251" t="s">
        <v>1060</v>
      </c>
      <c r="F304" s="252">
        <v>1017.26</v>
      </c>
      <c r="H304"/>
      <c r="I304"/>
      <c r="J304"/>
      <c r="K304"/>
    </row>
    <row r="305" spans="1:11" ht="15" x14ac:dyDescent="0.25">
      <c r="A305" s="90" t="s">
        <v>20</v>
      </c>
      <c r="B305" s="90" t="s">
        <v>1058</v>
      </c>
      <c r="C305" s="90">
        <v>2010304</v>
      </c>
      <c r="D305" s="251">
        <v>40449</v>
      </c>
      <c r="E305" s="251" t="s">
        <v>1059</v>
      </c>
      <c r="F305" s="252">
        <v>849.67</v>
      </c>
      <c r="H305"/>
      <c r="I305"/>
      <c r="J305"/>
      <c r="K305"/>
    </row>
    <row r="306" spans="1:11" ht="15" x14ac:dyDescent="0.25">
      <c r="A306" s="90" t="s">
        <v>20</v>
      </c>
      <c r="B306" s="90" t="s">
        <v>1066</v>
      </c>
      <c r="C306" s="90">
        <v>2010305</v>
      </c>
      <c r="D306" s="251">
        <v>40449</v>
      </c>
      <c r="E306" s="251" t="s">
        <v>1059</v>
      </c>
      <c r="F306" s="252">
        <v>492.94</v>
      </c>
      <c r="H306"/>
      <c r="I306"/>
      <c r="J306"/>
      <c r="K306"/>
    </row>
    <row r="307" spans="1:11" ht="15" x14ac:dyDescent="0.25">
      <c r="A307" s="90" t="s">
        <v>20</v>
      </c>
      <c r="B307" s="90" t="s">
        <v>1065</v>
      </c>
      <c r="C307" s="90">
        <v>2010306</v>
      </c>
      <c r="D307" s="251">
        <v>40450</v>
      </c>
      <c r="E307" s="251" t="s">
        <v>1059</v>
      </c>
      <c r="F307" s="252">
        <v>197.72</v>
      </c>
      <c r="H307"/>
      <c r="I307"/>
      <c r="J307"/>
      <c r="K307"/>
    </row>
    <row r="308" spans="1:11" ht="15" x14ac:dyDescent="0.25">
      <c r="A308" s="90" t="s">
        <v>20</v>
      </c>
      <c r="B308" s="90" t="s">
        <v>1061</v>
      </c>
      <c r="C308" s="90">
        <v>2010307</v>
      </c>
      <c r="D308" s="251">
        <v>40452</v>
      </c>
      <c r="E308" s="251" t="s">
        <v>1059</v>
      </c>
      <c r="F308" s="252">
        <v>1145</v>
      </c>
      <c r="H308"/>
      <c r="I308"/>
      <c r="J308"/>
      <c r="K308"/>
    </row>
    <row r="309" spans="1:11" ht="15" x14ac:dyDescent="0.25">
      <c r="A309" s="90" t="s">
        <v>20</v>
      </c>
      <c r="B309" s="90" t="s">
        <v>1063</v>
      </c>
      <c r="C309" s="90">
        <v>2010308</v>
      </c>
      <c r="D309" s="251">
        <v>40455</v>
      </c>
      <c r="E309" s="251" t="s">
        <v>1059</v>
      </c>
      <c r="F309" s="252">
        <v>641.25</v>
      </c>
      <c r="H309"/>
      <c r="I309"/>
      <c r="J309"/>
      <c r="K309"/>
    </row>
    <row r="310" spans="1:11" ht="15" x14ac:dyDescent="0.25">
      <c r="A310" s="90" t="s">
        <v>20</v>
      </c>
      <c r="B310" s="90" t="s">
        <v>1063</v>
      </c>
      <c r="C310" s="90">
        <v>2010309</v>
      </c>
      <c r="D310" s="251">
        <v>40457</v>
      </c>
      <c r="E310" s="251" t="s">
        <v>1060</v>
      </c>
      <c r="F310" s="252">
        <v>859.11</v>
      </c>
      <c r="H310"/>
      <c r="I310"/>
      <c r="J310"/>
      <c r="K310"/>
    </row>
    <row r="311" spans="1:11" ht="15" x14ac:dyDescent="0.25">
      <c r="A311" s="90" t="s">
        <v>22</v>
      </c>
      <c r="B311" s="90" t="s">
        <v>1068</v>
      </c>
      <c r="C311" s="90">
        <v>2010310</v>
      </c>
      <c r="D311" s="251">
        <v>40458</v>
      </c>
      <c r="E311" s="251" t="s">
        <v>1059</v>
      </c>
      <c r="F311" s="252">
        <v>105.62</v>
      </c>
      <c r="H311"/>
      <c r="I311"/>
      <c r="J311"/>
      <c r="K311"/>
    </row>
    <row r="312" spans="1:11" ht="15" x14ac:dyDescent="0.25">
      <c r="A312" s="90" t="s">
        <v>20</v>
      </c>
      <c r="B312" s="90" t="s">
        <v>1066</v>
      </c>
      <c r="C312" s="90">
        <v>2010311</v>
      </c>
      <c r="D312" s="251">
        <v>40458</v>
      </c>
      <c r="E312" s="251" t="s">
        <v>1059</v>
      </c>
      <c r="F312" s="252">
        <v>245.18</v>
      </c>
      <c r="H312"/>
      <c r="I312"/>
      <c r="J312"/>
      <c r="K312"/>
    </row>
    <row r="313" spans="1:11" ht="15" x14ac:dyDescent="0.25">
      <c r="A313" s="90" t="s">
        <v>20</v>
      </c>
      <c r="B313" s="90" t="s">
        <v>1066</v>
      </c>
      <c r="C313" s="90">
        <v>2010312</v>
      </c>
      <c r="D313" s="251">
        <v>40459</v>
      </c>
      <c r="E313" s="251" t="s">
        <v>1060</v>
      </c>
      <c r="F313" s="252">
        <v>463.67</v>
      </c>
      <c r="H313"/>
      <c r="I313"/>
      <c r="J313"/>
      <c r="K313"/>
    </row>
    <row r="314" spans="1:11" ht="15" x14ac:dyDescent="0.25">
      <c r="A314" s="90" t="s">
        <v>22</v>
      </c>
      <c r="B314" s="90" t="s">
        <v>1064</v>
      </c>
      <c r="C314" s="90">
        <v>2010313</v>
      </c>
      <c r="D314" s="251">
        <v>40459</v>
      </c>
      <c r="E314" s="251" t="s">
        <v>1059</v>
      </c>
      <c r="F314" s="252">
        <v>846.93</v>
      </c>
      <c r="H314"/>
      <c r="I314"/>
      <c r="J314"/>
      <c r="K314"/>
    </row>
    <row r="315" spans="1:11" ht="15" x14ac:dyDescent="0.25">
      <c r="A315" s="90" t="s">
        <v>20</v>
      </c>
      <c r="B315" s="90" t="s">
        <v>1058</v>
      </c>
      <c r="C315" s="90">
        <v>2010314</v>
      </c>
      <c r="D315" s="251">
        <v>40462</v>
      </c>
      <c r="E315" s="251" t="s">
        <v>1059</v>
      </c>
      <c r="F315" s="252">
        <v>997.79</v>
      </c>
      <c r="H315"/>
      <c r="I315"/>
      <c r="J315"/>
      <c r="K315"/>
    </row>
    <row r="316" spans="1:11" ht="15" x14ac:dyDescent="0.25">
      <c r="A316" s="90" t="s">
        <v>22</v>
      </c>
      <c r="B316" s="90" t="s">
        <v>1068</v>
      </c>
      <c r="C316" s="90">
        <v>2010315</v>
      </c>
      <c r="D316" s="251">
        <v>40462</v>
      </c>
      <c r="E316" s="251" t="s">
        <v>1060</v>
      </c>
      <c r="F316" s="252">
        <v>1165.17</v>
      </c>
      <c r="H316"/>
      <c r="I316"/>
      <c r="J316"/>
      <c r="K316"/>
    </row>
    <row r="317" spans="1:11" ht="15" x14ac:dyDescent="0.25">
      <c r="A317" s="90" t="s">
        <v>20</v>
      </c>
      <c r="B317" s="90" t="s">
        <v>1065</v>
      </c>
      <c r="C317" s="90">
        <v>2010316</v>
      </c>
      <c r="D317" s="251">
        <v>40462</v>
      </c>
      <c r="E317" s="251" t="s">
        <v>1059</v>
      </c>
      <c r="F317" s="252">
        <v>600.99</v>
      </c>
      <c r="H317"/>
      <c r="I317"/>
      <c r="J317"/>
      <c r="K317"/>
    </row>
    <row r="318" spans="1:11" ht="15" x14ac:dyDescent="0.25">
      <c r="A318" s="90" t="s">
        <v>20</v>
      </c>
      <c r="B318" s="90" t="s">
        <v>1066</v>
      </c>
      <c r="C318" s="90">
        <v>2010317</v>
      </c>
      <c r="D318" s="251">
        <v>40464</v>
      </c>
      <c r="E318" s="251" t="s">
        <v>1060</v>
      </c>
      <c r="F318" s="252">
        <v>583.94000000000005</v>
      </c>
      <c r="H318"/>
      <c r="I318"/>
      <c r="J318"/>
      <c r="K318"/>
    </row>
    <row r="319" spans="1:11" ht="15" x14ac:dyDescent="0.25">
      <c r="A319" s="90" t="s">
        <v>20</v>
      </c>
      <c r="B319" s="90" t="s">
        <v>1063</v>
      </c>
      <c r="C319" s="90">
        <v>2010318</v>
      </c>
      <c r="D319" s="251">
        <v>40465</v>
      </c>
      <c r="E319" s="251" t="s">
        <v>1060</v>
      </c>
      <c r="F319" s="252">
        <v>1052.28</v>
      </c>
      <c r="H319"/>
      <c r="I319"/>
      <c r="J319"/>
      <c r="K319"/>
    </row>
    <row r="320" spans="1:11" ht="15" x14ac:dyDescent="0.25">
      <c r="A320" s="90" t="s">
        <v>20</v>
      </c>
      <c r="B320" s="90" t="s">
        <v>1063</v>
      </c>
      <c r="C320" s="90">
        <v>2010319</v>
      </c>
      <c r="D320" s="251">
        <v>40465</v>
      </c>
      <c r="E320" s="251" t="s">
        <v>1059</v>
      </c>
      <c r="F320" s="252">
        <v>938.7</v>
      </c>
      <c r="H320"/>
      <c r="I320"/>
      <c r="J320"/>
      <c r="K320"/>
    </row>
    <row r="321" spans="1:11" ht="15" x14ac:dyDescent="0.25">
      <c r="A321" s="90" t="s">
        <v>20</v>
      </c>
      <c r="B321" s="90" t="s">
        <v>1065</v>
      </c>
      <c r="C321" s="90">
        <v>2010320</v>
      </c>
      <c r="D321" s="251">
        <v>40469</v>
      </c>
      <c r="E321" s="251" t="s">
        <v>1059</v>
      </c>
      <c r="F321" s="252">
        <v>1170.25</v>
      </c>
      <c r="H321"/>
      <c r="I321"/>
      <c r="J321"/>
      <c r="K321"/>
    </row>
    <row r="322" spans="1:11" ht="15" x14ac:dyDescent="0.25">
      <c r="A322" s="90" t="s">
        <v>20</v>
      </c>
      <c r="B322" s="90" t="s">
        <v>1061</v>
      </c>
      <c r="C322" s="90">
        <v>2010321</v>
      </c>
      <c r="D322" s="251">
        <v>40469</v>
      </c>
      <c r="E322" s="251" t="s">
        <v>1059</v>
      </c>
      <c r="F322" s="252">
        <v>1046.28</v>
      </c>
      <c r="H322"/>
      <c r="I322"/>
      <c r="J322"/>
      <c r="K322"/>
    </row>
    <row r="323" spans="1:11" ht="15" x14ac:dyDescent="0.25">
      <c r="A323" s="90" t="s">
        <v>20</v>
      </c>
      <c r="B323" s="90" t="s">
        <v>1058</v>
      </c>
      <c r="C323" s="90">
        <v>2010322</v>
      </c>
      <c r="D323" s="251">
        <v>40469</v>
      </c>
      <c r="E323" s="251" t="s">
        <v>1059</v>
      </c>
      <c r="F323" s="252">
        <v>565.02</v>
      </c>
      <c r="H323"/>
      <c r="I323"/>
      <c r="J323"/>
      <c r="K323"/>
    </row>
    <row r="324" spans="1:11" ht="15" x14ac:dyDescent="0.25">
      <c r="A324" s="90" t="s">
        <v>20</v>
      </c>
      <c r="B324" s="90" t="s">
        <v>1058</v>
      </c>
      <c r="C324" s="90">
        <v>2010323</v>
      </c>
      <c r="D324" s="251">
        <v>40469</v>
      </c>
      <c r="E324" s="251" t="s">
        <v>1060</v>
      </c>
      <c r="F324" s="252">
        <v>13.37</v>
      </c>
      <c r="H324"/>
      <c r="I324"/>
      <c r="J324"/>
      <c r="K324"/>
    </row>
    <row r="325" spans="1:11" ht="15" x14ac:dyDescent="0.25">
      <c r="A325" s="90" t="s">
        <v>20</v>
      </c>
      <c r="B325" s="90" t="s">
        <v>1061</v>
      </c>
      <c r="C325" s="90">
        <v>2010324</v>
      </c>
      <c r="D325" s="251">
        <v>40469</v>
      </c>
      <c r="E325" s="251" t="s">
        <v>1060</v>
      </c>
      <c r="F325" s="252">
        <v>1029.01</v>
      </c>
      <c r="H325"/>
      <c r="I325"/>
      <c r="J325"/>
      <c r="K325"/>
    </row>
    <row r="326" spans="1:11" ht="15" x14ac:dyDescent="0.25">
      <c r="A326" s="90" t="s">
        <v>20</v>
      </c>
      <c r="B326" s="90" t="s">
        <v>1061</v>
      </c>
      <c r="C326" s="90">
        <v>2010325</v>
      </c>
      <c r="D326" s="251">
        <v>40470</v>
      </c>
      <c r="E326" s="251" t="s">
        <v>1060</v>
      </c>
      <c r="F326" s="252">
        <v>37.450000000000003</v>
      </c>
      <c r="H326"/>
      <c r="I326"/>
      <c r="J326"/>
      <c r="K326"/>
    </row>
    <row r="327" spans="1:11" ht="15" x14ac:dyDescent="0.25">
      <c r="A327" s="90" t="s">
        <v>20</v>
      </c>
      <c r="B327" s="90" t="s">
        <v>1061</v>
      </c>
      <c r="C327" s="90">
        <v>2010326</v>
      </c>
      <c r="D327" s="251">
        <v>40471</v>
      </c>
      <c r="E327" s="251" t="s">
        <v>1059</v>
      </c>
      <c r="F327" s="252">
        <v>1112.73</v>
      </c>
      <c r="H327"/>
      <c r="I327"/>
      <c r="J327"/>
      <c r="K327"/>
    </row>
    <row r="328" spans="1:11" ht="15" x14ac:dyDescent="0.25">
      <c r="A328" s="90" t="s">
        <v>20</v>
      </c>
      <c r="B328" s="90" t="s">
        <v>1065</v>
      </c>
      <c r="C328" s="90">
        <v>2010327</v>
      </c>
      <c r="D328" s="251">
        <v>40471</v>
      </c>
      <c r="E328" s="251" t="s">
        <v>1059</v>
      </c>
      <c r="F328" s="252">
        <v>52.63</v>
      </c>
      <c r="H328"/>
      <c r="I328"/>
      <c r="J328"/>
      <c r="K328"/>
    </row>
    <row r="329" spans="1:11" ht="15" x14ac:dyDescent="0.25">
      <c r="A329" s="90" t="s">
        <v>20</v>
      </c>
      <c r="B329" s="90" t="s">
        <v>1066</v>
      </c>
      <c r="C329" s="90">
        <v>2010328</v>
      </c>
      <c r="D329" s="251">
        <v>40472</v>
      </c>
      <c r="E329" s="251" t="s">
        <v>1059</v>
      </c>
      <c r="F329" s="252">
        <v>581.09</v>
      </c>
      <c r="H329"/>
      <c r="I329"/>
      <c r="J329"/>
      <c r="K329"/>
    </row>
    <row r="330" spans="1:11" ht="15" x14ac:dyDescent="0.25">
      <c r="A330" s="90" t="s">
        <v>20</v>
      </c>
      <c r="B330" s="90" t="s">
        <v>1066</v>
      </c>
      <c r="C330" s="90">
        <v>2010329</v>
      </c>
      <c r="D330" s="251">
        <v>40472</v>
      </c>
      <c r="E330" s="251" t="s">
        <v>1060</v>
      </c>
      <c r="F330" s="252">
        <v>843.71</v>
      </c>
      <c r="H330"/>
      <c r="I330"/>
      <c r="J330"/>
      <c r="K330"/>
    </row>
    <row r="331" spans="1:11" ht="15" x14ac:dyDescent="0.25">
      <c r="A331" s="90" t="s">
        <v>20</v>
      </c>
      <c r="B331" s="90" t="s">
        <v>1061</v>
      </c>
      <c r="C331" s="90">
        <v>2010330</v>
      </c>
      <c r="D331" s="251">
        <v>40476</v>
      </c>
      <c r="E331" s="251" t="s">
        <v>1060</v>
      </c>
      <c r="F331" s="252">
        <v>102.36</v>
      </c>
      <c r="H331"/>
      <c r="I331"/>
      <c r="J331"/>
      <c r="K331"/>
    </row>
    <row r="332" spans="1:11" ht="15" x14ac:dyDescent="0.25">
      <c r="A332" s="90" t="s">
        <v>22</v>
      </c>
      <c r="B332" s="90" t="s">
        <v>1068</v>
      </c>
      <c r="C332" s="90">
        <v>2010331</v>
      </c>
      <c r="D332" s="251">
        <v>40477</v>
      </c>
      <c r="E332" s="251" t="s">
        <v>1060</v>
      </c>
      <c r="F332" s="252">
        <v>799.58</v>
      </c>
      <c r="H332"/>
      <c r="I332"/>
      <c r="J332"/>
      <c r="K332"/>
    </row>
    <row r="333" spans="1:11" ht="15" x14ac:dyDescent="0.25">
      <c r="A333" s="90" t="s">
        <v>20</v>
      </c>
      <c r="B333" s="90" t="s">
        <v>1058</v>
      </c>
      <c r="C333" s="90">
        <v>2010332</v>
      </c>
      <c r="D333" s="251">
        <v>40478</v>
      </c>
      <c r="E333" s="251" t="s">
        <v>1059</v>
      </c>
      <c r="F333" s="252">
        <v>918.24</v>
      </c>
      <c r="H333"/>
      <c r="I333"/>
      <c r="J333"/>
      <c r="K333"/>
    </row>
    <row r="334" spans="1:11" ht="15" x14ac:dyDescent="0.25">
      <c r="A334" s="90" t="s">
        <v>20</v>
      </c>
      <c r="B334" s="90" t="s">
        <v>1065</v>
      </c>
      <c r="C334" s="90">
        <v>2010333</v>
      </c>
      <c r="D334" s="251">
        <v>40479</v>
      </c>
      <c r="E334" s="251" t="s">
        <v>1059</v>
      </c>
      <c r="F334" s="252">
        <v>842.87</v>
      </c>
      <c r="H334"/>
      <c r="I334"/>
      <c r="J334"/>
      <c r="K334"/>
    </row>
    <row r="335" spans="1:11" ht="15" x14ac:dyDescent="0.25">
      <c r="A335" s="90" t="s">
        <v>22</v>
      </c>
      <c r="B335" s="90" t="s">
        <v>1062</v>
      </c>
      <c r="C335" s="90">
        <v>2010334</v>
      </c>
      <c r="D335" s="251">
        <v>40479</v>
      </c>
      <c r="E335" s="251" t="s">
        <v>1059</v>
      </c>
      <c r="F335" s="252">
        <v>183.45</v>
      </c>
      <c r="H335"/>
      <c r="I335"/>
      <c r="J335"/>
      <c r="K335"/>
    </row>
    <row r="336" spans="1:11" ht="15" x14ac:dyDescent="0.25">
      <c r="A336" s="90" t="s">
        <v>20</v>
      </c>
      <c r="B336" s="90" t="s">
        <v>1061</v>
      </c>
      <c r="C336" s="90">
        <v>2010335</v>
      </c>
      <c r="D336" s="251">
        <v>40480</v>
      </c>
      <c r="E336" s="251" t="s">
        <v>1060</v>
      </c>
      <c r="F336" s="252">
        <v>593.79</v>
      </c>
      <c r="H336"/>
      <c r="I336"/>
      <c r="J336"/>
      <c r="K336"/>
    </row>
    <row r="337" spans="1:11" ht="15" x14ac:dyDescent="0.25">
      <c r="A337" s="90" t="s">
        <v>20</v>
      </c>
      <c r="B337" s="90" t="s">
        <v>1066</v>
      </c>
      <c r="C337" s="90">
        <v>2010336</v>
      </c>
      <c r="D337" s="251">
        <v>40480</v>
      </c>
      <c r="E337" s="251" t="s">
        <v>1060</v>
      </c>
      <c r="F337" s="252">
        <v>330.36</v>
      </c>
      <c r="H337"/>
      <c r="I337"/>
      <c r="J337"/>
      <c r="K337"/>
    </row>
    <row r="338" spans="1:11" ht="15" x14ac:dyDescent="0.25">
      <c r="A338" s="90" t="s">
        <v>20</v>
      </c>
      <c r="B338" s="90" t="s">
        <v>1063</v>
      </c>
      <c r="C338" s="90">
        <v>2010337</v>
      </c>
      <c r="D338" s="251">
        <v>40480</v>
      </c>
      <c r="E338" s="251" t="s">
        <v>1060</v>
      </c>
      <c r="F338" s="252">
        <v>145.97999999999999</v>
      </c>
      <c r="H338"/>
      <c r="I338"/>
      <c r="J338"/>
      <c r="K338"/>
    </row>
    <row r="339" spans="1:11" ht="15" x14ac:dyDescent="0.25">
      <c r="A339" s="90" t="s">
        <v>20</v>
      </c>
      <c r="B339" s="90" t="s">
        <v>1066</v>
      </c>
      <c r="C339" s="90">
        <v>2010338</v>
      </c>
      <c r="D339" s="251">
        <v>40480</v>
      </c>
      <c r="E339" s="251" t="s">
        <v>1060</v>
      </c>
      <c r="F339" s="252">
        <v>910.3</v>
      </c>
      <c r="H339"/>
      <c r="I339"/>
      <c r="J339"/>
      <c r="K339"/>
    </row>
    <row r="340" spans="1:11" ht="15" x14ac:dyDescent="0.25">
      <c r="A340" s="90" t="s">
        <v>20</v>
      </c>
      <c r="B340" s="90" t="s">
        <v>1061</v>
      </c>
      <c r="C340" s="90">
        <v>2010339</v>
      </c>
      <c r="D340" s="251">
        <v>40483</v>
      </c>
      <c r="E340" s="251" t="s">
        <v>1059</v>
      </c>
      <c r="F340" s="252">
        <v>1063.3699999999999</v>
      </c>
      <c r="H340"/>
      <c r="I340"/>
      <c r="J340"/>
      <c r="K340"/>
    </row>
    <row r="341" spans="1:11" ht="15" x14ac:dyDescent="0.25">
      <c r="A341" s="90" t="s">
        <v>20</v>
      </c>
      <c r="B341" s="90" t="s">
        <v>1066</v>
      </c>
      <c r="C341" s="90">
        <v>2010340</v>
      </c>
      <c r="D341" s="251">
        <v>40483</v>
      </c>
      <c r="E341" s="251" t="s">
        <v>1060</v>
      </c>
      <c r="F341" s="252">
        <v>281.88</v>
      </c>
      <c r="H341"/>
      <c r="I341"/>
      <c r="J341"/>
      <c r="K341"/>
    </row>
    <row r="342" spans="1:11" ht="15" x14ac:dyDescent="0.25">
      <c r="A342" s="90" t="s">
        <v>20</v>
      </c>
      <c r="B342" s="90" t="s">
        <v>1061</v>
      </c>
      <c r="C342" s="90">
        <v>2010341</v>
      </c>
      <c r="D342" s="251">
        <v>40483</v>
      </c>
      <c r="E342" s="251" t="s">
        <v>1060</v>
      </c>
      <c r="F342" s="252">
        <v>322.64</v>
      </c>
      <c r="H342"/>
      <c r="I342"/>
      <c r="J342"/>
      <c r="K342"/>
    </row>
    <row r="343" spans="1:11" ht="15" x14ac:dyDescent="0.25">
      <c r="A343" s="90" t="s">
        <v>20</v>
      </c>
      <c r="B343" s="90" t="s">
        <v>1065</v>
      </c>
      <c r="C343" s="90">
        <v>2010342</v>
      </c>
      <c r="D343" s="251">
        <v>40484</v>
      </c>
      <c r="E343" s="251" t="s">
        <v>1060</v>
      </c>
      <c r="F343" s="252">
        <v>831.89</v>
      </c>
      <c r="H343"/>
      <c r="I343"/>
      <c r="J343"/>
      <c r="K343"/>
    </row>
    <row r="344" spans="1:11" ht="15" x14ac:dyDescent="0.25">
      <c r="A344" s="90" t="s">
        <v>20</v>
      </c>
      <c r="B344" s="90" t="s">
        <v>1066</v>
      </c>
      <c r="C344" s="90">
        <v>2010343</v>
      </c>
      <c r="D344" s="251">
        <v>40485</v>
      </c>
      <c r="E344" s="251" t="s">
        <v>1060</v>
      </c>
      <c r="F344" s="252">
        <v>566.30999999999995</v>
      </c>
      <c r="H344"/>
      <c r="I344"/>
      <c r="J344"/>
      <c r="K344"/>
    </row>
    <row r="345" spans="1:11" ht="15" x14ac:dyDescent="0.25">
      <c r="A345" s="90" t="s">
        <v>20</v>
      </c>
      <c r="B345" s="90" t="s">
        <v>1058</v>
      </c>
      <c r="C345" s="90">
        <v>2010344</v>
      </c>
      <c r="D345" s="251">
        <v>40485</v>
      </c>
      <c r="E345" s="251" t="s">
        <v>1059</v>
      </c>
      <c r="F345" s="252">
        <v>586.03</v>
      </c>
      <c r="H345"/>
      <c r="I345"/>
      <c r="J345"/>
      <c r="K345"/>
    </row>
    <row r="346" spans="1:11" ht="15" x14ac:dyDescent="0.25">
      <c r="A346" s="90" t="s">
        <v>20</v>
      </c>
      <c r="B346" s="90" t="s">
        <v>1061</v>
      </c>
      <c r="C346" s="90">
        <v>2010345</v>
      </c>
      <c r="D346" s="251">
        <v>40486</v>
      </c>
      <c r="E346" s="251" t="s">
        <v>1060</v>
      </c>
      <c r="F346" s="252">
        <v>604.54</v>
      </c>
      <c r="H346"/>
      <c r="I346"/>
      <c r="J346"/>
      <c r="K346"/>
    </row>
    <row r="347" spans="1:11" ht="15" x14ac:dyDescent="0.25">
      <c r="A347" s="90" t="s">
        <v>22</v>
      </c>
      <c r="B347" s="90" t="s">
        <v>1064</v>
      </c>
      <c r="C347" s="90">
        <v>2010346</v>
      </c>
      <c r="D347" s="251">
        <v>40487</v>
      </c>
      <c r="E347" s="251" t="s">
        <v>1059</v>
      </c>
      <c r="F347" s="252">
        <v>233.65</v>
      </c>
      <c r="H347"/>
      <c r="I347"/>
      <c r="J347"/>
      <c r="K347"/>
    </row>
    <row r="348" spans="1:11" ht="15" x14ac:dyDescent="0.25">
      <c r="A348" s="90" t="s">
        <v>20</v>
      </c>
      <c r="B348" s="90" t="s">
        <v>1061</v>
      </c>
      <c r="C348" s="90">
        <v>2010347</v>
      </c>
      <c r="D348" s="251">
        <v>40487</v>
      </c>
      <c r="E348" s="251" t="s">
        <v>1059</v>
      </c>
      <c r="F348" s="252">
        <v>1178.8499999999999</v>
      </c>
      <c r="H348"/>
      <c r="I348"/>
      <c r="J348"/>
      <c r="K348"/>
    </row>
    <row r="349" spans="1:11" ht="15" x14ac:dyDescent="0.25">
      <c r="A349" s="90" t="s">
        <v>20</v>
      </c>
      <c r="B349" s="90" t="s">
        <v>1065</v>
      </c>
      <c r="C349" s="90">
        <v>2010348</v>
      </c>
      <c r="D349" s="251">
        <v>40490</v>
      </c>
      <c r="E349" s="251" t="s">
        <v>1060</v>
      </c>
      <c r="F349" s="252">
        <v>856.15</v>
      </c>
      <c r="H349"/>
      <c r="I349"/>
      <c r="J349"/>
      <c r="K349"/>
    </row>
    <row r="350" spans="1:11" ht="15" x14ac:dyDescent="0.25">
      <c r="A350" s="90" t="s">
        <v>20</v>
      </c>
      <c r="B350" s="90" t="s">
        <v>1065</v>
      </c>
      <c r="C350" s="90">
        <v>2010349</v>
      </c>
      <c r="D350" s="251">
        <v>40491</v>
      </c>
      <c r="E350" s="251" t="s">
        <v>1060</v>
      </c>
      <c r="F350" s="252">
        <v>291.17</v>
      </c>
      <c r="H350"/>
      <c r="I350"/>
      <c r="J350"/>
      <c r="K350"/>
    </row>
    <row r="351" spans="1:11" ht="15" x14ac:dyDescent="0.25">
      <c r="A351" s="90" t="s">
        <v>22</v>
      </c>
      <c r="B351" s="90" t="s">
        <v>1064</v>
      </c>
      <c r="C351" s="90">
        <v>2010350</v>
      </c>
      <c r="D351" s="251">
        <v>40492</v>
      </c>
      <c r="E351" s="251" t="s">
        <v>1059</v>
      </c>
      <c r="F351" s="252">
        <v>452.98</v>
      </c>
      <c r="H351"/>
      <c r="I351"/>
      <c r="J351"/>
      <c r="K351"/>
    </row>
    <row r="352" spans="1:11" ht="15" x14ac:dyDescent="0.25">
      <c r="A352" s="90" t="s">
        <v>20</v>
      </c>
      <c r="B352" s="90" t="s">
        <v>1065</v>
      </c>
      <c r="C352" s="90">
        <v>2010351</v>
      </c>
      <c r="D352" s="251">
        <v>40493</v>
      </c>
      <c r="E352" s="251" t="s">
        <v>1059</v>
      </c>
      <c r="F352" s="252">
        <v>226.95</v>
      </c>
      <c r="H352"/>
      <c r="I352"/>
      <c r="J352"/>
      <c r="K352"/>
    </row>
    <row r="353" spans="1:11" ht="15" x14ac:dyDescent="0.25">
      <c r="A353" s="90" t="s">
        <v>22</v>
      </c>
      <c r="B353" s="90" t="s">
        <v>1064</v>
      </c>
      <c r="C353" s="90">
        <v>2010352</v>
      </c>
      <c r="D353" s="251">
        <v>40497</v>
      </c>
      <c r="E353" s="251" t="s">
        <v>1059</v>
      </c>
      <c r="F353" s="252">
        <v>193.58</v>
      </c>
      <c r="H353"/>
      <c r="I353"/>
      <c r="J353"/>
      <c r="K353"/>
    </row>
    <row r="354" spans="1:11" ht="15" x14ac:dyDescent="0.25">
      <c r="A354" s="90" t="s">
        <v>20</v>
      </c>
      <c r="B354" s="90" t="s">
        <v>1065</v>
      </c>
      <c r="C354" s="90">
        <v>2010353</v>
      </c>
      <c r="D354" s="251">
        <v>40497</v>
      </c>
      <c r="E354" s="251" t="s">
        <v>1060</v>
      </c>
      <c r="F354" s="252">
        <v>1176.22</v>
      </c>
      <c r="H354"/>
      <c r="I354"/>
      <c r="J354"/>
      <c r="K354"/>
    </row>
    <row r="355" spans="1:11" ht="15" x14ac:dyDescent="0.25">
      <c r="A355" s="90" t="s">
        <v>20</v>
      </c>
      <c r="B355" s="90" t="s">
        <v>1066</v>
      </c>
      <c r="C355" s="90">
        <v>2010354</v>
      </c>
      <c r="D355" s="251">
        <v>40497</v>
      </c>
      <c r="E355" s="251" t="s">
        <v>1060</v>
      </c>
      <c r="F355" s="252">
        <v>144</v>
      </c>
      <c r="H355"/>
      <c r="I355"/>
      <c r="J355"/>
      <c r="K355"/>
    </row>
    <row r="356" spans="1:11" ht="15" x14ac:dyDescent="0.25">
      <c r="A356" s="90" t="s">
        <v>20</v>
      </c>
      <c r="B356" s="90" t="s">
        <v>1065</v>
      </c>
      <c r="C356" s="90">
        <v>2010355</v>
      </c>
      <c r="D356" s="251">
        <v>40498</v>
      </c>
      <c r="E356" s="251" t="s">
        <v>1060</v>
      </c>
      <c r="F356" s="252">
        <v>629.21</v>
      </c>
      <c r="H356"/>
      <c r="I356"/>
      <c r="J356"/>
      <c r="K356"/>
    </row>
    <row r="357" spans="1:11" ht="15" x14ac:dyDescent="0.25">
      <c r="A357" s="90" t="s">
        <v>20</v>
      </c>
      <c r="B357" s="90" t="s">
        <v>1066</v>
      </c>
      <c r="C357" s="90">
        <v>2010356</v>
      </c>
      <c r="D357" s="251">
        <v>40499</v>
      </c>
      <c r="E357" s="251" t="s">
        <v>1060</v>
      </c>
      <c r="F357" s="252">
        <v>944.04</v>
      </c>
      <c r="H357"/>
      <c r="I357"/>
      <c r="J357"/>
      <c r="K357"/>
    </row>
    <row r="358" spans="1:11" ht="15" x14ac:dyDescent="0.25">
      <c r="A358" s="90" t="s">
        <v>20</v>
      </c>
      <c r="B358" s="90" t="s">
        <v>1065</v>
      </c>
      <c r="C358" s="90">
        <v>2010357</v>
      </c>
      <c r="D358" s="251">
        <v>40500</v>
      </c>
      <c r="E358" s="251" t="s">
        <v>1059</v>
      </c>
      <c r="F358" s="252">
        <v>986.49</v>
      </c>
      <c r="H358"/>
      <c r="I358"/>
      <c r="J358"/>
      <c r="K358"/>
    </row>
    <row r="359" spans="1:11" ht="15" x14ac:dyDescent="0.25">
      <c r="A359" s="90" t="s">
        <v>22</v>
      </c>
      <c r="B359" s="90" t="s">
        <v>1064</v>
      </c>
      <c r="C359" s="90">
        <v>2010358</v>
      </c>
      <c r="D359" s="251">
        <v>40501</v>
      </c>
      <c r="E359" s="251" t="s">
        <v>1059</v>
      </c>
      <c r="F359" s="252">
        <v>718.89</v>
      </c>
      <c r="H359"/>
      <c r="I359"/>
      <c r="J359"/>
      <c r="K359"/>
    </row>
    <row r="360" spans="1:11" ht="15" x14ac:dyDescent="0.25">
      <c r="A360" s="90" t="s">
        <v>20</v>
      </c>
      <c r="B360" s="90" t="s">
        <v>1065</v>
      </c>
      <c r="C360" s="90">
        <v>2010359</v>
      </c>
      <c r="D360" s="251">
        <v>40504</v>
      </c>
      <c r="E360" s="251" t="s">
        <v>1060</v>
      </c>
      <c r="F360" s="252">
        <v>546.03</v>
      </c>
      <c r="H360"/>
      <c r="I360"/>
      <c r="J360"/>
      <c r="K360"/>
    </row>
    <row r="361" spans="1:11" ht="15" x14ac:dyDescent="0.25">
      <c r="A361" s="90" t="s">
        <v>20</v>
      </c>
      <c r="B361" s="90" t="s">
        <v>1061</v>
      </c>
      <c r="C361" s="90">
        <v>2010360</v>
      </c>
      <c r="D361" s="251">
        <v>40504</v>
      </c>
      <c r="E361" s="251" t="s">
        <v>1059</v>
      </c>
      <c r="F361" s="252">
        <v>633.49</v>
      </c>
      <c r="H361"/>
      <c r="I361"/>
      <c r="J361"/>
      <c r="K361"/>
    </row>
    <row r="362" spans="1:11" ht="15" x14ac:dyDescent="0.25">
      <c r="A362" s="90" t="s">
        <v>20</v>
      </c>
      <c r="B362" s="90" t="s">
        <v>1065</v>
      </c>
      <c r="C362" s="90">
        <v>2010361</v>
      </c>
      <c r="D362" s="251">
        <v>40504</v>
      </c>
      <c r="E362" s="251" t="s">
        <v>1060</v>
      </c>
      <c r="F362" s="252">
        <v>282.43</v>
      </c>
      <c r="H362"/>
      <c r="I362"/>
      <c r="J362"/>
      <c r="K362"/>
    </row>
    <row r="363" spans="1:11" ht="15" x14ac:dyDescent="0.25">
      <c r="A363" s="90" t="s">
        <v>20</v>
      </c>
      <c r="B363" s="90" t="s">
        <v>1066</v>
      </c>
      <c r="C363" s="90">
        <v>2010362</v>
      </c>
      <c r="D363" s="251">
        <v>40504</v>
      </c>
      <c r="E363" s="251" t="s">
        <v>1060</v>
      </c>
      <c r="F363" s="252">
        <v>530.26</v>
      </c>
      <c r="H363"/>
      <c r="I363"/>
      <c r="J363"/>
      <c r="K363"/>
    </row>
    <row r="364" spans="1:11" ht="15" x14ac:dyDescent="0.25">
      <c r="A364" s="90" t="s">
        <v>20</v>
      </c>
      <c r="B364" s="90" t="s">
        <v>1061</v>
      </c>
      <c r="C364" s="90">
        <v>2010363</v>
      </c>
      <c r="D364" s="251">
        <v>40505</v>
      </c>
      <c r="E364" s="251" t="s">
        <v>1060</v>
      </c>
      <c r="F364" s="252">
        <v>864.27</v>
      </c>
      <c r="H364"/>
      <c r="I364"/>
      <c r="J364"/>
      <c r="K364"/>
    </row>
    <row r="365" spans="1:11" ht="15" x14ac:dyDescent="0.25">
      <c r="A365" s="90" t="s">
        <v>22</v>
      </c>
      <c r="B365" s="90" t="s">
        <v>1062</v>
      </c>
      <c r="C365" s="90">
        <v>2010364</v>
      </c>
      <c r="D365" s="251">
        <v>40507</v>
      </c>
      <c r="E365" s="251" t="s">
        <v>1060</v>
      </c>
      <c r="F365" s="252">
        <v>1080.0899999999999</v>
      </c>
      <c r="H365"/>
      <c r="I365"/>
      <c r="J365"/>
      <c r="K365"/>
    </row>
    <row r="366" spans="1:11" ht="15" x14ac:dyDescent="0.25">
      <c r="A366" s="90" t="s">
        <v>20</v>
      </c>
      <c r="B366" s="90" t="s">
        <v>1061</v>
      </c>
      <c r="C366" s="90">
        <v>2010365</v>
      </c>
      <c r="D366" s="251">
        <v>40508</v>
      </c>
      <c r="E366" s="251" t="s">
        <v>1060</v>
      </c>
      <c r="F366" s="252">
        <v>986.16</v>
      </c>
      <c r="H366"/>
      <c r="I366"/>
      <c r="J366"/>
      <c r="K366"/>
    </row>
    <row r="367" spans="1:11" ht="15" x14ac:dyDescent="0.25">
      <c r="A367" s="90" t="s">
        <v>20</v>
      </c>
      <c r="B367" s="90" t="s">
        <v>1063</v>
      </c>
      <c r="C367" s="90">
        <v>2010366</v>
      </c>
      <c r="D367" s="251">
        <v>40513</v>
      </c>
      <c r="E367" s="251" t="s">
        <v>1059</v>
      </c>
      <c r="F367" s="252">
        <v>1151.55</v>
      </c>
      <c r="H367"/>
      <c r="I367"/>
      <c r="J367"/>
      <c r="K367"/>
    </row>
    <row r="368" spans="1:11" ht="15" x14ac:dyDescent="0.25">
      <c r="A368" s="90" t="s">
        <v>20</v>
      </c>
      <c r="B368" s="90" t="s">
        <v>1063</v>
      </c>
      <c r="C368" s="90">
        <v>2010367</v>
      </c>
      <c r="D368" s="251">
        <v>40514</v>
      </c>
      <c r="E368" s="251" t="s">
        <v>1060</v>
      </c>
      <c r="F368" s="252">
        <v>1086.97</v>
      </c>
      <c r="H368"/>
      <c r="I368"/>
      <c r="J368"/>
      <c r="K368"/>
    </row>
    <row r="369" spans="1:11" ht="15" x14ac:dyDescent="0.25">
      <c r="A369" s="90" t="s">
        <v>20</v>
      </c>
      <c r="B369" s="90" t="s">
        <v>1061</v>
      </c>
      <c r="C369" s="90">
        <v>2010368</v>
      </c>
      <c r="D369" s="251">
        <v>40514</v>
      </c>
      <c r="E369" s="251" t="s">
        <v>1060</v>
      </c>
      <c r="F369" s="252">
        <v>1169.26</v>
      </c>
      <c r="H369"/>
      <c r="I369"/>
      <c r="J369"/>
      <c r="K369"/>
    </row>
    <row r="370" spans="1:11" ht="15" x14ac:dyDescent="0.25">
      <c r="A370" s="90" t="s">
        <v>20</v>
      </c>
      <c r="B370" s="90" t="s">
        <v>1061</v>
      </c>
      <c r="C370" s="90">
        <v>2010369</v>
      </c>
      <c r="D370" s="251">
        <v>40516</v>
      </c>
      <c r="E370" s="251" t="s">
        <v>1060</v>
      </c>
      <c r="F370" s="252">
        <v>319.42</v>
      </c>
      <c r="H370"/>
      <c r="I370"/>
      <c r="J370"/>
      <c r="K370"/>
    </row>
    <row r="371" spans="1:11" ht="15" x14ac:dyDescent="0.25">
      <c r="A371" s="90" t="s">
        <v>20</v>
      </c>
      <c r="B371" s="90" t="s">
        <v>1066</v>
      </c>
      <c r="C371" s="90">
        <v>2010370</v>
      </c>
      <c r="D371" s="251">
        <v>40517</v>
      </c>
      <c r="E371" s="251" t="s">
        <v>1059</v>
      </c>
      <c r="F371" s="252">
        <v>420.23</v>
      </c>
      <c r="H371"/>
      <c r="I371"/>
      <c r="J371"/>
      <c r="K371"/>
    </row>
    <row r="372" spans="1:11" ht="15" x14ac:dyDescent="0.25">
      <c r="A372" s="90" t="s">
        <v>20</v>
      </c>
      <c r="B372" s="90" t="s">
        <v>1065</v>
      </c>
      <c r="C372" s="90">
        <v>2010371</v>
      </c>
      <c r="D372" s="251">
        <v>40517</v>
      </c>
      <c r="E372" s="251" t="s">
        <v>1059</v>
      </c>
      <c r="F372" s="252">
        <v>931.86</v>
      </c>
      <c r="H372"/>
      <c r="I372"/>
      <c r="J372"/>
      <c r="K372"/>
    </row>
    <row r="373" spans="1:11" ht="15" x14ac:dyDescent="0.25">
      <c r="A373" s="90" t="s">
        <v>20</v>
      </c>
      <c r="B373" s="90" t="s">
        <v>1066</v>
      </c>
      <c r="C373" s="90">
        <v>2010372</v>
      </c>
      <c r="D373" s="251">
        <v>40517</v>
      </c>
      <c r="E373" s="251" t="s">
        <v>1060</v>
      </c>
      <c r="F373" s="252">
        <v>614.13</v>
      </c>
      <c r="H373"/>
      <c r="I373"/>
      <c r="J373"/>
      <c r="K373"/>
    </row>
    <row r="374" spans="1:11" ht="15" x14ac:dyDescent="0.25">
      <c r="A374" s="90" t="s">
        <v>22</v>
      </c>
      <c r="B374" s="90" t="s">
        <v>1062</v>
      </c>
      <c r="C374" s="90">
        <v>2010373</v>
      </c>
      <c r="D374" s="251">
        <v>40517</v>
      </c>
      <c r="E374" s="251" t="s">
        <v>1059</v>
      </c>
      <c r="F374" s="252">
        <v>835.47</v>
      </c>
      <c r="H374"/>
      <c r="I374"/>
      <c r="J374"/>
      <c r="K374"/>
    </row>
    <row r="375" spans="1:11" ht="15" x14ac:dyDescent="0.25">
      <c r="A375" s="90" t="s">
        <v>20</v>
      </c>
      <c r="B375" s="90" t="s">
        <v>1065</v>
      </c>
      <c r="C375" s="90">
        <v>2010374</v>
      </c>
      <c r="D375" s="251">
        <v>40520</v>
      </c>
      <c r="E375" s="251" t="s">
        <v>1060</v>
      </c>
      <c r="F375" s="252">
        <v>688.01</v>
      </c>
      <c r="H375"/>
      <c r="I375"/>
      <c r="J375"/>
      <c r="K375"/>
    </row>
    <row r="376" spans="1:11" ht="15" x14ac:dyDescent="0.25">
      <c r="A376" s="90" t="s">
        <v>20</v>
      </c>
      <c r="B376" s="90" t="s">
        <v>1061</v>
      </c>
      <c r="C376" s="90">
        <v>2010375</v>
      </c>
      <c r="D376" s="251">
        <v>40520</v>
      </c>
      <c r="E376" s="251" t="s">
        <v>1059</v>
      </c>
      <c r="F376" s="252">
        <v>252.6</v>
      </c>
      <c r="H376"/>
      <c r="I376"/>
      <c r="J376"/>
      <c r="K376"/>
    </row>
    <row r="377" spans="1:11" ht="15" x14ac:dyDescent="0.25">
      <c r="A377" s="90" t="s">
        <v>20</v>
      </c>
      <c r="B377" s="90" t="s">
        <v>1058</v>
      </c>
      <c r="C377" s="90">
        <v>2010376</v>
      </c>
      <c r="D377" s="251">
        <v>40522</v>
      </c>
      <c r="E377" s="251" t="s">
        <v>1060</v>
      </c>
      <c r="F377" s="252">
        <v>255.68</v>
      </c>
      <c r="H377"/>
      <c r="I377"/>
      <c r="J377"/>
      <c r="K377"/>
    </row>
    <row r="378" spans="1:11" ht="15" x14ac:dyDescent="0.25">
      <c r="A378" s="90" t="s">
        <v>22</v>
      </c>
      <c r="B378" s="90" t="s">
        <v>1067</v>
      </c>
      <c r="C378" s="90">
        <v>2010377</v>
      </c>
      <c r="D378" s="251">
        <v>40523</v>
      </c>
      <c r="E378" s="251" t="s">
        <v>1059</v>
      </c>
      <c r="F378" s="252">
        <v>858.38</v>
      </c>
      <c r="H378"/>
      <c r="I378"/>
      <c r="J378"/>
      <c r="K378"/>
    </row>
    <row r="379" spans="1:11" ht="15" x14ac:dyDescent="0.25">
      <c r="A379" s="90" t="s">
        <v>20</v>
      </c>
      <c r="B379" s="90" t="s">
        <v>1063</v>
      </c>
      <c r="C379" s="90">
        <v>2010378</v>
      </c>
      <c r="D379" s="251">
        <v>40527</v>
      </c>
      <c r="E379" s="251" t="s">
        <v>1059</v>
      </c>
      <c r="F379" s="252">
        <v>985.24</v>
      </c>
      <c r="H379"/>
      <c r="I379"/>
      <c r="J379"/>
      <c r="K379"/>
    </row>
    <row r="380" spans="1:11" ht="15" x14ac:dyDescent="0.25">
      <c r="A380" s="90" t="s">
        <v>20</v>
      </c>
      <c r="B380" s="90" t="s">
        <v>1066</v>
      </c>
      <c r="C380" s="90">
        <v>2010379</v>
      </c>
      <c r="D380" s="251">
        <v>40528</v>
      </c>
      <c r="E380" s="251" t="s">
        <v>1060</v>
      </c>
      <c r="F380" s="252">
        <v>31.08</v>
      </c>
      <c r="H380"/>
      <c r="I380"/>
      <c r="J380"/>
      <c r="K380"/>
    </row>
    <row r="381" spans="1:11" ht="15" x14ac:dyDescent="0.25">
      <c r="A381" s="90" t="s">
        <v>20</v>
      </c>
      <c r="B381" s="90" t="s">
        <v>1058</v>
      </c>
      <c r="C381" s="90">
        <v>2010380</v>
      </c>
      <c r="D381" s="251">
        <v>40528</v>
      </c>
      <c r="E381" s="251" t="s">
        <v>1060</v>
      </c>
      <c r="F381" s="252">
        <v>80.290000000000006</v>
      </c>
      <c r="H381"/>
      <c r="I381"/>
      <c r="J381"/>
      <c r="K381"/>
    </row>
    <row r="382" spans="1:11" ht="15" x14ac:dyDescent="0.25">
      <c r="A382" s="90" t="s">
        <v>20</v>
      </c>
      <c r="B382" s="90" t="s">
        <v>1065</v>
      </c>
      <c r="C382" s="90">
        <v>2010381</v>
      </c>
      <c r="D382" s="251">
        <v>40528</v>
      </c>
      <c r="E382" s="251" t="s">
        <v>1059</v>
      </c>
      <c r="F382" s="252">
        <v>1120.23</v>
      </c>
      <c r="H382"/>
      <c r="I382"/>
      <c r="J382"/>
      <c r="K382"/>
    </row>
    <row r="383" spans="1:11" ht="15" x14ac:dyDescent="0.25">
      <c r="A383" s="90" t="s">
        <v>20</v>
      </c>
      <c r="B383" s="90" t="s">
        <v>1065</v>
      </c>
      <c r="C383" s="90">
        <v>2010382</v>
      </c>
      <c r="D383" s="251">
        <v>40529</v>
      </c>
      <c r="E383" s="251" t="s">
        <v>1060</v>
      </c>
      <c r="F383" s="252">
        <v>905.95</v>
      </c>
      <c r="H383"/>
      <c r="I383"/>
      <c r="J383"/>
      <c r="K383"/>
    </row>
    <row r="384" spans="1:11" ht="15" x14ac:dyDescent="0.25">
      <c r="A384" s="90" t="s">
        <v>20</v>
      </c>
      <c r="B384" s="90" t="s">
        <v>1066</v>
      </c>
      <c r="C384" s="90">
        <v>2010383</v>
      </c>
      <c r="D384" s="251">
        <v>40529</v>
      </c>
      <c r="E384" s="251" t="s">
        <v>1060</v>
      </c>
      <c r="F384" s="252">
        <v>410.35</v>
      </c>
      <c r="H384"/>
      <c r="I384"/>
      <c r="J384"/>
      <c r="K384"/>
    </row>
    <row r="385" spans="1:11" ht="15" x14ac:dyDescent="0.25">
      <c r="A385" s="90" t="s">
        <v>20</v>
      </c>
      <c r="B385" s="90" t="s">
        <v>1066</v>
      </c>
      <c r="C385" s="90">
        <v>2010384</v>
      </c>
      <c r="D385" s="251">
        <v>40530</v>
      </c>
      <c r="E385" s="251" t="s">
        <v>1059</v>
      </c>
      <c r="F385" s="252">
        <v>306.27999999999997</v>
      </c>
      <c r="H385"/>
      <c r="I385"/>
      <c r="J385"/>
      <c r="K385"/>
    </row>
    <row r="386" spans="1:11" ht="15" x14ac:dyDescent="0.25">
      <c r="A386" s="90" t="s">
        <v>20</v>
      </c>
      <c r="B386" s="90" t="s">
        <v>1065</v>
      </c>
      <c r="C386" s="90">
        <v>2010385</v>
      </c>
      <c r="D386" s="251">
        <v>40530</v>
      </c>
      <c r="E386" s="251" t="s">
        <v>1060</v>
      </c>
      <c r="F386" s="252">
        <v>1081</v>
      </c>
      <c r="H386"/>
      <c r="I386"/>
      <c r="J386"/>
      <c r="K386"/>
    </row>
    <row r="387" spans="1:11" ht="15" x14ac:dyDescent="0.25">
      <c r="A387" s="90" t="s">
        <v>22</v>
      </c>
      <c r="B387" s="90" t="s">
        <v>1062</v>
      </c>
      <c r="C387" s="90">
        <v>2010386</v>
      </c>
      <c r="D387" s="251">
        <v>40531</v>
      </c>
      <c r="E387" s="251" t="s">
        <v>1060</v>
      </c>
      <c r="F387" s="252">
        <v>500.88</v>
      </c>
      <c r="H387"/>
      <c r="I387"/>
      <c r="J387"/>
      <c r="K387"/>
    </row>
    <row r="388" spans="1:11" ht="15" x14ac:dyDescent="0.25">
      <c r="A388" s="90" t="s">
        <v>20</v>
      </c>
      <c r="B388" s="90" t="s">
        <v>1058</v>
      </c>
      <c r="C388" s="90">
        <v>2010387</v>
      </c>
      <c r="D388" s="251">
        <v>40534</v>
      </c>
      <c r="E388" s="251" t="s">
        <v>1060</v>
      </c>
      <c r="F388" s="252">
        <v>165.66</v>
      </c>
      <c r="H388"/>
      <c r="I388"/>
      <c r="J388"/>
      <c r="K388"/>
    </row>
    <row r="389" spans="1:11" ht="15" x14ac:dyDescent="0.25">
      <c r="A389" s="90" t="s">
        <v>20</v>
      </c>
      <c r="B389" s="90" t="s">
        <v>1066</v>
      </c>
      <c r="C389" s="90">
        <v>2010388</v>
      </c>
      <c r="D389" s="251">
        <v>40534</v>
      </c>
      <c r="E389" s="251" t="s">
        <v>1059</v>
      </c>
      <c r="F389" s="252">
        <v>1162.68</v>
      </c>
      <c r="H389"/>
      <c r="I389"/>
      <c r="J389"/>
      <c r="K389"/>
    </row>
    <row r="390" spans="1:11" ht="15" x14ac:dyDescent="0.25">
      <c r="A390" s="90" t="s">
        <v>20</v>
      </c>
      <c r="B390" s="90" t="s">
        <v>1063</v>
      </c>
      <c r="C390" s="90">
        <v>2010389</v>
      </c>
      <c r="D390" s="251">
        <v>40535</v>
      </c>
      <c r="E390" s="251" t="s">
        <v>1059</v>
      </c>
      <c r="F390" s="252">
        <v>610</v>
      </c>
      <c r="H390"/>
      <c r="I390"/>
      <c r="J390"/>
      <c r="K390"/>
    </row>
    <row r="391" spans="1:11" ht="15" x14ac:dyDescent="0.25">
      <c r="A391" s="90" t="s">
        <v>20</v>
      </c>
      <c r="B391" s="90" t="s">
        <v>1061</v>
      </c>
      <c r="C391" s="90">
        <v>2010390</v>
      </c>
      <c r="D391" s="251">
        <v>40535</v>
      </c>
      <c r="E391" s="251" t="s">
        <v>1059</v>
      </c>
      <c r="F391" s="252">
        <v>596.38</v>
      </c>
      <c r="H391"/>
      <c r="I391"/>
      <c r="J391"/>
      <c r="K391"/>
    </row>
    <row r="392" spans="1:11" ht="15" x14ac:dyDescent="0.25">
      <c r="A392" s="90" t="s">
        <v>20</v>
      </c>
      <c r="B392" s="90" t="s">
        <v>1066</v>
      </c>
      <c r="C392" s="90">
        <v>2010391</v>
      </c>
      <c r="D392" s="251">
        <v>40536</v>
      </c>
      <c r="E392" s="251" t="s">
        <v>1060</v>
      </c>
      <c r="F392" s="252">
        <v>866.8</v>
      </c>
      <c r="H392"/>
      <c r="I392"/>
      <c r="J392"/>
      <c r="K392"/>
    </row>
    <row r="393" spans="1:11" ht="15" x14ac:dyDescent="0.25">
      <c r="A393" s="90" t="s">
        <v>20</v>
      </c>
      <c r="B393" s="90" t="s">
        <v>1063</v>
      </c>
      <c r="C393" s="90">
        <v>2010392</v>
      </c>
      <c r="D393" s="251">
        <v>40536</v>
      </c>
      <c r="E393" s="251" t="s">
        <v>1059</v>
      </c>
      <c r="F393" s="252">
        <v>1068.97</v>
      </c>
      <c r="H393"/>
      <c r="I393"/>
      <c r="J393"/>
      <c r="K393"/>
    </row>
    <row r="394" spans="1:11" ht="15" x14ac:dyDescent="0.25">
      <c r="A394" s="90" t="s">
        <v>20</v>
      </c>
      <c r="B394" s="90" t="s">
        <v>1058</v>
      </c>
      <c r="C394" s="90">
        <v>2010393</v>
      </c>
      <c r="D394" s="251">
        <v>40538</v>
      </c>
      <c r="E394" s="251" t="s">
        <v>1060</v>
      </c>
      <c r="F394" s="252">
        <v>955.86</v>
      </c>
      <c r="H394"/>
      <c r="I394"/>
      <c r="J394"/>
      <c r="K394"/>
    </row>
    <row r="395" spans="1:11" ht="15" x14ac:dyDescent="0.25">
      <c r="A395" s="90" t="s">
        <v>20</v>
      </c>
      <c r="B395" s="90" t="s">
        <v>1058</v>
      </c>
      <c r="C395" s="90">
        <v>2010394</v>
      </c>
      <c r="D395" s="251">
        <v>40541</v>
      </c>
      <c r="E395" s="251" t="s">
        <v>1060</v>
      </c>
      <c r="F395" s="252">
        <v>561.88</v>
      </c>
      <c r="H395"/>
      <c r="I395"/>
      <c r="J395"/>
      <c r="K395"/>
    </row>
    <row r="396" spans="1:11" ht="15" x14ac:dyDescent="0.25">
      <c r="A396" s="90" t="s">
        <v>20</v>
      </c>
      <c r="B396" s="90" t="s">
        <v>1058</v>
      </c>
      <c r="C396" s="90">
        <v>2010395</v>
      </c>
      <c r="D396" s="251">
        <v>40541</v>
      </c>
      <c r="E396" s="251" t="s">
        <v>1060</v>
      </c>
      <c r="F396" s="252">
        <v>289.97000000000003</v>
      </c>
      <c r="H396"/>
      <c r="I396"/>
      <c r="J396"/>
      <c r="K396"/>
    </row>
    <row r="397" spans="1:11" ht="15" x14ac:dyDescent="0.25">
      <c r="A397" s="90" t="s">
        <v>22</v>
      </c>
      <c r="B397" s="90" t="s">
        <v>1064</v>
      </c>
      <c r="C397" s="90">
        <v>2010396</v>
      </c>
      <c r="D397" s="251">
        <v>40541</v>
      </c>
      <c r="E397" s="251" t="s">
        <v>1059</v>
      </c>
      <c r="F397" s="252">
        <v>103.75</v>
      </c>
      <c r="H397"/>
      <c r="I397"/>
      <c r="J397"/>
      <c r="K397"/>
    </row>
    <row r="398" spans="1:11" ht="15" x14ac:dyDescent="0.25">
      <c r="A398" s="90" t="s">
        <v>22</v>
      </c>
      <c r="B398" s="90" t="s">
        <v>1068</v>
      </c>
      <c r="C398" s="90">
        <v>2010397</v>
      </c>
      <c r="D398" s="251">
        <v>40542</v>
      </c>
      <c r="E398" s="251" t="s">
        <v>1059</v>
      </c>
      <c r="F398" s="252">
        <v>147.26</v>
      </c>
      <c r="H398"/>
      <c r="I398"/>
      <c r="J398"/>
      <c r="K398"/>
    </row>
    <row r="399" spans="1:11" ht="15" x14ac:dyDescent="0.25">
      <c r="A399" s="90" t="s">
        <v>22</v>
      </c>
      <c r="B399" s="90" t="s">
        <v>1067</v>
      </c>
      <c r="C399" s="90">
        <v>2010398</v>
      </c>
      <c r="D399" s="251">
        <v>40542</v>
      </c>
      <c r="E399" s="251" t="s">
        <v>1059</v>
      </c>
      <c r="F399" s="252">
        <v>14.28</v>
      </c>
      <c r="H399"/>
      <c r="I399"/>
      <c r="J399"/>
      <c r="K399"/>
    </row>
    <row r="400" spans="1:11" ht="15" x14ac:dyDescent="0.25">
      <c r="A400" s="90" t="s">
        <v>20</v>
      </c>
      <c r="B400" s="90" t="s">
        <v>1063</v>
      </c>
      <c r="C400" s="90">
        <v>2010399</v>
      </c>
      <c r="D400" s="251">
        <v>40543</v>
      </c>
      <c r="E400" s="251" t="s">
        <v>1060</v>
      </c>
      <c r="F400" s="252">
        <v>289.33999999999997</v>
      </c>
      <c r="H400"/>
      <c r="I400"/>
      <c r="J400"/>
      <c r="K400"/>
    </row>
    <row r="401" spans="1:11" ht="15" x14ac:dyDescent="0.25">
      <c r="A401" s="90" t="s">
        <v>20</v>
      </c>
      <c r="B401" s="90" t="s">
        <v>1066</v>
      </c>
      <c r="C401" s="90">
        <v>2011001</v>
      </c>
      <c r="D401" s="251">
        <v>40546</v>
      </c>
      <c r="E401" s="251" t="s">
        <v>1059</v>
      </c>
      <c r="F401" s="252">
        <v>645.42999999999995</v>
      </c>
      <c r="H401"/>
      <c r="I401"/>
      <c r="J401"/>
      <c r="K401"/>
    </row>
    <row r="402" spans="1:11" ht="15" x14ac:dyDescent="0.25">
      <c r="A402" s="90" t="s">
        <v>20</v>
      </c>
      <c r="B402" s="90" t="s">
        <v>1066</v>
      </c>
      <c r="C402" s="90">
        <v>2011002</v>
      </c>
      <c r="D402" s="251">
        <v>40546</v>
      </c>
      <c r="E402" s="251" t="s">
        <v>1059</v>
      </c>
      <c r="F402" s="252">
        <v>482.77</v>
      </c>
      <c r="H402"/>
      <c r="I402"/>
      <c r="J402"/>
      <c r="K402"/>
    </row>
    <row r="403" spans="1:11" ht="15" x14ac:dyDescent="0.25">
      <c r="A403" s="90" t="s">
        <v>20</v>
      </c>
      <c r="B403" s="90" t="s">
        <v>1066</v>
      </c>
      <c r="C403" s="90">
        <v>2011003</v>
      </c>
      <c r="D403" s="251">
        <v>40546</v>
      </c>
      <c r="E403" s="251" t="s">
        <v>1060</v>
      </c>
      <c r="F403" s="252">
        <v>98.86</v>
      </c>
      <c r="H403"/>
      <c r="I403"/>
      <c r="J403"/>
      <c r="K403"/>
    </row>
    <row r="404" spans="1:11" ht="15" x14ac:dyDescent="0.25">
      <c r="A404" s="90" t="s">
        <v>20</v>
      </c>
      <c r="B404" s="90" t="s">
        <v>1058</v>
      </c>
      <c r="C404" s="90">
        <v>2011004</v>
      </c>
      <c r="D404" s="251">
        <v>40546</v>
      </c>
      <c r="E404" s="251" t="s">
        <v>1060</v>
      </c>
      <c r="F404" s="252">
        <v>540.79</v>
      </c>
      <c r="H404"/>
      <c r="I404"/>
      <c r="J404"/>
      <c r="K404"/>
    </row>
    <row r="405" spans="1:11" ht="15" x14ac:dyDescent="0.25">
      <c r="A405" s="90" t="s">
        <v>22</v>
      </c>
      <c r="B405" s="90" t="s">
        <v>1069</v>
      </c>
      <c r="C405" s="90">
        <v>2011005</v>
      </c>
      <c r="D405" s="251">
        <v>40548</v>
      </c>
      <c r="E405" s="251" t="s">
        <v>1060</v>
      </c>
      <c r="F405" s="252">
        <v>284.70999999999998</v>
      </c>
      <c r="H405"/>
      <c r="I405"/>
      <c r="J405"/>
      <c r="K405"/>
    </row>
    <row r="406" spans="1:11" ht="15" x14ac:dyDescent="0.25">
      <c r="A406" s="90" t="s">
        <v>20</v>
      </c>
      <c r="B406" s="90" t="s">
        <v>1061</v>
      </c>
      <c r="C406" s="90">
        <v>2011006</v>
      </c>
      <c r="D406" s="251">
        <v>40553</v>
      </c>
      <c r="E406" s="251" t="s">
        <v>1060</v>
      </c>
      <c r="F406" s="252">
        <v>799.6</v>
      </c>
      <c r="H406"/>
      <c r="I406"/>
      <c r="J406"/>
      <c r="K406"/>
    </row>
    <row r="407" spans="1:11" ht="15" x14ac:dyDescent="0.25">
      <c r="A407" s="90" t="s">
        <v>22</v>
      </c>
      <c r="B407" s="90" t="s">
        <v>1064</v>
      </c>
      <c r="C407" s="90">
        <v>2011007</v>
      </c>
      <c r="D407" s="251">
        <v>40553</v>
      </c>
      <c r="E407" s="251" t="s">
        <v>1059</v>
      </c>
      <c r="F407" s="252">
        <v>1026.8399999999999</v>
      </c>
      <c r="H407"/>
      <c r="I407"/>
      <c r="J407"/>
      <c r="K407"/>
    </row>
    <row r="408" spans="1:11" ht="15" x14ac:dyDescent="0.25">
      <c r="A408" s="90" t="s">
        <v>20</v>
      </c>
      <c r="B408" s="90" t="s">
        <v>1061</v>
      </c>
      <c r="C408" s="90">
        <v>2011008</v>
      </c>
      <c r="D408" s="251">
        <v>40554</v>
      </c>
      <c r="E408" s="251" t="s">
        <v>1059</v>
      </c>
      <c r="F408" s="252">
        <v>795.42</v>
      </c>
      <c r="H408"/>
      <c r="I408"/>
      <c r="J408"/>
      <c r="K408"/>
    </row>
    <row r="409" spans="1:11" ht="15" x14ac:dyDescent="0.25">
      <c r="A409" s="90" t="s">
        <v>20</v>
      </c>
      <c r="B409" s="90" t="s">
        <v>1063</v>
      </c>
      <c r="C409" s="90">
        <v>2011009</v>
      </c>
      <c r="D409" s="251">
        <v>40554</v>
      </c>
      <c r="E409" s="251" t="s">
        <v>1060</v>
      </c>
      <c r="F409" s="252">
        <v>508.43</v>
      </c>
      <c r="H409"/>
      <c r="I409"/>
      <c r="J409"/>
      <c r="K409"/>
    </row>
    <row r="410" spans="1:11" ht="15" x14ac:dyDescent="0.25">
      <c r="A410" s="90" t="s">
        <v>22</v>
      </c>
      <c r="B410" s="90" t="s">
        <v>1070</v>
      </c>
      <c r="C410" s="90">
        <v>2011010</v>
      </c>
      <c r="D410" s="251">
        <v>40554</v>
      </c>
      <c r="E410" s="251" t="s">
        <v>1059</v>
      </c>
      <c r="F410" s="252">
        <v>313.36</v>
      </c>
      <c r="H410"/>
      <c r="I410"/>
      <c r="J410"/>
      <c r="K410"/>
    </row>
    <row r="411" spans="1:11" ht="15" x14ac:dyDescent="0.25">
      <c r="A411" s="90" t="s">
        <v>20</v>
      </c>
      <c r="B411" s="90" t="s">
        <v>1061</v>
      </c>
      <c r="C411" s="90">
        <v>2011011</v>
      </c>
      <c r="D411" s="251">
        <v>40555</v>
      </c>
      <c r="E411" s="251" t="s">
        <v>1059</v>
      </c>
      <c r="F411" s="252">
        <v>424.5</v>
      </c>
      <c r="H411"/>
      <c r="I411"/>
      <c r="J411"/>
      <c r="K411"/>
    </row>
    <row r="412" spans="1:11" ht="15" x14ac:dyDescent="0.25">
      <c r="A412" s="90" t="s">
        <v>20</v>
      </c>
      <c r="B412" s="90" t="s">
        <v>1066</v>
      </c>
      <c r="C412" s="90">
        <v>2011012</v>
      </c>
      <c r="D412" s="251">
        <v>40556</v>
      </c>
      <c r="E412" s="251" t="s">
        <v>1060</v>
      </c>
      <c r="F412" s="252">
        <v>821.24</v>
      </c>
      <c r="H412"/>
      <c r="I412"/>
      <c r="J412"/>
      <c r="K412"/>
    </row>
    <row r="413" spans="1:11" ht="15" x14ac:dyDescent="0.25">
      <c r="A413" s="90" t="s">
        <v>20</v>
      </c>
      <c r="B413" s="90" t="s">
        <v>1058</v>
      </c>
      <c r="C413" s="90">
        <v>2011013</v>
      </c>
      <c r="D413" s="251">
        <v>40556</v>
      </c>
      <c r="E413" s="251" t="s">
        <v>1059</v>
      </c>
      <c r="F413" s="252">
        <v>745.75</v>
      </c>
      <c r="H413"/>
      <c r="I413"/>
      <c r="J413"/>
      <c r="K413"/>
    </row>
    <row r="414" spans="1:11" ht="15" x14ac:dyDescent="0.25">
      <c r="A414" s="90" t="s">
        <v>20</v>
      </c>
      <c r="B414" s="90" t="s">
        <v>1058</v>
      </c>
      <c r="C414" s="90">
        <v>2011014</v>
      </c>
      <c r="D414" s="251">
        <v>40556</v>
      </c>
      <c r="E414" s="251" t="s">
        <v>1059</v>
      </c>
      <c r="F414" s="252">
        <v>370.71</v>
      </c>
      <c r="H414"/>
      <c r="I414"/>
      <c r="J414"/>
      <c r="K414"/>
    </row>
    <row r="415" spans="1:11" ht="15" x14ac:dyDescent="0.25">
      <c r="A415" s="90" t="s">
        <v>22</v>
      </c>
      <c r="B415" s="90" t="s">
        <v>1062</v>
      </c>
      <c r="C415" s="90">
        <v>2011015</v>
      </c>
      <c r="D415" s="251">
        <v>40556</v>
      </c>
      <c r="E415" s="251" t="s">
        <v>1060</v>
      </c>
      <c r="F415" s="252">
        <v>962.4</v>
      </c>
      <c r="H415"/>
      <c r="I415"/>
      <c r="J415"/>
      <c r="K415"/>
    </row>
    <row r="416" spans="1:11" ht="15" x14ac:dyDescent="0.25">
      <c r="A416" s="90" t="s">
        <v>22</v>
      </c>
      <c r="B416" s="90" t="s">
        <v>1062</v>
      </c>
      <c r="C416" s="90">
        <v>2011016</v>
      </c>
      <c r="D416" s="251">
        <v>40556</v>
      </c>
      <c r="E416" s="251" t="s">
        <v>1059</v>
      </c>
      <c r="F416" s="252">
        <v>769.23</v>
      </c>
      <c r="H416"/>
      <c r="I416"/>
      <c r="J416"/>
      <c r="K416"/>
    </row>
    <row r="417" spans="1:11" ht="15" x14ac:dyDescent="0.25">
      <c r="A417" s="90" t="s">
        <v>20</v>
      </c>
      <c r="B417" s="90" t="s">
        <v>1065</v>
      </c>
      <c r="C417" s="90">
        <v>2011017</v>
      </c>
      <c r="D417" s="251">
        <v>40557</v>
      </c>
      <c r="E417" s="251" t="s">
        <v>1060</v>
      </c>
      <c r="F417" s="252">
        <v>1211.6300000000001</v>
      </c>
      <c r="H417"/>
      <c r="I417"/>
      <c r="J417"/>
      <c r="K417"/>
    </row>
    <row r="418" spans="1:11" ht="15" x14ac:dyDescent="0.25">
      <c r="A418" s="90" t="s">
        <v>20</v>
      </c>
      <c r="B418" s="90" t="s">
        <v>1061</v>
      </c>
      <c r="C418" s="90">
        <v>2011018</v>
      </c>
      <c r="D418" s="251">
        <v>40560</v>
      </c>
      <c r="E418" s="251" t="s">
        <v>1059</v>
      </c>
      <c r="F418" s="252">
        <v>955.88</v>
      </c>
      <c r="H418"/>
      <c r="I418"/>
      <c r="J418"/>
      <c r="K418"/>
    </row>
    <row r="419" spans="1:11" ht="15" x14ac:dyDescent="0.25">
      <c r="A419" s="90" t="s">
        <v>20</v>
      </c>
      <c r="B419" s="90" t="s">
        <v>1066</v>
      </c>
      <c r="C419" s="90">
        <v>2011019</v>
      </c>
      <c r="D419" s="251">
        <v>40561</v>
      </c>
      <c r="E419" s="251" t="s">
        <v>1059</v>
      </c>
      <c r="F419" s="252">
        <v>602.51</v>
      </c>
      <c r="H419"/>
      <c r="I419"/>
      <c r="J419"/>
      <c r="K419"/>
    </row>
    <row r="420" spans="1:11" ht="15" x14ac:dyDescent="0.25">
      <c r="A420" s="90" t="s">
        <v>22</v>
      </c>
      <c r="B420" s="90" t="s">
        <v>1070</v>
      </c>
      <c r="C420" s="90">
        <v>2011020</v>
      </c>
      <c r="D420" s="251">
        <v>40561</v>
      </c>
      <c r="E420" s="251" t="s">
        <v>1059</v>
      </c>
      <c r="F420" s="252">
        <v>885.65</v>
      </c>
      <c r="H420"/>
      <c r="I420"/>
      <c r="J420"/>
      <c r="K420"/>
    </row>
    <row r="421" spans="1:11" ht="15" x14ac:dyDescent="0.25">
      <c r="A421" s="90" t="s">
        <v>20</v>
      </c>
      <c r="B421" s="90" t="s">
        <v>1061</v>
      </c>
      <c r="C421" s="90">
        <v>2011021</v>
      </c>
      <c r="D421" s="251">
        <v>40562</v>
      </c>
      <c r="E421" s="251" t="s">
        <v>1059</v>
      </c>
      <c r="F421" s="252">
        <v>464.71</v>
      </c>
      <c r="H421"/>
      <c r="I421"/>
      <c r="J421"/>
      <c r="K421"/>
    </row>
    <row r="422" spans="1:11" ht="15" x14ac:dyDescent="0.25">
      <c r="A422" s="90" t="s">
        <v>20</v>
      </c>
      <c r="B422" s="90" t="s">
        <v>1066</v>
      </c>
      <c r="C422" s="90">
        <v>2011022</v>
      </c>
      <c r="D422" s="251">
        <v>40562</v>
      </c>
      <c r="E422" s="251" t="s">
        <v>1060</v>
      </c>
      <c r="F422" s="252">
        <v>291.54000000000002</v>
      </c>
      <c r="H422"/>
      <c r="I422"/>
      <c r="J422"/>
      <c r="K422"/>
    </row>
    <row r="423" spans="1:11" ht="15" x14ac:dyDescent="0.25">
      <c r="A423" s="90" t="s">
        <v>20</v>
      </c>
      <c r="B423" s="90" t="s">
        <v>1065</v>
      </c>
      <c r="C423" s="90">
        <v>2011023</v>
      </c>
      <c r="D423" s="251">
        <v>40562</v>
      </c>
      <c r="E423" s="251" t="s">
        <v>1059</v>
      </c>
      <c r="F423" s="252">
        <v>1133.82</v>
      </c>
      <c r="H423"/>
      <c r="I423"/>
      <c r="J423"/>
      <c r="K423"/>
    </row>
    <row r="424" spans="1:11" ht="15" x14ac:dyDescent="0.25">
      <c r="A424" s="90" t="s">
        <v>20</v>
      </c>
      <c r="B424" s="90" t="s">
        <v>1065</v>
      </c>
      <c r="C424" s="90">
        <v>2011024</v>
      </c>
      <c r="D424" s="251">
        <v>40563</v>
      </c>
      <c r="E424" s="251" t="s">
        <v>1060</v>
      </c>
      <c r="F424" s="252">
        <v>1180.21</v>
      </c>
      <c r="H424"/>
      <c r="I424"/>
      <c r="J424"/>
      <c r="K424"/>
    </row>
    <row r="425" spans="1:11" ht="15" x14ac:dyDescent="0.25">
      <c r="A425" s="90" t="s">
        <v>22</v>
      </c>
      <c r="B425" s="90" t="s">
        <v>1068</v>
      </c>
      <c r="C425" s="90">
        <v>2011025</v>
      </c>
      <c r="D425" s="251">
        <v>40563</v>
      </c>
      <c r="E425" s="251" t="s">
        <v>1059</v>
      </c>
      <c r="F425" s="252">
        <v>1255.0999999999999</v>
      </c>
      <c r="H425"/>
      <c r="I425"/>
      <c r="J425"/>
      <c r="K425"/>
    </row>
    <row r="426" spans="1:11" ht="15" x14ac:dyDescent="0.25">
      <c r="A426" s="90" t="s">
        <v>20</v>
      </c>
      <c r="B426" s="90" t="s">
        <v>1065</v>
      </c>
      <c r="C426" s="90">
        <v>2011026</v>
      </c>
      <c r="D426" s="251">
        <v>40564</v>
      </c>
      <c r="E426" s="251" t="s">
        <v>1060</v>
      </c>
      <c r="F426" s="252">
        <v>222.19</v>
      </c>
      <c r="H426"/>
      <c r="I426"/>
      <c r="J426"/>
      <c r="K426"/>
    </row>
    <row r="427" spans="1:11" ht="15" x14ac:dyDescent="0.25">
      <c r="A427" s="90" t="s">
        <v>22</v>
      </c>
      <c r="B427" s="90" t="s">
        <v>1062</v>
      </c>
      <c r="C427" s="90">
        <v>2011027</v>
      </c>
      <c r="D427" s="251">
        <v>40564</v>
      </c>
      <c r="E427" s="251" t="s">
        <v>1059</v>
      </c>
      <c r="F427" s="252">
        <v>853.17</v>
      </c>
      <c r="H427"/>
      <c r="I427"/>
      <c r="J427"/>
      <c r="K427"/>
    </row>
    <row r="428" spans="1:11" ht="15" x14ac:dyDescent="0.25">
      <c r="A428" s="90" t="s">
        <v>20</v>
      </c>
      <c r="B428" s="90" t="s">
        <v>1061</v>
      </c>
      <c r="C428" s="90">
        <v>2011028</v>
      </c>
      <c r="D428" s="251">
        <v>40567</v>
      </c>
      <c r="E428" s="251" t="s">
        <v>1059</v>
      </c>
      <c r="F428" s="252">
        <v>833.36</v>
      </c>
      <c r="H428"/>
      <c r="I428"/>
      <c r="J428"/>
      <c r="K428"/>
    </row>
    <row r="429" spans="1:11" ht="15" x14ac:dyDescent="0.25">
      <c r="A429" s="90" t="s">
        <v>22</v>
      </c>
      <c r="B429" s="90" t="s">
        <v>1067</v>
      </c>
      <c r="C429" s="90">
        <v>2011029</v>
      </c>
      <c r="D429" s="251">
        <v>40567</v>
      </c>
      <c r="E429" s="251" t="s">
        <v>1059</v>
      </c>
      <c r="F429" s="252">
        <v>512.1</v>
      </c>
      <c r="H429"/>
      <c r="I429"/>
      <c r="J429"/>
      <c r="K429"/>
    </row>
    <row r="430" spans="1:11" ht="15" x14ac:dyDescent="0.25">
      <c r="A430" s="90" t="s">
        <v>22</v>
      </c>
      <c r="B430" s="90" t="s">
        <v>1062</v>
      </c>
      <c r="C430" s="90">
        <v>2011030</v>
      </c>
      <c r="D430" s="251">
        <v>40567</v>
      </c>
      <c r="E430" s="251" t="s">
        <v>1060</v>
      </c>
      <c r="F430" s="252">
        <v>1056.58</v>
      </c>
      <c r="H430"/>
      <c r="I430"/>
      <c r="J430"/>
      <c r="K430"/>
    </row>
    <row r="431" spans="1:11" ht="15" x14ac:dyDescent="0.25">
      <c r="A431" s="90" t="s">
        <v>22</v>
      </c>
      <c r="B431" s="90" t="s">
        <v>1064</v>
      </c>
      <c r="C431" s="90">
        <v>2011031</v>
      </c>
      <c r="D431" s="251">
        <v>40567</v>
      </c>
      <c r="E431" s="251" t="s">
        <v>1059</v>
      </c>
      <c r="F431" s="252">
        <v>222.61</v>
      </c>
      <c r="H431"/>
      <c r="I431"/>
      <c r="J431"/>
      <c r="K431"/>
    </row>
    <row r="432" spans="1:11" ht="15" x14ac:dyDescent="0.25">
      <c r="A432" s="90" t="s">
        <v>20</v>
      </c>
      <c r="B432" s="90" t="s">
        <v>1058</v>
      </c>
      <c r="C432" s="90">
        <v>2011032</v>
      </c>
      <c r="D432" s="251">
        <v>40568</v>
      </c>
      <c r="E432" s="251" t="s">
        <v>1060</v>
      </c>
      <c r="F432" s="252">
        <v>1005.62</v>
      </c>
      <c r="H432"/>
      <c r="I432"/>
      <c r="J432"/>
      <c r="K432"/>
    </row>
    <row r="433" spans="1:11" ht="15" x14ac:dyDescent="0.25">
      <c r="A433" s="90" t="s">
        <v>20</v>
      </c>
      <c r="B433" s="90" t="s">
        <v>1058</v>
      </c>
      <c r="C433" s="90">
        <v>2011033</v>
      </c>
      <c r="D433" s="251">
        <v>40568</v>
      </c>
      <c r="E433" s="251" t="s">
        <v>1059</v>
      </c>
      <c r="F433" s="252">
        <v>505.89</v>
      </c>
      <c r="H433"/>
      <c r="I433"/>
      <c r="J433"/>
      <c r="K433"/>
    </row>
    <row r="434" spans="1:11" ht="15" x14ac:dyDescent="0.25">
      <c r="A434" s="90" t="s">
        <v>20</v>
      </c>
      <c r="B434" s="90" t="s">
        <v>1063</v>
      </c>
      <c r="C434" s="90">
        <v>2011034</v>
      </c>
      <c r="D434" s="251">
        <v>40568</v>
      </c>
      <c r="E434" s="251" t="s">
        <v>1059</v>
      </c>
      <c r="F434" s="252">
        <v>711.09</v>
      </c>
      <c r="H434"/>
      <c r="I434"/>
      <c r="J434"/>
      <c r="K434"/>
    </row>
    <row r="435" spans="1:11" ht="15" x14ac:dyDescent="0.25">
      <c r="A435" s="90" t="s">
        <v>20</v>
      </c>
      <c r="B435" s="90" t="s">
        <v>1063</v>
      </c>
      <c r="C435" s="90">
        <v>2011035</v>
      </c>
      <c r="D435" s="251">
        <v>40568</v>
      </c>
      <c r="E435" s="251" t="s">
        <v>1059</v>
      </c>
      <c r="F435" s="252">
        <v>1276.6199999999999</v>
      </c>
      <c r="H435"/>
      <c r="I435"/>
      <c r="J435"/>
      <c r="K435"/>
    </row>
    <row r="436" spans="1:11" ht="15" x14ac:dyDescent="0.25">
      <c r="A436" s="90" t="s">
        <v>20</v>
      </c>
      <c r="B436" s="90" t="s">
        <v>1065</v>
      </c>
      <c r="C436" s="90">
        <v>2011036</v>
      </c>
      <c r="D436" s="251">
        <v>40569</v>
      </c>
      <c r="E436" s="251" t="s">
        <v>1059</v>
      </c>
      <c r="F436" s="252">
        <v>905.2</v>
      </c>
      <c r="H436"/>
      <c r="I436"/>
      <c r="J436"/>
      <c r="K436"/>
    </row>
    <row r="437" spans="1:11" ht="15" x14ac:dyDescent="0.25">
      <c r="A437" s="90" t="s">
        <v>22</v>
      </c>
      <c r="B437" s="90" t="s">
        <v>1067</v>
      </c>
      <c r="C437" s="90">
        <v>2011037</v>
      </c>
      <c r="D437" s="251">
        <v>40569</v>
      </c>
      <c r="E437" s="251" t="s">
        <v>1059</v>
      </c>
      <c r="F437" s="252">
        <v>1179.0999999999999</v>
      </c>
      <c r="H437"/>
      <c r="I437"/>
      <c r="J437"/>
      <c r="K437"/>
    </row>
    <row r="438" spans="1:11" ht="15" x14ac:dyDescent="0.25">
      <c r="A438" s="90" t="s">
        <v>22</v>
      </c>
      <c r="B438" s="90" t="s">
        <v>1068</v>
      </c>
      <c r="C438" s="90">
        <v>2011038</v>
      </c>
      <c r="D438" s="251">
        <v>40569</v>
      </c>
      <c r="E438" s="251" t="s">
        <v>1060</v>
      </c>
      <c r="F438" s="252">
        <v>893.5</v>
      </c>
      <c r="H438"/>
      <c r="I438"/>
      <c r="J438"/>
      <c r="K438"/>
    </row>
    <row r="439" spans="1:11" ht="15" x14ac:dyDescent="0.25">
      <c r="A439" s="90" t="s">
        <v>22</v>
      </c>
      <c r="B439" s="90" t="s">
        <v>1062</v>
      </c>
      <c r="C439" s="90">
        <v>2011039</v>
      </c>
      <c r="D439" s="251">
        <v>40569</v>
      </c>
      <c r="E439" s="251" t="s">
        <v>1059</v>
      </c>
      <c r="F439" s="252">
        <v>44.88</v>
      </c>
      <c r="H439"/>
      <c r="I439"/>
      <c r="J439"/>
      <c r="K439"/>
    </row>
    <row r="440" spans="1:11" ht="15" x14ac:dyDescent="0.25">
      <c r="A440" s="90" t="s">
        <v>20</v>
      </c>
      <c r="B440" s="90" t="s">
        <v>1066</v>
      </c>
      <c r="C440" s="90">
        <v>2011040</v>
      </c>
      <c r="D440" s="251">
        <v>40570</v>
      </c>
      <c r="E440" s="251" t="s">
        <v>1059</v>
      </c>
      <c r="F440" s="252">
        <v>858.2</v>
      </c>
      <c r="H440"/>
      <c r="I440"/>
      <c r="J440"/>
      <c r="K440"/>
    </row>
    <row r="441" spans="1:11" ht="15" x14ac:dyDescent="0.25">
      <c r="A441" s="90" t="s">
        <v>22</v>
      </c>
      <c r="B441" s="90" t="s">
        <v>1069</v>
      </c>
      <c r="C441" s="90">
        <v>2011041</v>
      </c>
      <c r="D441" s="251">
        <v>40570</v>
      </c>
      <c r="E441" s="251" t="s">
        <v>1059</v>
      </c>
      <c r="F441" s="252">
        <v>515.52</v>
      </c>
      <c r="H441"/>
      <c r="I441"/>
      <c r="J441"/>
      <c r="K441"/>
    </row>
    <row r="442" spans="1:11" ht="15" x14ac:dyDescent="0.25">
      <c r="A442" s="90" t="s">
        <v>22</v>
      </c>
      <c r="B442" s="90" t="s">
        <v>1064</v>
      </c>
      <c r="C442" s="90">
        <v>2011042</v>
      </c>
      <c r="D442" s="251">
        <v>40570</v>
      </c>
      <c r="E442" s="251" t="s">
        <v>1059</v>
      </c>
      <c r="F442" s="252">
        <v>1224.03</v>
      </c>
      <c r="H442"/>
      <c r="I442"/>
      <c r="J442"/>
      <c r="K442"/>
    </row>
    <row r="443" spans="1:11" ht="15" x14ac:dyDescent="0.25">
      <c r="A443" s="90" t="s">
        <v>20</v>
      </c>
      <c r="B443" s="90" t="s">
        <v>1061</v>
      </c>
      <c r="C443" s="90">
        <v>2011043</v>
      </c>
      <c r="D443" s="251">
        <v>40571</v>
      </c>
      <c r="E443" s="251" t="s">
        <v>1059</v>
      </c>
      <c r="F443" s="252">
        <v>284.97000000000003</v>
      </c>
      <c r="H443"/>
      <c r="I443"/>
      <c r="J443"/>
      <c r="K443"/>
    </row>
    <row r="444" spans="1:11" ht="15" x14ac:dyDescent="0.25">
      <c r="A444" s="90" t="s">
        <v>20</v>
      </c>
      <c r="B444" s="90" t="s">
        <v>1058</v>
      </c>
      <c r="C444" s="90">
        <v>2011044</v>
      </c>
      <c r="D444" s="251">
        <v>40571</v>
      </c>
      <c r="E444" s="251" t="s">
        <v>1060</v>
      </c>
      <c r="F444" s="252">
        <v>1134.31</v>
      </c>
      <c r="H444"/>
      <c r="I444"/>
      <c r="J444"/>
      <c r="K444"/>
    </row>
    <row r="445" spans="1:11" ht="15" x14ac:dyDescent="0.25">
      <c r="A445" s="90" t="s">
        <v>20</v>
      </c>
      <c r="B445" s="90" t="s">
        <v>1065</v>
      </c>
      <c r="C445" s="90">
        <v>2011045</v>
      </c>
      <c r="D445" s="251">
        <v>40571</v>
      </c>
      <c r="E445" s="251" t="s">
        <v>1059</v>
      </c>
      <c r="F445" s="252">
        <v>892.02</v>
      </c>
      <c r="H445"/>
      <c r="I445"/>
      <c r="J445"/>
      <c r="K445"/>
    </row>
    <row r="446" spans="1:11" ht="15" x14ac:dyDescent="0.25">
      <c r="A446" s="90" t="s">
        <v>22</v>
      </c>
      <c r="B446" s="90" t="s">
        <v>1064</v>
      </c>
      <c r="C446" s="90">
        <v>2011046</v>
      </c>
      <c r="D446" s="251">
        <v>40571</v>
      </c>
      <c r="E446" s="251" t="s">
        <v>1060</v>
      </c>
      <c r="F446" s="252">
        <v>1227.27</v>
      </c>
      <c r="H446"/>
      <c r="I446"/>
      <c r="J446"/>
      <c r="K446"/>
    </row>
    <row r="447" spans="1:11" ht="15" x14ac:dyDescent="0.25">
      <c r="A447" s="90" t="s">
        <v>20</v>
      </c>
      <c r="B447" s="90" t="s">
        <v>1061</v>
      </c>
      <c r="C447" s="90">
        <v>2011047</v>
      </c>
      <c r="D447" s="251">
        <v>40574</v>
      </c>
      <c r="E447" s="251" t="s">
        <v>1059</v>
      </c>
      <c r="F447" s="252">
        <v>556.12</v>
      </c>
      <c r="H447"/>
      <c r="I447"/>
      <c r="J447"/>
      <c r="K447"/>
    </row>
    <row r="448" spans="1:11" ht="15" x14ac:dyDescent="0.25">
      <c r="A448" s="90" t="s">
        <v>20</v>
      </c>
      <c r="B448" s="90" t="s">
        <v>1058</v>
      </c>
      <c r="C448" s="90">
        <v>2011048</v>
      </c>
      <c r="D448" s="251">
        <v>40574</v>
      </c>
      <c r="E448" s="251" t="s">
        <v>1060</v>
      </c>
      <c r="F448" s="252">
        <v>271.05</v>
      </c>
      <c r="H448"/>
      <c r="I448"/>
      <c r="J448"/>
      <c r="K448"/>
    </row>
    <row r="449" spans="1:11" ht="15" x14ac:dyDescent="0.25">
      <c r="A449" s="90" t="s">
        <v>22</v>
      </c>
      <c r="B449" s="90" t="s">
        <v>1062</v>
      </c>
      <c r="C449" s="90">
        <v>2011049</v>
      </c>
      <c r="D449" s="251">
        <v>40574</v>
      </c>
      <c r="E449" s="251" t="s">
        <v>1059</v>
      </c>
      <c r="F449" s="252">
        <v>626.25</v>
      </c>
      <c r="H449"/>
      <c r="I449"/>
      <c r="J449"/>
      <c r="K449"/>
    </row>
    <row r="450" spans="1:11" ht="15" x14ac:dyDescent="0.25">
      <c r="A450" s="90" t="s">
        <v>20</v>
      </c>
      <c r="B450" s="90" t="s">
        <v>1061</v>
      </c>
      <c r="C450" s="90">
        <v>2011050</v>
      </c>
      <c r="D450" s="251">
        <v>40575</v>
      </c>
      <c r="E450" s="251" t="s">
        <v>1060</v>
      </c>
      <c r="F450" s="252">
        <v>725.23</v>
      </c>
      <c r="H450"/>
      <c r="I450"/>
      <c r="J450"/>
      <c r="K450"/>
    </row>
    <row r="451" spans="1:11" ht="15" x14ac:dyDescent="0.25">
      <c r="A451" s="90" t="s">
        <v>20</v>
      </c>
      <c r="B451" s="90" t="s">
        <v>1061</v>
      </c>
      <c r="C451" s="90">
        <v>2011051</v>
      </c>
      <c r="D451" s="251">
        <v>40575</v>
      </c>
      <c r="E451" s="251" t="s">
        <v>1059</v>
      </c>
      <c r="F451" s="252">
        <v>594.37</v>
      </c>
      <c r="H451"/>
      <c r="I451"/>
      <c r="J451"/>
      <c r="K451"/>
    </row>
    <row r="452" spans="1:11" ht="15" x14ac:dyDescent="0.25">
      <c r="A452" s="90" t="s">
        <v>20</v>
      </c>
      <c r="B452" s="90" t="s">
        <v>1066</v>
      </c>
      <c r="C452" s="90">
        <v>2011052</v>
      </c>
      <c r="D452" s="251">
        <v>40575</v>
      </c>
      <c r="E452" s="251" t="s">
        <v>1060</v>
      </c>
      <c r="F452" s="252">
        <v>75.23</v>
      </c>
      <c r="H452"/>
      <c r="I452"/>
      <c r="J452"/>
      <c r="K452"/>
    </row>
    <row r="453" spans="1:11" ht="15" x14ac:dyDescent="0.25">
      <c r="A453" s="90" t="s">
        <v>20</v>
      </c>
      <c r="B453" s="90" t="s">
        <v>1058</v>
      </c>
      <c r="C453" s="90">
        <v>2011053</v>
      </c>
      <c r="D453" s="251">
        <v>40575</v>
      </c>
      <c r="E453" s="251" t="s">
        <v>1059</v>
      </c>
      <c r="F453" s="252">
        <v>134.08000000000001</v>
      </c>
      <c r="H453"/>
      <c r="I453"/>
      <c r="J453"/>
      <c r="K453"/>
    </row>
    <row r="454" spans="1:11" ht="15" x14ac:dyDescent="0.25">
      <c r="A454" s="90" t="s">
        <v>22</v>
      </c>
      <c r="B454" s="90" t="s">
        <v>1068</v>
      </c>
      <c r="C454" s="90">
        <v>2011054</v>
      </c>
      <c r="D454" s="251">
        <v>40575</v>
      </c>
      <c r="E454" s="251" t="s">
        <v>1059</v>
      </c>
      <c r="F454" s="252">
        <v>1207.6400000000001</v>
      </c>
      <c r="H454"/>
      <c r="I454"/>
      <c r="J454"/>
      <c r="K454"/>
    </row>
    <row r="455" spans="1:11" ht="15" x14ac:dyDescent="0.25">
      <c r="A455" s="90" t="s">
        <v>20</v>
      </c>
      <c r="B455" s="90" t="s">
        <v>1061</v>
      </c>
      <c r="C455" s="90">
        <v>2011055</v>
      </c>
      <c r="D455" s="251">
        <v>40576</v>
      </c>
      <c r="E455" s="251" t="s">
        <v>1059</v>
      </c>
      <c r="F455" s="252">
        <v>870.64</v>
      </c>
      <c r="H455"/>
      <c r="I455"/>
      <c r="J455"/>
      <c r="K455"/>
    </row>
    <row r="456" spans="1:11" ht="15" x14ac:dyDescent="0.25">
      <c r="A456" s="90" t="s">
        <v>20</v>
      </c>
      <c r="B456" s="90" t="s">
        <v>1066</v>
      </c>
      <c r="C456" s="90">
        <v>2011056</v>
      </c>
      <c r="D456" s="251">
        <v>40576</v>
      </c>
      <c r="E456" s="251" t="s">
        <v>1059</v>
      </c>
      <c r="F456" s="252">
        <v>498.36</v>
      </c>
      <c r="H456"/>
      <c r="I456"/>
      <c r="J456"/>
      <c r="K456"/>
    </row>
    <row r="457" spans="1:11" ht="15" x14ac:dyDescent="0.25">
      <c r="A457" s="90" t="s">
        <v>20</v>
      </c>
      <c r="B457" s="90" t="s">
        <v>1061</v>
      </c>
      <c r="C457" s="90">
        <v>2011057</v>
      </c>
      <c r="D457" s="251">
        <v>40577</v>
      </c>
      <c r="E457" s="251" t="s">
        <v>1060</v>
      </c>
      <c r="F457" s="252">
        <v>1006.35</v>
      </c>
      <c r="H457"/>
      <c r="I457"/>
      <c r="J457"/>
      <c r="K457"/>
    </row>
    <row r="458" spans="1:11" ht="15" x14ac:dyDescent="0.25">
      <c r="A458" s="90" t="s">
        <v>20</v>
      </c>
      <c r="B458" s="90" t="s">
        <v>1066</v>
      </c>
      <c r="C458" s="90">
        <v>2011058</v>
      </c>
      <c r="D458" s="251">
        <v>40577</v>
      </c>
      <c r="E458" s="251" t="s">
        <v>1059</v>
      </c>
      <c r="F458" s="252">
        <v>909.06</v>
      </c>
      <c r="H458"/>
      <c r="I458"/>
      <c r="J458"/>
      <c r="K458"/>
    </row>
    <row r="459" spans="1:11" ht="15" x14ac:dyDescent="0.25">
      <c r="A459" s="90" t="s">
        <v>20</v>
      </c>
      <c r="B459" s="90" t="s">
        <v>1058</v>
      </c>
      <c r="C459" s="90">
        <v>2011059</v>
      </c>
      <c r="D459" s="251">
        <v>40577</v>
      </c>
      <c r="E459" s="251" t="s">
        <v>1059</v>
      </c>
      <c r="F459" s="252">
        <v>386.97</v>
      </c>
      <c r="H459"/>
      <c r="I459"/>
      <c r="J459"/>
      <c r="K459"/>
    </row>
    <row r="460" spans="1:11" ht="15" x14ac:dyDescent="0.25">
      <c r="A460" s="90" t="s">
        <v>22</v>
      </c>
      <c r="B460" s="90" t="s">
        <v>1069</v>
      </c>
      <c r="C460" s="90">
        <v>2011060</v>
      </c>
      <c r="D460" s="251">
        <v>40577</v>
      </c>
      <c r="E460" s="251" t="s">
        <v>1059</v>
      </c>
      <c r="F460" s="252">
        <v>456.34</v>
      </c>
      <c r="H460"/>
      <c r="I460"/>
      <c r="J460"/>
      <c r="K460"/>
    </row>
    <row r="461" spans="1:11" ht="15" x14ac:dyDescent="0.25">
      <c r="A461" s="90" t="s">
        <v>20</v>
      </c>
      <c r="B461" s="90" t="s">
        <v>1063</v>
      </c>
      <c r="C461" s="90">
        <v>2011061</v>
      </c>
      <c r="D461" s="251">
        <v>40578</v>
      </c>
      <c r="E461" s="251" t="s">
        <v>1060</v>
      </c>
      <c r="F461" s="252">
        <v>465.58</v>
      </c>
      <c r="H461"/>
      <c r="I461"/>
      <c r="J461"/>
      <c r="K461"/>
    </row>
    <row r="462" spans="1:11" ht="15" x14ac:dyDescent="0.25">
      <c r="A462" s="90" t="s">
        <v>20</v>
      </c>
      <c r="B462" s="90" t="s">
        <v>1058</v>
      </c>
      <c r="C462" s="90">
        <v>2011062</v>
      </c>
      <c r="D462" s="251">
        <v>40581</v>
      </c>
      <c r="E462" s="251" t="s">
        <v>1060</v>
      </c>
      <c r="F462" s="252">
        <v>521.79999999999995</v>
      </c>
      <c r="H462"/>
      <c r="I462"/>
      <c r="J462"/>
      <c r="K462"/>
    </row>
    <row r="463" spans="1:11" ht="15" x14ac:dyDescent="0.25">
      <c r="A463" s="90" t="s">
        <v>22</v>
      </c>
      <c r="B463" s="90" t="s">
        <v>1062</v>
      </c>
      <c r="C463" s="90">
        <v>2011063</v>
      </c>
      <c r="D463" s="251">
        <v>40581</v>
      </c>
      <c r="E463" s="251" t="s">
        <v>1060</v>
      </c>
      <c r="F463" s="252">
        <v>207.44</v>
      </c>
      <c r="H463"/>
      <c r="I463"/>
      <c r="J463"/>
      <c r="K463"/>
    </row>
    <row r="464" spans="1:11" ht="15" x14ac:dyDescent="0.25">
      <c r="A464" s="90" t="s">
        <v>22</v>
      </c>
      <c r="B464" s="90" t="s">
        <v>1064</v>
      </c>
      <c r="C464" s="90">
        <v>2011064</v>
      </c>
      <c r="D464" s="251">
        <v>40581</v>
      </c>
      <c r="E464" s="251" t="s">
        <v>1060</v>
      </c>
      <c r="F464" s="252">
        <v>1189.32</v>
      </c>
      <c r="H464"/>
      <c r="I464"/>
      <c r="J464"/>
      <c r="K464"/>
    </row>
    <row r="465" spans="1:11" ht="15" x14ac:dyDescent="0.25">
      <c r="A465" s="90" t="s">
        <v>20</v>
      </c>
      <c r="B465" s="90" t="s">
        <v>1065</v>
      </c>
      <c r="C465" s="90">
        <v>2011065</v>
      </c>
      <c r="D465" s="251">
        <v>40582</v>
      </c>
      <c r="E465" s="251" t="s">
        <v>1060</v>
      </c>
      <c r="F465" s="252">
        <v>919.06</v>
      </c>
      <c r="H465"/>
      <c r="I465"/>
      <c r="J465"/>
      <c r="K465"/>
    </row>
    <row r="466" spans="1:11" ht="15" x14ac:dyDescent="0.25">
      <c r="A466" s="90" t="s">
        <v>22</v>
      </c>
      <c r="B466" s="90" t="s">
        <v>1068</v>
      </c>
      <c r="C466" s="90">
        <v>2011066</v>
      </c>
      <c r="D466" s="251">
        <v>40582</v>
      </c>
      <c r="E466" s="251" t="s">
        <v>1060</v>
      </c>
      <c r="F466" s="252">
        <v>169.63</v>
      </c>
      <c r="H466"/>
      <c r="I466"/>
      <c r="J466"/>
      <c r="K466"/>
    </row>
    <row r="467" spans="1:11" ht="15" x14ac:dyDescent="0.25">
      <c r="A467" s="90" t="s">
        <v>22</v>
      </c>
      <c r="B467" s="90" t="s">
        <v>1070</v>
      </c>
      <c r="C467" s="90">
        <v>2011067</v>
      </c>
      <c r="D467" s="251">
        <v>40583</v>
      </c>
      <c r="E467" s="251" t="s">
        <v>1060</v>
      </c>
      <c r="F467" s="252">
        <v>684.34</v>
      </c>
      <c r="H467"/>
      <c r="I467"/>
      <c r="J467"/>
      <c r="K467"/>
    </row>
    <row r="468" spans="1:11" ht="15" x14ac:dyDescent="0.25">
      <c r="A468" s="90" t="s">
        <v>20</v>
      </c>
      <c r="B468" s="90" t="s">
        <v>1063</v>
      </c>
      <c r="C468" s="90">
        <v>2011068</v>
      </c>
      <c r="D468" s="251">
        <v>40584</v>
      </c>
      <c r="E468" s="251" t="s">
        <v>1060</v>
      </c>
      <c r="F468" s="252">
        <v>619.88</v>
      </c>
      <c r="H468"/>
      <c r="I468"/>
      <c r="J468"/>
      <c r="K468"/>
    </row>
    <row r="469" spans="1:11" ht="15" x14ac:dyDescent="0.25">
      <c r="A469" s="90" t="s">
        <v>22</v>
      </c>
      <c r="B469" s="90" t="s">
        <v>1068</v>
      </c>
      <c r="C469" s="90">
        <v>2011069</v>
      </c>
      <c r="D469" s="251">
        <v>40584</v>
      </c>
      <c r="E469" s="251" t="s">
        <v>1060</v>
      </c>
      <c r="F469" s="252">
        <v>192.76</v>
      </c>
      <c r="H469"/>
      <c r="I469"/>
      <c r="J469"/>
      <c r="K469"/>
    </row>
    <row r="470" spans="1:11" ht="15" x14ac:dyDescent="0.25">
      <c r="A470" s="90" t="s">
        <v>20</v>
      </c>
      <c r="B470" s="90" t="s">
        <v>1061</v>
      </c>
      <c r="C470" s="90">
        <v>2011070</v>
      </c>
      <c r="D470" s="251">
        <v>40585</v>
      </c>
      <c r="E470" s="251" t="s">
        <v>1060</v>
      </c>
      <c r="F470" s="252">
        <v>800.84</v>
      </c>
      <c r="H470"/>
      <c r="I470"/>
      <c r="J470"/>
      <c r="K470"/>
    </row>
    <row r="471" spans="1:11" ht="15" x14ac:dyDescent="0.25">
      <c r="A471" s="90" t="s">
        <v>20</v>
      </c>
      <c r="B471" s="90" t="s">
        <v>1058</v>
      </c>
      <c r="C471" s="90">
        <v>2011071</v>
      </c>
      <c r="D471" s="251">
        <v>40588</v>
      </c>
      <c r="E471" s="251" t="s">
        <v>1059</v>
      </c>
      <c r="F471" s="252">
        <v>1017.07</v>
      </c>
      <c r="H471"/>
      <c r="I471"/>
      <c r="J471"/>
      <c r="K471"/>
    </row>
    <row r="472" spans="1:11" ht="15" x14ac:dyDescent="0.25">
      <c r="A472" s="90" t="s">
        <v>22</v>
      </c>
      <c r="B472" s="90" t="s">
        <v>1067</v>
      </c>
      <c r="C472" s="90">
        <v>2011072</v>
      </c>
      <c r="D472" s="251">
        <v>40588</v>
      </c>
      <c r="E472" s="251" t="s">
        <v>1059</v>
      </c>
      <c r="F472" s="252">
        <v>673.2</v>
      </c>
      <c r="H472"/>
      <c r="I472"/>
      <c r="J472"/>
      <c r="K472"/>
    </row>
    <row r="473" spans="1:11" ht="15" x14ac:dyDescent="0.25">
      <c r="A473" s="90" t="s">
        <v>20</v>
      </c>
      <c r="B473" s="90" t="s">
        <v>1065</v>
      </c>
      <c r="C473" s="90">
        <v>2011073</v>
      </c>
      <c r="D473" s="251">
        <v>40589</v>
      </c>
      <c r="E473" s="251" t="s">
        <v>1060</v>
      </c>
      <c r="F473" s="252">
        <v>918.51</v>
      </c>
      <c r="H473"/>
      <c r="I473"/>
      <c r="J473"/>
      <c r="K473"/>
    </row>
    <row r="474" spans="1:11" ht="15" x14ac:dyDescent="0.25">
      <c r="A474" s="90" t="s">
        <v>20</v>
      </c>
      <c r="B474" s="90" t="s">
        <v>1063</v>
      </c>
      <c r="C474" s="90">
        <v>2011074</v>
      </c>
      <c r="D474" s="251">
        <v>40589</v>
      </c>
      <c r="E474" s="251" t="s">
        <v>1059</v>
      </c>
      <c r="F474" s="252">
        <v>924.18</v>
      </c>
      <c r="H474"/>
      <c r="I474"/>
      <c r="J474"/>
      <c r="K474"/>
    </row>
    <row r="475" spans="1:11" ht="15" x14ac:dyDescent="0.25">
      <c r="A475" s="90" t="s">
        <v>22</v>
      </c>
      <c r="B475" s="90" t="s">
        <v>1062</v>
      </c>
      <c r="C475" s="90">
        <v>2011075</v>
      </c>
      <c r="D475" s="251">
        <v>40589</v>
      </c>
      <c r="E475" s="251" t="s">
        <v>1059</v>
      </c>
      <c r="F475" s="252">
        <v>148.51</v>
      </c>
      <c r="H475"/>
      <c r="I475"/>
      <c r="J475"/>
      <c r="K475"/>
    </row>
    <row r="476" spans="1:11" ht="15" x14ac:dyDescent="0.25">
      <c r="A476" s="90" t="s">
        <v>20</v>
      </c>
      <c r="B476" s="90" t="s">
        <v>1061</v>
      </c>
      <c r="C476" s="90">
        <v>2011076</v>
      </c>
      <c r="D476" s="251">
        <v>40590</v>
      </c>
      <c r="E476" s="251" t="s">
        <v>1059</v>
      </c>
      <c r="F476" s="252">
        <v>404.49</v>
      </c>
      <c r="H476"/>
      <c r="I476"/>
      <c r="J476"/>
      <c r="K476"/>
    </row>
    <row r="477" spans="1:11" ht="15" x14ac:dyDescent="0.25">
      <c r="A477" s="90" t="s">
        <v>20</v>
      </c>
      <c r="B477" s="90" t="s">
        <v>1061</v>
      </c>
      <c r="C477" s="90">
        <v>2011077</v>
      </c>
      <c r="D477" s="251">
        <v>40590</v>
      </c>
      <c r="E477" s="251" t="s">
        <v>1059</v>
      </c>
      <c r="F477" s="252">
        <v>900.3</v>
      </c>
      <c r="H477"/>
      <c r="I477"/>
      <c r="J477"/>
      <c r="K477"/>
    </row>
    <row r="478" spans="1:11" ht="15" x14ac:dyDescent="0.25">
      <c r="A478" s="90" t="s">
        <v>20</v>
      </c>
      <c r="B478" s="90" t="s">
        <v>1065</v>
      </c>
      <c r="C478" s="90">
        <v>2011078</v>
      </c>
      <c r="D478" s="251">
        <v>40591</v>
      </c>
      <c r="E478" s="251" t="s">
        <v>1060</v>
      </c>
      <c r="F478" s="252">
        <v>646.91</v>
      </c>
      <c r="H478"/>
      <c r="I478"/>
      <c r="J478"/>
      <c r="K478"/>
    </row>
    <row r="479" spans="1:11" ht="15" x14ac:dyDescent="0.25">
      <c r="A479" s="90" t="s">
        <v>20</v>
      </c>
      <c r="B479" s="90" t="s">
        <v>1061</v>
      </c>
      <c r="C479" s="90">
        <v>2011079</v>
      </c>
      <c r="D479" s="251">
        <v>40592</v>
      </c>
      <c r="E479" s="251" t="s">
        <v>1059</v>
      </c>
      <c r="F479" s="252">
        <v>441.33</v>
      </c>
      <c r="H479"/>
      <c r="I479"/>
      <c r="J479"/>
      <c r="K479"/>
    </row>
    <row r="480" spans="1:11" ht="15" x14ac:dyDescent="0.25">
      <c r="A480" s="90" t="s">
        <v>20</v>
      </c>
      <c r="B480" s="90" t="s">
        <v>1058</v>
      </c>
      <c r="C480" s="90">
        <v>2011080</v>
      </c>
      <c r="D480" s="251">
        <v>40592</v>
      </c>
      <c r="E480" s="251" t="s">
        <v>1060</v>
      </c>
      <c r="F480" s="252">
        <v>350.68</v>
      </c>
      <c r="H480"/>
      <c r="I480"/>
      <c r="J480"/>
      <c r="K480"/>
    </row>
    <row r="481" spans="1:11" ht="15" x14ac:dyDescent="0.25">
      <c r="A481" s="90" t="s">
        <v>22</v>
      </c>
      <c r="B481" s="90" t="s">
        <v>1062</v>
      </c>
      <c r="C481" s="90">
        <v>2011081</v>
      </c>
      <c r="D481" s="251">
        <v>40592</v>
      </c>
      <c r="E481" s="251" t="s">
        <v>1059</v>
      </c>
      <c r="F481" s="252">
        <v>202.02</v>
      </c>
      <c r="H481"/>
      <c r="I481"/>
      <c r="J481"/>
      <c r="K481"/>
    </row>
    <row r="482" spans="1:11" ht="15" x14ac:dyDescent="0.25">
      <c r="A482" s="90" t="s">
        <v>22</v>
      </c>
      <c r="B482" s="90" t="s">
        <v>1062</v>
      </c>
      <c r="C482" s="90">
        <v>2011082</v>
      </c>
      <c r="D482" s="251">
        <v>40592</v>
      </c>
      <c r="E482" s="251" t="s">
        <v>1060</v>
      </c>
      <c r="F482" s="252">
        <v>662.22</v>
      </c>
      <c r="H482"/>
      <c r="I482"/>
      <c r="J482"/>
      <c r="K482"/>
    </row>
    <row r="483" spans="1:11" ht="15" x14ac:dyDescent="0.25">
      <c r="A483" s="90" t="s">
        <v>20</v>
      </c>
      <c r="B483" s="90" t="s">
        <v>1063</v>
      </c>
      <c r="C483" s="90">
        <v>2011083</v>
      </c>
      <c r="D483" s="251">
        <v>40595</v>
      </c>
      <c r="E483" s="251" t="s">
        <v>1059</v>
      </c>
      <c r="F483" s="252">
        <v>457.47</v>
      </c>
      <c r="H483"/>
      <c r="I483"/>
      <c r="J483"/>
      <c r="K483"/>
    </row>
    <row r="484" spans="1:11" ht="15" x14ac:dyDescent="0.25">
      <c r="A484" s="90" t="s">
        <v>20</v>
      </c>
      <c r="B484" s="90" t="s">
        <v>1058</v>
      </c>
      <c r="C484" s="90">
        <v>2011084</v>
      </c>
      <c r="D484" s="251">
        <v>40596</v>
      </c>
      <c r="E484" s="251" t="s">
        <v>1060</v>
      </c>
      <c r="F484" s="252">
        <v>480.54</v>
      </c>
      <c r="H484"/>
      <c r="I484"/>
      <c r="J484"/>
      <c r="K484"/>
    </row>
    <row r="485" spans="1:11" ht="15" x14ac:dyDescent="0.25">
      <c r="A485" s="90" t="s">
        <v>20</v>
      </c>
      <c r="B485" s="90" t="s">
        <v>1065</v>
      </c>
      <c r="C485" s="90">
        <v>2011085</v>
      </c>
      <c r="D485" s="251">
        <v>40596</v>
      </c>
      <c r="E485" s="251" t="s">
        <v>1059</v>
      </c>
      <c r="F485" s="252">
        <v>381.66</v>
      </c>
      <c r="H485"/>
      <c r="I485"/>
      <c r="J485"/>
      <c r="K485"/>
    </row>
    <row r="486" spans="1:11" ht="15" x14ac:dyDescent="0.25">
      <c r="A486" s="90" t="s">
        <v>20</v>
      </c>
      <c r="B486" s="90" t="s">
        <v>1065</v>
      </c>
      <c r="C486" s="90">
        <v>2011086</v>
      </c>
      <c r="D486" s="251">
        <v>40596</v>
      </c>
      <c r="E486" s="251" t="s">
        <v>1060</v>
      </c>
      <c r="F486" s="252">
        <v>319.43</v>
      </c>
      <c r="H486"/>
      <c r="I486"/>
      <c r="J486"/>
      <c r="K486"/>
    </row>
    <row r="487" spans="1:11" ht="15" x14ac:dyDescent="0.25">
      <c r="A487" s="90" t="s">
        <v>20</v>
      </c>
      <c r="B487" s="90" t="s">
        <v>1065</v>
      </c>
      <c r="C487" s="90">
        <v>2011087</v>
      </c>
      <c r="D487" s="251">
        <v>40596</v>
      </c>
      <c r="E487" s="251" t="s">
        <v>1059</v>
      </c>
      <c r="F487" s="252">
        <v>73.45</v>
      </c>
      <c r="H487"/>
      <c r="I487"/>
      <c r="J487"/>
      <c r="K487"/>
    </row>
    <row r="488" spans="1:11" ht="15" x14ac:dyDescent="0.25">
      <c r="A488" s="90" t="s">
        <v>20</v>
      </c>
      <c r="B488" s="90" t="s">
        <v>1065</v>
      </c>
      <c r="C488" s="90">
        <v>2011088</v>
      </c>
      <c r="D488" s="251">
        <v>40597</v>
      </c>
      <c r="E488" s="251" t="s">
        <v>1060</v>
      </c>
      <c r="F488" s="252">
        <v>961.21</v>
      </c>
      <c r="H488"/>
      <c r="I488"/>
      <c r="J488"/>
      <c r="K488"/>
    </row>
    <row r="489" spans="1:11" ht="15" x14ac:dyDescent="0.25">
      <c r="A489" s="90" t="s">
        <v>20</v>
      </c>
      <c r="B489" s="90" t="s">
        <v>1061</v>
      </c>
      <c r="C489" s="90">
        <v>2011089</v>
      </c>
      <c r="D489" s="251">
        <v>40598</v>
      </c>
      <c r="E489" s="251" t="s">
        <v>1060</v>
      </c>
      <c r="F489" s="252">
        <v>148.59</v>
      </c>
      <c r="H489"/>
      <c r="I489"/>
      <c r="J489"/>
      <c r="K489"/>
    </row>
    <row r="490" spans="1:11" ht="15" x14ac:dyDescent="0.25">
      <c r="A490" s="90" t="s">
        <v>20</v>
      </c>
      <c r="B490" s="90" t="s">
        <v>1066</v>
      </c>
      <c r="C490" s="90">
        <v>2011090</v>
      </c>
      <c r="D490" s="251">
        <v>40598</v>
      </c>
      <c r="E490" s="251" t="s">
        <v>1060</v>
      </c>
      <c r="F490" s="252">
        <v>863.8</v>
      </c>
      <c r="H490"/>
      <c r="I490"/>
      <c r="J490"/>
      <c r="K490"/>
    </row>
    <row r="491" spans="1:11" ht="15" x14ac:dyDescent="0.25">
      <c r="A491" s="90" t="s">
        <v>20</v>
      </c>
      <c r="B491" s="90" t="s">
        <v>1066</v>
      </c>
      <c r="C491" s="90">
        <v>2011091</v>
      </c>
      <c r="D491" s="251">
        <v>40599</v>
      </c>
      <c r="E491" s="251" t="s">
        <v>1060</v>
      </c>
      <c r="F491" s="252">
        <v>229.32</v>
      </c>
      <c r="H491"/>
      <c r="I491"/>
      <c r="J491"/>
      <c r="K491"/>
    </row>
    <row r="492" spans="1:11" ht="15" x14ac:dyDescent="0.25">
      <c r="A492" s="90" t="s">
        <v>20</v>
      </c>
      <c r="B492" s="90" t="s">
        <v>1058</v>
      </c>
      <c r="C492" s="90">
        <v>2011092</v>
      </c>
      <c r="D492" s="251">
        <v>40602</v>
      </c>
      <c r="E492" s="251" t="s">
        <v>1059</v>
      </c>
      <c r="F492" s="252">
        <v>908.51</v>
      </c>
      <c r="H492"/>
      <c r="I492"/>
      <c r="J492"/>
      <c r="K492"/>
    </row>
    <row r="493" spans="1:11" ht="15" x14ac:dyDescent="0.25">
      <c r="A493" s="90" t="s">
        <v>20</v>
      </c>
      <c r="B493" s="90" t="s">
        <v>1065</v>
      </c>
      <c r="C493" s="90">
        <v>2011093</v>
      </c>
      <c r="D493" s="251">
        <v>40602</v>
      </c>
      <c r="E493" s="251" t="s">
        <v>1059</v>
      </c>
      <c r="F493" s="252">
        <v>224.1</v>
      </c>
      <c r="H493"/>
      <c r="I493"/>
      <c r="J493"/>
      <c r="K493"/>
    </row>
    <row r="494" spans="1:11" ht="15" x14ac:dyDescent="0.25">
      <c r="A494" s="90" t="s">
        <v>20</v>
      </c>
      <c r="B494" s="90" t="s">
        <v>1063</v>
      </c>
      <c r="C494" s="90">
        <v>2011094</v>
      </c>
      <c r="D494" s="251">
        <v>40602</v>
      </c>
      <c r="E494" s="251" t="s">
        <v>1059</v>
      </c>
      <c r="F494" s="252">
        <v>357.81</v>
      </c>
      <c r="H494"/>
      <c r="I494"/>
      <c r="J494"/>
      <c r="K494"/>
    </row>
    <row r="495" spans="1:11" ht="15" x14ac:dyDescent="0.25">
      <c r="A495" s="90" t="s">
        <v>20</v>
      </c>
      <c r="B495" s="90" t="s">
        <v>1063</v>
      </c>
      <c r="C495" s="90">
        <v>2011095</v>
      </c>
      <c r="D495" s="251">
        <v>40602</v>
      </c>
      <c r="E495" s="251" t="s">
        <v>1060</v>
      </c>
      <c r="F495" s="252">
        <v>959.77</v>
      </c>
      <c r="H495"/>
      <c r="I495"/>
      <c r="J495"/>
      <c r="K495"/>
    </row>
    <row r="496" spans="1:11" ht="15" x14ac:dyDescent="0.25">
      <c r="A496" s="90" t="s">
        <v>22</v>
      </c>
      <c r="B496" s="90" t="s">
        <v>1068</v>
      </c>
      <c r="C496" s="90">
        <v>2011096</v>
      </c>
      <c r="D496" s="251">
        <v>40603</v>
      </c>
      <c r="E496" s="251" t="s">
        <v>1059</v>
      </c>
      <c r="F496" s="252">
        <v>243.17</v>
      </c>
      <c r="H496"/>
      <c r="I496"/>
      <c r="J496"/>
      <c r="K496"/>
    </row>
    <row r="497" spans="1:11" ht="15" x14ac:dyDescent="0.25">
      <c r="A497" s="90" t="s">
        <v>20</v>
      </c>
      <c r="B497" s="90" t="s">
        <v>1066</v>
      </c>
      <c r="C497" s="90">
        <v>2011097</v>
      </c>
      <c r="D497" s="251">
        <v>40604</v>
      </c>
      <c r="E497" s="251" t="s">
        <v>1060</v>
      </c>
      <c r="F497" s="252">
        <v>267.47000000000003</v>
      </c>
      <c r="H497"/>
      <c r="I497"/>
      <c r="J497"/>
      <c r="K497"/>
    </row>
    <row r="498" spans="1:11" ht="15" x14ac:dyDescent="0.25">
      <c r="A498" s="90" t="s">
        <v>20</v>
      </c>
      <c r="B498" s="90" t="s">
        <v>1065</v>
      </c>
      <c r="C498" s="90">
        <v>2011098</v>
      </c>
      <c r="D498" s="251">
        <v>40604</v>
      </c>
      <c r="E498" s="251" t="s">
        <v>1060</v>
      </c>
      <c r="F498" s="252">
        <v>1102.53</v>
      </c>
      <c r="H498"/>
      <c r="I498"/>
      <c r="J498"/>
      <c r="K498"/>
    </row>
    <row r="499" spans="1:11" ht="15" x14ac:dyDescent="0.25">
      <c r="A499" s="90" t="s">
        <v>22</v>
      </c>
      <c r="B499" s="90" t="s">
        <v>1070</v>
      </c>
      <c r="C499" s="90">
        <v>2011099</v>
      </c>
      <c r="D499" s="251">
        <v>40604</v>
      </c>
      <c r="E499" s="251" t="s">
        <v>1059</v>
      </c>
      <c r="F499" s="252">
        <v>778.23</v>
      </c>
      <c r="H499"/>
      <c r="I499"/>
      <c r="J499"/>
      <c r="K499"/>
    </row>
    <row r="500" spans="1:11" ht="15" x14ac:dyDescent="0.25">
      <c r="A500" s="90" t="s">
        <v>22</v>
      </c>
      <c r="B500" s="90" t="s">
        <v>1070</v>
      </c>
      <c r="C500" s="90">
        <v>2011100</v>
      </c>
      <c r="D500" s="251">
        <v>40604</v>
      </c>
      <c r="E500" s="251" t="s">
        <v>1060</v>
      </c>
      <c r="F500" s="252">
        <v>506.09</v>
      </c>
      <c r="H500"/>
      <c r="I500"/>
      <c r="J500"/>
      <c r="K500"/>
    </row>
    <row r="501" spans="1:11" ht="15" x14ac:dyDescent="0.25">
      <c r="A501" s="90" t="s">
        <v>22</v>
      </c>
      <c r="B501" s="90" t="s">
        <v>1067</v>
      </c>
      <c r="C501" s="90">
        <v>2011101</v>
      </c>
      <c r="D501" s="251">
        <v>40604</v>
      </c>
      <c r="E501" s="251" t="s">
        <v>1060</v>
      </c>
      <c r="F501" s="252">
        <v>861.55</v>
      </c>
      <c r="H501"/>
      <c r="I501"/>
      <c r="J501"/>
      <c r="K501"/>
    </row>
    <row r="502" spans="1:11" ht="15" x14ac:dyDescent="0.25">
      <c r="A502" s="90" t="s">
        <v>20</v>
      </c>
      <c r="B502" s="90" t="s">
        <v>1066</v>
      </c>
      <c r="C502" s="90">
        <v>2011102</v>
      </c>
      <c r="D502" s="251">
        <v>40605</v>
      </c>
      <c r="E502" s="251" t="s">
        <v>1060</v>
      </c>
      <c r="F502" s="252">
        <v>1187.93</v>
      </c>
      <c r="H502"/>
      <c r="I502"/>
      <c r="J502"/>
      <c r="K502"/>
    </row>
    <row r="503" spans="1:11" ht="15" x14ac:dyDescent="0.25">
      <c r="A503" s="90" t="s">
        <v>20</v>
      </c>
      <c r="B503" s="90" t="s">
        <v>1058</v>
      </c>
      <c r="C503" s="90">
        <v>2011103</v>
      </c>
      <c r="D503" s="251">
        <v>40605</v>
      </c>
      <c r="E503" s="251" t="s">
        <v>1060</v>
      </c>
      <c r="F503" s="252">
        <v>783.72</v>
      </c>
      <c r="H503"/>
      <c r="I503"/>
      <c r="J503"/>
      <c r="K503"/>
    </row>
    <row r="504" spans="1:11" ht="15" x14ac:dyDescent="0.25">
      <c r="A504" s="90" t="s">
        <v>20</v>
      </c>
      <c r="B504" s="90" t="s">
        <v>1058</v>
      </c>
      <c r="C504" s="90">
        <v>2011104</v>
      </c>
      <c r="D504" s="251">
        <v>40605</v>
      </c>
      <c r="E504" s="251" t="s">
        <v>1059</v>
      </c>
      <c r="F504" s="252">
        <v>897.35</v>
      </c>
      <c r="H504"/>
      <c r="I504"/>
      <c r="J504"/>
      <c r="K504"/>
    </row>
    <row r="505" spans="1:11" ht="15" x14ac:dyDescent="0.25">
      <c r="A505" s="90" t="s">
        <v>22</v>
      </c>
      <c r="B505" s="90" t="s">
        <v>1068</v>
      </c>
      <c r="C505" s="90">
        <v>2011105</v>
      </c>
      <c r="D505" s="251">
        <v>40605</v>
      </c>
      <c r="E505" s="251" t="s">
        <v>1060</v>
      </c>
      <c r="F505" s="252">
        <v>1209.32</v>
      </c>
      <c r="H505"/>
      <c r="I505"/>
      <c r="J505"/>
      <c r="K505"/>
    </row>
    <row r="506" spans="1:11" ht="15" x14ac:dyDescent="0.25">
      <c r="A506" s="90" t="s">
        <v>20</v>
      </c>
      <c r="B506" s="90" t="s">
        <v>1061</v>
      </c>
      <c r="C506" s="90">
        <v>2011106</v>
      </c>
      <c r="D506" s="251">
        <v>40606</v>
      </c>
      <c r="E506" s="251" t="s">
        <v>1060</v>
      </c>
      <c r="F506" s="252">
        <v>1197.6199999999999</v>
      </c>
      <c r="H506"/>
      <c r="I506"/>
      <c r="J506"/>
      <c r="K506"/>
    </row>
    <row r="507" spans="1:11" ht="15" x14ac:dyDescent="0.25">
      <c r="A507" s="90" t="s">
        <v>20</v>
      </c>
      <c r="B507" s="90" t="s">
        <v>1061</v>
      </c>
      <c r="C507" s="90">
        <v>2011107</v>
      </c>
      <c r="D507" s="251">
        <v>40609</v>
      </c>
      <c r="E507" s="251" t="s">
        <v>1060</v>
      </c>
      <c r="F507" s="252">
        <v>548.78</v>
      </c>
      <c r="H507"/>
      <c r="I507"/>
      <c r="J507"/>
      <c r="K507"/>
    </row>
    <row r="508" spans="1:11" ht="15" x14ac:dyDescent="0.25">
      <c r="A508" s="90" t="s">
        <v>20</v>
      </c>
      <c r="B508" s="90" t="s">
        <v>1065</v>
      </c>
      <c r="C508" s="90">
        <v>2011108</v>
      </c>
      <c r="D508" s="251">
        <v>40609</v>
      </c>
      <c r="E508" s="251" t="s">
        <v>1059</v>
      </c>
      <c r="F508" s="252">
        <v>585.04</v>
      </c>
      <c r="H508"/>
      <c r="I508"/>
      <c r="J508"/>
      <c r="K508"/>
    </row>
    <row r="509" spans="1:11" ht="15" x14ac:dyDescent="0.25">
      <c r="A509" s="90" t="s">
        <v>22</v>
      </c>
      <c r="B509" s="90" t="s">
        <v>1070</v>
      </c>
      <c r="C509" s="90">
        <v>2011109</v>
      </c>
      <c r="D509" s="251">
        <v>40609</v>
      </c>
      <c r="E509" s="251" t="s">
        <v>1060</v>
      </c>
      <c r="F509" s="252">
        <v>394.53</v>
      </c>
      <c r="H509"/>
      <c r="I509"/>
      <c r="J509"/>
      <c r="K509"/>
    </row>
    <row r="510" spans="1:11" ht="15" x14ac:dyDescent="0.25">
      <c r="A510" s="90" t="s">
        <v>22</v>
      </c>
      <c r="B510" s="90" t="s">
        <v>1064</v>
      </c>
      <c r="C510" s="90">
        <v>2011110</v>
      </c>
      <c r="D510" s="251">
        <v>40609</v>
      </c>
      <c r="E510" s="251" t="s">
        <v>1059</v>
      </c>
      <c r="F510" s="252">
        <v>761.7</v>
      </c>
      <c r="H510"/>
      <c r="I510"/>
      <c r="J510"/>
      <c r="K510"/>
    </row>
    <row r="511" spans="1:11" ht="15" x14ac:dyDescent="0.25">
      <c r="A511" s="90" t="s">
        <v>20</v>
      </c>
      <c r="B511" s="90" t="s">
        <v>1066</v>
      </c>
      <c r="C511" s="90">
        <v>2011111</v>
      </c>
      <c r="D511" s="251">
        <v>40610</v>
      </c>
      <c r="E511" s="251" t="s">
        <v>1059</v>
      </c>
      <c r="F511" s="252">
        <v>1005.19</v>
      </c>
      <c r="H511"/>
      <c r="I511"/>
      <c r="J511"/>
      <c r="K511"/>
    </row>
    <row r="512" spans="1:11" ht="15" x14ac:dyDescent="0.25">
      <c r="A512" s="90" t="s">
        <v>20</v>
      </c>
      <c r="B512" s="90" t="s">
        <v>1058</v>
      </c>
      <c r="C512" s="90">
        <v>2011112</v>
      </c>
      <c r="D512" s="251">
        <v>40610</v>
      </c>
      <c r="E512" s="251" t="s">
        <v>1060</v>
      </c>
      <c r="F512" s="252">
        <v>821.63</v>
      </c>
      <c r="H512"/>
      <c r="I512"/>
      <c r="J512"/>
      <c r="K512"/>
    </row>
    <row r="513" spans="1:11" ht="15" x14ac:dyDescent="0.25">
      <c r="A513" s="90" t="s">
        <v>20</v>
      </c>
      <c r="B513" s="90" t="s">
        <v>1066</v>
      </c>
      <c r="C513" s="90">
        <v>2011113</v>
      </c>
      <c r="D513" s="251">
        <v>40611</v>
      </c>
      <c r="E513" s="251" t="s">
        <v>1059</v>
      </c>
      <c r="F513" s="252">
        <v>777.57</v>
      </c>
      <c r="H513"/>
      <c r="I513"/>
      <c r="J513"/>
      <c r="K513"/>
    </row>
    <row r="514" spans="1:11" ht="15" x14ac:dyDescent="0.25">
      <c r="A514" s="90" t="s">
        <v>20</v>
      </c>
      <c r="B514" s="90" t="s">
        <v>1063</v>
      </c>
      <c r="C514" s="90">
        <v>2011114</v>
      </c>
      <c r="D514" s="251">
        <v>40612</v>
      </c>
      <c r="E514" s="251" t="s">
        <v>1060</v>
      </c>
      <c r="F514" s="252">
        <v>1022.83</v>
      </c>
      <c r="H514"/>
      <c r="I514"/>
      <c r="J514"/>
      <c r="K514"/>
    </row>
    <row r="515" spans="1:11" ht="15" x14ac:dyDescent="0.25">
      <c r="A515" s="90" t="s">
        <v>22</v>
      </c>
      <c r="B515" s="90" t="s">
        <v>1068</v>
      </c>
      <c r="C515" s="90">
        <v>2011115</v>
      </c>
      <c r="D515" s="251">
        <v>40612</v>
      </c>
      <c r="E515" s="251" t="s">
        <v>1059</v>
      </c>
      <c r="F515" s="252">
        <v>868.87</v>
      </c>
      <c r="H515"/>
      <c r="I515"/>
      <c r="J515"/>
      <c r="K515"/>
    </row>
    <row r="516" spans="1:11" ht="15" x14ac:dyDescent="0.25">
      <c r="A516" s="90" t="s">
        <v>22</v>
      </c>
      <c r="B516" s="90" t="s">
        <v>1068</v>
      </c>
      <c r="C516" s="90">
        <v>2011116</v>
      </c>
      <c r="D516" s="251">
        <v>40612</v>
      </c>
      <c r="E516" s="251" t="s">
        <v>1059</v>
      </c>
      <c r="F516" s="252">
        <v>442.41</v>
      </c>
      <c r="H516"/>
      <c r="I516"/>
      <c r="J516"/>
      <c r="K516"/>
    </row>
    <row r="517" spans="1:11" ht="15" x14ac:dyDescent="0.25">
      <c r="A517" s="90" t="s">
        <v>22</v>
      </c>
      <c r="B517" s="90" t="s">
        <v>1062</v>
      </c>
      <c r="C517" s="90">
        <v>2011117</v>
      </c>
      <c r="D517" s="251">
        <v>40612</v>
      </c>
      <c r="E517" s="251" t="s">
        <v>1060</v>
      </c>
      <c r="F517" s="252">
        <v>1152.51</v>
      </c>
      <c r="H517"/>
      <c r="I517"/>
      <c r="J517"/>
      <c r="K517"/>
    </row>
    <row r="518" spans="1:11" ht="15" x14ac:dyDescent="0.25">
      <c r="A518" s="90" t="s">
        <v>20</v>
      </c>
      <c r="B518" s="90" t="s">
        <v>1066</v>
      </c>
      <c r="C518" s="90">
        <v>2011118</v>
      </c>
      <c r="D518" s="251">
        <v>40613</v>
      </c>
      <c r="E518" s="251" t="s">
        <v>1059</v>
      </c>
      <c r="F518" s="252">
        <v>1217.9100000000001</v>
      </c>
      <c r="H518"/>
      <c r="I518"/>
      <c r="J518"/>
      <c r="K518"/>
    </row>
    <row r="519" spans="1:11" ht="15" x14ac:dyDescent="0.25">
      <c r="A519" s="90" t="s">
        <v>20</v>
      </c>
      <c r="B519" s="90" t="s">
        <v>1065</v>
      </c>
      <c r="C519" s="90">
        <v>2011119</v>
      </c>
      <c r="D519" s="251">
        <v>40613</v>
      </c>
      <c r="E519" s="251" t="s">
        <v>1059</v>
      </c>
      <c r="F519" s="252">
        <v>498.86</v>
      </c>
      <c r="H519"/>
      <c r="I519"/>
      <c r="J519"/>
      <c r="K519"/>
    </row>
    <row r="520" spans="1:11" ht="15" x14ac:dyDescent="0.25">
      <c r="A520" s="90" t="s">
        <v>22</v>
      </c>
      <c r="B520" s="90" t="s">
        <v>1068</v>
      </c>
      <c r="C520" s="90">
        <v>2011120</v>
      </c>
      <c r="D520" s="251">
        <v>40613</v>
      </c>
      <c r="E520" s="251" t="s">
        <v>1059</v>
      </c>
      <c r="F520" s="252">
        <v>415.3</v>
      </c>
      <c r="H520"/>
      <c r="I520"/>
      <c r="J520"/>
      <c r="K520"/>
    </row>
    <row r="521" spans="1:11" ht="15" x14ac:dyDescent="0.25">
      <c r="A521" s="90" t="s">
        <v>20</v>
      </c>
      <c r="B521" s="90" t="s">
        <v>1065</v>
      </c>
      <c r="C521" s="90">
        <v>2011121</v>
      </c>
      <c r="D521" s="251">
        <v>40616</v>
      </c>
      <c r="E521" s="251" t="s">
        <v>1059</v>
      </c>
      <c r="F521" s="252">
        <v>815.91</v>
      </c>
      <c r="H521"/>
      <c r="I521"/>
      <c r="J521"/>
      <c r="K521"/>
    </row>
    <row r="522" spans="1:11" ht="15" x14ac:dyDescent="0.25">
      <c r="A522" s="90" t="s">
        <v>22</v>
      </c>
      <c r="B522" s="90" t="s">
        <v>1062</v>
      </c>
      <c r="C522" s="90">
        <v>2011122</v>
      </c>
      <c r="D522" s="251">
        <v>40616</v>
      </c>
      <c r="E522" s="251" t="s">
        <v>1060</v>
      </c>
      <c r="F522" s="252">
        <v>773.55</v>
      </c>
      <c r="H522"/>
      <c r="I522"/>
      <c r="J522"/>
      <c r="K522"/>
    </row>
    <row r="523" spans="1:11" ht="15" x14ac:dyDescent="0.25">
      <c r="A523" s="90" t="s">
        <v>20</v>
      </c>
      <c r="B523" s="90" t="s">
        <v>1061</v>
      </c>
      <c r="C523" s="90">
        <v>2011123</v>
      </c>
      <c r="D523" s="251">
        <v>40617</v>
      </c>
      <c r="E523" s="251" t="s">
        <v>1060</v>
      </c>
      <c r="F523" s="252">
        <v>806.9</v>
      </c>
      <c r="H523"/>
      <c r="I523"/>
      <c r="J523"/>
      <c r="K523"/>
    </row>
    <row r="524" spans="1:11" ht="15" x14ac:dyDescent="0.25">
      <c r="A524" s="90" t="s">
        <v>20</v>
      </c>
      <c r="B524" s="90" t="s">
        <v>1061</v>
      </c>
      <c r="C524" s="90">
        <v>2011124</v>
      </c>
      <c r="D524" s="251">
        <v>40618</v>
      </c>
      <c r="E524" s="251" t="s">
        <v>1060</v>
      </c>
      <c r="F524" s="252">
        <v>420.78</v>
      </c>
      <c r="H524"/>
      <c r="I524"/>
      <c r="J524"/>
      <c r="K524"/>
    </row>
    <row r="525" spans="1:11" ht="15" x14ac:dyDescent="0.25">
      <c r="A525" s="90" t="s">
        <v>22</v>
      </c>
      <c r="B525" s="90" t="s">
        <v>1062</v>
      </c>
      <c r="C525" s="90">
        <v>2011125</v>
      </c>
      <c r="D525" s="251">
        <v>40618</v>
      </c>
      <c r="E525" s="251" t="s">
        <v>1060</v>
      </c>
      <c r="F525" s="252">
        <v>960.22</v>
      </c>
      <c r="H525"/>
      <c r="I525"/>
      <c r="J525"/>
      <c r="K525"/>
    </row>
    <row r="526" spans="1:11" ht="15" x14ac:dyDescent="0.25">
      <c r="A526" s="90" t="s">
        <v>20</v>
      </c>
      <c r="B526" s="90" t="s">
        <v>1066</v>
      </c>
      <c r="C526" s="90">
        <v>2011126</v>
      </c>
      <c r="D526" s="251">
        <v>40619</v>
      </c>
      <c r="E526" s="251" t="s">
        <v>1059</v>
      </c>
      <c r="F526" s="252">
        <v>1138.8399999999999</v>
      </c>
      <c r="H526"/>
      <c r="I526"/>
      <c r="J526"/>
      <c r="K526"/>
    </row>
    <row r="527" spans="1:11" ht="15" x14ac:dyDescent="0.25">
      <c r="A527" s="90" t="s">
        <v>20</v>
      </c>
      <c r="B527" s="90" t="s">
        <v>1065</v>
      </c>
      <c r="C527" s="90">
        <v>2011127</v>
      </c>
      <c r="D527" s="251">
        <v>40619</v>
      </c>
      <c r="E527" s="251" t="s">
        <v>1059</v>
      </c>
      <c r="F527" s="252">
        <v>381.78</v>
      </c>
      <c r="H527"/>
      <c r="I527"/>
      <c r="J527"/>
      <c r="K527"/>
    </row>
    <row r="528" spans="1:11" ht="15" x14ac:dyDescent="0.25">
      <c r="A528" s="90" t="s">
        <v>20</v>
      </c>
      <c r="B528" s="90" t="s">
        <v>1065</v>
      </c>
      <c r="C528" s="90">
        <v>2011128</v>
      </c>
      <c r="D528" s="251">
        <v>40619</v>
      </c>
      <c r="E528" s="251" t="s">
        <v>1060</v>
      </c>
      <c r="F528" s="252">
        <v>1143.46</v>
      </c>
      <c r="H528"/>
      <c r="I528"/>
      <c r="J528"/>
      <c r="K528"/>
    </row>
    <row r="529" spans="1:11" ht="15" x14ac:dyDescent="0.25">
      <c r="A529" s="90" t="s">
        <v>22</v>
      </c>
      <c r="B529" s="90" t="s">
        <v>1064</v>
      </c>
      <c r="C529" s="90">
        <v>2011129</v>
      </c>
      <c r="D529" s="251">
        <v>40619</v>
      </c>
      <c r="E529" s="251" t="s">
        <v>1060</v>
      </c>
      <c r="F529" s="252">
        <v>466.61</v>
      </c>
      <c r="H529"/>
      <c r="I529"/>
      <c r="J529"/>
      <c r="K529"/>
    </row>
    <row r="530" spans="1:11" ht="15" x14ac:dyDescent="0.25">
      <c r="A530" s="90" t="s">
        <v>20</v>
      </c>
      <c r="B530" s="90" t="s">
        <v>1058</v>
      </c>
      <c r="C530" s="90">
        <v>2011130</v>
      </c>
      <c r="D530" s="251">
        <v>40620</v>
      </c>
      <c r="E530" s="251" t="s">
        <v>1060</v>
      </c>
      <c r="F530" s="252">
        <v>630.87</v>
      </c>
      <c r="H530"/>
      <c r="I530"/>
      <c r="J530"/>
      <c r="K530"/>
    </row>
    <row r="531" spans="1:11" ht="15" x14ac:dyDescent="0.25">
      <c r="A531" s="90" t="s">
        <v>20</v>
      </c>
      <c r="B531" s="90" t="s">
        <v>1058</v>
      </c>
      <c r="C531" s="90">
        <v>2011131</v>
      </c>
      <c r="D531" s="251">
        <v>40620</v>
      </c>
      <c r="E531" s="251" t="s">
        <v>1059</v>
      </c>
      <c r="F531" s="252">
        <v>1197.1400000000001</v>
      </c>
      <c r="H531"/>
      <c r="I531"/>
      <c r="J531"/>
      <c r="K531"/>
    </row>
    <row r="532" spans="1:11" ht="15" x14ac:dyDescent="0.25">
      <c r="A532" s="90" t="s">
        <v>20</v>
      </c>
      <c r="B532" s="90" t="s">
        <v>1065</v>
      </c>
      <c r="C532" s="90">
        <v>2011132</v>
      </c>
      <c r="D532" s="251">
        <v>40620</v>
      </c>
      <c r="E532" s="251" t="s">
        <v>1059</v>
      </c>
      <c r="F532" s="252">
        <v>939.77</v>
      </c>
      <c r="H532"/>
      <c r="I532"/>
      <c r="J532"/>
      <c r="K532"/>
    </row>
    <row r="533" spans="1:11" ht="15" x14ac:dyDescent="0.25">
      <c r="A533" s="90" t="s">
        <v>22</v>
      </c>
      <c r="B533" s="90" t="s">
        <v>1070</v>
      </c>
      <c r="C533" s="90">
        <v>2011133</v>
      </c>
      <c r="D533" s="251">
        <v>40620</v>
      </c>
      <c r="E533" s="251" t="s">
        <v>1060</v>
      </c>
      <c r="F533" s="252">
        <v>221.63</v>
      </c>
      <c r="H533"/>
      <c r="I533"/>
      <c r="J533"/>
      <c r="K533"/>
    </row>
    <row r="534" spans="1:11" ht="15" x14ac:dyDescent="0.25">
      <c r="A534" s="90" t="s">
        <v>20</v>
      </c>
      <c r="B534" s="90" t="s">
        <v>1066</v>
      </c>
      <c r="C534" s="90">
        <v>2011134</v>
      </c>
      <c r="D534" s="251">
        <v>40624</v>
      </c>
      <c r="E534" s="251" t="s">
        <v>1059</v>
      </c>
      <c r="F534" s="252">
        <v>552.16</v>
      </c>
      <c r="H534"/>
      <c r="I534"/>
      <c r="J534"/>
      <c r="K534"/>
    </row>
    <row r="535" spans="1:11" ht="15" x14ac:dyDescent="0.25">
      <c r="A535" s="90" t="s">
        <v>20</v>
      </c>
      <c r="B535" s="90" t="s">
        <v>1066</v>
      </c>
      <c r="C535" s="90">
        <v>2011135</v>
      </c>
      <c r="D535" s="251">
        <v>40624</v>
      </c>
      <c r="E535" s="251" t="s">
        <v>1060</v>
      </c>
      <c r="F535" s="252">
        <v>797</v>
      </c>
      <c r="H535"/>
      <c r="I535"/>
      <c r="J535"/>
      <c r="K535"/>
    </row>
    <row r="536" spans="1:11" ht="15" x14ac:dyDescent="0.25">
      <c r="A536" s="90" t="s">
        <v>20</v>
      </c>
      <c r="B536" s="90" t="s">
        <v>1058</v>
      </c>
      <c r="C536" s="90">
        <v>2011136</v>
      </c>
      <c r="D536" s="251">
        <v>40624</v>
      </c>
      <c r="E536" s="251" t="s">
        <v>1059</v>
      </c>
      <c r="F536" s="252">
        <v>765.68</v>
      </c>
      <c r="H536"/>
      <c r="I536"/>
      <c r="J536"/>
      <c r="K536"/>
    </row>
    <row r="537" spans="1:11" ht="15" x14ac:dyDescent="0.25">
      <c r="A537" s="90" t="s">
        <v>20</v>
      </c>
      <c r="B537" s="90" t="s">
        <v>1058</v>
      </c>
      <c r="C537" s="90">
        <v>2011137</v>
      </c>
      <c r="D537" s="251">
        <v>40624</v>
      </c>
      <c r="E537" s="251" t="s">
        <v>1060</v>
      </c>
      <c r="F537" s="252">
        <v>1156.6500000000001</v>
      </c>
      <c r="H537"/>
      <c r="I537"/>
      <c r="J537"/>
      <c r="K537"/>
    </row>
    <row r="538" spans="1:11" ht="15" x14ac:dyDescent="0.25">
      <c r="A538" s="90" t="s">
        <v>20</v>
      </c>
      <c r="B538" s="90" t="s">
        <v>1065</v>
      </c>
      <c r="C538" s="90">
        <v>2011138</v>
      </c>
      <c r="D538" s="251">
        <v>40624</v>
      </c>
      <c r="E538" s="251" t="s">
        <v>1060</v>
      </c>
      <c r="F538" s="252">
        <v>746.56</v>
      </c>
      <c r="H538"/>
      <c r="I538"/>
      <c r="J538"/>
      <c r="K538"/>
    </row>
    <row r="539" spans="1:11" ht="15" x14ac:dyDescent="0.25">
      <c r="A539" s="90" t="s">
        <v>22</v>
      </c>
      <c r="B539" s="90" t="s">
        <v>1069</v>
      </c>
      <c r="C539" s="90">
        <v>2011139</v>
      </c>
      <c r="D539" s="251">
        <v>40625</v>
      </c>
      <c r="E539" s="251" t="s">
        <v>1060</v>
      </c>
      <c r="F539" s="252">
        <v>1113.5999999999999</v>
      </c>
      <c r="H539"/>
      <c r="I539"/>
      <c r="J539"/>
      <c r="K539"/>
    </row>
    <row r="540" spans="1:11" ht="15" x14ac:dyDescent="0.25">
      <c r="A540" s="90" t="s">
        <v>22</v>
      </c>
      <c r="B540" s="90" t="s">
        <v>1067</v>
      </c>
      <c r="C540" s="90">
        <v>2011140</v>
      </c>
      <c r="D540" s="251">
        <v>40625</v>
      </c>
      <c r="E540" s="251" t="s">
        <v>1060</v>
      </c>
      <c r="F540" s="252">
        <v>132.26</v>
      </c>
      <c r="H540"/>
      <c r="I540"/>
      <c r="J540"/>
      <c r="K540"/>
    </row>
    <row r="541" spans="1:11" ht="15" x14ac:dyDescent="0.25">
      <c r="A541" s="90" t="s">
        <v>22</v>
      </c>
      <c r="B541" s="90" t="s">
        <v>1062</v>
      </c>
      <c r="C541" s="90">
        <v>2011141</v>
      </c>
      <c r="D541" s="251">
        <v>40626</v>
      </c>
      <c r="E541" s="251" t="s">
        <v>1060</v>
      </c>
      <c r="F541" s="252">
        <v>1140.28</v>
      </c>
      <c r="H541"/>
      <c r="I541"/>
      <c r="J541"/>
      <c r="K541"/>
    </row>
    <row r="542" spans="1:11" ht="15" x14ac:dyDescent="0.25">
      <c r="A542" s="90" t="s">
        <v>22</v>
      </c>
      <c r="B542" s="90" t="s">
        <v>1064</v>
      </c>
      <c r="C542" s="90">
        <v>2011142</v>
      </c>
      <c r="D542" s="251">
        <v>40626</v>
      </c>
      <c r="E542" s="251" t="s">
        <v>1060</v>
      </c>
      <c r="F542" s="252">
        <v>832.88</v>
      </c>
      <c r="H542"/>
      <c r="I542"/>
      <c r="J542"/>
      <c r="K542"/>
    </row>
    <row r="543" spans="1:11" ht="15" x14ac:dyDescent="0.25">
      <c r="A543" s="90" t="s">
        <v>20</v>
      </c>
      <c r="B543" s="90" t="s">
        <v>1061</v>
      </c>
      <c r="C543" s="90">
        <v>2011143</v>
      </c>
      <c r="D543" s="251">
        <v>40627</v>
      </c>
      <c r="E543" s="251" t="s">
        <v>1059</v>
      </c>
      <c r="F543" s="252">
        <v>1173.82</v>
      </c>
      <c r="H543"/>
      <c r="I543"/>
      <c r="J543"/>
      <c r="K543"/>
    </row>
    <row r="544" spans="1:11" ht="15" x14ac:dyDescent="0.25">
      <c r="A544" s="90" t="s">
        <v>20</v>
      </c>
      <c r="B544" s="90" t="s">
        <v>1066</v>
      </c>
      <c r="C544" s="90">
        <v>2011144</v>
      </c>
      <c r="D544" s="251">
        <v>40630</v>
      </c>
      <c r="E544" s="251" t="s">
        <v>1059</v>
      </c>
      <c r="F544" s="252">
        <v>512.79</v>
      </c>
      <c r="H544"/>
      <c r="I544"/>
      <c r="J544"/>
      <c r="K544"/>
    </row>
    <row r="545" spans="1:11" ht="15" x14ac:dyDescent="0.25">
      <c r="A545" s="90" t="s">
        <v>20</v>
      </c>
      <c r="B545" s="90" t="s">
        <v>1058</v>
      </c>
      <c r="C545" s="90">
        <v>2011145</v>
      </c>
      <c r="D545" s="251">
        <v>40630</v>
      </c>
      <c r="E545" s="251" t="s">
        <v>1059</v>
      </c>
      <c r="F545" s="252">
        <v>796.4</v>
      </c>
      <c r="H545"/>
      <c r="I545"/>
      <c r="J545"/>
      <c r="K545"/>
    </row>
    <row r="546" spans="1:11" ht="15" x14ac:dyDescent="0.25">
      <c r="A546" s="90" t="s">
        <v>20</v>
      </c>
      <c r="B546" s="90" t="s">
        <v>1065</v>
      </c>
      <c r="C546" s="90">
        <v>2011146</v>
      </c>
      <c r="D546" s="251">
        <v>40631</v>
      </c>
      <c r="E546" s="251" t="s">
        <v>1060</v>
      </c>
      <c r="F546" s="252">
        <v>992.27</v>
      </c>
      <c r="H546"/>
      <c r="I546"/>
      <c r="J546"/>
      <c r="K546"/>
    </row>
    <row r="547" spans="1:11" ht="15" x14ac:dyDescent="0.25">
      <c r="A547" s="90" t="s">
        <v>20</v>
      </c>
      <c r="B547" s="90" t="s">
        <v>1063</v>
      </c>
      <c r="C547" s="90">
        <v>2011147</v>
      </c>
      <c r="D547" s="251">
        <v>40631</v>
      </c>
      <c r="E547" s="251" t="s">
        <v>1059</v>
      </c>
      <c r="F547" s="252">
        <v>204.83</v>
      </c>
      <c r="H547"/>
      <c r="I547"/>
      <c r="J547"/>
      <c r="K547"/>
    </row>
    <row r="548" spans="1:11" ht="15" x14ac:dyDescent="0.25">
      <c r="A548" s="90" t="s">
        <v>22</v>
      </c>
      <c r="B548" s="90" t="s">
        <v>1070</v>
      </c>
      <c r="C548" s="90">
        <v>2011148</v>
      </c>
      <c r="D548" s="251">
        <v>40631</v>
      </c>
      <c r="E548" s="251" t="s">
        <v>1059</v>
      </c>
      <c r="F548" s="252">
        <v>416.2</v>
      </c>
      <c r="H548"/>
      <c r="I548"/>
      <c r="J548"/>
      <c r="K548"/>
    </row>
    <row r="549" spans="1:11" ht="15" x14ac:dyDescent="0.25">
      <c r="A549" s="90" t="s">
        <v>20</v>
      </c>
      <c r="B549" s="90" t="s">
        <v>1066</v>
      </c>
      <c r="C549" s="90">
        <v>2011149</v>
      </c>
      <c r="D549" s="251">
        <v>40632</v>
      </c>
      <c r="E549" s="251" t="s">
        <v>1060</v>
      </c>
      <c r="F549" s="252">
        <v>943.31</v>
      </c>
      <c r="H549"/>
      <c r="I549"/>
      <c r="J549"/>
      <c r="K549"/>
    </row>
    <row r="550" spans="1:11" ht="15" x14ac:dyDescent="0.25">
      <c r="A550" s="90" t="s">
        <v>20</v>
      </c>
      <c r="B550" s="90" t="s">
        <v>1066</v>
      </c>
      <c r="C550" s="90">
        <v>2011150</v>
      </c>
      <c r="D550" s="251">
        <v>40632</v>
      </c>
      <c r="E550" s="251" t="s">
        <v>1059</v>
      </c>
      <c r="F550" s="252">
        <v>1126.25</v>
      </c>
      <c r="H550"/>
      <c r="I550"/>
      <c r="J550"/>
      <c r="K550"/>
    </row>
    <row r="551" spans="1:11" ht="15" x14ac:dyDescent="0.25">
      <c r="A551" s="90" t="s">
        <v>20</v>
      </c>
      <c r="B551" s="90" t="s">
        <v>1061</v>
      </c>
      <c r="C551" s="90">
        <v>2011151</v>
      </c>
      <c r="D551" s="251">
        <v>40633</v>
      </c>
      <c r="E551" s="251" t="s">
        <v>1060</v>
      </c>
      <c r="F551" s="252">
        <v>1070.93</v>
      </c>
      <c r="H551"/>
      <c r="I551"/>
      <c r="J551"/>
      <c r="K551"/>
    </row>
    <row r="552" spans="1:11" ht="15" x14ac:dyDescent="0.25">
      <c r="A552" s="90" t="s">
        <v>22</v>
      </c>
      <c r="B552" s="90" t="s">
        <v>1068</v>
      </c>
      <c r="C552" s="90">
        <v>2011152</v>
      </c>
      <c r="D552" s="251">
        <v>40633</v>
      </c>
      <c r="E552" s="251" t="s">
        <v>1060</v>
      </c>
      <c r="F552" s="252">
        <v>367.41</v>
      </c>
      <c r="H552"/>
      <c r="I552"/>
      <c r="J552"/>
      <c r="K552"/>
    </row>
    <row r="553" spans="1:11" ht="15" x14ac:dyDescent="0.25">
      <c r="A553" s="90" t="s">
        <v>22</v>
      </c>
      <c r="B553" s="90" t="s">
        <v>1064</v>
      </c>
      <c r="C553" s="90">
        <v>2011153</v>
      </c>
      <c r="D553" s="251">
        <v>40633</v>
      </c>
      <c r="E553" s="251" t="s">
        <v>1059</v>
      </c>
      <c r="F553" s="252">
        <v>315.04000000000002</v>
      </c>
      <c r="H553"/>
      <c r="I553"/>
      <c r="J553"/>
      <c r="K553"/>
    </row>
    <row r="554" spans="1:11" ht="15" x14ac:dyDescent="0.25">
      <c r="A554" s="90" t="s">
        <v>20</v>
      </c>
      <c r="B554" s="90" t="s">
        <v>1061</v>
      </c>
      <c r="C554" s="90">
        <v>2011154</v>
      </c>
      <c r="D554" s="251">
        <v>40634</v>
      </c>
      <c r="E554" s="251" t="s">
        <v>1060</v>
      </c>
      <c r="F554" s="252">
        <v>236.29</v>
      </c>
      <c r="H554"/>
      <c r="I554"/>
      <c r="J554"/>
      <c r="K554"/>
    </row>
    <row r="555" spans="1:11" ht="15" x14ac:dyDescent="0.25">
      <c r="A555" s="90" t="s">
        <v>20</v>
      </c>
      <c r="B555" s="90" t="s">
        <v>1058</v>
      </c>
      <c r="C555" s="90">
        <v>2011155</v>
      </c>
      <c r="D555" s="251">
        <v>40637</v>
      </c>
      <c r="E555" s="251" t="s">
        <v>1060</v>
      </c>
      <c r="F555" s="252">
        <v>212.1</v>
      </c>
      <c r="H555"/>
      <c r="I555"/>
      <c r="J555"/>
      <c r="K555"/>
    </row>
    <row r="556" spans="1:11" ht="15" x14ac:dyDescent="0.25">
      <c r="A556" s="90" t="s">
        <v>20</v>
      </c>
      <c r="B556" s="90" t="s">
        <v>1063</v>
      </c>
      <c r="C556" s="90">
        <v>2011156</v>
      </c>
      <c r="D556" s="251">
        <v>40637</v>
      </c>
      <c r="E556" s="251" t="s">
        <v>1059</v>
      </c>
      <c r="F556" s="252">
        <v>302.99</v>
      </c>
      <c r="H556"/>
      <c r="I556"/>
      <c r="J556"/>
      <c r="K556"/>
    </row>
    <row r="557" spans="1:11" ht="15" x14ac:dyDescent="0.25">
      <c r="A557" s="90" t="s">
        <v>20</v>
      </c>
      <c r="B557" s="90" t="s">
        <v>1061</v>
      </c>
      <c r="C557" s="90">
        <v>2011157</v>
      </c>
      <c r="D557" s="251">
        <v>40638</v>
      </c>
      <c r="E557" s="251" t="s">
        <v>1059</v>
      </c>
      <c r="F557" s="252">
        <v>1138.3599999999999</v>
      </c>
      <c r="H557"/>
      <c r="I557"/>
      <c r="J557"/>
      <c r="K557"/>
    </row>
    <row r="558" spans="1:11" ht="15" x14ac:dyDescent="0.25">
      <c r="A558" s="90" t="s">
        <v>22</v>
      </c>
      <c r="B558" s="90" t="s">
        <v>1064</v>
      </c>
      <c r="C558" s="90">
        <v>2011158</v>
      </c>
      <c r="D558" s="251">
        <v>40638</v>
      </c>
      <c r="E558" s="251" t="s">
        <v>1060</v>
      </c>
      <c r="F558" s="252">
        <v>1201.6199999999999</v>
      </c>
      <c r="H558"/>
      <c r="I558"/>
      <c r="J558"/>
      <c r="K558"/>
    </row>
    <row r="559" spans="1:11" ht="15" x14ac:dyDescent="0.25">
      <c r="A559" s="90" t="s">
        <v>22</v>
      </c>
      <c r="B559" s="90" t="s">
        <v>1064</v>
      </c>
      <c r="C559" s="90">
        <v>2011159</v>
      </c>
      <c r="D559" s="251">
        <v>40639</v>
      </c>
      <c r="E559" s="251" t="s">
        <v>1059</v>
      </c>
      <c r="F559" s="252">
        <v>360.8</v>
      </c>
      <c r="H559"/>
      <c r="I559"/>
      <c r="J559"/>
      <c r="K559"/>
    </row>
    <row r="560" spans="1:11" ht="15" x14ac:dyDescent="0.25">
      <c r="A560" s="90" t="s">
        <v>20</v>
      </c>
      <c r="B560" s="90" t="s">
        <v>1063</v>
      </c>
      <c r="C560" s="90">
        <v>2011160</v>
      </c>
      <c r="D560" s="251">
        <v>40641</v>
      </c>
      <c r="E560" s="251" t="s">
        <v>1059</v>
      </c>
      <c r="F560" s="252">
        <v>1127.05</v>
      </c>
      <c r="H560"/>
      <c r="I560"/>
      <c r="J560"/>
      <c r="K560"/>
    </row>
    <row r="561" spans="1:11" ht="15" x14ac:dyDescent="0.25">
      <c r="A561" s="90" t="s">
        <v>20</v>
      </c>
      <c r="B561" s="90" t="s">
        <v>1065</v>
      </c>
      <c r="C561" s="90">
        <v>2011161</v>
      </c>
      <c r="D561" s="251">
        <v>40644</v>
      </c>
      <c r="E561" s="251" t="s">
        <v>1060</v>
      </c>
      <c r="F561" s="252">
        <v>607.85</v>
      </c>
      <c r="H561"/>
      <c r="I561"/>
      <c r="J561"/>
      <c r="K561"/>
    </row>
    <row r="562" spans="1:11" ht="15" x14ac:dyDescent="0.25">
      <c r="A562" s="90" t="s">
        <v>22</v>
      </c>
      <c r="B562" s="90" t="s">
        <v>1062</v>
      </c>
      <c r="C562" s="90">
        <v>2011162</v>
      </c>
      <c r="D562" s="251">
        <v>40644</v>
      </c>
      <c r="E562" s="251" t="s">
        <v>1059</v>
      </c>
      <c r="F562" s="252">
        <v>233.83</v>
      </c>
      <c r="H562"/>
      <c r="I562"/>
      <c r="J562"/>
      <c r="K562"/>
    </row>
    <row r="563" spans="1:11" ht="15" x14ac:dyDescent="0.25">
      <c r="A563" s="90" t="s">
        <v>20</v>
      </c>
      <c r="B563" s="90" t="s">
        <v>1065</v>
      </c>
      <c r="C563" s="90">
        <v>2011163</v>
      </c>
      <c r="D563" s="251">
        <v>40645</v>
      </c>
      <c r="E563" s="251" t="s">
        <v>1059</v>
      </c>
      <c r="F563" s="252">
        <v>576.75</v>
      </c>
      <c r="H563"/>
      <c r="I563"/>
      <c r="J563"/>
      <c r="K563"/>
    </row>
    <row r="564" spans="1:11" ht="15" x14ac:dyDescent="0.25">
      <c r="A564" s="90" t="s">
        <v>22</v>
      </c>
      <c r="B564" s="90" t="s">
        <v>1069</v>
      </c>
      <c r="C564" s="90">
        <v>2011164</v>
      </c>
      <c r="D564" s="251">
        <v>40645</v>
      </c>
      <c r="E564" s="251" t="s">
        <v>1059</v>
      </c>
      <c r="F564" s="252">
        <v>389.64</v>
      </c>
      <c r="H564"/>
      <c r="I564"/>
      <c r="J564"/>
      <c r="K564"/>
    </row>
    <row r="565" spans="1:11" ht="15" x14ac:dyDescent="0.25">
      <c r="A565" s="90" t="s">
        <v>20</v>
      </c>
      <c r="B565" s="90" t="s">
        <v>1061</v>
      </c>
      <c r="C565" s="90">
        <v>2011165</v>
      </c>
      <c r="D565" s="251">
        <v>40646</v>
      </c>
      <c r="E565" s="251" t="s">
        <v>1059</v>
      </c>
      <c r="F565" s="252">
        <v>374.56</v>
      </c>
      <c r="H565"/>
      <c r="I565"/>
      <c r="J565"/>
      <c r="K565"/>
    </row>
    <row r="566" spans="1:11" ht="15" x14ac:dyDescent="0.25">
      <c r="A566" s="90" t="s">
        <v>20</v>
      </c>
      <c r="B566" s="90" t="s">
        <v>1058</v>
      </c>
      <c r="C566" s="90">
        <v>2011166</v>
      </c>
      <c r="D566" s="251">
        <v>40646</v>
      </c>
      <c r="E566" s="251" t="s">
        <v>1060</v>
      </c>
      <c r="F566" s="252">
        <v>1196.6099999999999</v>
      </c>
      <c r="H566"/>
      <c r="I566"/>
      <c r="J566"/>
      <c r="K566"/>
    </row>
    <row r="567" spans="1:11" ht="15" x14ac:dyDescent="0.25">
      <c r="A567" s="90" t="s">
        <v>22</v>
      </c>
      <c r="B567" s="90" t="s">
        <v>1069</v>
      </c>
      <c r="C567" s="90">
        <v>2011167</v>
      </c>
      <c r="D567" s="251">
        <v>40647</v>
      </c>
      <c r="E567" s="251" t="s">
        <v>1060</v>
      </c>
      <c r="F567" s="252">
        <v>946.06</v>
      </c>
      <c r="H567"/>
      <c r="I567"/>
      <c r="J567"/>
      <c r="K567"/>
    </row>
    <row r="568" spans="1:11" ht="15" x14ac:dyDescent="0.25">
      <c r="A568" s="90" t="s">
        <v>22</v>
      </c>
      <c r="B568" s="90" t="s">
        <v>1067</v>
      </c>
      <c r="C568" s="90">
        <v>2011168</v>
      </c>
      <c r="D568" s="251">
        <v>40647</v>
      </c>
      <c r="E568" s="251" t="s">
        <v>1060</v>
      </c>
      <c r="F568" s="252">
        <v>808.57</v>
      </c>
      <c r="H568"/>
      <c r="I568"/>
      <c r="J568"/>
      <c r="K568"/>
    </row>
    <row r="569" spans="1:11" ht="15" x14ac:dyDescent="0.25">
      <c r="A569" s="90" t="s">
        <v>22</v>
      </c>
      <c r="B569" s="90" t="s">
        <v>1062</v>
      </c>
      <c r="C569" s="90">
        <v>2011169</v>
      </c>
      <c r="D569" s="251">
        <v>40648</v>
      </c>
      <c r="E569" s="251" t="s">
        <v>1060</v>
      </c>
      <c r="F569" s="252">
        <v>490.04</v>
      </c>
      <c r="H569"/>
      <c r="I569"/>
      <c r="J569"/>
      <c r="K569"/>
    </row>
    <row r="570" spans="1:11" ht="15" x14ac:dyDescent="0.25">
      <c r="A570" s="90" t="s">
        <v>20</v>
      </c>
      <c r="B570" s="90" t="s">
        <v>1065</v>
      </c>
      <c r="C570" s="90">
        <v>2011170</v>
      </c>
      <c r="D570" s="251">
        <v>40651</v>
      </c>
      <c r="E570" s="251" t="s">
        <v>1059</v>
      </c>
      <c r="F570" s="252">
        <v>588.66</v>
      </c>
      <c r="H570"/>
      <c r="I570"/>
      <c r="J570"/>
      <c r="K570"/>
    </row>
    <row r="571" spans="1:11" ht="15" x14ac:dyDescent="0.25">
      <c r="A571" s="90" t="s">
        <v>22</v>
      </c>
      <c r="B571" s="90" t="s">
        <v>1068</v>
      </c>
      <c r="C571" s="90">
        <v>2011171</v>
      </c>
      <c r="D571" s="251">
        <v>40652</v>
      </c>
      <c r="E571" s="251" t="s">
        <v>1059</v>
      </c>
      <c r="F571" s="252">
        <v>709.64</v>
      </c>
      <c r="H571"/>
      <c r="I571"/>
      <c r="J571"/>
      <c r="K571"/>
    </row>
    <row r="572" spans="1:11" ht="15" x14ac:dyDescent="0.25">
      <c r="A572" s="90" t="s">
        <v>20</v>
      </c>
      <c r="B572" s="90" t="s">
        <v>1065</v>
      </c>
      <c r="C572" s="90">
        <v>2011172</v>
      </c>
      <c r="D572" s="251">
        <v>40653</v>
      </c>
      <c r="E572" s="251" t="s">
        <v>1060</v>
      </c>
      <c r="F572" s="252">
        <v>528.04</v>
      </c>
      <c r="H572"/>
      <c r="I572"/>
      <c r="J572"/>
      <c r="K572"/>
    </row>
    <row r="573" spans="1:11" ht="15" x14ac:dyDescent="0.25">
      <c r="A573" s="90" t="s">
        <v>20</v>
      </c>
      <c r="B573" s="90" t="s">
        <v>1065</v>
      </c>
      <c r="C573" s="90">
        <v>2011173</v>
      </c>
      <c r="D573" s="251">
        <v>40653</v>
      </c>
      <c r="E573" s="251" t="s">
        <v>1060</v>
      </c>
      <c r="F573" s="252">
        <v>782.48</v>
      </c>
      <c r="H573"/>
      <c r="I573"/>
      <c r="J573"/>
      <c r="K573"/>
    </row>
    <row r="574" spans="1:11" ht="15" x14ac:dyDescent="0.25">
      <c r="A574" s="90" t="s">
        <v>22</v>
      </c>
      <c r="B574" s="90" t="s">
        <v>1067</v>
      </c>
      <c r="C574" s="90">
        <v>2011174</v>
      </c>
      <c r="D574" s="251">
        <v>40653</v>
      </c>
      <c r="E574" s="251" t="s">
        <v>1059</v>
      </c>
      <c r="F574" s="252">
        <v>759.83</v>
      </c>
      <c r="H574"/>
      <c r="I574"/>
      <c r="J574"/>
      <c r="K574"/>
    </row>
    <row r="575" spans="1:11" ht="15" x14ac:dyDescent="0.25">
      <c r="A575" s="90" t="s">
        <v>20</v>
      </c>
      <c r="B575" s="90" t="s">
        <v>1061</v>
      </c>
      <c r="C575" s="90">
        <v>2011175</v>
      </c>
      <c r="D575" s="251">
        <v>40654</v>
      </c>
      <c r="E575" s="251" t="s">
        <v>1059</v>
      </c>
      <c r="F575" s="252">
        <v>475.93</v>
      </c>
      <c r="H575"/>
      <c r="I575"/>
      <c r="J575"/>
      <c r="K575"/>
    </row>
    <row r="576" spans="1:11" ht="15" x14ac:dyDescent="0.25">
      <c r="A576" s="90" t="s">
        <v>20</v>
      </c>
      <c r="B576" s="90" t="s">
        <v>1061</v>
      </c>
      <c r="C576" s="90">
        <v>2011176</v>
      </c>
      <c r="D576" s="251">
        <v>40655</v>
      </c>
      <c r="E576" s="251" t="s">
        <v>1060</v>
      </c>
      <c r="F576" s="252">
        <v>498.86</v>
      </c>
      <c r="H576"/>
      <c r="I576"/>
      <c r="J576"/>
      <c r="K576"/>
    </row>
    <row r="577" spans="1:11" ht="15" x14ac:dyDescent="0.25">
      <c r="A577" s="90" t="s">
        <v>22</v>
      </c>
      <c r="B577" s="90" t="s">
        <v>1064</v>
      </c>
      <c r="C577" s="90">
        <v>2011177</v>
      </c>
      <c r="D577" s="251">
        <v>40655</v>
      </c>
      <c r="E577" s="251" t="s">
        <v>1060</v>
      </c>
      <c r="F577" s="252">
        <v>730.61</v>
      </c>
      <c r="H577"/>
      <c r="I577"/>
      <c r="J577"/>
      <c r="K577"/>
    </row>
    <row r="578" spans="1:11" ht="15" x14ac:dyDescent="0.25">
      <c r="A578" s="90" t="s">
        <v>20</v>
      </c>
      <c r="B578" s="90" t="s">
        <v>1061</v>
      </c>
      <c r="C578" s="90">
        <v>2011178</v>
      </c>
      <c r="D578" s="251">
        <v>40658</v>
      </c>
      <c r="E578" s="251" t="s">
        <v>1060</v>
      </c>
      <c r="F578" s="252">
        <v>1190.53</v>
      </c>
      <c r="H578"/>
      <c r="I578"/>
      <c r="J578"/>
      <c r="K578"/>
    </row>
    <row r="579" spans="1:11" ht="15" x14ac:dyDescent="0.25">
      <c r="A579" s="90" t="s">
        <v>20</v>
      </c>
      <c r="B579" s="90" t="s">
        <v>1063</v>
      </c>
      <c r="C579" s="90">
        <v>2011179</v>
      </c>
      <c r="D579" s="251">
        <v>40658</v>
      </c>
      <c r="E579" s="251" t="s">
        <v>1059</v>
      </c>
      <c r="F579" s="252">
        <v>196.17</v>
      </c>
      <c r="H579"/>
      <c r="I579"/>
      <c r="J579"/>
      <c r="K579"/>
    </row>
    <row r="580" spans="1:11" ht="15" x14ac:dyDescent="0.25">
      <c r="A580" s="90" t="s">
        <v>20</v>
      </c>
      <c r="B580" s="90" t="s">
        <v>1063</v>
      </c>
      <c r="C580" s="90">
        <v>2011180</v>
      </c>
      <c r="D580" s="251">
        <v>40658</v>
      </c>
      <c r="E580" s="251" t="s">
        <v>1059</v>
      </c>
      <c r="F580" s="252">
        <v>1025.74</v>
      </c>
      <c r="H580"/>
      <c r="I580"/>
      <c r="J580"/>
      <c r="K580"/>
    </row>
    <row r="581" spans="1:11" ht="15" x14ac:dyDescent="0.25">
      <c r="A581" s="90" t="s">
        <v>22</v>
      </c>
      <c r="B581" s="90" t="s">
        <v>1062</v>
      </c>
      <c r="C581" s="90">
        <v>2011181</v>
      </c>
      <c r="D581" s="251">
        <v>40658</v>
      </c>
      <c r="E581" s="251" t="s">
        <v>1060</v>
      </c>
      <c r="F581" s="252">
        <v>324.79000000000002</v>
      </c>
      <c r="H581"/>
      <c r="I581"/>
      <c r="J581"/>
      <c r="K581"/>
    </row>
    <row r="582" spans="1:11" ht="15" x14ac:dyDescent="0.25">
      <c r="A582" s="90" t="s">
        <v>20</v>
      </c>
      <c r="B582" s="90" t="s">
        <v>1066</v>
      </c>
      <c r="C582" s="90">
        <v>2011182</v>
      </c>
      <c r="D582" s="251">
        <v>40659</v>
      </c>
      <c r="E582" s="251" t="s">
        <v>1060</v>
      </c>
      <c r="F582" s="252">
        <v>752.58</v>
      </c>
      <c r="H582"/>
      <c r="I582"/>
      <c r="J582"/>
      <c r="K582"/>
    </row>
    <row r="583" spans="1:11" ht="15" x14ac:dyDescent="0.25">
      <c r="A583" s="90" t="s">
        <v>20</v>
      </c>
      <c r="B583" s="90" t="s">
        <v>1065</v>
      </c>
      <c r="C583" s="90">
        <v>2011183</v>
      </c>
      <c r="D583" s="251">
        <v>40659</v>
      </c>
      <c r="E583" s="251" t="s">
        <v>1060</v>
      </c>
      <c r="F583" s="252">
        <v>370</v>
      </c>
      <c r="H583"/>
      <c r="I583"/>
      <c r="J583"/>
      <c r="K583"/>
    </row>
    <row r="584" spans="1:11" ht="15" x14ac:dyDescent="0.25">
      <c r="A584" s="90" t="s">
        <v>20</v>
      </c>
      <c r="B584" s="90" t="s">
        <v>1063</v>
      </c>
      <c r="C584" s="90">
        <v>2011184</v>
      </c>
      <c r="D584" s="251">
        <v>40661</v>
      </c>
      <c r="E584" s="251" t="s">
        <v>1059</v>
      </c>
      <c r="F584" s="252">
        <v>560.27</v>
      </c>
      <c r="H584"/>
      <c r="I584"/>
      <c r="J584"/>
      <c r="K584"/>
    </row>
    <row r="585" spans="1:11" ht="15" x14ac:dyDescent="0.25">
      <c r="A585" s="90" t="s">
        <v>22</v>
      </c>
      <c r="B585" s="90" t="s">
        <v>1064</v>
      </c>
      <c r="C585" s="90">
        <v>2011185</v>
      </c>
      <c r="D585" s="251">
        <v>40661</v>
      </c>
      <c r="E585" s="251" t="s">
        <v>1060</v>
      </c>
      <c r="F585" s="252">
        <v>914.06</v>
      </c>
      <c r="H585"/>
      <c r="I585"/>
      <c r="J585"/>
      <c r="K585"/>
    </row>
    <row r="586" spans="1:11" ht="15" x14ac:dyDescent="0.25">
      <c r="A586" s="90" t="s">
        <v>20</v>
      </c>
      <c r="B586" s="90" t="s">
        <v>1063</v>
      </c>
      <c r="C586" s="90">
        <v>2011186</v>
      </c>
      <c r="D586" s="251">
        <v>40662</v>
      </c>
      <c r="E586" s="251" t="s">
        <v>1060</v>
      </c>
      <c r="F586" s="252">
        <v>1259.6099999999999</v>
      </c>
      <c r="H586"/>
      <c r="I586"/>
      <c r="J586"/>
      <c r="K586"/>
    </row>
    <row r="587" spans="1:11" ht="15" x14ac:dyDescent="0.25">
      <c r="A587" s="90" t="s">
        <v>20</v>
      </c>
      <c r="B587" s="90" t="s">
        <v>1061</v>
      </c>
      <c r="C587" s="90">
        <v>2011187</v>
      </c>
      <c r="D587" s="251">
        <v>40666</v>
      </c>
      <c r="E587" s="251" t="s">
        <v>1059</v>
      </c>
      <c r="F587" s="252">
        <v>746.42</v>
      </c>
      <c r="H587"/>
      <c r="I587"/>
      <c r="J587"/>
      <c r="K587"/>
    </row>
    <row r="588" spans="1:11" ht="15" x14ac:dyDescent="0.25">
      <c r="A588" s="90" t="s">
        <v>20</v>
      </c>
      <c r="B588" s="90" t="s">
        <v>1065</v>
      </c>
      <c r="C588" s="90">
        <v>2011188</v>
      </c>
      <c r="D588" s="251">
        <v>40666</v>
      </c>
      <c r="E588" s="251" t="s">
        <v>1059</v>
      </c>
      <c r="F588" s="252">
        <v>947.61</v>
      </c>
      <c r="H588"/>
      <c r="I588"/>
      <c r="J588"/>
      <c r="K588"/>
    </row>
    <row r="589" spans="1:11" ht="15" x14ac:dyDescent="0.25">
      <c r="A589" s="90" t="s">
        <v>20</v>
      </c>
      <c r="B589" s="90" t="s">
        <v>1061</v>
      </c>
      <c r="C589" s="90">
        <v>2011189</v>
      </c>
      <c r="D589" s="251">
        <v>40667</v>
      </c>
      <c r="E589" s="251" t="s">
        <v>1060</v>
      </c>
      <c r="F589" s="252">
        <v>919.04</v>
      </c>
      <c r="H589"/>
      <c r="I589"/>
      <c r="J589"/>
      <c r="K589"/>
    </row>
    <row r="590" spans="1:11" ht="15" x14ac:dyDescent="0.25">
      <c r="A590" s="90" t="s">
        <v>20</v>
      </c>
      <c r="B590" s="90" t="s">
        <v>1066</v>
      </c>
      <c r="C590" s="90">
        <v>2011190</v>
      </c>
      <c r="D590" s="251">
        <v>40667</v>
      </c>
      <c r="E590" s="251" t="s">
        <v>1059</v>
      </c>
      <c r="F590" s="252">
        <v>689.34</v>
      </c>
      <c r="H590"/>
      <c r="I590"/>
      <c r="J590"/>
      <c r="K590"/>
    </row>
    <row r="591" spans="1:11" ht="15" x14ac:dyDescent="0.25">
      <c r="A591" s="90" t="s">
        <v>20</v>
      </c>
      <c r="B591" s="90" t="s">
        <v>1065</v>
      </c>
      <c r="C591" s="90">
        <v>2011191</v>
      </c>
      <c r="D591" s="251">
        <v>40667</v>
      </c>
      <c r="E591" s="251" t="s">
        <v>1060</v>
      </c>
      <c r="F591" s="252">
        <v>109.76</v>
      </c>
      <c r="H591"/>
      <c r="I591"/>
      <c r="J591"/>
      <c r="K591"/>
    </row>
    <row r="592" spans="1:11" ht="15" x14ac:dyDescent="0.25">
      <c r="A592" s="90" t="s">
        <v>22</v>
      </c>
      <c r="B592" s="90" t="s">
        <v>1067</v>
      </c>
      <c r="C592" s="90">
        <v>2011192</v>
      </c>
      <c r="D592" s="251">
        <v>40667</v>
      </c>
      <c r="E592" s="251" t="s">
        <v>1060</v>
      </c>
      <c r="F592" s="252">
        <v>299.33</v>
      </c>
      <c r="H592"/>
      <c r="I592"/>
      <c r="J592"/>
      <c r="K592"/>
    </row>
    <row r="593" spans="1:11" ht="15" x14ac:dyDescent="0.25">
      <c r="A593" s="90" t="s">
        <v>20</v>
      </c>
      <c r="B593" s="90" t="s">
        <v>1061</v>
      </c>
      <c r="C593" s="90">
        <v>2011193</v>
      </c>
      <c r="D593" s="251">
        <v>40668</v>
      </c>
      <c r="E593" s="251" t="s">
        <v>1060</v>
      </c>
      <c r="F593" s="252">
        <v>663.26</v>
      </c>
      <c r="H593"/>
      <c r="I593"/>
      <c r="J593"/>
      <c r="K593"/>
    </row>
    <row r="594" spans="1:11" ht="15" x14ac:dyDescent="0.25">
      <c r="A594" s="90" t="s">
        <v>20</v>
      </c>
      <c r="B594" s="90" t="s">
        <v>1065</v>
      </c>
      <c r="C594" s="90">
        <v>2011194</v>
      </c>
      <c r="D594" s="251">
        <v>40668</v>
      </c>
      <c r="E594" s="251" t="s">
        <v>1060</v>
      </c>
      <c r="F594" s="252">
        <v>1089.97</v>
      </c>
      <c r="H594"/>
      <c r="I594"/>
      <c r="J594"/>
      <c r="K594"/>
    </row>
    <row r="595" spans="1:11" ht="15" x14ac:dyDescent="0.25">
      <c r="A595" s="90" t="s">
        <v>20</v>
      </c>
      <c r="B595" s="90" t="s">
        <v>1063</v>
      </c>
      <c r="C595" s="90">
        <v>2011195</v>
      </c>
      <c r="D595" s="251">
        <v>40668</v>
      </c>
      <c r="E595" s="251" t="s">
        <v>1059</v>
      </c>
      <c r="F595" s="252">
        <v>1064.75</v>
      </c>
      <c r="H595"/>
      <c r="I595"/>
      <c r="J595"/>
      <c r="K595"/>
    </row>
    <row r="596" spans="1:11" ht="15" x14ac:dyDescent="0.25">
      <c r="A596" s="90" t="s">
        <v>20</v>
      </c>
      <c r="B596" s="90" t="s">
        <v>1063</v>
      </c>
      <c r="C596" s="90">
        <v>2011196</v>
      </c>
      <c r="D596" s="251">
        <v>40668</v>
      </c>
      <c r="E596" s="251" t="s">
        <v>1059</v>
      </c>
      <c r="F596" s="252">
        <v>441.45</v>
      </c>
      <c r="H596"/>
      <c r="I596"/>
      <c r="J596"/>
      <c r="K596"/>
    </row>
    <row r="597" spans="1:11" ht="15" x14ac:dyDescent="0.25">
      <c r="A597" s="90" t="s">
        <v>22</v>
      </c>
      <c r="B597" s="90" t="s">
        <v>1062</v>
      </c>
      <c r="C597" s="90">
        <v>2011197</v>
      </c>
      <c r="D597" s="251">
        <v>40668</v>
      </c>
      <c r="E597" s="251" t="s">
        <v>1060</v>
      </c>
      <c r="F597" s="252">
        <v>650.64</v>
      </c>
      <c r="H597"/>
      <c r="I597"/>
      <c r="J597"/>
      <c r="K597"/>
    </row>
    <row r="598" spans="1:11" ht="15" x14ac:dyDescent="0.25">
      <c r="A598" s="90" t="s">
        <v>20</v>
      </c>
      <c r="B598" s="90" t="s">
        <v>1061</v>
      </c>
      <c r="C598" s="90">
        <v>2011198</v>
      </c>
      <c r="D598" s="251">
        <v>40669</v>
      </c>
      <c r="E598" s="251" t="s">
        <v>1059</v>
      </c>
      <c r="F598" s="252">
        <v>1102.17</v>
      </c>
      <c r="H598"/>
      <c r="I598"/>
      <c r="J598"/>
      <c r="K598"/>
    </row>
    <row r="599" spans="1:11" ht="15" x14ac:dyDescent="0.25">
      <c r="A599" s="90" t="s">
        <v>20</v>
      </c>
      <c r="B599" s="90" t="s">
        <v>1061</v>
      </c>
      <c r="C599" s="90">
        <v>2011199</v>
      </c>
      <c r="D599" s="251">
        <v>40669</v>
      </c>
      <c r="E599" s="251" t="s">
        <v>1060</v>
      </c>
      <c r="F599" s="252">
        <v>230.22</v>
      </c>
      <c r="H599"/>
      <c r="I599"/>
      <c r="J599"/>
      <c r="K599"/>
    </row>
    <row r="600" spans="1:11" ht="15" x14ac:dyDescent="0.25">
      <c r="A600" s="90" t="s">
        <v>20</v>
      </c>
      <c r="B600" s="90" t="s">
        <v>1061</v>
      </c>
      <c r="C600" s="90">
        <v>2011200</v>
      </c>
      <c r="D600" s="251">
        <v>40669</v>
      </c>
      <c r="E600" s="251" t="s">
        <v>1060</v>
      </c>
      <c r="F600" s="252">
        <v>1012.75</v>
      </c>
      <c r="H600"/>
      <c r="I600"/>
      <c r="J600"/>
      <c r="K600"/>
    </row>
    <row r="601" spans="1:11" ht="15" x14ac:dyDescent="0.25">
      <c r="A601" s="90" t="s">
        <v>20</v>
      </c>
      <c r="B601" s="90" t="s">
        <v>1058</v>
      </c>
      <c r="C601" s="90">
        <v>2011201</v>
      </c>
      <c r="D601" s="251">
        <v>40669</v>
      </c>
      <c r="E601" s="251" t="s">
        <v>1060</v>
      </c>
      <c r="F601" s="252">
        <v>818.85</v>
      </c>
      <c r="H601"/>
      <c r="I601"/>
      <c r="J601"/>
      <c r="K601"/>
    </row>
    <row r="602" spans="1:11" ht="15" x14ac:dyDescent="0.25">
      <c r="A602" s="90" t="s">
        <v>22</v>
      </c>
      <c r="B602" s="90" t="s">
        <v>1068</v>
      </c>
      <c r="C602" s="90">
        <v>2011202</v>
      </c>
      <c r="D602" s="251">
        <v>40669</v>
      </c>
      <c r="E602" s="251" t="s">
        <v>1059</v>
      </c>
      <c r="F602" s="252">
        <v>1244.8800000000001</v>
      </c>
      <c r="H602"/>
      <c r="I602"/>
      <c r="J602"/>
      <c r="K602"/>
    </row>
    <row r="603" spans="1:11" ht="15" x14ac:dyDescent="0.25">
      <c r="A603" s="90" t="s">
        <v>20</v>
      </c>
      <c r="B603" s="90" t="s">
        <v>1066</v>
      </c>
      <c r="C603" s="90">
        <v>2011203</v>
      </c>
      <c r="D603" s="251">
        <v>40672</v>
      </c>
      <c r="E603" s="251" t="s">
        <v>1060</v>
      </c>
      <c r="F603" s="252">
        <v>1139.3399999999999</v>
      </c>
      <c r="H603"/>
      <c r="I603"/>
      <c r="J603"/>
      <c r="K603"/>
    </row>
    <row r="604" spans="1:11" ht="15" x14ac:dyDescent="0.25">
      <c r="A604" s="90" t="s">
        <v>22</v>
      </c>
      <c r="B604" s="90" t="s">
        <v>1067</v>
      </c>
      <c r="C604" s="90">
        <v>2011204</v>
      </c>
      <c r="D604" s="251">
        <v>40672</v>
      </c>
      <c r="E604" s="251" t="s">
        <v>1059</v>
      </c>
      <c r="F604" s="252">
        <v>956.9</v>
      </c>
      <c r="H604"/>
      <c r="I604"/>
      <c r="J604"/>
      <c r="K604"/>
    </row>
    <row r="605" spans="1:11" ht="15" x14ac:dyDescent="0.25">
      <c r="A605" s="90" t="s">
        <v>22</v>
      </c>
      <c r="B605" s="90" t="s">
        <v>1069</v>
      </c>
      <c r="C605" s="90">
        <v>2011205</v>
      </c>
      <c r="D605" s="251">
        <v>40673</v>
      </c>
      <c r="E605" s="251" t="s">
        <v>1060</v>
      </c>
      <c r="F605" s="252">
        <v>1186.46</v>
      </c>
      <c r="H605"/>
      <c r="I605"/>
      <c r="J605"/>
      <c r="K605"/>
    </row>
    <row r="606" spans="1:11" ht="15" x14ac:dyDescent="0.25">
      <c r="A606" s="90" t="s">
        <v>20</v>
      </c>
      <c r="B606" s="90" t="s">
        <v>1061</v>
      </c>
      <c r="C606" s="90">
        <v>2011206</v>
      </c>
      <c r="D606" s="251">
        <v>40675</v>
      </c>
      <c r="E606" s="251" t="s">
        <v>1060</v>
      </c>
      <c r="F606" s="252">
        <v>927.22</v>
      </c>
      <c r="H606"/>
      <c r="I606"/>
      <c r="J606"/>
      <c r="K606"/>
    </row>
    <row r="607" spans="1:11" ht="15" x14ac:dyDescent="0.25">
      <c r="A607" s="90" t="s">
        <v>20</v>
      </c>
      <c r="B607" s="90" t="s">
        <v>1061</v>
      </c>
      <c r="C607" s="90">
        <v>2011207</v>
      </c>
      <c r="D607" s="251">
        <v>40675</v>
      </c>
      <c r="E607" s="251" t="s">
        <v>1059</v>
      </c>
      <c r="F607" s="252">
        <v>543.41999999999996</v>
      </c>
      <c r="H607"/>
      <c r="I607"/>
      <c r="J607"/>
      <c r="K607"/>
    </row>
    <row r="608" spans="1:11" ht="15" x14ac:dyDescent="0.25">
      <c r="A608" s="90" t="s">
        <v>20</v>
      </c>
      <c r="B608" s="90" t="s">
        <v>1061</v>
      </c>
      <c r="C608" s="90">
        <v>2011208</v>
      </c>
      <c r="D608" s="251">
        <v>40676</v>
      </c>
      <c r="E608" s="251" t="s">
        <v>1060</v>
      </c>
      <c r="F608" s="252">
        <v>531.6</v>
      </c>
      <c r="H608"/>
      <c r="I608"/>
      <c r="J608"/>
      <c r="K608"/>
    </row>
    <row r="609" spans="1:11" ht="15" x14ac:dyDescent="0.25">
      <c r="A609" s="90" t="s">
        <v>20</v>
      </c>
      <c r="B609" s="90" t="s">
        <v>1066</v>
      </c>
      <c r="C609" s="90">
        <v>2011209</v>
      </c>
      <c r="D609" s="251">
        <v>40676</v>
      </c>
      <c r="E609" s="251" t="s">
        <v>1060</v>
      </c>
      <c r="F609" s="252">
        <v>1252.93</v>
      </c>
      <c r="H609"/>
      <c r="I609"/>
      <c r="J609"/>
      <c r="K609"/>
    </row>
    <row r="610" spans="1:11" ht="15" x14ac:dyDescent="0.25">
      <c r="A610" s="90" t="s">
        <v>20</v>
      </c>
      <c r="B610" s="90" t="s">
        <v>1058</v>
      </c>
      <c r="C610" s="90">
        <v>2011210</v>
      </c>
      <c r="D610" s="251">
        <v>40676</v>
      </c>
      <c r="E610" s="251" t="s">
        <v>1059</v>
      </c>
      <c r="F610" s="252">
        <v>194.64</v>
      </c>
      <c r="H610"/>
      <c r="I610"/>
      <c r="J610"/>
      <c r="K610"/>
    </row>
    <row r="611" spans="1:11" ht="15" x14ac:dyDescent="0.25">
      <c r="A611" s="90" t="s">
        <v>20</v>
      </c>
      <c r="B611" s="90" t="s">
        <v>1063</v>
      </c>
      <c r="C611" s="90">
        <v>2011211</v>
      </c>
      <c r="D611" s="251">
        <v>40680</v>
      </c>
      <c r="E611" s="251" t="s">
        <v>1060</v>
      </c>
      <c r="F611" s="252">
        <v>950.81</v>
      </c>
      <c r="H611"/>
      <c r="I611"/>
      <c r="J611"/>
      <c r="K611"/>
    </row>
    <row r="612" spans="1:11" ht="15" x14ac:dyDescent="0.25">
      <c r="A612" s="90" t="s">
        <v>22</v>
      </c>
      <c r="B612" s="90" t="s">
        <v>1069</v>
      </c>
      <c r="C612" s="90">
        <v>2011212</v>
      </c>
      <c r="D612" s="251">
        <v>40681</v>
      </c>
      <c r="E612" s="251" t="s">
        <v>1060</v>
      </c>
      <c r="F612" s="252">
        <v>786.13</v>
      </c>
      <c r="H612"/>
      <c r="I612"/>
      <c r="J612"/>
      <c r="K612"/>
    </row>
    <row r="613" spans="1:11" ht="15" x14ac:dyDescent="0.25">
      <c r="A613" s="90" t="s">
        <v>20</v>
      </c>
      <c r="B613" s="90" t="s">
        <v>1058</v>
      </c>
      <c r="C613" s="90">
        <v>2011213</v>
      </c>
      <c r="D613" s="251">
        <v>40682</v>
      </c>
      <c r="E613" s="251" t="s">
        <v>1060</v>
      </c>
      <c r="F613" s="252">
        <v>753.31</v>
      </c>
      <c r="H613"/>
      <c r="I613"/>
      <c r="J613"/>
      <c r="K613"/>
    </row>
    <row r="614" spans="1:11" ht="15" x14ac:dyDescent="0.25">
      <c r="A614" s="90" t="s">
        <v>22</v>
      </c>
      <c r="B614" s="90" t="s">
        <v>1068</v>
      </c>
      <c r="C614" s="90">
        <v>2011214</v>
      </c>
      <c r="D614" s="251">
        <v>40683</v>
      </c>
      <c r="E614" s="251" t="s">
        <v>1059</v>
      </c>
      <c r="F614" s="252">
        <v>920.08</v>
      </c>
      <c r="H614"/>
      <c r="I614"/>
      <c r="J614"/>
      <c r="K614"/>
    </row>
    <row r="615" spans="1:11" ht="15" x14ac:dyDescent="0.25">
      <c r="A615" s="90" t="s">
        <v>22</v>
      </c>
      <c r="B615" s="90" t="s">
        <v>1062</v>
      </c>
      <c r="C615" s="90">
        <v>2011215</v>
      </c>
      <c r="D615" s="251">
        <v>40683</v>
      </c>
      <c r="E615" s="251" t="s">
        <v>1059</v>
      </c>
      <c r="F615" s="252">
        <v>416.95</v>
      </c>
      <c r="H615"/>
      <c r="I615"/>
      <c r="J615"/>
      <c r="K615"/>
    </row>
    <row r="616" spans="1:11" ht="15" x14ac:dyDescent="0.25">
      <c r="A616" s="90" t="s">
        <v>20</v>
      </c>
      <c r="B616" s="90" t="s">
        <v>1061</v>
      </c>
      <c r="C616" s="90">
        <v>2011216</v>
      </c>
      <c r="D616" s="251">
        <v>40688</v>
      </c>
      <c r="E616" s="251" t="s">
        <v>1060</v>
      </c>
      <c r="F616" s="252">
        <v>293.95</v>
      </c>
      <c r="H616"/>
      <c r="I616"/>
      <c r="J616"/>
      <c r="K616"/>
    </row>
    <row r="617" spans="1:11" ht="15" x14ac:dyDescent="0.25">
      <c r="A617" s="90" t="s">
        <v>20</v>
      </c>
      <c r="B617" s="90" t="s">
        <v>1065</v>
      </c>
      <c r="C617" s="90">
        <v>2011217</v>
      </c>
      <c r="D617" s="251">
        <v>40688</v>
      </c>
      <c r="E617" s="251" t="s">
        <v>1060</v>
      </c>
      <c r="F617" s="252">
        <v>815.68</v>
      </c>
      <c r="H617"/>
      <c r="I617"/>
      <c r="J617"/>
      <c r="K617"/>
    </row>
    <row r="618" spans="1:11" ht="15" x14ac:dyDescent="0.25">
      <c r="A618" s="90" t="s">
        <v>22</v>
      </c>
      <c r="B618" s="90" t="s">
        <v>1064</v>
      </c>
      <c r="C618" s="90">
        <v>2011218</v>
      </c>
      <c r="D618" s="251">
        <v>40688</v>
      </c>
      <c r="E618" s="251" t="s">
        <v>1059</v>
      </c>
      <c r="F618" s="252">
        <v>1121.98</v>
      </c>
      <c r="H618"/>
      <c r="I618"/>
      <c r="J618"/>
      <c r="K618"/>
    </row>
    <row r="619" spans="1:11" ht="15" x14ac:dyDescent="0.25">
      <c r="A619" s="90" t="s">
        <v>20</v>
      </c>
      <c r="B619" s="90" t="s">
        <v>1066</v>
      </c>
      <c r="C619" s="90">
        <v>2011219</v>
      </c>
      <c r="D619" s="251">
        <v>40690</v>
      </c>
      <c r="E619" s="251" t="s">
        <v>1059</v>
      </c>
      <c r="F619" s="252">
        <v>617.62</v>
      </c>
      <c r="H619"/>
      <c r="I619"/>
      <c r="J619"/>
      <c r="K619"/>
    </row>
    <row r="620" spans="1:11" ht="15" x14ac:dyDescent="0.25">
      <c r="A620" s="90" t="s">
        <v>20</v>
      </c>
      <c r="B620" s="90" t="s">
        <v>1061</v>
      </c>
      <c r="C620" s="90">
        <v>2011220</v>
      </c>
      <c r="D620" s="251">
        <v>40693</v>
      </c>
      <c r="E620" s="251" t="s">
        <v>1059</v>
      </c>
      <c r="F620" s="252">
        <v>760.26</v>
      </c>
      <c r="H620"/>
      <c r="I620"/>
      <c r="J620"/>
      <c r="K620"/>
    </row>
    <row r="621" spans="1:11" ht="15" x14ac:dyDescent="0.25">
      <c r="A621" s="90" t="s">
        <v>20</v>
      </c>
      <c r="B621" s="90" t="s">
        <v>1066</v>
      </c>
      <c r="C621" s="90">
        <v>2011221</v>
      </c>
      <c r="D621" s="251">
        <v>40693</v>
      </c>
      <c r="E621" s="251" t="s">
        <v>1059</v>
      </c>
      <c r="F621" s="252">
        <v>990.88</v>
      </c>
      <c r="H621"/>
      <c r="I621"/>
      <c r="J621"/>
      <c r="K621"/>
    </row>
    <row r="622" spans="1:11" ht="15" x14ac:dyDescent="0.25">
      <c r="A622" s="90" t="s">
        <v>20</v>
      </c>
      <c r="B622" s="90" t="s">
        <v>1058</v>
      </c>
      <c r="C622" s="90">
        <v>2011222</v>
      </c>
      <c r="D622" s="251">
        <v>40693</v>
      </c>
      <c r="E622" s="251" t="s">
        <v>1060</v>
      </c>
      <c r="F622" s="252">
        <v>876.19</v>
      </c>
      <c r="H622"/>
      <c r="I622"/>
      <c r="J622"/>
      <c r="K622"/>
    </row>
    <row r="623" spans="1:11" ht="15" x14ac:dyDescent="0.25">
      <c r="A623" s="90" t="s">
        <v>20</v>
      </c>
      <c r="B623" s="90" t="s">
        <v>1065</v>
      </c>
      <c r="C623" s="90">
        <v>2011223</v>
      </c>
      <c r="D623" s="251">
        <v>40693</v>
      </c>
      <c r="E623" s="251" t="s">
        <v>1059</v>
      </c>
      <c r="F623" s="252">
        <v>99.17</v>
      </c>
      <c r="H623"/>
      <c r="I623"/>
      <c r="J623"/>
      <c r="K623"/>
    </row>
    <row r="624" spans="1:11" ht="15" x14ac:dyDescent="0.25">
      <c r="A624" s="90" t="s">
        <v>22</v>
      </c>
      <c r="B624" s="90" t="s">
        <v>1062</v>
      </c>
      <c r="C624" s="90">
        <v>2011224</v>
      </c>
      <c r="D624" s="251">
        <v>40693</v>
      </c>
      <c r="E624" s="251" t="s">
        <v>1059</v>
      </c>
      <c r="F624" s="252">
        <v>69.61</v>
      </c>
      <c r="H624"/>
      <c r="I624"/>
      <c r="J624"/>
      <c r="K624"/>
    </row>
    <row r="625" spans="1:11" ht="15" x14ac:dyDescent="0.25">
      <c r="A625" s="90" t="s">
        <v>22</v>
      </c>
      <c r="B625" s="90" t="s">
        <v>1062</v>
      </c>
      <c r="C625" s="90">
        <v>2011225</v>
      </c>
      <c r="D625" s="251">
        <v>40693</v>
      </c>
      <c r="E625" s="251" t="s">
        <v>1060</v>
      </c>
      <c r="F625" s="252">
        <v>119</v>
      </c>
      <c r="H625"/>
      <c r="I625"/>
      <c r="J625"/>
      <c r="K625"/>
    </row>
    <row r="626" spans="1:11" ht="15" x14ac:dyDescent="0.25">
      <c r="A626" s="90" t="s">
        <v>20</v>
      </c>
      <c r="B626" s="90" t="s">
        <v>1066</v>
      </c>
      <c r="C626" s="90">
        <v>2011226</v>
      </c>
      <c r="D626" s="251">
        <v>40695</v>
      </c>
      <c r="E626" s="251" t="s">
        <v>1060</v>
      </c>
      <c r="F626" s="252">
        <v>283.75</v>
      </c>
      <c r="H626"/>
      <c r="I626"/>
      <c r="J626"/>
      <c r="K626"/>
    </row>
    <row r="627" spans="1:11" ht="15" x14ac:dyDescent="0.25">
      <c r="A627" s="90" t="s">
        <v>20</v>
      </c>
      <c r="B627" s="90" t="s">
        <v>1065</v>
      </c>
      <c r="C627" s="90">
        <v>2011227</v>
      </c>
      <c r="D627" s="251">
        <v>40695</v>
      </c>
      <c r="E627" s="251" t="s">
        <v>1059</v>
      </c>
      <c r="F627" s="252">
        <v>557.29</v>
      </c>
      <c r="H627"/>
      <c r="I627"/>
      <c r="J627"/>
      <c r="K627"/>
    </row>
    <row r="628" spans="1:11" ht="15" x14ac:dyDescent="0.25">
      <c r="A628" s="90" t="s">
        <v>22</v>
      </c>
      <c r="B628" s="90" t="s">
        <v>1070</v>
      </c>
      <c r="C628" s="90">
        <v>2011228</v>
      </c>
      <c r="D628" s="251">
        <v>40695</v>
      </c>
      <c r="E628" s="251" t="s">
        <v>1059</v>
      </c>
      <c r="F628" s="252">
        <v>258.25</v>
      </c>
      <c r="H628"/>
      <c r="I628"/>
      <c r="J628"/>
      <c r="K628"/>
    </row>
    <row r="629" spans="1:11" ht="15" x14ac:dyDescent="0.25">
      <c r="A629" s="90" t="s">
        <v>20</v>
      </c>
      <c r="B629" s="90" t="s">
        <v>1065</v>
      </c>
      <c r="C629" s="90">
        <v>2011229</v>
      </c>
      <c r="D629" s="251">
        <v>40697</v>
      </c>
      <c r="E629" s="251" t="s">
        <v>1059</v>
      </c>
      <c r="F629" s="252">
        <v>451.36</v>
      </c>
      <c r="H629"/>
      <c r="I629"/>
      <c r="J629"/>
      <c r="K629"/>
    </row>
    <row r="630" spans="1:11" ht="15" x14ac:dyDescent="0.25">
      <c r="A630" s="90" t="s">
        <v>20</v>
      </c>
      <c r="B630" s="90" t="s">
        <v>1065</v>
      </c>
      <c r="C630" s="90">
        <v>2011230</v>
      </c>
      <c r="D630" s="251">
        <v>40697</v>
      </c>
      <c r="E630" s="251" t="s">
        <v>1060</v>
      </c>
      <c r="F630" s="252">
        <v>992.7</v>
      </c>
      <c r="H630"/>
      <c r="I630"/>
      <c r="J630"/>
      <c r="K630"/>
    </row>
    <row r="631" spans="1:11" ht="15" x14ac:dyDescent="0.25">
      <c r="A631" s="90" t="s">
        <v>20</v>
      </c>
      <c r="B631" s="90" t="s">
        <v>1065</v>
      </c>
      <c r="C631" s="90">
        <v>2011231</v>
      </c>
      <c r="D631" s="251">
        <v>40700</v>
      </c>
      <c r="E631" s="251" t="s">
        <v>1060</v>
      </c>
      <c r="F631" s="252">
        <v>430.31</v>
      </c>
      <c r="H631"/>
      <c r="I631"/>
      <c r="J631"/>
      <c r="K631"/>
    </row>
    <row r="632" spans="1:11" ht="15" x14ac:dyDescent="0.25">
      <c r="A632" s="90" t="s">
        <v>20</v>
      </c>
      <c r="B632" s="90" t="s">
        <v>1063</v>
      </c>
      <c r="C632" s="90">
        <v>2011232</v>
      </c>
      <c r="D632" s="251">
        <v>40701</v>
      </c>
      <c r="E632" s="251" t="s">
        <v>1059</v>
      </c>
      <c r="F632" s="252">
        <v>1184.96</v>
      </c>
      <c r="H632"/>
      <c r="I632"/>
      <c r="J632"/>
      <c r="K632"/>
    </row>
    <row r="633" spans="1:11" ht="15" x14ac:dyDescent="0.25">
      <c r="A633" s="90" t="s">
        <v>22</v>
      </c>
      <c r="B633" s="90" t="s">
        <v>1069</v>
      </c>
      <c r="C633" s="90">
        <v>2011233</v>
      </c>
      <c r="D633" s="251">
        <v>40701</v>
      </c>
      <c r="E633" s="251" t="s">
        <v>1059</v>
      </c>
      <c r="F633" s="252">
        <v>900.86</v>
      </c>
      <c r="H633"/>
      <c r="I633"/>
      <c r="J633"/>
      <c r="K633"/>
    </row>
    <row r="634" spans="1:11" ht="15" x14ac:dyDescent="0.25">
      <c r="A634" s="90" t="s">
        <v>22</v>
      </c>
      <c r="B634" s="90" t="s">
        <v>1068</v>
      </c>
      <c r="C634" s="90">
        <v>2011234</v>
      </c>
      <c r="D634" s="251">
        <v>40701</v>
      </c>
      <c r="E634" s="251" t="s">
        <v>1060</v>
      </c>
      <c r="F634" s="252">
        <v>1175.4000000000001</v>
      </c>
      <c r="H634"/>
      <c r="I634"/>
      <c r="J634"/>
      <c r="K634"/>
    </row>
    <row r="635" spans="1:11" ht="15" x14ac:dyDescent="0.25">
      <c r="A635" s="90" t="s">
        <v>20</v>
      </c>
      <c r="B635" s="90" t="s">
        <v>1066</v>
      </c>
      <c r="C635" s="90">
        <v>2011235</v>
      </c>
      <c r="D635" s="251">
        <v>40702</v>
      </c>
      <c r="E635" s="251" t="s">
        <v>1059</v>
      </c>
      <c r="F635" s="252">
        <v>141.41999999999999</v>
      </c>
      <c r="H635"/>
      <c r="I635"/>
      <c r="J635"/>
      <c r="K635"/>
    </row>
    <row r="636" spans="1:11" ht="15" x14ac:dyDescent="0.25">
      <c r="A636" s="90" t="s">
        <v>20</v>
      </c>
      <c r="B636" s="90" t="s">
        <v>1058</v>
      </c>
      <c r="C636" s="90">
        <v>2011236</v>
      </c>
      <c r="D636" s="251">
        <v>40702</v>
      </c>
      <c r="E636" s="251" t="s">
        <v>1059</v>
      </c>
      <c r="F636" s="252">
        <v>1229.43</v>
      </c>
      <c r="H636"/>
      <c r="I636"/>
      <c r="J636"/>
      <c r="K636"/>
    </row>
    <row r="637" spans="1:11" ht="15" x14ac:dyDescent="0.25">
      <c r="A637" s="90" t="s">
        <v>20</v>
      </c>
      <c r="B637" s="90" t="s">
        <v>1066</v>
      </c>
      <c r="C637" s="90">
        <v>2011237</v>
      </c>
      <c r="D637" s="251">
        <v>40703</v>
      </c>
      <c r="E637" s="251" t="s">
        <v>1059</v>
      </c>
      <c r="F637" s="252">
        <v>555.16</v>
      </c>
      <c r="H637"/>
      <c r="I637"/>
      <c r="J637"/>
      <c r="K637"/>
    </row>
    <row r="638" spans="1:11" ht="15" x14ac:dyDescent="0.25">
      <c r="A638" s="90" t="s">
        <v>20</v>
      </c>
      <c r="B638" s="90" t="s">
        <v>1066</v>
      </c>
      <c r="C638" s="90">
        <v>2011238</v>
      </c>
      <c r="D638" s="251">
        <v>40707</v>
      </c>
      <c r="E638" s="251" t="s">
        <v>1060</v>
      </c>
      <c r="F638" s="252">
        <v>476.36</v>
      </c>
      <c r="H638"/>
      <c r="I638"/>
      <c r="J638"/>
      <c r="K638"/>
    </row>
    <row r="639" spans="1:11" ht="15" x14ac:dyDescent="0.25">
      <c r="A639" s="90" t="s">
        <v>20</v>
      </c>
      <c r="B639" s="90" t="s">
        <v>1065</v>
      </c>
      <c r="C639" s="90">
        <v>2011239</v>
      </c>
      <c r="D639" s="251">
        <v>40707</v>
      </c>
      <c r="E639" s="251" t="s">
        <v>1060</v>
      </c>
      <c r="F639" s="252">
        <v>1128.57</v>
      </c>
      <c r="H639"/>
      <c r="I639"/>
      <c r="J639"/>
      <c r="K639"/>
    </row>
    <row r="640" spans="1:11" ht="15" x14ac:dyDescent="0.25">
      <c r="A640" s="90" t="s">
        <v>20</v>
      </c>
      <c r="B640" s="90" t="s">
        <v>1065</v>
      </c>
      <c r="C640" s="90">
        <v>2011240</v>
      </c>
      <c r="D640" s="251">
        <v>40707</v>
      </c>
      <c r="E640" s="251" t="s">
        <v>1060</v>
      </c>
      <c r="F640" s="252">
        <v>1058.8</v>
      </c>
      <c r="H640"/>
      <c r="I640"/>
      <c r="J640"/>
      <c r="K640"/>
    </row>
    <row r="641" spans="1:11" ht="15" x14ac:dyDescent="0.25">
      <c r="A641" s="90" t="s">
        <v>22</v>
      </c>
      <c r="B641" s="90" t="s">
        <v>1068</v>
      </c>
      <c r="C641" s="90">
        <v>2011241</v>
      </c>
      <c r="D641" s="251">
        <v>40707</v>
      </c>
      <c r="E641" s="251" t="s">
        <v>1059</v>
      </c>
      <c r="F641" s="252">
        <v>558.26</v>
      </c>
      <c r="H641"/>
      <c r="I641"/>
      <c r="J641"/>
      <c r="K641"/>
    </row>
    <row r="642" spans="1:11" ht="15" x14ac:dyDescent="0.25">
      <c r="A642" s="90" t="s">
        <v>22</v>
      </c>
      <c r="B642" s="90" t="s">
        <v>1067</v>
      </c>
      <c r="C642" s="90">
        <v>2011242</v>
      </c>
      <c r="D642" s="251">
        <v>40709</v>
      </c>
      <c r="E642" s="251" t="s">
        <v>1060</v>
      </c>
      <c r="F642" s="252">
        <v>680.47</v>
      </c>
      <c r="H642"/>
      <c r="I642"/>
      <c r="J642"/>
      <c r="K642"/>
    </row>
    <row r="643" spans="1:11" ht="15" x14ac:dyDescent="0.25">
      <c r="A643" s="90" t="s">
        <v>20</v>
      </c>
      <c r="B643" s="90" t="s">
        <v>1061</v>
      </c>
      <c r="C643" s="90">
        <v>2011243</v>
      </c>
      <c r="D643" s="251">
        <v>40710</v>
      </c>
      <c r="E643" s="251" t="s">
        <v>1059</v>
      </c>
      <c r="F643" s="252">
        <v>1137.3399999999999</v>
      </c>
      <c r="H643"/>
      <c r="I643"/>
      <c r="J643"/>
      <c r="K643"/>
    </row>
    <row r="644" spans="1:11" ht="15" x14ac:dyDescent="0.25">
      <c r="A644" s="90" t="s">
        <v>22</v>
      </c>
      <c r="B644" s="90" t="s">
        <v>1070</v>
      </c>
      <c r="C644" s="90">
        <v>2011244</v>
      </c>
      <c r="D644" s="251">
        <v>40710</v>
      </c>
      <c r="E644" s="251" t="s">
        <v>1060</v>
      </c>
      <c r="F644" s="252">
        <v>177.58</v>
      </c>
      <c r="H644"/>
      <c r="I644"/>
      <c r="J644"/>
      <c r="K644"/>
    </row>
    <row r="645" spans="1:11" ht="15" x14ac:dyDescent="0.25">
      <c r="A645" s="90" t="s">
        <v>22</v>
      </c>
      <c r="B645" s="90" t="s">
        <v>1070</v>
      </c>
      <c r="C645" s="90">
        <v>2011245</v>
      </c>
      <c r="D645" s="251">
        <v>40710</v>
      </c>
      <c r="E645" s="251" t="s">
        <v>1060</v>
      </c>
      <c r="F645" s="252">
        <v>143.5</v>
      </c>
      <c r="H645"/>
      <c r="I645"/>
      <c r="J645"/>
      <c r="K645"/>
    </row>
    <row r="646" spans="1:11" ht="15" x14ac:dyDescent="0.25">
      <c r="A646" s="90" t="s">
        <v>22</v>
      </c>
      <c r="B646" s="90" t="s">
        <v>1064</v>
      </c>
      <c r="C646" s="90">
        <v>2011246</v>
      </c>
      <c r="D646" s="251">
        <v>40710</v>
      </c>
      <c r="E646" s="251" t="s">
        <v>1059</v>
      </c>
      <c r="F646" s="252">
        <v>758.58</v>
      </c>
      <c r="H646"/>
      <c r="I646"/>
      <c r="J646"/>
      <c r="K646"/>
    </row>
    <row r="647" spans="1:11" ht="15" x14ac:dyDescent="0.25">
      <c r="A647" s="90" t="s">
        <v>20</v>
      </c>
      <c r="B647" s="90" t="s">
        <v>1058</v>
      </c>
      <c r="C647" s="90">
        <v>2011247</v>
      </c>
      <c r="D647" s="251">
        <v>40714</v>
      </c>
      <c r="E647" s="251" t="s">
        <v>1060</v>
      </c>
      <c r="F647" s="252">
        <v>592.14</v>
      </c>
      <c r="H647"/>
      <c r="I647"/>
      <c r="J647"/>
      <c r="K647"/>
    </row>
    <row r="648" spans="1:11" ht="15" x14ac:dyDescent="0.25">
      <c r="A648" s="90" t="s">
        <v>20</v>
      </c>
      <c r="B648" s="90" t="s">
        <v>1066</v>
      </c>
      <c r="C648" s="90">
        <v>2011248</v>
      </c>
      <c r="D648" s="251">
        <v>40715</v>
      </c>
      <c r="E648" s="251" t="s">
        <v>1059</v>
      </c>
      <c r="F648" s="252">
        <v>392.23</v>
      </c>
      <c r="H648"/>
      <c r="I648"/>
      <c r="J648"/>
      <c r="K648"/>
    </row>
    <row r="649" spans="1:11" ht="15" x14ac:dyDescent="0.25">
      <c r="A649" s="90" t="s">
        <v>22</v>
      </c>
      <c r="B649" s="90" t="s">
        <v>1068</v>
      </c>
      <c r="C649" s="90">
        <v>2011249</v>
      </c>
      <c r="D649" s="251">
        <v>40715</v>
      </c>
      <c r="E649" s="251" t="s">
        <v>1059</v>
      </c>
      <c r="F649" s="252">
        <v>983.12</v>
      </c>
      <c r="H649"/>
      <c r="I649"/>
      <c r="J649"/>
      <c r="K649"/>
    </row>
    <row r="650" spans="1:11" ht="15" x14ac:dyDescent="0.25">
      <c r="A650" s="90" t="s">
        <v>20</v>
      </c>
      <c r="B650" s="90" t="s">
        <v>1066</v>
      </c>
      <c r="C650" s="90">
        <v>2011250</v>
      </c>
      <c r="D650" s="251">
        <v>40716</v>
      </c>
      <c r="E650" s="251" t="s">
        <v>1060</v>
      </c>
      <c r="F650" s="252">
        <v>1008.06</v>
      </c>
      <c r="H650"/>
      <c r="I650"/>
      <c r="J650"/>
      <c r="K650"/>
    </row>
    <row r="651" spans="1:11" ht="15" x14ac:dyDescent="0.25">
      <c r="A651" s="90" t="s">
        <v>20</v>
      </c>
      <c r="B651" s="90" t="s">
        <v>1058</v>
      </c>
      <c r="C651" s="90">
        <v>2011251</v>
      </c>
      <c r="D651" s="251">
        <v>40716</v>
      </c>
      <c r="E651" s="251" t="s">
        <v>1059</v>
      </c>
      <c r="F651" s="252">
        <v>682.4</v>
      </c>
      <c r="H651"/>
      <c r="I651"/>
      <c r="J651"/>
      <c r="K651"/>
    </row>
    <row r="652" spans="1:11" ht="15" x14ac:dyDescent="0.25">
      <c r="A652" s="90" t="s">
        <v>22</v>
      </c>
      <c r="B652" s="90" t="s">
        <v>1068</v>
      </c>
      <c r="C652" s="90">
        <v>2011252</v>
      </c>
      <c r="D652" s="251">
        <v>40716</v>
      </c>
      <c r="E652" s="251" t="s">
        <v>1060</v>
      </c>
      <c r="F652" s="252">
        <v>525.99</v>
      </c>
      <c r="H652"/>
      <c r="I652"/>
      <c r="J652"/>
      <c r="K652"/>
    </row>
    <row r="653" spans="1:11" ht="15" x14ac:dyDescent="0.25">
      <c r="A653" s="90" t="s">
        <v>22</v>
      </c>
      <c r="B653" s="90" t="s">
        <v>1062</v>
      </c>
      <c r="C653" s="90">
        <v>2011253</v>
      </c>
      <c r="D653" s="251">
        <v>40716</v>
      </c>
      <c r="E653" s="251" t="s">
        <v>1060</v>
      </c>
      <c r="F653" s="252">
        <v>693.07</v>
      </c>
      <c r="H653"/>
      <c r="I653"/>
      <c r="J653"/>
      <c r="K653"/>
    </row>
    <row r="654" spans="1:11" ht="15" x14ac:dyDescent="0.25">
      <c r="A654" s="90" t="s">
        <v>20</v>
      </c>
      <c r="B654" s="90" t="s">
        <v>1061</v>
      </c>
      <c r="C654" s="90">
        <v>2011254</v>
      </c>
      <c r="D654" s="251">
        <v>40717</v>
      </c>
      <c r="E654" s="251" t="s">
        <v>1060</v>
      </c>
      <c r="F654" s="252">
        <v>279.02</v>
      </c>
      <c r="H654"/>
      <c r="I654"/>
      <c r="J654"/>
      <c r="K654"/>
    </row>
    <row r="655" spans="1:11" ht="15" x14ac:dyDescent="0.25">
      <c r="A655" s="90" t="s">
        <v>20</v>
      </c>
      <c r="B655" s="90" t="s">
        <v>1061</v>
      </c>
      <c r="C655" s="90">
        <v>2011255</v>
      </c>
      <c r="D655" s="251">
        <v>40717</v>
      </c>
      <c r="E655" s="251" t="s">
        <v>1059</v>
      </c>
      <c r="F655" s="252">
        <v>1126.79</v>
      </c>
      <c r="H655"/>
      <c r="I655"/>
      <c r="J655"/>
      <c r="K655"/>
    </row>
    <row r="656" spans="1:11" ht="15" x14ac:dyDescent="0.25">
      <c r="A656" s="90" t="s">
        <v>20</v>
      </c>
      <c r="B656" s="90" t="s">
        <v>1066</v>
      </c>
      <c r="C656" s="90">
        <v>2011256</v>
      </c>
      <c r="D656" s="251">
        <v>40717</v>
      </c>
      <c r="E656" s="251" t="s">
        <v>1059</v>
      </c>
      <c r="F656" s="252">
        <v>671.62</v>
      </c>
      <c r="H656"/>
      <c r="I656"/>
      <c r="J656"/>
      <c r="K656"/>
    </row>
    <row r="657" spans="1:11" ht="15" x14ac:dyDescent="0.25">
      <c r="A657" s="90" t="s">
        <v>20</v>
      </c>
      <c r="B657" s="90" t="s">
        <v>1066</v>
      </c>
      <c r="C657" s="90">
        <v>2011257</v>
      </c>
      <c r="D657" s="251">
        <v>40717</v>
      </c>
      <c r="E657" s="251" t="s">
        <v>1059</v>
      </c>
      <c r="F657" s="252">
        <v>442.65</v>
      </c>
      <c r="H657"/>
      <c r="I657"/>
      <c r="J657"/>
      <c r="K657"/>
    </row>
    <row r="658" spans="1:11" ht="15" x14ac:dyDescent="0.25">
      <c r="A658" s="90" t="s">
        <v>20</v>
      </c>
      <c r="B658" s="90" t="s">
        <v>1061</v>
      </c>
      <c r="C658" s="90">
        <v>2011258</v>
      </c>
      <c r="D658" s="251">
        <v>40718</v>
      </c>
      <c r="E658" s="251" t="s">
        <v>1059</v>
      </c>
      <c r="F658" s="252">
        <v>538.77</v>
      </c>
      <c r="H658"/>
      <c r="I658"/>
      <c r="J658"/>
      <c r="K658"/>
    </row>
    <row r="659" spans="1:11" ht="15" x14ac:dyDescent="0.25">
      <c r="A659" s="90" t="s">
        <v>20</v>
      </c>
      <c r="B659" s="90" t="s">
        <v>1063</v>
      </c>
      <c r="C659" s="90">
        <v>2011259</v>
      </c>
      <c r="D659" s="251">
        <v>40718</v>
      </c>
      <c r="E659" s="251" t="s">
        <v>1060</v>
      </c>
      <c r="F659" s="252">
        <v>570.41999999999996</v>
      </c>
      <c r="H659"/>
      <c r="I659"/>
      <c r="J659"/>
      <c r="K659"/>
    </row>
    <row r="660" spans="1:11" ht="15" x14ac:dyDescent="0.25">
      <c r="A660" s="90" t="s">
        <v>20</v>
      </c>
      <c r="B660" s="90" t="s">
        <v>1063</v>
      </c>
      <c r="C660" s="90">
        <v>2011260</v>
      </c>
      <c r="D660" s="251">
        <v>40718</v>
      </c>
      <c r="E660" s="251" t="s">
        <v>1060</v>
      </c>
      <c r="F660" s="252">
        <v>1193.3800000000001</v>
      </c>
      <c r="H660"/>
      <c r="I660"/>
      <c r="J660"/>
      <c r="K660"/>
    </row>
    <row r="661" spans="1:11" ht="15" x14ac:dyDescent="0.25">
      <c r="A661" s="90" t="s">
        <v>22</v>
      </c>
      <c r="B661" s="90" t="s">
        <v>1067</v>
      </c>
      <c r="C661" s="90">
        <v>2011261</v>
      </c>
      <c r="D661" s="251">
        <v>40718</v>
      </c>
      <c r="E661" s="251" t="s">
        <v>1059</v>
      </c>
      <c r="F661" s="252">
        <v>620.6</v>
      </c>
      <c r="H661"/>
      <c r="I661"/>
      <c r="J661"/>
      <c r="K661"/>
    </row>
    <row r="662" spans="1:11" ht="15" x14ac:dyDescent="0.25">
      <c r="A662" s="90" t="s">
        <v>20</v>
      </c>
      <c r="B662" s="90" t="s">
        <v>1061</v>
      </c>
      <c r="C662" s="90">
        <v>2011262</v>
      </c>
      <c r="D662" s="251">
        <v>40721</v>
      </c>
      <c r="E662" s="251" t="s">
        <v>1060</v>
      </c>
      <c r="F662" s="252">
        <v>318.95999999999998</v>
      </c>
      <c r="H662"/>
      <c r="I662"/>
      <c r="J662"/>
      <c r="K662"/>
    </row>
    <row r="663" spans="1:11" ht="15" x14ac:dyDescent="0.25">
      <c r="A663" s="90" t="s">
        <v>22</v>
      </c>
      <c r="B663" s="90" t="s">
        <v>1067</v>
      </c>
      <c r="C663" s="90">
        <v>2011263</v>
      </c>
      <c r="D663" s="251">
        <v>40721</v>
      </c>
      <c r="E663" s="251" t="s">
        <v>1060</v>
      </c>
      <c r="F663" s="252">
        <v>504.85</v>
      </c>
      <c r="H663"/>
      <c r="I663"/>
      <c r="J663"/>
      <c r="K663"/>
    </row>
    <row r="664" spans="1:11" ht="15" x14ac:dyDescent="0.25">
      <c r="A664" s="90" t="s">
        <v>22</v>
      </c>
      <c r="B664" s="90" t="s">
        <v>1062</v>
      </c>
      <c r="C664" s="90">
        <v>2011264</v>
      </c>
      <c r="D664" s="251">
        <v>40721</v>
      </c>
      <c r="E664" s="251" t="s">
        <v>1060</v>
      </c>
      <c r="F664" s="252">
        <v>767.48</v>
      </c>
      <c r="H664"/>
      <c r="I664"/>
      <c r="J664"/>
      <c r="K664"/>
    </row>
    <row r="665" spans="1:11" ht="15" x14ac:dyDescent="0.25">
      <c r="A665" s="90" t="s">
        <v>20</v>
      </c>
      <c r="B665" s="90" t="s">
        <v>1065</v>
      </c>
      <c r="C665" s="90">
        <v>2011265</v>
      </c>
      <c r="D665" s="251">
        <v>40722</v>
      </c>
      <c r="E665" s="251" t="s">
        <v>1059</v>
      </c>
      <c r="F665" s="252">
        <v>1126.6400000000001</v>
      </c>
      <c r="H665"/>
      <c r="I665"/>
      <c r="J665"/>
      <c r="K665"/>
    </row>
    <row r="666" spans="1:11" ht="15" x14ac:dyDescent="0.25">
      <c r="A666" s="90" t="s">
        <v>20</v>
      </c>
      <c r="B666" s="90" t="s">
        <v>1063</v>
      </c>
      <c r="C666" s="90">
        <v>2011266</v>
      </c>
      <c r="D666" s="251">
        <v>40722</v>
      </c>
      <c r="E666" s="251" t="s">
        <v>1060</v>
      </c>
      <c r="F666" s="252">
        <v>256.95999999999998</v>
      </c>
      <c r="H666"/>
      <c r="I666"/>
      <c r="J666"/>
      <c r="K666"/>
    </row>
    <row r="667" spans="1:11" ht="15" x14ac:dyDescent="0.25">
      <c r="A667" s="90" t="s">
        <v>20</v>
      </c>
      <c r="B667" s="90" t="s">
        <v>1063</v>
      </c>
      <c r="C667" s="90">
        <v>2011267</v>
      </c>
      <c r="D667" s="251">
        <v>40723</v>
      </c>
      <c r="E667" s="251" t="s">
        <v>1059</v>
      </c>
      <c r="F667" s="252">
        <v>269.08</v>
      </c>
      <c r="H667"/>
      <c r="I667"/>
      <c r="J667"/>
      <c r="K667"/>
    </row>
    <row r="668" spans="1:11" ht="15" x14ac:dyDescent="0.25">
      <c r="A668" s="90" t="s">
        <v>20</v>
      </c>
      <c r="B668" s="90" t="s">
        <v>1063</v>
      </c>
      <c r="C668" s="90">
        <v>2011268</v>
      </c>
      <c r="D668" s="251">
        <v>40723</v>
      </c>
      <c r="E668" s="251" t="s">
        <v>1060</v>
      </c>
      <c r="F668" s="252">
        <v>519.1</v>
      </c>
      <c r="H668"/>
      <c r="I668"/>
      <c r="J668"/>
      <c r="K668"/>
    </row>
    <row r="669" spans="1:11" ht="15" x14ac:dyDescent="0.25">
      <c r="A669" s="90" t="s">
        <v>20</v>
      </c>
      <c r="B669" s="90" t="s">
        <v>1061</v>
      </c>
      <c r="C669" s="90">
        <v>2011269</v>
      </c>
      <c r="D669" s="251">
        <v>40724</v>
      </c>
      <c r="E669" s="251" t="s">
        <v>1060</v>
      </c>
      <c r="F669" s="252">
        <v>1256.3399999999999</v>
      </c>
      <c r="H669"/>
      <c r="I669"/>
      <c r="J669"/>
      <c r="K669"/>
    </row>
    <row r="670" spans="1:11" ht="15" x14ac:dyDescent="0.25">
      <c r="A670" s="90" t="s">
        <v>20</v>
      </c>
      <c r="B670" s="90" t="s">
        <v>1061</v>
      </c>
      <c r="C670" s="90">
        <v>2011270</v>
      </c>
      <c r="D670" s="251">
        <v>40724</v>
      </c>
      <c r="E670" s="251" t="s">
        <v>1060</v>
      </c>
      <c r="F670" s="252">
        <v>674.36</v>
      </c>
      <c r="H670"/>
      <c r="I670"/>
      <c r="J670"/>
      <c r="K670"/>
    </row>
    <row r="671" spans="1:11" ht="15" x14ac:dyDescent="0.25">
      <c r="A671" s="90" t="s">
        <v>20</v>
      </c>
      <c r="B671" s="90" t="s">
        <v>1061</v>
      </c>
      <c r="C671" s="90">
        <v>2011271</v>
      </c>
      <c r="D671" s="251">
        <v>40725</v>
      </c>
      <c r="E671" s="251" t="s">
        <v>1059</v>
      </c>
      <c r="F671" s="252">
        <v>962.7</v>
      </c>
      <c r="H671"/>
      <c r="I671"/>
      <c r="J671"/>
      <c r="K671"/>
    </row>
    <row r="672" spans="1:11" ht="15" x14ac:dyDescent="0.25">
      <c r="A672" s="90" t="s">
        <v>20</v>
      </c>
      <c r="B672" s="90" t="s">
        <v>1066</v>
      </c>
      <c r="C672" s="90">
        <v>2011272</v>
      </c>
      <c r="D672" s="251">
        <v>40725</v>
      </c>
      <c r="E672" s="251" t="s">
        <v>1060</v>
      </c>
      <c r="F672" s="252">
        <v>899.62</v>
      </c>
      <c r="H672"/>
      <c r="I672"/>
      <c r="J672"/>
      <c r="K672"/>
    </row>
    <row r="673" spans="1:11" ht="15" x14ac:dyDescent="0.25">
      <c r="A673" s="90" t="s">
        <v>20</v>
      </c>
      <c r="B673" s="90" t="s">
        <v>1063</v>
      </c>
      <c r="C673" s="90">
        <v>2011273</v>
      </c>
      <c r="D673" s="251">
        <v>40725</v>
      </c>
      <c r="E673" s="251" t="s">
        <v>1059</v>
      </c>
      <c r="F673" s="252">
        <v>464.88</v>
      </c>
      <c r="H673"/>
      <c r="I673"/>
      <c r="J673"/>
      <c r="K673"/>
    </row>
    <row r="674" spans="1:11" ht="15" x14ac:dyDescent="0.25">
      <c r="A674" s="90" t="s">
        <v>20</v>
      </c>
      <c r="B674" s="90" t="s">
        <v>1063</v>
      </c>
      <c r="C674" s="90">
        <v>2011274</v>
      </c>
      <c r="D674" s="251">
        <v>40725</v>
      </c>
      <c r="E674" s="251" t="s">
        <v>1060</v>
      </c>
      <c r="F674" s="252">
        <v>1266</v>
      </c>
      <c r="H674"/>
      <c r="I674"/>
      <c r="J674"/>
      <c r="K674"/>
    </row>
    <row r="675" spans="1:11" ht="15" x14ac:dyDescent="0.25">
      <c r="A675" s="90" t="s">
        <v>22</v>
      </c>
      <c r="B675" s="90" t="s">
        <v>1069</v>
      </c>
      <c r="C675" s="90">
        <v>2011275</v>
      </c>
      <c r="D675" s="251">
        <v>40725</v>
      </c>
      <c r="E675" s="251" t="s">
        <v>1059</v>
      </c>
      <c r="F675" s="252">
        <v>644.79</v>
      </c>
      <c r="H675"/>
      <c r="I675"/>
      <c r="J675"/>
      <c r="K675"/>
    </row>
    <row r="676" spans="1:11" ht="15" x14ac:dyDescent="0.25">
      <c r="A676" s="90" t="s">
        <v>20</v>
      </c>
      <c r="B676" s="90" t="s">
        <v>1065</v>
      </c>
      <c r="C676" s="90">
        <v>2011276</v>
      </c>
      <c r="D676" s="251">
        <v>40728</v>
      </c>
      <c r="E676" s="251" t="s">
        <v>1059</v>
      </c>
      <c r="F676" s="252">
        <v>1069.53</v>
      </c>
      <c r="H676"/>
      <c r="I676"/>
      <c r="J676"/>
      <c r="K676"/>
    </row>
    <row r="677" spans="1:11" ht="15" x14ac:dyDescent="0.25">
      <c r="A677" s="90" t="s">
        <v>20</v>
      </c>
      <c r="B677" s="90" t="s">
        <v>1058</v>
      </c>
      <c r="C677" s="90">
        <v>2011277</v>
      </c>
      <c r="D677" s="251">
        <v>40729</v>
      </c>
      <c r="E677" s="251" t="s">
        <v>1060</v>
      </c>
      <c r="F677" s="252">
        <v>388</v>
      </c>
      <c r="H677"/>
      <c r="I677"/>
      <c r="J677"/>
      <c r="K677"/>
    </row>
    <row r="678" spans="1:11" ht="15" x14ac:dyDescent="0.25">
      <c r="A678" s="90" t="s">
        <v>22</v>
      </c>
      <c r="B678" s="90" t="s">
        <v>1064</v>
      </c>
      <c r="C678" s="90">
        <v>2011278</v>
      </c>
      <c r="D678" s="251">
        <v>40730</v>
      </c>
      <c r="E678" s="251" t="s">
        <v>1060</v>
      </c>
      <c r="F678" s="252">
        <v>1218.8599999999999</v>
      </c>
      <c r="H678"/>
      <c r="I678"/>
      <c r="J678"/>
      <c r="K678"/>
    </row>
    <row r="679" spans="1:11" ht="15" x14ac:dyDescent="0.25">
      <c r="A679" s="90" t="s">
        <v>22</v>
      </c>
      <c r="B679" s="90" t="s">
        <v>1064</v>
      </c>
      <c r="C679" s="90">
        <v>2011279</v>
      </c>
      <c r="D679" s="251">
        <v>40730</v>
      </c>
      <c r="E679" s="251" t="s">
        <v>1059</v>
      </c>
      <c r="F679" s="252">
        <v>971.9</v>
      </c>
      <c r="H679"/>
      <c r="I679"/>
      <c r="J679"/>
      <c r="K679"/>
    </row>
    <row r="680" spans="1:11" ht="15" x14ac:dyDescent="0.25">
      <c r="A680" s="90" t="s">
        <v>20</v>
      </c>
      <c r="B680" s="90" t="s">
        <v>1061</v>
      </c>
      <c r="C680" s="90">
        <v>2011280</v>
      </c>
      <c r="D680" s="251">
        <v>40731</v>
      </c>
      <c r="E680" s="251" t="s">
        <v>1059</v>
      </c>
      <c r="F680" s="252">
        <v>236.16</v>
      </c>
      <c r="H680"/>
      <c r="I680"/>
      <c r="J680"/>
      <c r="K680"/>
    </row>
    <row r="681" spans="1:11" ht="15" x14ac:dyDescent="0.25">
      <c r="A681" s="90" t="s">
        <v>20</v>
      </c>
      <c r="B681" s="90" t="s">
        <v>1061</v>
      </c>
      <c r="C681" s="90">
        <v>2011281</v>
      </c>
      <c r="D681" s="251">
        <v>40731</v>
      </c>
      <c r="E681" s="251" t="s">
        <v>1059</v>
      </c>
      <c r="F681" s="252">
        <v>294.76</v>
      </c>
      <c r="H681"/>
      <c r="I681"/>
      <c r="J681"/>
      <c r="K681"/>
    </row>
    <row r="682" spans="1:11" ht="15" x14ac:dyDescent="0.25">
      <c r="A682" s="90" t="s">
        <v>20</v>
      </c>
      <c r="B682" s="90" t="s">
        <v>1066</v>
      </c>
      <c r="C682" s="90">
        <v>2011282</v>
      </c>
      <c r="D682" s="251">
        <v>40731</v>
      </c>
      <c r="E682" s="251" t="s">
        <v>1059</v>
      </c>
      <c r="F682" s="252">
        <v>159.13</v>
      </c>
      <c r="H682"/>
      <c r="I682"/>
      <c r="J682"/>
      <c r="K682"/>
    </row>
    <row r="683" spans="1:11" ht="15" x14ac:dyDescent="0.25">
      <c r="A683" s="90" t="s">
        <v>22</v>
      </c>
      <c r="B683" s="90" t="s">
        <v>1062</v>
      </c>
      <c r="C683" s="90">
        <v>2011283</v>
      </c>
      <c r="D683" s="251">
        <v>40731</v>
      </c>
      <c r="E683" s="251" t="s">
        <v>1060</v>
      </c>
      <c r="F683" s="252">
        <v>957.75</v>
      </c>
      <c r="H683"/>
      <c r="I683"/>
      <c r="J683"/>
      <c r="K683"/>
    </row>
    <row r="684" spans="1:11" ht="15" x14ac:dyDescent="0.25">
      <c r="A684" s="90" t="s">
        <v>22</v>
      </c>
      <c r="B684" s="90" t="s">
        <v>1069</v>
      </c>
      <c r="C684" s="90">
        <v>2011284</v>
      </c>
      <c r="D684" s="251">
        <v>40732</v>
      </c>
      <c r="E684" s="251" t="s">
        <v>1060</v>
      </c>
      <c r="F684" s="252">
        <v>779.23</v>
      </c>
      <c r="H684"/>
      <c r="I684"/>
      <c r="J684"/>
      <c r="K684"/>
    </row>
    <row r="685" spans="1:11" ht="15" x14ac:dyDescent="0.25">
      <c r="A685" s="90" t="s">
        <v>22</v>
      </c>
      <c r="B685" s="90" t="s">
        <v>1070</v>
      </c>
      <c r="C685" s="90">
        <v>2011285</v>
      </c>
      <c r="D685" s="251">
        <v>40735</v>
      </c>
      <c r="E685" s="251" t="s">
        <v>1059</v>
      </c>
      <c r="F685" s="252">
        <v>653.04999999999995</v>
      </c>
      <c r="H685"/>
      <c r="I685"/>
      <c r="J685"/>
      <c r="K685"/>
    </row>
    <row r="686" spans="1:11" ht="15" x14ac:dyDescent="0.25">
      <c r="A686" s="90" t="s">
        <v>22</v>
      </c>
      <c r="B686" s="90" t="s">
        <v>1062</v>
      </c>
      <c r="C686" s="90">
        <v>2011286</v>
      </c>
      <c r="D686" s="251">
        <v>40735</v>
      </c>
      <c r="E686" s="251" t="s">
        <v>1059</v>
      </c>
      <c r="F686" s="252">
        <v>184.7</v>
      </c>
      <c r="H686"/>
      <c r="I686"/>
      <c r="J686"/>
      <c r="K686"/>
    </row>
    <row r="687" spans="1:11" ht="15" x14ac:dyDescent="0.25">
      <c r="A687" s="90" t="s">
        <v>22</v>
      </c>
      <c r="B687" s="90" t="s">
        <v>1062</v>
      </c>
      <c r="C687" s="90">
        <v>2011287</v>
      </c>
      <c r="D687" s="251">
        <v>40735</v>
      </c>
      <c r="E687" s="251" t="s">
        <v>1059</v>
      </c>
      <c r="F687" s="252">
        <v>592.9</v>
      </c>
      <c r="H687"/>
      <c r="I687"/>
      <c r="J687"/>
      <c r="K687"/>
    </row>
    <row r="688" spans="1:11" ht="15" x14ac:dyDescent="0.25">
      <c r="A688" s="90" t="s">
        <v>20</v>
      </c>
      <c r="B688" s="90" t="s">
        <v>1058</v>
      </c>
      <c r="C688" s="90">
        <v>2011288</v>
      </c>
      <c r="D688" s="251">
        <v>40736</v>
      </c>
      <c r="E688" s="251" t="s">
        <v>1059</v>
      </c>
      <c r="F688" s="252">
        <v>103.61</v>
      </c>
      <c r="H688"/>
      <c r="I688"/>
      <c r="J688"/>
      <c r="K688"/>
    </row>
    <row r="689" spans="1:11" ht="15" x14ac:dyDescent="0.25">
      <c r="A689" s="90" t="s">
        <v>20</v>
      </c>
      <c r="B689" s="90" t="s">
        <v>1058</v>
      </c>
      <c r="C689" s="90">
        <v>2011289</v>
      </c>
      <c r="D689" s="251">
        <v>40736</v>
      </c>
      <c r="E689" s="251" t="s">
        <v>1059</v>
      </c>
      <c r="F689" s="252">
        <v>577.91</v>
      </c>
      <c r="H689"/>
      <c r="I689"/>
      <c r="J689"/>
      <c r="K689"/>
    </row>
    <row r="690" spans="1:11" ht="15" x14ac:dyDescent="0.25">
      <c r="A690" s="90" t="s">
        <v>20</v>
      </c>
      <c r="B690" s="90" t="s">
        <v>1065</v>
      </c>
      <c r="C690" s="90">
        <v>2011290</v>
      </c>
      <c r="D690" s="251">
        <v>40736</v>
      </c>
      <c r="E690" s="251" t="s">
        <v>1059</v>
      </c>
      <c r="F690" s="252">
        <v>987.76</v>
      </c>
      <c r="H690"/>
      <c r="I690"/>
      <c r="J690"/>
      <c r="K690"/>
    </row>
    <row r="691" spans="1:11" ht="15" x14ac:dyDescent="0.25">
      <c r="A691" s="90" t="s">
        <v>22</v>
      </c>
      <c r="B691" s="90" t="s">
        <v>1068</v>
      </c>
      <c r="C691" s="90">
        <v>2011291</v>
      </c>
      <c r="D691" s="251">
        <v>40736</v>
      </c>
      <c r="E691" s="251" t="s">
        <v>1059</v>
      </c>
      <c r="F691" s="252">
        <v>957.91</v>
      </c>
      <c r="H691"/>
      <c r="I691"/>
      <c r="J691"/>
      <c r="K691"/>
    </row>
    <row r="692" spans="1:11" ht="15" x14ac:dyDescent="0.25">
      <c r="A692" s="90" t="s">
        <v>20</v>
      </c>
      <c r="B692" s="90" t="s">
        <v>1058</v>
      </c>
      <c r="C692" s="90">
        <v>2011292</v>
      </c>
      <c r="D692" s="251">
        <v>40737</v>
      </c>
      <c r="E692" s="251" t="s">
        <v>1059</v>
      </c>
      <c r="F692" s="252">
        <v>882.24</v>
      </c>
      <c r="H692"/>
      <c r="I692"/>
      <c r="J692"/>
      <c r="K692"/>
    </row>
    <row r="693" spans="1:11" ht="15" x14ac:dyDescent="0.25">
      <c r="A693" s="90" t="s">
        <v>20</v>
      </c>
      <c r="B693" s="90" t="s">
        <v>1063</v>
      </c>
      <c r="C693" s="90">
        <v>2011293</v>
      </c>
      <c r="D693" s="251">
        <v>40737</v>
      </c>
      <c r="E693" s="251" t="s">
        <v>1059</v>
      </c>
      <c r="F693" s="252">
        <v>801.07</v>
      </c>
      <c r="H693"/>
      <c r="I693"/>
      <c r="J693"/>
      <c r="K693"/>
    </row>
    <row r="694" spans="1:11" ht="15" x14ac:dyDescent="0.25">
      <c r="A694" s="90" t="s">
        <v>22</v>
      </c>
      <c r="B694" s="90" t="s">
        <v>1070</v>
      </c>
      <c r="C694" s="90">
        <v>2011294</v>
      </c>
      <c r="D694" s="251">
        <v>40737</v>
      </c>
      <c r="E694" s="251" t="s">
        <v>1059</v>
      </c>
      <c r="F694" s="252">
        <v>698.57</v>
      </c>
      <c r="H694"/>
      <c r="I694"/>
      <c r="J694"/>
      <c r="K694"/>
    </row>
    <row r="695" spans="1:11" ht="15" x14ac:dyDescent="0.25">
      <c r="A695" s="90" t="s">
        <v>20</v>
      </c>
      <c r="B695" s="90" t="s">
        <v>1066</v>
      </c>
      <c r="C695" s="90">
        <v>2011295</v>
      </c>
      <c r="D695" s="251">
        <v>40738</v>
      </c>
      <c r="E695" s="251" t="s">
        <v>1060</v>
      </c>
      <c r="F695" s="252">
        <v>1115.8699999999999</v>
      </c>
      <c r="H695"/>
      <c r="I695"/>
      <c r="J695"/>
      <c r="K695"/>
    </row>
    <row r="696" spans="1:11" ht="15" x14ac:dyDescent="0.25">
      <c r="A696" s="90" t="s">
        <v>20</v>
      </c>
      <c r="B696" s="90" t="s">
        <v>1066</v>
      </c>
      <c r="C696" s="90">
        <v>2011296</v>
      </c>
      <c r="D696" s="251">
        <v>40739</v>
      </c>
      <c r="E696" s="251" t="s">
        <v>1059</v>
      </c>
      <c r="F696" s="252">
        <v>632.48</v>
      </c>
      <c r="H696"/>
      <c r="I696"/>
      <c r="J696"/>
      <c r="K696"/>
    </row>
    <row r="697" spans="1:11" ht="15" x14ac:dyDescent="0.25">
      <c r="A697" s="90" t="s">
        <v>20</v>
      </c>
      <c r="B697" s="90" t="s">
        <v>1061</v>
      </c>
      <c r="C697" s="90">
        <v>2011297</v>
      </c>
      <c r="D697" s="251">
        <v>40742</v>
      </c>
      <c r="E697" s="251" t="s">
        <v>1059</v>
      </c>
      <c r="F697" s="252">
        <v>1211.6500000000001</v>
      </c>
      <c r="H697"/>
      <c r="I697"/>
      <c r="J697"/>
      <c r="K697"/>
    </row>
    <row r="698" spans="1:11" ht="15" x14ac:dyDescent="0.25">
      <c r="A698" s="90" t="s">
        <v>20</v>
      </c>
      <c r="B698" s="90" t="s">
        <v>1058</v>
      </c>
      <c r="C698" s="90">
        <v>2011298</v>
      </c>
      <c r="D698" s="251">
        <v>40742</v>
      </c>
      <c r="E698" s="251" t="s">
        <v>1059</v>
      </c>
      <c r="F698" s="252">
        <v>307.45</v>
      </c>
      <c r="H698"/>
      <c r="I698"/>
      <c r="J698"/>
      <c r="K698"/>
    </row>
    <row r="699" spans="1:11" ht="15" x14ac:dyDescent="0.25">
      <c r="A699" s="90" t="s">
        <v>20</v>
      </c>
      <c r="B699" s="90" t="s">
        <v>1058</v>
      </c>
      <c r="C699" s="90">
        <v>2011299</v>
      </c>
      <c r="D699" s="251">
        <v>40742</v>
      </c>
      <c r="E699" s="251" t="s">
        <v>1059</v>
      </c>
      <c r="F699" s="252">
        <v>893.88</v>
      </c>
      <c r="H699"/>
      <c r="I699"/>
      <c r="J699"/>
      <c r="K699"/>
    </row>
    <row r="700" spans="1:11" ht="15" x14ac:dyDescent="0.25">
      <c r="A700" s="90" t="s">
        <v>20</v>
      </c>
      <c r="B700" s="90" t="s">
        <v>1065</v>
      </c>
      <c r="C700" s="90">
        <v>2011300</v>
      </c>
      <c r="D700" s="251">
        <v>40742</v>
      </c>
      <c r="E700" s="251" t="s">
        <v>1059</v>
      </c>
      <c r="F700" s="252">
        <v>1155.6300000000001</v>
      </c>
      <c r="H700"/>
      <c r="I700"/>
      <c r="J700"/>
      <c r="K700"/>
    </row>
    <row r="701" spans="1:11" ht="15" x14ac:dyDescent="0.25">
      <c r="A701" s="90" t="s">
        <v>20</v>
      </c>
      <c r="B701" s="90" t="s">
        <v>1065</v>
      </c>
      <c r="C701" s="90">
        <v>2011301</v>
      </c>
      <c r="D701" s="251">
        <v>40744</v>
      </c>
      <c r="E701" s="251" t="s">
        <v>1059</v>
      </c>
      <c r="F701" s="252">
        <v>1131.92</v>
      </c>
      <c r="H701"/>
      <c r="I701"/>
      <c r="J701"/>
      <c r="K701"/>
    </row>
    <row r="702" spans="1:11" ht="15" x14ac:dyDescent="0.25">
      <c r="A702" s="90" t="s">
        <v>20</v>
      </c>
      <c r="B702" s="90" t="s">
        <v>1065</v>
      </c>
      <c r="C702" s="90">
        <v>2011302</v>
      </c>
      <c r="D702" s="251">
        <v>40744</v>
      </c>
      <c r="E702" s="251" t="s">
        <v>1060</v>
      </c>
      <c r="F702" s="252">
        <v>432.47</v>
      </c>
      <c r="H702"/>
      <c r="I702"/>
      <c r="J702"/>
      <c r="K702"/>
    </row>
    <row r="703" spans="1:11" ht="15" x14ac:dyDescent="0.25">
      <c r="A703" s="90" t="s">
        <v>22</v>
      </c>
      <c r="B703" s="90" t="s">
        <v>1069</v>
      </c>
      <c r="C703" s="90">
        <v>2011303</v>
      </c>
      <c r="D703" s="251">
        <v>40744</v>
      </c>
      <c r="E703" s="251" t="s">
        <v>1060</v>
      </c>
      <c r="F703" s="252">
        <v>845.32</v>
      </c>
      <c r="H703"/>
      <c r="I703"/>
      <c r="J703"/>
      <c r="K703"/>
    </row>
    <row r="704" spans="1:11" ht="15" x14ac:dyDescent="0.25">
      <c r="A704" s="90" t="s">
        <v>22</v>
      </c>
      <c r="B704" s="90" t="s">
        <v>1068</v>
      </c>
      <c r="C704" s="90">
        <v>2011304</v>
      </c>
      <c r="D704" s="251">
        <v>40744</v>
      </c>
      <c r="E704" s="251" t="s">
        <v>1059</v>
      </c>
      <c r="F704" s="252">
        <v>632.66</v>
      </c>
      <c r="H704"/>
      <c r="I704"/>
      <c r="J704"/>
      <c r="K704"/>
    </row>
    <row r="705" spans="1:11" ht="15" x14ac:dyDescent="0.25">
      <c r="A705" s="90" t="s">
        <v>22</v>
      </c>
      <c r="B705" s="90" t="s">
        <v>1062</v>
      </c>
      <c r="C705" s="90">
        <v>2011305</v>
      </c>
      <c r="D705" s="251">
        <v>40745</v>
      </c>
      <c r="E705" s="251" t="s">
        <v>1059</v>
      </c>
      <c r="F705" s="252">
        <v>335.47</v>
      </c>
      <c r="H705"/>
      <c r="I705"/>
      <c r="J705"/>
      <c r="K705"/>
    </row>
    <row r="706" spans="1:11" ht="15" x14ac:dyDescent="0.25">
      <c r="A706" s="90" t="s">
        <v>20</v>
      </c>
      <c r="B706" s="90" t="s">
        <v>1058</v>
      </c>
      <c r="C706" s="90">
        <v>2011306</v>
      </c>
      <c r="D706" s="251">
        <v>40746</v>
      </c>
      <c r="E706" s="251" t="s">
        <v>1060</v>
      </c>
      <c r="F706" s="252">
        <v>245.13</v>
      </c>
      <c r="H706"/>
      <c r="I706"/>
      <c r="J706"/>
      <c r="K706"/>
    </row>
    <row r="707" spans="1:11" ht="15" x14ac:dyDescent="0.25">
      <c r="A707" s="90" t="s">
        <v>20</v>
      </c>
      <c r="B707" s="90" t="s">
        <v>1065</v>
      </c>
      <c r="C707" s="90">
        <v>2011307</v>
      </c>
      <c r="D707" s="251">
        <v>40746</v>
      </c>
      <c r="E707" s="251" t="s">
        <v>1059</v>
      </c>
      <c r="F707" s="252">
        <v>423.25</v>
      </c>
      <c r="H707"/>
      <c r="I707"/>
      <c r="J707"/>
      <c r="K707"/>
    </row>
    <row r="708" spans="1:11" ht="15" x14ac:dyDescent="0.25">
      <c r="A708" s="90" t="s">
        <v>20</v>
      </c>
      <c r="B708" s="90" t="s">
        <v>1065</v>
      </c>
      <c r="C708" s="90">
        <v>2011308</v>
      </c>
      <c r="D708" s="251">
        <v>40749</v>
      </c>
      <c r="E708" s="251" t="s">
        <v>1060</v>
      </c>
      <c r="F708" s="252">
        <v>591.11</v>
      </c>
      <c r="H708"/>
      <c r="I708"/>
      <c r="J708"/>
      <c r="K708"/>
    </row>
    <row r="709" spans="1:11" ht="15" x14ac:dyDescent="0.25">
      <c r="A709" s="90" t="s">
        <v>22</v>
      </c>
      <c r="B709" s="90" t="s">
        <v>1069</v>
      </c>
      <c r="C709" s="90">
        <v>2011309</v>
      </c>
      <c r="D709" s="251">
        <v>40750</v>
      </c>
      <c r="E709" s="251" t="s">
        <v>1059</v>
      </c>
      <c r="F709" s="252">
        <v>459.98</v>
      </c>
      <c r="H709"/>
      <c r="I709"/>
      <c r="J709"/>
      <c r="K709"/>
    </row>
    <row r="710" spans="1:11" ht="15" x14ac:dyDescent="0.25">
      <c r="A710" s="90" t="s">
        <v>20</v>
      </c>
      <c r="B710" s="90" t="s">
        <v>1058</v>
      </c>
      <c r="C710" s="90">
        <v>2011310</v>
      </c>
      <c r="D710" s="251">
        <v>40751</v>
      </c>
      <c r="E710" s="251" t="s">
        <v>1060</v>
      </c>
      <c r="F710" s="252">
        <v>182.49</v>
      </c>
      <c r="H710"/>
      <c r="I710"/>
      <c r="J710"/>
      <c r="K710"/>
    </row>
    <row r="711" spans="1:11" ht="15" x14ac:dyDescent="0.25">
      <c r="A711" s="90" t="s">
        <v>20</v>
      </c>
      <c r="B711" s="90" t="s">
        <v>1066</v>
      </c>
      <c r="C711" s="90">
        <v>2011311</v>
      </c>
      <c r="D711" s="251">
        <v>40752</v>
      </c>
      <c r="E711" s="251" t="s">
        <v>1059</v>
      </c>
      <c r="F711" s="252">
        <v>226.2</v>
      </c>
      <c r="H711"/>
      <c r="I711"/>
      <c r="J711"/>
      <c r="K711"/>
    </row>
    <row r="712" spans="1:11" ht="15" x14ac:dyDescent="0.25">
      <c r="A712" s="90" t="s">
        <v>20</v>
      </c>
      <c r="B712" s="90" t="s">
        <v>1058</v>
      </c>
      <c r="C712" s="90">
        <v>2011312</v>
      </c>
      <c r="D712" s="251">
        <v>40752</v>
      </c>
      <c r="E712" s="251" t="s">
        <v>1060</v>
      </c>
      <c r="F712" s="252">
        <v>37.64</v>
      </c>
      <c r="H712"/>
      <c r="I712"/>
      <c r="J712"/>
      <c r="K712"/>
    </row>
    <row r="713" spans="1:11" ht="15" x14ac:dyDescent="0.25">
      <c r="A713" s="90" t="s">
        <v>22</v>
      </c>
      <c r="B713" s="90" t="s">
        <v>1064</v>
      </c>
      <c r="C713" s="90">
        <v>2011313</v>
      </c>
      <c r="D713" s="251">
        <v>40752</v>
      </c>
      <c r="E713" s="251" t="s">
        <v>1059</v>
      </c>
      <c r="F713" s="252">
        <v>928.21</v>
      </c>
      <c r="H713"/>
      <c r="I713"/>
      <c r="J713"/>
      <c r="K713"/>
    </row>
    <row r="714" spans="1:11" ht="15" x14ac:dyDescent="0.25">
      <c r="A714" s="90" t="s">
        <v>22</v>
      </c>
      <c r="B714" s="90" t="s">
        <v>1062</v>
      </c>
      <c r="C714" s="90">
        <v>2011314</v>
      </c>
      <c r="D714" s="251">
        <v>40753</v>
      </c>
      <c r="E714" s="251" t="s">
        <v>1059</v>
      </c>
      <c r="F714" s="252">
        <v>670.64</v>
      </c>
      <c r="H714"/>
      <c r="I714"/>
      <c r="J714"/>
      <c r="K714"/>
    </row>
    <row r="715" spans="1:11" ht="15" x14ac:dyDescent="0.25">
      <c r="A715" s="90" t="s">
        <v>20</v>
      </c>
      <c r="B715" s="90" t="s">
        <v>1066</v>
      </c>
      <c r="C715" s="90">
        <v>2011315</v>
      </c>
      <c r="D715" s="251">
        <v>40756</v>
      </c>
      <c r="E715" s="251" t="s">
        <v>1060</v>
      </c>
      <c r="F715" s="252">
        <v>1273.67</v>
      </c>
      <c r="H715"/>
      <c r="I715"/>
      <c r="J715"/>
      <c r="K715"/>
    </row>
    <row r="716" spans="1:11" ht="15" x14ac:dyDescent="0.25">
      <c r="A716" s="90" t="s">
        <v>20</v>
      </c>
      <c r="B716" s="90" t="s">
        <v>1058</v>
      </c>
      <c r="C716" s="90">
        <v>2011316</v>
      </c>
      <c r="D716" s="251">
        <v>40756</v>
      </c>
      <c r="E716" s="251" t="s">
        <v>1059</v>
      </c>
      <c r="F716" s="252">
        <v>169.64</v>
      </c>
      <c r="H716"/>
      <c r="I716"/>
      <c r="J716"/>
      <c r="K716"/>
    </row>
    <row r="717" spans="1:11" ht="15" x14ac:dyDescent="0.25">
      <c r="A717" s="90" t="s">
        <v>20</v>
      </c>
      <c r="B717" s="90" t="s">
        <v>1065</v>
      </c>
      <c r="C717" s="90">
        <v>2011317</v>
      </c>
      <c r="D717" s="251">
        <v>40756</v>
      </c>
      <c r="E717" s="251" t="s">
        <v>1060</v>
      </c>
      <c r="F717" s="252">
        <v>91.39</v>
      </c>
      <c r="H717"/>
      <c r="I717"/>
      <c r="J717"/>
      <c r="K717"/>
    </row>
    <row r="718" spans="1:11" ht="15" x14ac:dyDescent="0.25">
      <c r="A718" s="90" t="s">
        <v>22</v>
      </c>
      <c r="B718" s="90" t="s">
        <v>1064</v>
      </c>
      <c r="C718" s="90">
        <v>2011318</v>
      </c>
      <c r="D718" s="251">
        <v>40756</v>
      </c>
      <c r="E718" s="251" t="s">
        <v>1060</v>
      </c>
      <c r="F718" s="252">
        <v>451.71</v>
      </c>
      <c r="H718"/>
      <c r="I718"/>
      <c r="J718"/>
      <c r="K718"/>
    </row>
    <row r="719" spans="1:11" ht="15" x14ac:dyDescent="0.25">
      <c r="A719" s="90" t="s">
        <v>22</v>
      </c>
      <c r="B719" s="90" t="s">
        <v>1064</v>
      </c>
      <c r="C719" s="90">
        <v>2011319</v>
      </c>
      <c r="D719" s="251">
        <v>40756</v>
      </c>
      <c r="E719" s="251" t="s">
        <v>1059</v>
      </c>
      <c r="F719" s="252">
        <v>474.56</v>
      </c>
      <c r="H719"/>
      <c r="I719"/>
      <c r="J719"/>
      <c r="K719"/>
    </row>
    <row r="720" spans="1:11" ht="15" x14ac:dyDescent="0.25">
      <c r="A720" s="90" t="s">
        <v>20</v>
      </c>
      <c r="B720" s="90" t="s">
        <v>1063</v>
      </c>
      <c r="C720" s="90">
        <v>2011320</v>
      </c>
      <c r="D720" s="251">
        <v>40757</v>
      </c>
      <c r="E720" s="251" t="s">
        <v>1059</v>
      </c>
      <c r="F720" s="252">
        <v>834.48</v>
      </c>
      <c r="H720"/>
      <c r="I720"/>
      <c r="J720"/>
      <c r="K720"/>
    </row>
    <row r="721" spans="1:11" ht="15" x14ac:dyDescent="0.25">
      <c r="A721" s="90" t="s">
        <v>20</v>
      </c>
      <c r="B721" s="90" t="s">
        <v>1065</v>
      </c>
      <c r="C721" s="90">
        <v>2011321</v>
      </c>
      <c r="D721" s="251">
        <v>40759</v>
      </c>
      <c r="E721" s="251" t="s">
        <v>1060</v>
      </c>
      <c r="F721" s="252">
        <v>1065.49</v>
      </c>
      <c r="H721"/>
      <c r="I721"/>
      <c r="J721"/>
      <c r="K721"/>
    </row>
    <row r="722" spans="1:11" ht="15" x14ac:dyDescent="0.25">
      <c r="A722" s="90" t="s">
        <v>20</v>
      </c>
      <c r="B722" s="90" t="s">
        <v>1063</v>
      </c>
      <c r="C722" s="90">
        <v>2011322</v>
      </c>
      <c r="D722" s="251">
        <v>40759</v>
      </c>
      <c r="E722" s="251" t="s">
        <v>1060</v>
      </c>
      <c r="F722" s="252">
        <v>1280.26</v>
      </c>
      <c r="H722"/>
      <c r="I722"/>
      <c r="J722"/>
      <c r="K722"/>
    </row>
    <row r="723" spans="1:11" ht="15" x14ac:dyDescent="0.25">
      <c r="A723" s="90" t="s">
        <v>22</v>
      </c>
      <c r="B723" s="90" t="s">
        <v>1070</v>
      </c>
      <c r="C723" s="90">
        <v>2011323</v>
      </c>
      <c r="D723" s="251">
        <v>40759</v>
      </c>
      <c r="E723" s="251" t="s">
        <v>1060</v>
      </c>
      <c r="F723" s="252">
        <v>390.13</v>
      </c>
      <c r="H723"/>
      <c r="I723"/>
      <c r="J723"/>
      <c r="K723"/>
    </row>
    <row r="724" spans="1:11" ht="15" x14ac:dyDescent="0.25">
      <c r="A724" s="90" t="s">
        <v>22</v>
      </c>
      <c r="B724" s="90" t="s">
        <v>1068</v>
      </c>
      <c r="C724" s="90">
        <v>2011324</v>
      </c>
      <c r="D724" s="251">
        <v>40760</v>
      </c>
      <c r="E724" s="251" t="s">
        <v>1060</v>
      </c>
      <c r="F724" s="252">
        <v>1282.46</v>
      </c>
      <c r="H724"/>
      <c r="I724"/>
      <c r="J724"/>
      <c r="K724"/>
    </row>
    <row r="725" spans="1:11" ht="15" x14ac:dyDescent="0.25">
      <c r="A725" s="90" t="s">
        <v>20</v>
      </c>
      <c r="B725" s="90" t="s">
        <v>1061</v>
      </c>
      <c r="C725" s="90">
        <v>2011325</v>
      </c>
      <c r="D725" s="251">
        <v>40763</v>
      </c>
      <c r="E725" s="251" t="s">
        <v>1060</v>
      </c>
      <c r="F725" s="252">
        <v>1232.07</v>
      </c>
      <c r="H725"/>
      <c r="I725"/>
      <c r="J725"/>
      <c r="K725"/>
    </row>
    <row r="726" spans="1:11" ht="15" x14ac:dyDescent="0.25">
      <c r="A726" s="90" t="s">
        <v>22</v>
      </c>
      <c r="B726" s="90" t="s">
        <v>1067</v>
      </c>
      <c r="C726" s="90">
        <v>2011326</v>
      </c>
      <c r="D726" s="251">
        <v>40763</v>
      </c>
      <c r="E726" s="251" t="s">
        <v>1059</v>
      </c>
      <c r="F726" s="252">
        <v>791.85</v>
      </c>
      <c r="H726"/>
      <c r="I726"/>
      <c r="J726"/>
      <c r="K726"/>
    </row>
    <row r="727" spans="1:11" ht="15" x14ac:dyDescent="0.25">
      <c r="A727" s="90" t="s">
        <v>22</v>
      </c>
      <c r="B727" s="90" t="s">
        <v>1067</v>
      </c>
      <c r="C727" s="90">
        <v>2011327</v>
      </c>
      <c r="D727" s="251">
        <v>40763</v>
      </c>
      <c r="E727" s="251" t="s">
        <v>1059</v>
      </c>
      <c r="F727" s="252">
        <v>214.27</v>
      </c>
      <c r="H727"/>
      <c r="I727"/>
      <c r="J727"/>
      <c r="K727"/>
    </row>
    <row r="728" spans="1:11" ht="15" x14ac:dyDescent="0.25">
      <c r="A728" s="90" t="s">
        <v>22</v>
      </c>
      <c r="B728" s="90" t="s">
        <v>1064</v>
      </c>
      <c r="C728" s="90">
        <v>2011328</v>
      </c>
      <c r="D728" s="251">
        <v>40763</v>
      </c>
      <c r="E728" s="251" t="s">
        <v>1059</v>
      </c>
      <c r="F728" s="252">
        <v>1176.77</v>
      </c>
      <c r="H728"/>
      <c r="I728"/>
      <c r="J728"/>
      <c r="K728"/>
    </row>
    <row r="729" spans="1:11" ht="15" x14ac:dyDescent="0.25">
      <c r="A729" s="90" t="s">
        <v>20</v>
      </c>
      <c r="B729" s="90" t="s">
        <v>1061</v>
      </c>
      <c r="C729" s="90">
        <v>2011329</v>
      </c>
      <c r="D729" s="251">
        <v>40764</v>
      </c>
      <c r="E729" s="251" t="s">
        <v>1059</v>
      </c>
      <c r="F729" s="252">
        <v>380.66</v>
      </c>
      <c r="H729"/>
      <c r="I729"/>
      <c r="J729"/>
      <c r="K729"/>
    </row>
    <row r="730" spans="1:11" ht="15" x14ac:dyDescent="0.25">
      <c r="A730" s="90" t="s">
        <v>20</v>
      </c>
      <c r="B730" s="90" t="s">
        <v>1066</v>
      </c>
      <c r="C730" s="90">
        <v>2011330</v>
      </c>
      <c r="D730" s="251">
        <v>40764</v>
      </c>
      <c r="E730" s="251" t="s">
        <v>1059</v>
      </c>
      <c r="F730" s="252">
        <v>669.56</v>
      </c>
      <c r="H730"/>
      <c r="I730"/>
      <c r="J730"/>
      <c r="K730"/>
    </row>
    <row r="731" spans="1:11" ht="15" x14ac:dyDescent="0.25">
      <c r="A731" s="90" t="s">
        <v>20</v>
      </c>
      <c r="B731" s="90" t="s">
        <v>1066</v>
      </c>
      <c r="C731" s="90">
        <v>2011331</v>
      </c>
      <c r="D731" s="251">
        <v>40765</v>
      </c>
      <c r="E731" s="251" t="s">
        <v>1060</v>
      </c>
      <c r="F731" s="252">
        <v>334.04</v>
      </c>
      <c r="H731"/>
      <c r="I731"/>
      <c r="J731"/>
      <c r="K731"/>
    </row>
    <row r="732" spans="1:11" ht="15" x14ac:dyDescent="0.25">
      <c r="A732" s="90" t="s">
        <v>20</v>
      </c>
      <c r="B732" s="90" t="s">
        <v>1063</v>
      </c>
      <c r="C732" s="90">
        <v>2011332</v>
      </c>
      <c r="D732" s="251">
        <v>40765</v>
      </c>
      <c r="E732" s="251" t="s">
        <v>1059</v>
      </c>
      <c r="F732" s="252">
        <v>373.28</v>
      </c>
      <c r="H732"/>
      <c r="I732"/>
      <c r="J732"/>
      <c r="K732"/>
    </row>
    <row r="733" spans="1:11" ht="15" x14ac:dyDescent="0.25">
      <c r="A733" s="90" t="s">
        <v>22</v>
      </c>
      <c r="B733" s="90" t="s">
        <v>1070</v>
      </c>
      <c r="C733" s="90">
        <v>2011333</v>
      </c>
      <c r="D733" s="251">
        <v>40765</v>
      </c>
      <c r="E733" s="251" t="s">
        <v>1060</v>
      </c>
      <c r="F733" s="252">
        <v>695.76</v>
      </c>
      <c r="H733"/>
      <c r="I733"/>
      <c r="J733"/>
      <c r="K733"/>
    </row>
    <row r="734" spans="1:11" ht="15" x14ac:dyDescent="0.25">
      <c r="A734" s="90" t="s">
        <v>22</v>
      </c>
      <c r="B734" s="90" t="s">
        <v>1070</v>
      </c>
      <c r="C734" s="90">
        <v>2011334</v>
      </c>
      <c r="D734" s="251">
        <v>40765</v>
      </c>
      <c r="E734" s="251" t="s">
        <v>1060</v>
      </c>
      <c r="F734" s="252">
        <v>1105.68</v>
      </c>
      <c r="H734"/>
      <c r="I734"/>
      <c r="J734"/>
      <c r="K734"/>
    </row>
    <row r="735" spans="1:11" ht="15" x14ac:dyDescent="0.25">
      <c r="A735" s="90" t="s">
        <v>22</v>
      </c>
      <c r="B735" s="90" t="s">
        <v>1064</v>
      </c>
      <c r="C735" s="90">
        <v>2011335</v>
      </c>
      <c r="D735" s="251">
        <v>40765</v>
      </c>
      <c r="E735" s="251" t="s">
        <v>1059</v>
      </c>
      <c r="F735" s="252">
        <v>618.19000000000005</v>
      </c>
      <c r="H735"/>
      <c r="I735"/>
      <c r="J735"/>
      <c r="K735"/>
    </row>
    <row r="736" spans="1:11" ht="15" x14ac:dyDescent="0.25">
      <c r="A736" s="90" t="s">
        <v>22</v>
      </c>
      <c r="B736" s="90" t="s">
        <v>1064</v>
      </c>
      <c r="C736" s="90">
        <v>2011336</v>
      </c>
      <c r="D736" s="251">
        <v>40765</v>
      </c>
      <c r="E736" s="251" t="s">
        <v>1059</v>
      </c>
      <c r="F736" s="252">
        <v>604.67999999999995</v>
      </c>
      <c r="H736"/>
      <c r="I736"/>
      <c r="J736"/>
      <c r="K736"/>
    </row>
    <row r="737" spans="1:11" ht="15" x14ac:dyDescent="0.25">
      <c r="A737" s="90" t="s">
        <v>20</v>
      </c>
      <c r="B737" s="90" t="s">
        <v>1065</v>
      </c>
      <c r="C737" s="90">
        <v>2011337</v>
      </c>
      <c r="D737" s="251">
        <v>40766</v>
      </c>
      <c r="E737" s="251" t="s">
        <v>1060</v>
      </c>
      <c r="F737" s="252">
        <v>1033.03</v>
      </c>
      <c r="H737"/>
      <c r="I737"/>
      <c r="J737"/>
      <c r="K737"/>
    </row>
    <row r="738" spans="1:11" ht="15" x14ac:dyDescent="0.25">
      <c r="A738" s="90" t="s">
        <v>20</v>
      </c>
      <c r="B738" s="90" t="s">
        <v>1063</v>
      </c>
      <c r="C738" s="90">
        <v>2011338</v>
      </c>
      <c r="D738" s="251">
        <v>40767</v>
      </c>
      <c r="E738" s="251" t="s">
        <v>1060</v>
      </c>
      <c r="F738" s="252">
        <v>1167.3699999999999</v>
      </c>
      <c r="H738"/>
      <c r="I738"/>
      <c r="J738"/>
      <c r="K738"/>
    </row>
    <row r="739" spans="1:11" ht="15" x14ac:dyDescent="0.25">
      <c r="A739" s="90" t="s">
        <v>20</v>
      </c>
      <c r="B739" s="90" t="s">
        <v>1058</v>
      </c>
      <c r="C739" s="90">
        <v>2011339</v>
      </c>
      <c r="D739" s="251">
        <v>40770</v>
      </c>
      <c r="E739" s="251" t="s">
        <v>1060</v>
      </c>
      <c r="F739" s="252">
        <v>688.98</v>
      </c>
      <c r="H739"/>
      <c r="I739"/>
      <c r="J739"/>
      <c r="K739"/>
    </row>
    <row r="740" spans="1:11" ht="15" x14ac:dyDescent="0.25">
      <c r="A740" s="90" t="s">
        <v>22</v>
      </c>
      <c r="B740" s="90" t="s">
        <v>1070</v>
      </c>
      <c r="C740" s="90">
        <v>2011340</v>
      </c>
      <c r="D740" s="251">
        <v>40770</v>
      </c>
      <c r="E740" s="251" t="s">
        <v>1060</v>
      </c>
      <c r="F740" s="252">
        <v>845.73</v>
      </c>
      <c r="H740"/>
      <c r="I740"/>
      <c r="J740"/>
      <c r="K740"/>
    </row>
    <row r="741" spans="1:11" ht="15" x14ac:dyDescent="0.25">
      <c r="A741" s="90" t="s">
        <v>20</v>
      </c>
      <c r="B741" s="90" t="s">
        <v>1066</v>
      </c>
      <c r="C741" s="90">
        <v>2011341</v>
      </c>
      <c r="D741" s="251">
        <v>40771</v>
      </c>
      <c r="E741" s="251" t="s">
        <v>1060</v>
      </c>
      <c r="F741" s="252">
        <v>1011.01</v>
      </c>
      <c r="H741"/>
      <c r="I741"/>
      <c r="J741"/>
      <c r="K741"/>
    </row>
    <row r="742" spans="1:11" ht="15" x14ac:dyDescent="0.25">
      <c r="A742" s="90" t="s">
        <v>20</v>
      </c>
      <c r="B742" s="90" t="s">
        <v>1058</v>
      </c>
      <c r="C742" s="90">
        <v>2011342</v>
      </c>
      <c r="D742" s="251">
        <v>40771</v>
      </c>
      <c r="E742" s="251" t="s">
        <v>1059</v>
      </c>
      <c r="F742" s="252">
        <v>119.85</v>
      </c>
      <c r="H742"/>
      <c r="I742"/>
      <c r="J742"/>
      <c r="K742"/>
    </row>
    <row r="743" spans="1:11" ht="15" x14ac:dyDescent="0.25">
      <c r="A743" s="90" t="s">
        <v>20</v>
      </c>
      <c r="B743" s="90" t="s">
        <v>1065</v>
      </c>
      <c r="C743" s="90">
        <v>2011343</v>
      </c>
      <c r="D743" s="251">
        <v>40772</v>
      </c>
      <c r="E743" s="251" t="s">
        <v>1060</v>
      </c>
      <c r="F743" s="252">
        <v>606.36</v>
      </c>
      <c r="H743"/>
      <c r="I743"/>
      <c r="J743"/>
      <c r="K743"/>
    </row>
    <row r="744" spans="1:11" ht="15" x14ac:dyDescent="0.25">
      <c r="A744" s="90" t="s">
        <v>22</v>
      </c>
      <c r="B744" s="90" t="s">
        <v>1069</v>
      </c>
      <c r="C744" s="90">
        <v>2011344</v>
      </c>
      <c r="D744" s="251">
        <v>40772</v>
      </c>
      <c r="E744" s="251" t="s">
        <v>1059</v>
      </c>
      <c r="F744" s="252">
        <v>608.88</v>
      </c>
      <c r="H744"/>
      <c r="I744"/>
      <c r="J744"/>
      <c r="K744"/>
    </row>
    <row r="745" spans="1:11" ht="15" x14ac:dyDescent="0.25">
      <c r="A745" s="90" t="s">
        <v>22</v>
      </c>
      <c r="B745" s="90" t="s">
        <v>1069</v>
      </c>
      <c r="C745" s="90">
        <v>2011345</v>
      </c>
      <c r="D745" s="251">
        <v>40773</v>
      </c>
      <c r="E745" s="251" t="s">
        <v>1060</v>
      </c>
      <c r="F745" s="252">
        <v>1047.7</v>
      </c>
      <c r="H745"/>
      <c r="I745"/>
      <c r="J745"/>
      <c r="K745"/>
    </row>
    <row r="746" spans="1:11" ht="15" x14ac:dyDescent="0.25">
      <c r="A746" s="90" t="s">
        <v>22</v>
      </c>
      <c r="B746" s="90" t="s">
        <v>1062</v>
      </c>
      <c r="C746" s="90">
        <v>2011346</v>
      </c>
      <c r="D746" s="251">
        <v>40773</v>
      </c>
      <c r="E746" s="251" t="s">
        <v>1060</v>
      </c>
      <c r="F746" s="252">
        <v>767.22</v>
      </c>
      <c r="H746"/>
      <c r="I746"/>
      <c r="J746"/>
      <c r="K746"/>
    </row>
    <row r="747" spans="1:11" ht="15" x14ac:dyDescent="0.25">
      <c r="A747" s="90" t="s">
        <v>20</v>
      </c>
      <c r="B747" s="90" t="s">
        <v>1058</v>
      </c>
      <c r="C747" s="90">
        <v>2011347</v>
      </c>
      <c r="D747" s="251">
        <v>40774</v>
      </c>
      <c r="E747" s="251" t="s">
        <v>1060</v>
      </c>
      <c r="F747" s="252">
        <v>1103.26</v>
      </c>
      <c r="H747"/>
      <c r="I747"/>
      <c r="J747"/>
      <c r="K747"/>
    </row>
    <row r="748" spans="1:11" ht="15" x14ac:dyDescent="0.25">
      <c r="A748" s="90" t="s">
        <v>22</v>
      </c>
      <c r="B748" s="90" t="s">
        <v>1069</v>
      </c>
      <c r="C748" s="90">
        <v>2011348</v>
      </c>
      <c r="D748" s="251">
        <v>40774</v>
      </c>
      <c r="E748" s="251" t="s">
        <v>1059</v>
      </c>
      <c r="F748" s="252">
        <v>1158.23</v>
      </c>
      <c r="H748"/>
      <c r="I748"/>
      <c r="J748"/>
      <c r="K748"/>
    </row>
    <row r="749" spans="1:11" ht="15" x14ac:dyDescent="0.25">
      <c r="A749" s="90" t="s">
        <v>20</v>
      </c>
      <c r="B749" s="90" t="s">
        <v>1061</v>
      </c>
      <c r="C749" s="90">
        <v>2011349</v>
      </c>
      <c r="D749" s="251">
        <v>40777</v>
      </c>
      <c r="E749" s="251" t="s">
        <v>1060</v>
      </c>
      <c r="F749" s="252">
        <v>672</v>
      </c>
      <c r="H749"/>
      <c r="I749"/>
      <c r="J749"/>
      <c r="K749"/>
    </row>
    <row r="750" spans="1:11" ht="15" x14ac:dyDescent="0.25">
      <c r="A750" s="90" t="s">
        <v>20</v>
      </c>
      <c r="B750" s="90" t="s">
        <v>1065</v>
      </c>
      <c r="C750" s="90">
        <v>2011350</v>
      </c>
      <c r="D750" s="251">
        <v>40777</v>
      </c>
      <c r="E750" s="251" t="s">
        <v>1059</v>
      </c>
      <c r="F750" s="252">
        <v>127.61</v>
      </c>
      <c r="H750"/>
      <c r="I750"/>
      <c r="J750"/>
      <c r="K750"/>
    </row>
    <row r="751" spans="1:11" ht="15" x14ac:dyDescent="0.25">
      <c r="A751" s="90" t="s">
        <v>20</v>
      </c>
      <c r="B751" s="90" t="s">
        <v>1065</v>
      </c>
      <c r="C751" s="90">
        <v>2011351</v>
      </c>
      <c r="D751" s="251">
        <v>40778</v>
      </c>
      <c r="E751" s="251" t="s">
        <v>1060</v>
      </c>
      <c r="F751" s="252">
        <v>330.35</v>
      </c>
      <c r="H751"/>
      <c r="I751"/>
      <c r="J751"/>
      <c r="K751"/>
    </row>
    <row r="752" spans="1:11" ht="15" x14ac:dyDescent="0.25">
      <c r="A752" s="90" t="s">
        <v>20</v>
      </c>
      <c r="B752" s="90" t="s">
        <v>1065</v>
      </c>
      <c r="C752" s="90">
        <v>2011352</v>
      </c>
      <c r="D752" s="251">
        <v>40778</v>
      </c>
      <c r="E752" s="251" t="s">
        <v>1060</v>
      </c>
      <c r="F752" s="252">
        <v>328.87</v>
      </c>
      <c r="H752"/>
      <c r="I752"/>
      <c r="J752"/>
      <c r="K752"/>
    </row>
    <row r="753" spans="1:11" ht="15" x14ac:dyDescent="0.25">
      <c r="A753" s="90" t="s">
        <v>20</v>
      </c>
      <c r="B753" s="90" t="s">
        <v>1066</v>
      </c>
      <c r="C753" s="90">
        <v>2011353</v>
      </c>
      <c r="D753" s="251">
        <v>40779</v>
      </c>
      <c r="E753" s="251" t="s">
        <v>1060</v>
      </c>
      <c r="F753" s="252">
        <v>43.42</v>
      </c>
      <c r="H753"/>
      <c r="I753"/>
      <c r="J753"/>
      <c r="K753"/>
    </row>
    <row r="754" spans="1:11" ht="15" x14ac:dyDescent="0.25">
      <c r="A754" s="90" t="s">
        <v>20</v>
      </c>
      <c r="B754" s="90" t="s">
        <v>1058</v>
      </c>
      <c r="C754" s="90">
        <v>2011354</v>
      </c>
      <c r="D754" s="251">
        <v>40779</v>
      </c>
      <c r="E754" s="251" t="s">
        <v>1059</v>
      </c>
      <c r="F754" s="252">
        <v>504.4</v>
      </c>
      <c r="H754"/>
      <c r="I754"/>
      <c r="J754"/>
      <c r="K754"/>
    </row>
    <row r="755" spans="1:11" ht="15" x14ac:dyDescent="0.25">
      <c r="A755" s="90" t="s">
        <v>20</v>
      </c>
      <c r="B755" s="90" t="s">
        <v>1063</v>
      </c>
      <c r="C755" s="90">
        <v>2011355</v>
      </c>
      <c r="D755" s="251">
        <v>40779</v>
      </c>
      <c r="E755" s="251" t="s">
        <v>1060</v>
      </c>
      <c r="F755" s="252">
        <v>953.56</v>
      </c>
      <c r="H755"/>
      <c r="I755"/>
      <c r="J755"/>
      <c r="K755"/>
    </row>
    <row r="756" spans="1:11" ht="15" x14ac:dyDescent="0.25">
      <c r="A756" s="90" t="s">
        <v>20</v>
      </c>
      <c r="B756" s="90" t="s">
        <v>1061</v>
      </c>
      <c r="C756" s="90">
        <v>2011356</v>
      </c>
      <c r="D756" s="251">
        <v>40780</v>
      </c>
      <c r="E756" s="251" t="s">
        <v>1059</v>
      </c>
      <c r="F756" s="252">
        <v>154.04</v>
      </c>
      <c r="H756"/>
      <c r="I756"/>
      <c r="J756"/>
      <c r="K756"/>
    </row>
    <row r="757" spans="1:11" ht="15" x14ac:dyDescent="0.25">
      <c r="A757" s="90" t="s">
        <v>20</v>
      </c>
      <c r="B757" s="90" t="s">
        <v>1066</v>
      </c>
      <c r="C757" s="90">
        <v>2011357</v>
      </c>
      <c r="D757" s="251">
        <v>40781</v>
      </c>
      <c r="E757" s="251" t="s">
        <v>1060</v>
      </c>
      <c r="F757" s="252">
        <v>453.71</v>
      </c>
      <c r="H757"/>
      <c r="I757"/>
      <c r="J757"/>
      <c r="K757"/>
    </row>
    <row r="758" spans="1:11" ht="15" x14ac:dyDescent="0.25">
      <c r="A758" s="90" t="s">
        <v>20</v>
      </c>
      <c r="B758" s="90" t="s">
        <v>1066</v>
      </c>
      <c r="C758" s="90">
        <v>2011358</v>
      </c>
      <c r="D758" s="251">
        <v>40785</v>
      </c>
      <c r="E758" s="251" t="s">
        <v>1059</v>
      </c>
      <c r="F758" s="252">
        <v>467.04</v>
      </c>
      <c r="H758"/>
      <c r="I758"/>
      <c r="J758"/>
      <c r="K758"/>
    </row>
    <row r="759" spans="1:11" ht="15" x14ac:dyDescent="0.25">
      <c r="A759" s="90" t="s">
        <v>22</v>
      </c>
      <c r="B759" s="90" t="s">
        <v>1067</v>
      </c>
      <c r="C759" s="90">
        <v>2011359</v>
      </c>
      <c r="D759" s="251">
        <v>40785</v>
      </c>
      <c r="E759" s="251" t="s">
        <v>1060</v>
      </c>
      <c r="F759" s="252">
        <v>553.04999999999995</v>
      </c>
      <c r="H759"/>
      <c r="I759"/>
      <c r="J759"/>
      <c r="K759"/>
    </row>
    <row r="760" spans="1:11" ht="15" x14ac:dyDescent="0.25">
      <c r="A760" s="90" t="s">
        <v>20</v>
      </c>
      <c r="B760" s="90" t="s">
        <v>1058</v>
      </c>
      <c r="C760" s="90">
        <v>2011360</v>
      </c>
      <c r="D760" s="251">
        <v>40786</v>
      </c>
      <c r="E760" s="251" t="s">
        <v>1060</v>
      </c>
      <c r="F760" s="252">
        <v>947.29</v>
      </c>
      <c r="H760"/>
      <c r="I760"/>
      <c r="J760"/>
      <c r="K760"/>
    </row>
    <row r="761" spans="1:11" ht="15" x14ac:dyDescent="0.25">
      <c r="A761" s="90" t="s">
        <v>20</v>
      </c>
      <c r="B761" s="90" t="s">
        <v>1066</v>
      </c>
      <c r="C761" s="90">
        <v>2011361</v>
      </c>
      <c r="D761" s="251">
        <v>40787</v>
      </c>
      <c r="E761" s="251" t="s">
        <v>1059</v>
      </c>
      <c r="F761" s="252">
        <v>635.67999999999995</v>
      </c>
      <c r="H761"/>
      <c r="I761"/>
      <c r="J761"/>
      <c r="K761"/>
    </row>
    <row r="762" spans="1:11" ht="15" x14ac:dyDescent="0.25">
      <c r="A762" s="90" t="s">
        <v>22</v>
      </c>
      <c r="B762" s="90" t="s">
        <v>1064</v>
      </c>
      <c r="C762" s="90">
        <v>2011362</v>
      </c>
      <c r="D762" s="251">
        <v>40787</v>
      </c>
      <c r="E762" s="251" t="s">
        <v>1060</v>
      </c>
      <c r="F762" s="252">
        <v>691.54</v>
      </c>
      <c r="H762"/>
      <c r="I762"/>
      <c r="J762"/>
      <c r="K762"/>
    </row>
    <row r="763" spans="1:11" ht="15" x14ac:dyDescent="0.25">
      <c r="A763" s="90" t="s">
        <v>20</v>
      </c>
      <c r="B763" s="90" t="s">
        <v>1066</v>
      </c>
      <c r="C763" s="90">
        <v>2011363</v>
      </c>
      <c r="D763" s="251">
        <v>40788</v>
      </c>
      <c r="E763" s="251" t="s">
        <v>1060</v>
      </c>
      <c r="F763" s="252">
        <v>454.46</v>
      </c>
      <c r="H763"/>
      <c r="I763"/>
      <c r="J763"/>
      <c r="K763"/>
    </row>
    <row r="764" spans="1:11" ht="15" x14ac:dyDescent="0.25">
      <c r="A764" s="90" t="s">
        <v>22</v>
      </c>
      <c r="B764" s="90" t="s">
        <v>1067</v>
      </c>
      <c r="C764" s="90">
        <v>2011364</v>
      </c>
      <c r="D764" s="251">
        <v>40788</v>
      </c>
      <c r="E764" s="251" t="s">
        <v>1059</v>
      </c>
      <c r="F764" s="252">
        <v>25.71</v>
      </c>
      <c r="H764"/>
      <c r="I764"/>
      <c r="J764"/>
      <c r="K764"/>
    </row>
    <row r="765" spans="1:11" ht="15" x14ac:dyDescent="0.25">
      <c r="A765" s="90" t="s">
        <v>20</v>
      </c>
      <c r="B765" s="90" t="s">
        <v>1058</v>
      </c>
      <c r="C765" s="90">
        <v>2011365</v>
      </c>
      <c r="D765" s="251">
        <v>40791</v>
      </c>
      <c r="E765" s="251" t="s">
        <v>1059</v>
      </c>
      <c r="F765" s="252">
        <v>363.86</v>
      </c>
      <c r="H765"/>
      <c r="I765"/>
      <c r="J765"/>
      <c r="K765"/>
    </row>
    <row r="766" spans="1:11" ht="15" x14ac:dyDescent="0.25">
      <c r="A766" s="90" t="s">
        <v>22</v>
      </c>
      <c r="B766" s="90" t="s">
        <v>1068</v>
      </c>
      <c r="C766" s="90">
        <v>2011366</v>
      </c>
      <c r="D766" s="251">
        <v>40791</v>
      </c>
      <c r="E766" s="251" t="s">
        <v>1059</v>
      </c>
      <c r="F766" s="252">
        <v>178.05</v>
      </c>
      <c r="H766"/>
      <c r="I766"/>
      <c r="J766"/>
      <c r="K766"/>
    </row>
    <row r="767" spans="1:11" ht="15" x14ac:dyDescent="0.25">
      <c r="A767" s="90" t="s">
        <v>22</v>
      </c>
      <c r="B767" s="90" t="s">
        <v>1068</v>
      </c>
      <c r="C767" s="90">
        <v>2011367</v>
      </c>
      <c r="D767" s="251">
        <v>40791</v>
      </c>
      <c r="E767" s="251" t="s">
        <v>1059</v>
      </c>
      <c r="F767" s="252">
        <v>1012.12</v>
      </c>
      <c r="H767"/>
      <c r="I767"/>
      <c r="J767"/>
      <c r="K767"/>
    </row>
    <row r="768" spans="1:11" ht="15" x14ac:dyDescent="0.25">
      <c r="A768" s="90" t="s">
        <v>20</v>
      </c>
      <c r="B768" s="90" t="s">
        <v>1061</v>
      </c>
      <c r="C768" s="90">
        <v>2011368</v>
      </c>
      <c r="D768" s="251">
        <v>40792</v>
      </c>
      <c r="E768" s="251" t="s">
        <v>1060</v>
      </c>
      <c r="F768" s="252">
        <v>24.56</v>
      </c>
      <c r="H768"/>
      <c r="I768"/>
      <c r="J768"/>
      <c r="K768"/>
    </row>
    <row r="769" spans="1:11" ht="15" x14ac:dyDescent="0.25">
      <c r="A769" s="90" t="s">
        <v>20</v>
      </c>
      <c r="B769" s="90" t="s">
        <v>1063</v>
      </c>
      <c r="C769" s="90">
        <v>2011369</v>
      </c>
      <c r="D769" s="251">
        <v>40792</v>
      </c>
      <c r="E769" s="251" t="s">
        <v>1060</v>
      </c>
      <c r="F769" s="252">
        <v>1205.32</v>
      </c>
      <c r="H769"/>
      <c r="I769"/>
      <c r="J769"/>
      <c r="K769"/>
    </row>
    <row r="770" spans="1:11" ht="15" x14ac:dyDescent="0.25">
      <c r="A770" s="90" t="s">
        <v>20</v>
      </c>
      <c r="B770" s="90" t="s">
        <v>1063</v>
      </c>
      <c r="C770" s="90">
        <v>2011370</v>
      </c>
      <c r="D770" s="251">
        <v>40793</v>
      </c>
      <c r="E770" s="251" t="s">
        <v>1059</v>
      </c>
      <c r="F770" s="252">
        <v>576.61</v>
      </c>
      <c r="H770"/>
      <c r="I770"/>
      <c r="J770"/>
      <c r="K770"/>
    </row>
    <row r="771" spans="1:11" ht="15" x14ac:dyDescent="0.25">
      <c r="A771" s="90" t="s">
        <v>20</v>
      </c>
      <c r="B771" s="90" t="s">
        <v>1063</v>
      </c>
      <c r="C771" s="90">
        <v>2011371</v>
      </c>
      <c r="D771" s="251">
        <v>40793</v>
      </c>
      <c r="E771" s="251" t="s">
        <v>1059</v>
      </c>
      <c r="F771" s="252">
        <v>1020.32</v>
      </c>
      <c r="H771"/>
      <c r="I771"/>
      <c r="J771"/>
      <c r="K771"/>
    </row>
    <row r="772" spans="1:11" ht="15" x14ac:dyDescent="0.25">
      <c r="A772" s="90" t="s">
        <v>22</v>
      </c>
      <c r="B772" s="90" t="s">
        <v>1069</v>
      </c>
      <c r="C772" s="90">
        <v>2011372</v>
      </c>
      <c r="D772" s="251">
        <v>40793</v>
      </c>
      <c r="E772" s="251" t="s">
        <v>1059</v>
      </c>
      <c r="F772" s="252">
        <v>331.95</v>
      </c>
      <c r="H772"/>
      <c r="I772"/>
      <c r="J772"/>
      <c r="K772"/>
    </row>
    <row r="773" spans="1:11" ht="15" x14ac:dyDescent="0.25">
      <c r="A773" s="90" t="s">
        <v>20</v>
      </c>
      <c r="B773" s="90" t="s">
        <v>1063</v>
      </c>
      <c r="C773" s="90">
        <v>2011373</v>
      </c>
      <c r="D773" s="251">
        <v>40794</v>
      </c>
      <c r="E773" s="251" t="s">
        <v>1059</v>
      </c>
      <c r="F773" s="252">
        <v>209.62</v>
      </c>
      <c r="H773"/>
      <c r="I773"/>
      <c r="J773"/>
      <c r="K773"/>
    </row>
    <row r="774" spans="1:11" ht="15" x14ac:dyDescent="0.25">
      <c r="A774" s="90" t="s">
        <v>20</v>
      </c>
      <c r="B774" s="90" t="s">
        <v>1063</v>
      </c>
      <c r="C774" s="90">
        <v>2011374</v>
      </c>
      <c r="D774" s="251">
        <v>40794</v>
      </c>
      <c r="E774" s="251" t="s">
        <v>1060</v>
      </c>
      <c r="F774" s="252">
        <v>392.43</v>
      </c>
      <c r="H774"/>
      <c r="I774"/>
      <c r="J774"/>
      <c r="K774"/>
    </row>
    <row r="775" spans="1:11" ht="15" x14ac:dyDescent="0.25">
      <c r="A775" s="90" t="s">
        <v>20</v>
      </c>
      <c r="B775" s="90" t="s">
        <v>1066</v>
      </c>
      <c r="C775" s="90">
        <v>2011375</v>
      </c>
      <c r="D775" s="251">
        <v>40798</v>
      </c>
      <c r="E775" s="251" t="s">
        <v>1059</v>
      </c>
      <c r="F775" s="252">
        <v>1148.97</v>
      </c>
      <c r="H775"/>
      <c r="I775"/>
      <c r="J775"/>
      <c r="K775"/>
    </row>
    <row r="776" spans="1:11" ht="15" x14ac:dyDescent="0.25">
      <c r="A776" s="90" t="s">
        <v>20</v>
      </c>
      <c r="B776" s="90" t="s">
        <v>1066</v>
      </c>
      <c r="C776" s="90">
        <v>2011376</v>
      </c>
      <c r="D776" s="251">
        <v>40798</v>
      </c>
      <c r="E776" s="251" t="s">
        <v>1060</v>
      </c>
      <c r="F776" s="252">
        <v>1221.55</v>
      </c>
      <c r="H776"/>
      <c r="I776"/>
      <c r="J776"/>
      <c r="K776"/>
    </row>
    <row r="777" spans="1:11" ht="15" x14ac:dyDescent="0.25">
      <c r="A777" s="90" t="s">
        <v>20</v>
      </c>
      <c r="B777" s="90" t="s">
        <v>1058</v>
      </c>
      <c r="C777" s="90">
        <v>2011377</v>
      </c>
      <c r="D777" s="251">
        <v>40798</v>
      </c>
      <c r="E777" s="251" t="s">
        <v>1059</v>
      </c>
      <c r="F777" s="252">
        <v>518.96</v>
      </c>
      <c r="H777"/>
      <c r="I777"/>
      <c r="J777"/>
      <c r="K777"/>
    </row>
    <row r="778" spans="1:11" ht="15" x14ac:dyDescent="0.25">
      <c r="A778" s="90" t="s">
        <v>20</v>
      </c>
      <c r="B778" s="90" t="s">
        <v>1061</v>
      </c>
      <c r="C778" s="90">
        <v>2011378</v>
      </c>
      <c r="D778" s="251">
        <v>40799</v>
      </c>
      <c r="E778" s="251" t="s">
        <v>1060</v>
      </c>
      <c r="F778" s="252">
        <v>842.95</v>
      </c>
      <c r="H778"/>
      <c r="I778"/>
      <c r="J778"/>
      <c r="K778"/>
    </row>
    <row r="779" spans="1:11" ht="15" x14ac:dyDescent="0.25">
      <c r="A779" s="90" t="s">
        <v>20</v>
      </c>
      <c r="B779" s="90" t="s">
        <v>1063</v>
      </c>
      <c r="C779" s="90">
        <v>2011379</v>
      </c>
      <c r="D779" s="251">
        <v>40799</v>
      </c>
      <c r="E779" s="251" t="s">
        <v>1059</v>
      </c>
      <c r="F779" s="252">
        <v>619.38</v>
      </c>
      <c r="H779"/>
      <c r="I779"/>
      <c r="J779"/>
      <c r="K779"/>
    </row>
    <row r="780" spans="1:11" ht="15" x14ac:dyDescent="0.25">
      <c r="A780" s="90" t="s">
        <v>22</v>
      </c>
      <c r="B780" s="90" t="s">
        <v>1070</v>
      </c>
      <c r="C780" s="90">
        <v>2011380</v>
      </c>
      <c r="D780" s="251">
        <v>40799</v>
      </c>
      <c r="E780" s="251" t="s">
        <v>1060</v>
      </c>
      <c r="F780" s="252">
        <v>184.42</v>
      </c>
      <c r="H780"/>
      <c r="I780"/>
      <c r="J780"/>
      <c r="K780"/>
    </row>
    <row r="781" spans="1:11" ht="15" x14ac:dyDescent="0.25">
      <c r="A781" s="90" t="s">
        <v>22</v>
      </c>
      <c r="B781" s="90" t="s">
        <v>1069</v>
      </c>
      <c r="C781" s="90">
        <v>2011381</v>
      </c>
      <c r="D781" s="251">
        <v>40799</v>
      </c>
      <c r="E781" s="251" t="s">
        <v>1060</v>
      </c>
      <c r="F781" s="252">
        <v>394.09</v>
      </c>
      <c r="H781"/>
      <c r="I781"/>
      <c r="J781"/>
      <c r="K781"/>
    </row>
    <row r="782" spans="1:11" ht="15" x14ac:dyDescent="0.25">
      <c r="A782" s="90" t="s">
        <v>20</v>
      </c>
      <c r="B782" s="90" t="s">
        <v>1065</v>
      </c>
      <c r="C782" s="90">
        <v>2011382</v>
      </c>
      <c r="D782" s="251">
        <v>40800</v>
      </c>
      <c r="E782" s="251" t="s">
        <v>1059</v>
      </c>
      <c r="F782" s="252">
        <v>957.42</v>
      </c>
      <c r="H782"/>
      <c r="I782"/>
      <c r="J782"/>
      <c r="K782"/>
    </row>
    <row r="783" spans="1:11" ht="15" x14ac:dyDescent="0.25">
      <c r="A783" s="90" t="s">
        <v>20</v>
      </c>
      <c r="B783" s="90" t="s">
        <v>1065</v>
      </c>
      <c r="C783" s="90">
        <v>2011383</v>
      </c>
      <c r="D783" s="251">
        <v>40800</v>
      </c>
      <c r="E783" s="251" t="s">
        <v>1060</v>
      </c>
      <c r="F783" s="252">
        <v>778.1</v>
      </c>
      <c r="H783"/>
      <c r="I783"/>
      <c r="J783"/>
      <c r="K783"/>
    </row>
    <row r="784" spans="1:11" ht="15" x14ac:dyDescent="0.25">
      <c r="A784" s="90" t="s">
        <v>20</v>
      </c>
      <c r="B784" s="90" t="s">
        <v>1063</v>
      </c>
      <c r="C784" s="90">
        <v>2011384</v>
      </c>
      <c r="D784" s="251">
        <v>40800</v>
      </c>
      <c r="E784" s="251" t="s">
        <v>1059</v>
      </c>
      <c r="F784" s="252">
        <v>345.72</v>
      </c>
      <c r="H784"/>
      <c r="I784"/>
      <c r="J784"/>
      <c r="K784"/>
    </row>
    <row r="785" spans="1:11" ht="15" x14ac:dyDescent="0.25">
      <c r="A785" s="90" t="s">
        <v>22</v>
      </c>
      <c r="B785" s="90" t="s">
        <v>1068</v>
      </c>
      <c r="C785" s="90">
        <v>2011385</v>
      </c>
      <c r="D785" s="251">
        <v>40800</v>
      </c>
      <c r="E785" s="251" t="s">
        <v>1059</v>
      </c>
      <c r="F785" s="252">
        <v>1178.3900000000001</v>
      </c>
      <c r="H785"/>
      <c r="I785"/>
      <c r="J785"/>
      <c r="K785"/>
    </row>
    <row r="786" spans="1:11" ht="15" x14ac:dyDescent="0.25">
      <c r="A786" s="90" t="s">
        <v>20</v>
      </c>
      <c r="B786" s="90" t="s">
        <v>1065</v>
      </c>
      <c r="C786" s="90">
        <v>2011386</v>
      </c>
      <c r="D786" s="251">
        <v>40806</v>
      </c>
      <c r="E786" s="251" t="s">
        <v>1060</v>
      </c>
      <c r="F786" s="252">
        <v>985.35</v>
      </c>
      <c r="H786"/>
      <c r="I786"/>
      <c r="J786"/>
      <c r="K786"/>
    </row>
    <row r="787" spans="1:11" ht="15" x14ac:dyDescent="0.25">
      <c r="A787" s="90" t="s">
        <v>20</v>
      </c>
      <c r="B787" s="90" t="s">
        <v>1063</v>
      </c>
      <c r="C787" s="90">
        <v>2011387</v>
      </c>
      <c r="D787" s="251">
        <v>40807</v>
      </c>
      <c r="E787" s="251" t="s">
        <v>1060</v>
      </c>
      <c r="F787" s="252">
        <v>675.29</v>
      </c>
      <c r="H787"/>
      <c r="I787"/>
      <c r="J787"/>
      <c r="K787"/>
    </row>
    <row r="788" spans="1:11" ht="15" x14ac:dyDescent="0.25">
      <c r="A788" s="90" t="s">
        <v>20</v>
      </c>
      <c r="B788" s="90" t="s">
        <v>1058</v>
      </c>
      <c r="C788" s="90">
        <v>2011388</v>
      </c>
      <c r="D788" s="251">
        <v>40808</v>
      </c>
      <c r="E788" s="251" t="s">
        <v>1060</v>
      </c>
      <c r="F788" s="252">
        <v>757.74</v>
      </c>
      <c r="H788"/>
      <c r="I788"/>
      <c r="J788"/>
      <c r="K788"/>
    </row>
    <row r="789" spans="1:11" ht="15" x14ac:dyDescent="0.25">
      <c r="A789" s="90" t="s">
        <v>22</v>
      </c>
      <c r="B789" s="90" t="s">
        <v>1062</v>
      </c>
      <c r="C789" s="90">
        <v>2011389</v>
      </c>
      <c r="D789" s="251">
        <v>40809</v>
      </c>
      <c r="E789" s="251" t="s">
        <v>1059</v>
      </c>
      <c r="F789" s="252">
        <v>674.51</v>
      </c>
      <c r="H789"/>
      <c r="I789"/>
      <c r="J789"/>
      <c r="K789"/>
    </row>
    <row r="790" spans="1:11" ht="15" x14ac:dyDescent="0.25">
      <c r="A790" s="90" t="s">
        <v>20</v>
      </c>
      <c r="B790" s="90" t="s">
        <v>1063</v>
      </c>
      <c r="C790" s="90">
        <v>2011390</v>
      </c>
      <c r="D790" s="251">
        <v>40812</v>
      </c>
      <c r="E790" s="251" t="s">
        <v>1059</v>
      </c>
      <c r="F790" s="252">
        <v>395</v>
      </c>
      <c r="H790"/>
      <c r="I790"/>
      <c r="J790"/>
      <c r="K790"/>
    </row>
    <row r="791" spans="1:11" ht="15" x14ac:dyDescent="0.25">
      <c r="A791" s="90" t="s">
        <v>20</v>
      </c>
      <c r="B791" s="90" t="s">
        <v>1061</v>
      </c>
      <c r="C791" s="90">
        <v>2011391</v>
      </c>
      <c r="D791" s="251">
        <v>40813</v>
      </c>
      <c r="E791" s="251" t="s">
        <v>1060</v>
      </c>
      <c r="F791" s="252">
        <v>40.67</v>
      </c>
      <c r="H791"/>
      <c r="I791"/>
      <c r="J791"/>
      <c r="K791"/>
    </row>
    <row r="792" spans="1:11" ht="15" x14ac:dyDescent="0.25">
      <c r="A792" s="90" t="s">
        <v>22</v>
      </c>
      <c r="B792" s="90" t="s">
        <v>1068</v>
      </c>
      <c r="C792" s="90">
        <v>2011392</v>
      </c>
      <c r="D792" s="251">
        <v>40813</v>
      </c>
      <c r="E792" s="251" t="s">
        <v>1060</v>
      </c>
      <c r="F792" s="252">
        <v>476.27</v>
      </c>
      <c r="H792"/>
      <c r="I792"/>
      <c r="J792"/>
      <c r="K792"/>
    </row>
    <row r="793" spans="1:11" ht="15" x14ac:dyDescent="0.25">
      <c r="A793" s="90" t="s">
        <v>20</v>
      </c>
      <c r="B793" s="90" t="s">
        <v>1058</v>
      </c>
      <c r="C793" s="90">
        <v>2011393</v>
      </c>
      <c r="D793" s="251">
        <v>40814</v>
      </c>
      <c r="E793" s="251" t="s">
        <v>1059</v>
      </c>
      <c r="F793" s="252">
        <v>481.17</v>
      </c>
      <c r="H793"/>
      <c r="I793"/>
      <c r="J793"/>
      <c r="K793"/>
    </row>
    <row r="794" spans="1:11" ht="15" x14ac:dyDescent="0.25">
      <c r="A794" s="90" t="s">
        <v>20</v>
      </c>
      <c r="B794" s="90" t="s">
        <v>1065</v>
      </c>
      <c r="C794" s="90">
        <v>2011394</v>
      </c>
      <c r="D794" s="251">
        <v>40815</v>
      </c>
      <c r="E794" s="251" t="s">
        <v>1059</v>
      </c>
      <c r="F794" s="252">
        <v>526.57000000000005</v>
      </c>
      <c r="H794"/>
      <c r="I794"/>
      <c r="J794"/>
      <c r="K794"/>
    </row>
    <row r="795" spans="1:11" ht="15" x14ac:dyDescent="0.25">
      <c r="A795" s="90" t="s">
        <v>20</v>
      </c>
      <c r="B795" s="90" t="s">
        <v>1063</v>
      </c>
      <c r="C795" s="90">
        <v>2011395</v>
      </c>
      <c r="D795" s="251">
        <v>40815</v>
      </c>
      <c r="E795" s="251" t="s">
        <v>1059</v>
      </c>
      <c r="F795" s="252">
        <v>1124.55</v>
      </c>
      <c r="H795"/>
      <c r="I795"/>
      <c r="J795"/>
      <c r="K795"/>
    </row>
    <row r="796" spans="1:11" ht="15" x14ac:dyDescent="0.25">
      <c r="A796" s="90" t="s">
        <v>22</v>
      </c>
      <c r="B796" s="90" t="s">
        <v>1069</v>
      </c>
      <c r="C796" s="90">
        <v>2011396</v>
      </c>
      <c r="D796" s="251">
        <v>40815</v>
      </c>
      <c r="E796" s="251" t="s">
        <v>1059</v>
      </c>
      <c r="F796" s="252">
        <v>1090.49</v>
      </c>
      <c r="H796"/>
      <c r="I796"/>
      <c r="J796"/>
      <c r="K796"/>
    </row>
    <row r="797" spans="1:11" ht="15" x14ac:dyDescent="0.25">
      <c r="A797" s="90" t="s">
        <v>20</v>
      </c>
      <c r="B797" s="90" t="s">
        <v>1061</v>
      </c>
      <c r="C797" s="90">
        <v>2011397</v>
      </c>
      <c r="D797" s="251">
        <v>40816</v>
      </c>
      <c r="E797" s="251" t="s">
        <v>1060</v>
      </c>
      <c r="F797" s="252">
        <v>666.99</v>
      </c>
      <c r="H797"/>
      <c r="I797"/>
      <c r="J797"/>
      <c r="K797"/>
    </row>
    <row r="798" spans="1:11" ht="15" x14ac:dyDescent="0.25">
      <c r="A798" s="90" t="s">
        <v>22</v>
      </c>
      <c r="B798" s="90" t="s">
        <v>1069</v>
      </c>
      <c r="C798" s="90">
        <v>2011398</v>
      </c>
      <c r="D798" s="251">
        <v>40816</v>
      </c>
      <c r="E798" s="251" t="s">
        <v>1060</v>
      </c>
      <c r="F798" s="252">
        <v>576.65</v>
      </c>
      <c r="H798"/>
      <c r="I798"/>
      <c r="J798"/>
      <c r="K798"/>
    </row>
    <row r="799" spans="1:11" ht="15" x14ac:dyDescent="0.25">
      <c r="A799" s="90" t="s">
        <v>20</v>
      </c>
      <c r="B799" s="90" t="s">
        <v>1061</v>
      </c>
      <c r="C799" s="90">
        <v>2011399</v>
      </c>
      <c r="D799" s="251">
        <v>40819</v>
      </c>
      <c r="E799" s="251" t="s">
        <v>1060</v>
      </c>
      <c r="F799" s="252">
        <v>958.25</v>
      </c>
      <c r="H799"/>
      <c r="I799"/>
      <c r="J799"/>
      <c r="K799"/>
    </row>
    <row r="800" spans="1:11" ht="15" x14ac:dyDescent="0.25">
      <c r="A800" s="90" t="s">
        <v>20</v>
      </c>
      <c r="B800" s="90" t="s">
        <v>1066</v>
      </c>
      <c r="C800" s="90">
        <v>2011400</v>
      </c>
      <c r="D800" s="251">
        <v>40819</v>
      </c>
      <c r="E800" s="251" t="s">
        <v>1059</v>
      </c>
      <c r="F800" s="252">
        <v>634.24</v>
      </c>
      <c r="H800"/>
      <c r="I800"/>
      <c r="J800"/>
      <c r="K800"/>
    </row>
    <row r="801" spans="1:11" ht="15" x14ac:dyDescent="0.25">
      <c r="A801" s="90" t="s">
        <v>22</v>
      </c>
      <c r="B801" s="90" t="s">
        <v>1062</v>
      </c>
      <c r="C801" s="90">
        <v>2011401</v>
      </c>
      <c r="D801" s="251">
        <v>40819</v>
      </c>
      <c r="E801" s="251" t="s">
        <v>1060</v>
      </c>
      <c r="F801" s="252">
        <v>797.08</v>
      </c>
      <c r="H801"/>
      <c r="I801"/>
      <c r="J801"/>
      <c r="K801"/>
    </row>
    <row r="802" spans="1:11" ht="15" x14ac:dyDescent="0.25">
      <c r="A802" s="90" t="s">
        <v>20</v>
      </c>
      <c r="B802" s="90" t="s">
        <v>1065</v>
      </c>
      <c r="C802" s="90">
        <v>2011402</v>
      </c>
      <c r="D802" s="251">
        <v>40820</v>
      </c>
      <c r="E802" s="251" t="s">
        <v>1060</v>
      </c>
      <c r="F802" s="252">
        <v>749.31</v>
      </c>
      <c r="H802"/>
      <c r="I802"/>
      <c r="J802"/>
      <c r="K802"/>
    </row>
    <row r="803" spans="1:11" ht="15" x14ac:dyDescent="0.25">
      <c r="A803" s="90" t="s">
        <v>20</v>
      </c>
      <c r="B803" s="90" t="s">
        <v>1066</v>
      </c>
      <c r="C803" s="90">
        <v>2011403</v>
      </c>
      <c r="D803" s="251">
        <v>40821</v>
      </c>
      <c r="E803" s="251" t="s">
        <v>1060</v>
      </c>
      <c r="F803" s="252">
        <v>795.12</v>
      </c>
      <c r="H803"/>
      <c r="I803"/>
      <c r="J803"/>
      <c r="K803"/>
    </row>
    <row r="804" spans="1:11" ht="15" x14ac:dyDescent="0.25">
      <c r="A804" s="90" t="s">
        <v>22</v>
      </c>
      <c r="B804" s="90" t="s">
        <v>1067</v>
      </c>
      <c r="C804" s="90">
        <v>2011404</v>
      </c>
      <c r="D804" s="251">
        <v>40821</v>
      </c>
      <c r="E804" s="251" t="s">
        <v>1060</v>
      </c>
      <c r="F804" s="252">
        <v>157.71</v>
      </c>
      <c r="H804"/>
      <c r="I804"/>
      <c r="J804"/>
      <c r="K804"/>
    </row>
    <row r="805" spans="1:11" ht="15" x14ac:dyDescent="0.25">
      <c r="A805" s="90" t="s">
        <v>20</v>
      </c>
      <c r="B805" s="90" t="s">
        <v>1061</v>
      </c>
      <c r="C805" s="90">
        <v>2011405</v>
      </c>
      <c r="D805" s="251">
        <v>40822</v>
      </c>
      <c r="E805" s="251" t="s">
        <v>1059</v>
      </c>
      <c r="F805" s="252">
        <v>131.52000000000001</v>
      </c>
      <c r="H805"/>
      <c r="I805"/>
      <c r="J805"/>
      <c r="K805"/>
    </row>
    <row r="806" spans="1:11" ht="15" x14ac:dyDescent="0.25">
      <c r="A806" s="90" t="s">
        <v>20</v>
      </c>
      <c r="B806" s="90" t="s">
        <v>1061</v>
      </c>
      <c r="C806" s="90">
        <v>2011406</v>
      </c>
      <c r="D806" s="251">
        <v>40823</v>
      </c>
      <c r="E806" s="251" t="s">
        <v>1060</v>
      </c>
      <c r="F806" s="252">
        <v>885.06</v>
      </c>
      <c r="H806"/>
      <c r="I806"/>
      <c r="J806"/>
      <c r="K806"/>
    </row>
    <row r="807" spans="1:11" ht="15" x14ac:dyDescent="0.25">
      <c r="A807" s="90" t="s">
        <v>20</v>
      </c>
      <c r="B807" s="90" t="s">
        <v>1058</v>
      </c>
      <c r="C807" s="90">
        <v>2011407</v>
      </c>
      <c r="D807" s="251">
        <v>40823</v>
      </c>
      <c r="E807" s="251" t="s">
        <v>1060</v>
      </c>
      <c r="F807" s="252">
        <v>1014.61</v>
      </c>
      <c r="H807"/>
      <c r="I807"/>
      <c r="J807"/>
      <c r="K807"/>
    </row>
    <row r="808" spans="1:11" ht="15" x14ac:dyDescent="0.25">
      <c r="A808" s="90" t="s">
        <v>20</v>
      </c>
      <c r="B808" s="90" t="s">
        <v>1065</v>
      </c>
      <c r="C808" s="90">
        <v>2011408</v>
      </c>
      <c r="D808" s="251">
        <v>40823</v>
      </c>
      <c r="E808" s="251" t="s">
        <v>1060</v>
      </c>
      <c r="F808" s="252">
        <v>406.29</v>
      </c>
      <c r="H808"/>
      <c r="I808"/>
      <c r="J808"/>
      <c r="K808"/>
    </row>
    <row r="809" spans="1:11" ht="15" x14ac:dyDescent="0.25">
      <c r="A809" s="90" t="s">
        <v>20</v>
      </c>
      <c r="B809" s="90" t="s">
        <v>1061</v>
      </c>
      <c r="C809" s="90">
        <v>2011409</v>
      </c>
      <c r="D809" s="251">
        <v>40826</v>
      </c>
      <c r="E809" s="251" t="s">
        <v>1059</v>
      </c>
      <c r="F809" s="252">
        <v>331.43</v>
      </c>
      <c r="H809"/>
      <c r="I809"/>
      <c r="J809"/>
      <c r="K809"/>
    </row>
    <row r="810" spans="1:11" ht="15" x14ac:dyDescent="0.25">
      <c r="A810" s="90" t="s">
        <v>22</v>
      </c>
      <c r="B810" s="90" t="s">
        <v>1064</v>
      </c>
      <c r="C810" s="90">
        <v>2011410</v>
      </c>
      <c r="D810" s="251">
        <v>40826</v>
      </c>
      <c r="E810" s="251" t="s">
        <v>1060</v>
      </c>
      <c r="F810" s="252">
        <v>613.85</v>
      </c>
      <c r="H810"/>
      <c r="I810"/>
      <c r="J810"/>
      <c r="K810"/>
    </row>
    <row r="811" spans="1:11" ht="15" x14ac:dyDescent="0.25">
      <c r="A811" s="90" t="s">
        <v>22</v>
      </c>
      <c r="B811" s="90" t="s">
        <v>1064</v>
      </c>
      <c r="C811" s="90">
        <v>2011411</v>
      </c>
      <c r="D811" s="251">
        <v>40826</v>
      </c>
      <c r="E811" s="251" t="s">
        <v>1059</v>
      </c>
      <c r="F811" s="252">
        <v>571.1</v>
      </c>
      <c r="H811"/>
      <c r="I811"/>
      <c r="J811"/>
      <c r="K811"/>
    </row>
    <row r="812" spans="1:11" ht="15" x14ac:dyDescent="0.25">
      <c r="A812" s="90" t="s">
        <v>20</v>
      </c>
      <c r="B812" s="90" t="s">
        <v>1066</v>
      </c>
      <c r="C812" s="90">
        <v>2011412</v>
      </c>
      <c r="D812" s="251">
        <v>40827</v>
      </c>
      <c r="E812" s="251" t="s">
        <v>1060</v>
      </c>
      <c r="F812" s="252">
        <v>279.10000000000002</v>
      </c>
      <c r="H812"/>
      <c r="I812"/>
      <c r="J812"/>
      <c r="K812"/>
    </row>
    <row r="813" spans="1:11" ht="15" x14ac:dyDescent="0.25">
      <c r="A813" s="90" t="s">
        <v>20</v>
      </c>
      <c r="B813" s="90" t="s">
        <v>1061</v>
      </c>
      <c r="C813" s="90">
        <v>2011413</v>
      </c>
      <c r="D813" s="251">
        <v>40829</v>
      </c>
      <c r="E813" s="251" t="s">
        <v>1060</v>
      </c>
      <c r="F813" s="252">
        <v>588.72</v>
      </c>
      <c r="H813"/>
      <c r="I813"/>
      <c r="J813"/>
      <c r="K813"/>
    </row>
    <row r="814" spans="1:11" ht="15" x14ac:dyDescent="0.25">
      <c r="A814" s="90" t="s">
        <v>20</v>
      </c>
      <c r="B814" s="90" t="s">
        <v>1061</v>
      </c>
      <c r="C814" s="90">
        <v>2011414</v>
      </c>
      <c r="D814" s="251">
        <v>40829</v>
      </c>
      <c r="E814" s="251" t="s">
        <v>1059</v>
      </c>
      <c r="F814" s="252">
        <v>350.17</v>
      </c>
      <c r="H814"/>
      <c r="I814"/>
      <c r="J814"/>
      <c r="K814"/>
    </row>
    <row r="815" spans="1:11" ht="15" x14ac:dyDescent="0.25">
      <c r="A815" s="90" t="s">
        <v>20</v>
      </c>
      <c r="B815" s="90" t="s">
        <v>1061</v>
      </c>
      <c r="C815" s="90">
        <v>2011415</v>
      </c>
      <c r="D815" s="251">
        <v>40833</v>
      </c>
      <c r="E815" s="251" t="s">
        <v>1060</v>
      </c>
      <c r="F815" s="252">
        <v>1161.5999999999999</v>
      </c>
      <c r="H815"/>
      <c r="I815"/>
      <c r="J815"/>
      <c r="K815"/>
    </row>
    <row r="816" spans="1:11" ht="15" x14ac:dyDescent="0.25">
      <c r="A816" s="90" t="s">
        <v>20</v>
      </c>
      <c r="B816" s="90" t="s">
        <v>1063</v>
      </c>
      <c r="C816" s="90">
        <v>2011416</v>
      </c>
      <c r="D816" s="251">
        <v>40833</v>
      </c>
      <c r="E816" s="251" t="s">
        <v>1059</v>
      </c>
      <c r="F816" s="252">
        <v>1018.16</v>
      </c>
      <c r="H816"/>
      <c r="I816"/>
      <c r="J816"/>
      <c r="K816"/>
    </row>
    <row r="817" spans="1:11" ht="15" x14ac:dyDescent="0.25">
      <c r="A817" s="90" t="s">
        <v>20</v>
      </c>
      <c r="B817" s="90" t="s">
        <v>1063</v>
      </c>
      <c r="C817" s="90">
        <v>2011417</v>
      </c>
      <c r="D817" s="251">
        <v>40833</v>
      </c>
      <c r="E817" s="251" t="s">
        <v>1060</v>
      </c>
      <c r="F817" s="252">
        <v>869.96</v>
      </c>
      <c r="H817"/>
      <c r="I817"/>
      <c r="J817"/>
      <c r="K817"/>
    </row>
    <row r="818" spans="1:11" ht="15" x14ac:dyDescent="0.25">
      <c r="A818" s="90" t="s">
        <v>20</v>
      </c>
      <c r="B818" s="90" t="s">
        <v>1058</v>
      </c>
      <c r="C818" s="90">
        <v>2011418</v>
      </c>
      <c r="D818" s="251">
        <v>40834</v>
      </c>
      <c r="E818" s="251" t="s">
        <v>1060</v>
      </c>
      <c r="F818" s="252">
        <v>1003.24</v>
      </c>
      <c r="H818"/>
      <c r="I818"/>
      <c r="J818"/>
      <c r="K818"/>
    </row>
    <row r="819" spans="1:11" ht="15" x14ac:dyDescent="0.25">
      <c r="A819" s="90" t="s">
        <v>20</v>
      </c>
      <c r="B819" s="90" t="s">
        <v>1065</v>
      </c>
      <c r="C819" s="90">
        <v>2011419</v>
      </c>
      <c r="D819" s="251">
        <v>40835</v>
      </c>
      <c r="E819" s="251" t="s">
        <v>1059</v>
      </c>
      <c r="F819" s="252">
        <v>607.63</v>
      </c>
      <c r="H819"/>
      <c r="I819"/>
      <c r="J819"/>
      <c r="K819"/>
    </row>
    <row r="820" spans="1:11" ht="15" x14ac:dyDescent="0.25">
      <c r="A820" s="90" t="s">
        <v>22</v>
      </c>
      <c r="B820" s="90" t="s">
        <v>1064</v>
      </c>
      <c r="C820" s="90">
        <v>2011420</v>
      </c>
      <c r="D820" s="251">
        <v>40835</v>
      </c>
      <c r="E820" s="251" t="s">
        <v>1059</v>
      </c>
      <c r="F820" s="252">
        <v>855.91</v>
      </c>
      <c r="H820"/>
      <c r="I820"/>
      <c r="J820"/>
      <c r="K820"/>
    </row>
    <row r="821" spans="1:11" ht="15" x14ac:dyDescent="0.25">
      <c r="A821" s="90" t="s">
        <v>20</v>
      </c>
      <c r="B821" s="90" t="s">
        <v>1058</v>
      </c>
      <c r="C821" s="90">
        <v>2011421</v>
      </c>
      <c r="D821" s="251">
        <v>40837</v>
      </c>
      <c r="E821" s="251" t="s">
        <v>1060</v>
      </c>
      <c r="F821" s="252">
        <v>640.59</v>
      </c>
      <c r="H821"/>
      <c r="I821"/>
      <c r="J821"/>
      <c r="K821"/>
    </row>
    <row r="822" spans="1:11" ht="15" x14ac:dyDescent="0.25">
      <c r="A822" s="90" t="s">
        <v>22</v>
      </c>
      <c r="B822" s="90" t="s">
        <v>1070</v>
      </c>
      <c r="C822" s="90">
        <v>2011422</v>
      </c>
      <c r="D822" s="251">
        <v>40837</v>
      </c>
      <c r="E822" s="251" t="s">
        <v>1059</v>
      </c>
      <c r="F822" s="252">
        <v>146.25</v>
      </c>
      <c r="H822"/>
      <c r="I822"/>
      <c r="J822"/>
      <c r="K822"/>
    </row>
    <row r="823" spans="1:11" ht="15" x14ac:dyDescent="0.25">
      <c r="A823" s="90" t="s">
        <v>22</v>
      </c>
      <c r="B823" s="90" t="s">
        <v>1062</v>
      </c>
      <c r="C823" s="90">
        <v>2011423</v>
      </c>
      <c r="D823" s="251">
        <v>40837</v>
      </c>
      <c r="E823" s="251" t="s">
        <v>1059</v>
      </c>
      <c r="F823" s="252">
        <v>146.47</v>
      </c>
      <c r="H823"/>
      <c r="I823"/>
      <c r="J823"/>
      <c r="K823"/>
    </row>
    <row r="824" spans="1:11" ht="15" x14ac:dyDescent="0.25">
      <c r="A824" s="90" t="s">
        <v>20</v>
      </c>
      <c r="B824" s="90" t="s">
        <v>1061</v>
      </c>
      <c r="C824" s="90">
        <v>2011424</v>
      </c>
      <c r="D824" s="251">
        <v>40840</v>
      </c>
      <c r="E824" s="251" t="s">
        <v>1060</v>
      </c>
      <c r="F824" s="252">
        <v>135.52000000000001</v>
      </c>
      <c r="H824"/>
      <c r="I824"/>
      <c r="J824"/>
      <c r="K824"/>
    </row>
    <row r="825" spans="1:11" ht="15" x14ac:dyDescent="0.25">
      <c r="A825" s="90" t="s">
        <v>20</v>
      </c>
      <c r="B825" s="90" t="s">
        <v>1061</v>
      </c>
      <c r="C825" s="90">
        <v>2011425</v>
      </c>
      <c r="D825" s="251">
        <v>40840</v>
      </c>
      <c r="E825" s="251" t="s">
        <v>1059</v>
      </c>
      <c r="F825" s="252">
        <v>86.06</v>
      </c>
      <c r="H825"/>
      <c r="I825"/>
      <c r="J825"/>
      <c r="K825"/>
    </row>
    <row r="826" spans="1:11" ht="15" x14ac:dyDescent="0.25">
      <c r="A826" s="90" t="s">
        <v>20</v>
      </c>
      <c r="B826" s="90" t="s">
        <v>1065</v>
      </c>
      <c r="C826" s="90">
        <v>2011426</v>
      </c>
      <c r="D826" s="251">
        <v>40840</v>
      </c>
      <c r="E826" s="251" t="s">
        <v>1060</v>
      </c>
      <c r="F826" s="252">
        <v>623.29</v>
      </c>
      <c r="H826"/>
      <c r="I826"/>
      <c r="J826"/>
      <c r="K826"/>
    </row>
    <row r="827" spans="1:11" ht="15" x14ac:dyDescent="0.25">
      <c r="A827" s="90" t="s">
        <v>22</v>
      </c>
      <c r="B827" s="90" t="s">
        <v>1069</v>
      </c>
      <c r="C827" s="90">
        <v>2011427</v>
      </c>
      <c r="D827" s="251">
        <v>40840</v>
      </c>
      <c r="E827" s="251" t="s">
        <v>1059</v>
      </c>
      <c r="F827" s="252">
        <v>169.92</v>
      </c>
      <c r="H827"/>
      <c r="I827"/>
      <c r="J827"/>
      <c r="K827"/>
    </row>
    <row r="828" spans="1:11" ht="15" x14ac:dyDescent="0.25">
      <c r="A828" s="90" t="s">
        <v>22</v>
      </c>
      <c r="B828" s="90" t="s">
        <v>1068</v>
      </c>
      <c r="C828" s="90">
        <v>2011428</v>
      </c>
      <c r="D828" s="251">
        <v>40840</v>
      </c>
      <c r="E828" s="251" t="s">
        <v>1059</v>
      </c>
      <c r="F828" s="252">
        <v>1232.51</v>
      </c>
      <c r="H828"/>
      <c r="I828"/>
      <c r="J828"/>
      <c r="K828"/>
    </row>
    <row r="829" spans="1:11" ht="15" x14ac:dyDescent="0.25">
      <c r="A829" s="90" t="s">
        <v>20</v>
      </c>
      <c r="B829" s="90" t="s">
        <v>1061</v>
      </c>
      <c r="C829" s="90">
        <v>2011429</v>
      </c>
      <c r="D829" s="251">
        <v>40841</v>
      </c>
      <c r="E829" s="251" t="s">
        <v>1060</v>
      </c>
      <c r="F829" s="252">
        <v>1110.19</v>
      </c>
      <c r="H829"/>
      <c r="I829"/>
      <c r="J829"/>
      <c r="K829"/>
    </row>
    <row r="830" spans="1:11" ht="15" x14ac:dyDescent="0.25">
      <c r="A830" s="90" t="s">
        <v>22</v>
      </c>
      <c r="B830" s="90" t="s">
        <v>1070</v>
      </c>
      <c r="C830" s="90">
        <v>2011430</v>
      </c>
      <c r="D830" s="251">
        <v>40841</v>
      </c>
      <c r="E830" s="251" t="s">
        <v>1060</v>
      </c>
      <c r="F830" s="252">
        <v>277.19</v>
      </c>
      <c r="H830"/>
      <c r="I830"/>
      <c r="J830"/>
      <c r="K830"/>
    </row>
    <row r="831" spans="1:11" ht="15" x14ac:dyDescent="0.25">
      <c r="A831" s="90" t="s">
        <v>22</v>
      </c>
      <c r="B831" s="90" t="s">
        <v>1068</v>
      </c>
      <c r="C831" s="90">
        <v>2011431</v>
      </c>
      <c r="D831" s="251">
        <v>40841</v>
      </c>
      <c r="E831" s="251" t="s">
        <v>1060</v>
      </c>
      <c r="F831" s="252">
        <v>545.26</v>
      </c>
      <c r="H831"/>
      <c r="I831"/>
      <c r="J831"/>
      <c r="K831"/>
    </row>
    <row r="832" spans="1:11" ht="15" x14ac:dyDescent="0.25">
      <c r="A832" s="90" t="s">
        <v>20</v>
      </c>
      <c r="B832" s="90" t="s">
        <v>1061</v>
      </c>
      <c r="C832" s="90">
        <v>2011432</v>
      </c>
      <c r="D832" s="251">
        <v>40842</v>
      </c>
      <c r="E832" s="251" t="s">
        <v>1060</v>
      </c>
      <c r="F832" s="252">
        <v>556.45000000000005</v>
      </c>
      <c r="H832"/>
      <c r="I832"/>
      <c r="J832"/>
      <c r="K832"/>
    </row>
    <row r="833" spans="1:11" ht="15" x14ac:dyDescent="0.25">
      <c r="A833" s="90" t="s">
        <v>20</v>
      </c>
      <c r="B833" s="90" t="s">
        <v>1061</v>
      </c>
      <c r="C833" s="90">
        <v>2011433</v>
      </c>
      <c r="D833" s="251">
        <v>40842</v>
      </c>
      <c r="E833" s="251" t="s">
        <v>1060</v>
      </c>
      <c r="F833" s="252">
        <v>241.04</v>
      </c>
      <c r="H833"/>
      <c r="I833"/>
      <c r="J833"/>
      <c r="K833"/>
    </row>
    <row r="834" spans="1:11" ht="15" x14ac:dyDescent="0.25">
      <c r="A834" s="90" t="s">
        <v>22</v>
      </c>
      <c r="B834" s="90" t="s">
        <v>1069</v>
      </c>
      <c r="C834" s="90">
        <v>2011434</v>
      </c>
      <c r="D834" s="251">
        <v>40843</v>
      </c>
      <c r="E834" s="251" t="s">
        <v>1060</v>
      </c>
      <c r="F834" s="252">
        <v>339.52</v>
      </c>
      <c r="H834"/>
      <c r="I834"/>
      <c r="J834"/>
      <c r="K834"/>
    </row>
    <row r="835" spans="1:11" ht="15" x14ac:dyDescent="0.25">
      <c r="A835" s="90" t="s">
        <v>20</v>
      </c>
      <c r="B835" s="90" t="s">
        <v>1063</v>
      </c>
      <c r="C835" s="90">
        <v>2011435</v>
      </c>
      <c r="D835" s="251">
        <v>40844</v>
      </c>
      <c r="E835" s="251" t="s">
        <v>1060</v>
      </c>
      <c r="F835" s="252">
        <v>1247.23</v>
      </c>
      <c r="H835"/>
      <c r="I835"/>
      <c r="J835"/>
      <c r="K835"/>
    </row>
    <row r="836" spans="1:11" ht="15" x14ac:dyDescent="0.25">
      <c r="A836" s="90" t="s">
        <v>20</v>
      </c>
      <c r="B836" s="90" t="s">
        <v>1066</v>
      </c>
      <c r="C836" s="90">
        <v>2011436</v>
      </c>
      <c r="D836" s="251">
        <v>40849</v>
      </c>
      <c r="E836" s="251" t="s">
        <v>1059</v>
      </c>
      <c r="F836" s="252">
        <v>217.97</v>
      </c>
      <c r="H836"/>
      <c r="I836"/>
      <c r="J836"/>
      <c r="K836"/>
    </row>
    <row r="837" spans="1:11" ht="15" x14ac:dyDescent="0.25">
      <c r="A837" s="90" t="s">
        <v>22</v>
      </c>
      <c r="B837" s="90" t="s">
        <v>1070</v>
      </c>
      <c r="C837" s="90">
        <v>2011437</v>
      </c>
      <c r="D837" s="251">
        <v>40849</v>
      </c>
      <c r="E837" s="251" t="s">
        <v>1060</v>
      </c>
      <c r="F837" s="252">
        <v>721.08</v>
      </c>
      <c r="H837"/>
      <c r="I837"/>
      <c r="J837"/>
      <c r="K837"/>
    </row>
    <row r="838" spans="1:11" ht="15" x14ac:dyDescent="0.25">
      <c r="A838" s="90" t="s">
        <v>22</v>
      </c>
      <c r="B838" s="90" t="s">
        <v>1069</v>
      </c>
      <c r="C838" s="90">
        <v>2011438</v>
      </c>
      <c r="D838" s="251">
        <v>40849</v>
      </c>
      <c r="E838" s="251" t="s">
        <v>1059</v>
      </c>
      <c r="F838" s="252">
        <v>715.88</v>
      </c>
      <c r="H838"/>
      <c r="I838"/>
      <c r="J838"/>
      <c r="K838"/>
    </row>
    <row r="839" spans="1:11" ht="15" x14ac:dyDescent="0.25">
      <c r="A839" s="90" t="s">
        <v>22</v>
      </c>
      <c r="B839" s="90" t="s">
        <v>1062</v>
      </c>
      <c r="C839" s="90">
        <v>2011439</v>
      </c>
      <c r="D839" s="251">
        <v>40849</v>
      </c>
      <c r="E839" s="251" t="s">
        <v>1060</v>
      </c>
      <c r="F839" s="252">
        <v>84.48</v>
      </c>
      <c r="H839"/>
      <c r="I839"/>
      <c r="J839"/>
      <c r="K839"/>
    </row>
    <row r="840" spans="1:11" ht="15" x14ac:dyDescent="0.25">
      <c r="A840" s="90" t="s">
        <v>20</v>
      </c>
      <c r="B840" s="90" t="s">
        <v>1061</v>
      </c>
      <c r="C840" s="90">
        <v>2011440</v>
      </c>
      <c r="D840" s="251">
        <v>40851</v>
      </c>
      <c r="E840" s="251" t="s">
        <v>1059</v>
      </c>
      <c r="F840" s="252">
        <v>489.02</v>
      </c>
    </row>
    <row r="841" spans="1:11" ht="15" x14ac:dyDescent="0.25">
      <c r="A841" s="90" t="s">
        <v>20</v>
      </c>
      <c r="B841" s="90" t="s">
        <v>1058</v>
      </c>
      <c r="C841" s="90">
        <v>2011441</v>
      </c>
      <c r="D841" s="251">
        <v>40851</v>
      </c>
      <c r="E841" s="251" t="s">
        <v>1060</v>
      </c>
      <c r="F841" s="252">
        <v>824.39</v>
      </c>
    </row>
    <row r="842" spans="1:11" ht="15" x14ac:dyDescent="0.25">
      <c r="A842" s="90" t="s">
        <v>20</v>
      </c>
      <c r="B842" s="90" t="s">
        <v>1065</v>
      </c>
      <c r="C842" s="90">
        <v>2011442</v>
      </c>
      <c r="D842" s="251">
        <v>40854</v>
      </c>
      <c r="E842" s="251" t="s">
        <v>1059</v>
      </c>
      <c r="F842" s="252">
        <v>1235.6400000000001</v>
      </c>
    </row>
    <row r="843" spans="1:11" ht="15" x14ac:dyDescent="0.25">
      <c r="A843" s="90" t="s">
        <v>22</v>
      </c>
      <c r="B843" s="90" t="s">
        <v>1062</v>
      </c>
      <c r="C843" s="90">
        <v>2011443</v>
      </c>
      <c r="D843" s="251">
        <v>40854</v>
      </c>
      <c r="E843" s="251" t="s">
        <v>1060</v>
      </c>
      <c r="F843" s="252">
        <v>1064.17</v>
      </c>
    </row>
    <row r="844" spans="1:11" ht="15" x14ac:dyDescent="0.25">
      <c r="A844" s="90" t="s">
        <v>20</v>
      </c>
      <c r="B844" s="90" t="s">
        <v>1058</v>
      </c>
      <c r="C844" s="90">
        <v>2011444</v>
      </c>
      <c r="D844" s="251">
        <v>40855</v>
      </c>
      <c r="E844" s="251" t="s">
        <v>1060</v>
      </c>
      <c r="F844" s="252">
        <v>134.94999999999999</v>
      </c>
    </row>
    <row r="845" spans="1:11" ht="15" x14ac:dyDescent="0.25">
      <c r="A845" s="90" t="s">
        <v>22</v>
      </c>
      <c r="B845" s="90" t="s">
        <v>1069</v>
      </c>
      <c r="C845" s="90">
        <v>2011445</v>
      </c>
      <c r="D845" s="251">
        <v>40857</v>
      </c>
      <c r="E845" s="251" t="s">
        <v>1060</v>
      </c>
      <c r="F845" s="252">
        <v>710.88</v>
      </c>
    </row>
    <row r="846" spans="1:11" ht="15" x14ac:dyDescent="0.25">
      <c r="A846" s="90" t="s">
        <v>20</v>
      </c>
      <c r="B846" s="90" t="s">
        <v>1058</v>
      </c>
      <c r="C846" s="90">
        <v>2011446</v>
      </c>
      <c r="D846" s="251">
        <v>40858</v>
      </c>
      <c r="E846" s="251" t="s">
        <v>1060</v>
      </c>
      <c r="F846" s="252">
        <v>1134.3</v>
      </c>
    </row>
    <row r="847" spans="1:11" ht="15" x14ac:dyDescent="0.25">
      <c r="A847" s="90" t="s">
        <v>22</v>
      </c>
      <c r="B847" s="90" t="s">
        <v>1070</v>
      </c>
      <c r="C847" s="90">
        <v>2011447</v>
      </c>
      <c r="D847" s="251">
        <v>40858</v>
      </c>
      <c r="E847" s="251" t="s">
        <v>1059</v>
      </c>
      <c r="F847" s="252">
        <v>159.06</v>
      </c>
    </row>
    <row r="848" spans="1:11" ht="15" x14ac:dyDescent="0.25">
      <c r="A848" s="90" t="s">
        <v>22</v>
      </c>
      <c r="B848" s="90" t="s">
        <v>1064</v>
      </c>
      <c r="C848" s="90">
        <v>2011448</v>
      </c>
      <c r="D848" s="251">
        <v>40858</v>
      </c>
      <c r="E848" s="251" t="s">
        <v>1060</v>
      </c>
      <c r="F848" s="252">
        <v>1040.3399999999999</v>
      </c>
    </row>
    <row r="849" spans="1:6" ht="15" x14ac:dyDescent="0.25">
      <c r="A849" s="90" t="s">
        <v>20</v>
      </c>
      <c r="B849" s="90" t="s">
        <v>1063</v>
      </c>
      <c r="C849" s="90">
        <v>2011449</v>
      </c>
      <c r="D849" s="251">
        <v>40861</v>
      </c>
      <c r="E849" s="251" t="s">
        <v>1059</v>
      </c>
      <c r="F849" s="252">
        <v>1160.1600000000001</v>
      </c>
    </row>
    <row r="850" spans="1:6" ht="15" x14ac:dyDescent="0.25">
      <c r="A850" s="90" t="s">
        <v>22</v>
      </c>
      <c r="B850" s="90" t="s">
        <v>1067</v>
      </c>
      <c r="C850" s="90">
        <v>2011450</v>
      </c>
      <c r="D850" s="251">
        <v>40861</v>
      </c>
      <c r="E850" s="251" t="s">
        <v>1060</v>
      </c>
      <c r="F850" s="252">
        <v>339.4</v>
      </c>
    </row>
    <row r="851" spans="1:6" ht="15" x14ac:dyDescent="0.25">
      <c r="A851" s="90" t="s">
        <v>20</v>
      </c>
      <c r="B851" s="90" t="s">
        <v>1061</v>
      </c>
      <c r="C851" s="90">
        <v>2011451</v>
      </c>
      <c r="D851" s="251">
        <v>40863</v>
      </c>
      <c r="E851" s="251" t="s">
        <v>1059</v>
      </c>
      <c r="F851" s="252">
        <v>847.72</v>
      </c>
    </row>
    <row r="852" spans="1:6" ht="15" x14ac:dyDescent="0.25">
      <c r="A852" s="90" t="s">
        <v>20</v>
      </c>
      <c r="B852" s="90" t="s">
        <v>1061</v>
      </c>
      <c r="C852" s="90">
        <v>2011452</v>
      </c>
      <c r="D852" s="251">
        <v>40864</v>
      </c>
      <c r="E852" s="251" t="s">
        <v>1060</v>
      </c>
      <c r="F852" s="252">
        <v>95.8</v>
      </c>
    </row>
    <row r="853" spans="1:6" ht="15" x14ac:dyDescent="0.25">
      <c r="A853" s="90" t="s">
        <v>20</v>
      </c>
      <c r="B853" s="90" t="s">
        <v>1061</v>
      </c>
      <c r="C853" s="90">
        <v>2011453</v>
      </c>
      <c r="D853" s="251">
        <v>40864</v>
      </c>
      <c r="E853" s="251" t="s">
        <v>1060</v>
      </c>
      <c r="F853" s="252">
        <v>815.39</v>
      </c>
    </row>
    <row r="854" spans="1:6" ht="15" x14ac:dyDescent="0.25">
      <c r="A854" s="90" t="s">
        <v>20</v>
      </c>
      <c r="B854" s="90" t="s">
        <v>1061</v>
      </c>
      <c r="C854" s="90">
        <v>2011454</v>
      </c>
      <c r="D854" s="251">
        <v>40864</v>
      </c>
      <c r="E854" s="251" t="s">
        <v>1059</v>
      </c>
      <c r="F854" s="252">
        <v>198.28</v>
      </c>
    </row>
    <row r="855" spans="1:6" ht="15" x14ac:dyDescent="0.25">
      <c r="A855" s="90" t="s">
        <v>20</v>
      </c>
      <c r="B855" s="90" t="s">
        <v>1063</v>
      </c>
      <c r="C855" s="90">
        <v>2011455</v>
      </c>
      <c r="D855" s="251">
        <v>40864</v>
      </c>
      <c r="E855" s="251" t="s">
        <v>1060</v>
      </c>
      <c r="F855" s="252">
        <v>1148.1600000000001</v>
      </c>
    </row>
    <row r="856" spans="1:6" ht="15" x14ac:dyDescent="0.25">
      <c r="A856" s="90" t="s">
        <v>22</v>
      </c>
      <c r="B856" s="90" t="s">
        <v>1064</v>
      </c>
      <c r="C856" s="90">
        <v>2011456</v>
      </c>
      <c r="D856" s="251">
        <v>40864</v>
      </c>
      <c r="E856" s="251" t="s">
        <v>1060</v>
      </c>
      <c r="F856" s="252">
        <v>871.21</v>
      </c>
    </row>
    <row r="857" spans="1:6" ht="15" x14ac:dyDescent="0.25">
      <c r="A857" s="90" t="s">
        <v>20</v>
      </c>
      <c r="B857" s="90" t="s">
        <v>1061</v>
      </c>
      <c r="C857" s="90">
        <v>2011457</v>
      </c>
      <c r="D857" s="251">
        <v>40865</v>
      </c>
      <c r="E857" s="251" t="s">
        <v>1059</v>
      </c>
      <c r="F857" s="252">
        <v>457.39</v>
      </c>
    </row>
    <row r="858" spans="1:6" ht="15" x14ac:dyDescent="0.25">
      <c r="A858" s="90" t="s">
        <v>20</v>
      </c>
      <c r="B858" s="90" t="s">
        <v>1066</v>
      </c>
      <c r="C858" s="90">
        <v>2011458</v>
      </c>
      <c r="D858" s="251">
        <v>40865</v>
      </c>
      <c r="E858" s="251" t="s">
        <v>1059</v>
      </c>
      <c r="F858" s="252">
        <v>846.67</v>
      </c>
    </row>
    <row r="859" spans="1:6" ht="15" x14ac:dyDescent="0.25">
      <c r="A859" s="90" t="s">
        <v>22</v>
      </c>
      <c r="B859" s="90" t="s">
        <v>1067</v>
      </c>
      <c r="C859" s="90">
        <v>2011459</v>
      </c>
      <c r="D859" s="251">
        <v>40865</v>
      </c>
      <c r="E859" s="251" t="s">
        <v>1059</v>
      </c>
      <c r="F859" s="252">
        <v>210.2</v>
      </c>
    </row>
    <row r="860" spans="1:6" ht="15" x14ac:dyDescent="0.25">
      <c r="A860" s="90" t="s">
        <v>20</v>
      </c>
      <c r="B860" s="90" t="s">
        <v>1065</v>
      </c>
      <c r="C860" s="90">
        <v>2011460</v>
      </c>
      <c r="D860" s="251">
        <v>40868</v>
      </c>
      <c r="E860" s="251" t="s">
        <v>1060</v>
      </c>
      <c r="F860" s="252">
        <v>1193.57</v>
      </c>
    </row>
    <row r="861" spans="1:6" ht="15" x14ac:dyDescent="0.25">
      <c r="A861" s="90" t="s">
        <v>22</v>
      </c>
      <c r="B861" s="90" t="s">
        <v>1064</v>
      </c>
      <c r="C861" s="90">
        <v>2011461</v>
      </c>
      <c r="D861" s="251">
        <v>40868</v>
      </c>
      <c r="E861" s="251" t="s">
        <v>1060</v>
      </c>
      <c r="F861" s="252">
        <v>622.67999999999995</v>
      </c>
    </row>
    <row r="862" spans="1:6" ht="15" x14ac:dyDescent="0.25">
      <c r="A862" s="90" t="s">
        <v>22</v>
      </c>
      <c r="B862" s="90" t="s">
        <v>1069</v>
      </c>
      <c r="C862" s="90">
        <v>2011462</v>
      </c>
      <c r="D862" s="251">
        <v>40869</v>
      </c>
      <c r="E862" s="251" t="s">
        <v>1059</v>
      </c>
      <c r="F862" s="252">
        <v>1123.9100000000001</v>
      </c>
    </row>
    <row r="863" spans="1:6" ht="15" x14ac:dyDescent="0.25">
      <c r="A863" s="90" t="s">
        <v>22</v>
      </c>
      <c r="B863" s="90" t="s">
        <v>1069</v>
      </c>
      <c r="C863" s="90">
        <v>2011463</v>
      </c>
      <c r="D863" s="251">
        <v>40869</v>
      </c>
      <c r="E863" s="251" t="s">
        <v>1060</v>
      </c>
      <c r="F863" s="252">
        <v>635.28</v>
      </c>
    </row>
    <row r="864" spans="1:6" ht="15" x14ac:dyDescent="0.25">
      <c r="A864" s="90" t="s">
        <v>20</v>
      </c>
      <c r="B864" s="90" t="s">
        <v>1066</v>
      </c>
      <c r="C864" s="90">
        <v>2011464</v>
      </c>
      <c r="D864" s="251">
        <v>40870</v>
      </c>
      <c r="E864" s="251" t="s">
        <v>1060</v>
      </c>
      <c r="F864" s="252">
        <v>664.55</v>
      </c>
    </row>
    <row r="865" spans="1:6" ht="15" x14ac:dyDescent="0.25">
      <c r="A865" s="90" t="s">
        <v>22</v>
      </c>
      <c r="B865" s="90" t="s">
        <v>1070</v>
      </c>
      <c r="C865" s="90">
        <v>2011465</v>
      </c>
      <c r="D865" s="251">
        <v>40870</v>
      </c>
      <c r="E865" s="251" t="s">
        <v>1059</v>
      </c>
      <c r="F865" s="252">
        <v>388.96</v>
      </c>
    </row>
    <row r="866" spans="1:6" ht="15" x14ac:dyDescent="0.25">
      <c r="A866" s="90" t="s">
        <v>22</v>
      </c>
      <c r="B866" s="90" t="s">
        <v>1069</v>
      </c>
      <c r="C866" s="90">
        <v>2011466</v>
      </c>
      <c r="D866" s="251">
        <v>40870</v>
      </c>
      <c r="E866" s="251" t="s">
        <v>1059</v>
      </c>
      <c r="F866" s="252">
        <v>659.73</v>
      </c>
    </row>
    <row r="867" spans="1:6" ht="15" x14ac:dyDescent="0.25">
      <c r="A867" s="90" t="s">
        <v>20</v>
      </c>
      <c r="B867" s="90" t="s">
        <v>1066</v>
      </c>
      <c r="C867" s="90">
        <v>2011467</v>
      </c>
      <c r="D867" s="251">
        <v>40871</v>
      </c>
      <c r="E867" s="251" t="s">
        <v>1059</v>
      </c>
      <c r="F867" s="252">
        <v>1066.58</v>
      </c>
    </row>
    <row r="868" spans="1:6" ht="15" x14ac:dyDescent="0.25">
      <c r="A868" s="90" t="s">
        <v>20</v>
      </c>
      <c r="B868" s="90" t="s">
        <v>1066</v>
      </c>
      <c r="C868" s="90">
        <v>2011468</v>
      </c>
      <c r="D868" s="251">
        <v>40871</v>
      </c>
      <c r="E868" s="251" t="s">
        <v>1060</v>
      </c>
      <c r="F868" s="252">
        <v>392.38</v>
      </c>
    </row>
    <row r="869" spans="1:6" ht="15" x14ac:dyDescent="0.25">
      <c r="A869" s="90" t="s">
        <v>20</v>
      </c>
      <c r="B869" s="90" t="s">
        <v>1058</v>
      </c>
      <c r="C869" s="90">
        <v>2011469</v>
      </c>
      <c r="D869" s="251">
        <v>40871</v>
      </c>
      <c r="E869" s="251" t="s">
        <v>1060</v>
      </c>
      <c r="F869" s="252">
        <v>1044.1199999999999</v>
      </c>
    </row>
    <row r="870" spans="1:6" ht="15" x14ac:dyDescent="0.25">
      <c r="A870" s="90" t="s">
        <v>20</v>
      </c>
      <c r="B870" s="90" t="s">
        <v>1061</v>
      </c>
      <c r="C870" s="90">
        <v>2011470</v>
      </c>
      <c r="D870" s="251">
        <v>40872</v>
      </c>
      <c r="E870" s="251" t="s">
        <v>1059</v>
      </c>
      <c r="F870" s="252">
        <v>670.6</v>
      </c>
    </row>
    <row r="871" spans="1:6" ht="15" x14ac:dyDescent="0.25">
      <c r="A871" s="90" t="s">
        <v>20</v>
      </c>
      <c r="B871" s="90" t="s">
        <v>1058</v>
      </c>
      <c r="C871" s="90">
        <v>2011471</v>
      </c>
      <c r="D871" s="251">
        <v>40872</v>
      </c>
      <c r="E871" s="251" t="s">
        <v>1060</v>
      </c>
      <c r="F871" s="252">
        <v>1078.25</v>
      </c>
    </row>
    <row r="872" spans="1:6" ht="15" x14ac:dyDescent="0.25">
      <c r="A872" s="90" t="s">
        <v>20</v>
      </c>
      <c r="B872" s="90" t="s">
        <v>1065</v>
      </c>
      <c r="C872" s="90">
        <v>2011472</v>
      </c>
      <c r="D872" s="251">
        <v>40872</v>
      </c>
      <c r="E872" s="251" t="s">
        <v>1060</v>
      </c>
      <c r="F872" s="252">
        <v>145.99</v>
      </c>
    </row>
    <row r="873" spans="1:6" ht="15" x14ac:dyDescent="0.25">
      <c r="A873" s="90" t="s">
        <v>20</v>
      </c>
      <c r="B873" s="90" t="s">
        <v>1061</v>
      </c>
      <c r="C873" s="90">
        <v>2011473</v>
      </c>
      <c r="D873" s="251">
        <v>40875</v>
      </c>
      <c r="E873" s="251" t="s">
        <v>1059</v>
      </c>
      <c r="F873" s="252">
        <v>476.95</v>
      </c>
    </row>
    <row r="874" spans="1:6" ht="15" x14ac:dyDescent="0.25">
      <c r="A874" s="90" t="s">
        <v>20</v>
      </c>
      <c r="B874" s="90" t="s">
        <v>1061</v>
      </c>
      <c r="C874" s="90">
        <v>2011474</v>
      </c>
      <c r="D874" s="251">
        <v>40875</v>
      </c>
      <c r="E874" s="251" t="s">
        <v>1059</v>
      </c>
      <c r="F874" s="252">
        <v>174.42</v>
      </c>
    </row>
    <row r="875" spans="1:6" ht="15" x14ac:dyDescent="0.25">
      <c r="A875" s="90" t="s">
        <v>20</v>
      </c>
      <c r="B875" s="90" t="s">
        <v>1066</v>
      </c>
      <c r="C875" s="90">
        <v>2011475</v>
      </c>
      <c r="D875" s="251">
        <v>40875</v>
      </c>
      <c r="E875" s="251" t="s">
        <v>1060</v>
      </c>
      <c r="F875" s="252">
        <v>350.67</v>
      </c>
    </row>
    <row r="876" spans="1:6" ht="15" x14ac:dyDescent="0.25">
      <c r="A876" s="90" t="s">
        <v>20</v>
      </c>
      <c r="B876" s="90" t="s">
        <v>1065</v>
      </c>
      <c r="C876" s="90">
        <v>2011476</v>
      </c>
      <c r="D876" s="251">
        <v>40875</v>
      </c>
      <c r="E876" s="251" t="s">
        <v>1059</v>
      </c>
      <c r="F876" s="252">
        <v>748.35</v>
      </c>
    </row>
    <row r="877" spans="1:6" ht="15" x14ac:dyDescent="0.25">
      <c r="A877" s="90" t="s">
        <v>20</v>
      </c>
      <c r="B877" s="90" t="s">
        <v>1065</v>
      </c>
      <c r="C877" s="90">
        <v>2011477</v>
      </c>
      <c r="D877" s="251">
        <v>40876</v>
      </c>
      <c r="E877" s="251" t="s">
        <v>1059</v>
      </c>
      <c r="F877" s="252">
        <v>756.39</v>
      </c>
    </row>
    <row r="878" spans="1:6" ht="15" x14ac:dyDescent="0.25">
      <c r="A878" s="90" t="s">
        <v>20</v>
      </c>
      <c r="B878" s="90" t="s">
        <v>1063</v>
      </c>
      <c r="C878" s="90">
        <v>2011478</v>
      </c>
      <c r="D878" s="251">
        <v>40876</v>
      </c>
      <c r="E878" s="251" t="s">
        <v>1060</v>
      </c>
      <c r="F878" s="252">
        <v>394.65</v>
      </c>
    </row>
    <row r="879" spans="1:6" ht="15" x14ac:dyDescent="0.25">
      <c r="A879" s="90" t="s">
        <v>20</v>
      </c>
      <c r="B879" s="90" t="s">
        <v>1061</v>
      </c>
      <c r="C879" s="90">
        <v>2011479</v>
      </c>
      <c r="D879" s="251">
        <v>40877</v>
      </c>
      <c r="E879" s="251" t="s">
        <v>1060</v>
      </c>
      <c r="F879" s="252">
        <v>605.99</v>
      </c>
    </row>
    <row r="880" spans="1:6" ht="15" x14ac:dyDescent="0.25">
      <c r="A880" s="90" t="s">
        <v>20</v>
      </c>
      <c r="B880" s="90" t="s">
        <v>1066</v>
      </c>
      <c r="C880" s="90">
        <v>2011480</v>
      </c>
      <c r="D880" s="251">
        <v>40877</v>
      </c>
      <c r="E880" s="251" t="s">
        <v>1059</v>
      </c>
      <c r="F880" s="252">
        <v>809.66</v>
      </c>
    </row>
    <row r="881" spans="1:6" ht="15" x14ac:dyDescent="0.25">
      <c r="A881" s="90" t="s">
        <v>22</v>
      </c>
      <c r="B881" s="90" t="s">
        <v>1067</v>
      </c>
      <c r="C881" s="90">
        <v>2011481</v>
      </c>
      <c r="D881" s="251">
        <v>40877</v>
      </c>
      <c r="E881" s="251" t="s">
        <v>1060</v>
      </c>
      <c r="F881" s="252">
        <v>284.02</v>
      </c>
    </row>
    <row r="882" spans="1:6" ht="15" x14ac:dyDescent="0.25">
      <c r="A882" s="90" t="s">
        <v>20</v>
      </c>
      <c r="B882" s="90" t="s">
        <v>1063</v>
      </c>
      <c r="C882" s="90">
        <v>2011482</v>
      </c>
      <c r="D882" s="251">
        <v>40879</v>
      </c>
      <c r="E882" s="251" t="s">
        <v>1060</v>
      </c>
      <c r="F882" s="252">
        <v>747.38</v>
      </c>
    </row>
    <row r="883" spans="1:6" ht="15" x14ac:dyDescent="0.25">
      <c r="A883" s="90" t="s">
        <v>22</v>
      </c>
      <c r="B883" s="90" t="s">
        <v>1069</v>
      </c>
      <c r="C883" s="90">
        <v>2011483</v>
      </c>
      <c r="D883" s="251">
        <v>40882</v>
      </c>
      <c r="E883" s="251" t="s">
        <v>1060</v>
      </c>
      <c r="F883" s="252">
        <v>1024.8599999999999</v>
      </c>
    </row>
    <row r="884" spans="1:6" ht="15" x14ac:dyDescent="0.25">
      <c r="A884" s="90" t="s">
        <v>22</v>
      </c>
      <c r="B884" s="90" t="s">
        <v>1062</v>
      </c>
      <c r="C884" s="90">
        <v>2011484</v>
      </c>
      <c r="D884" s="251">
        <v>40882</v>
      </c>
      <c r="E884" s="251" t="s">
        <v>1059</v>
      </c>
      <c r="F884" s="252">
        <v>1092.7</v>
      </c>
    </row>
    <row r="885" spans="1:6" ht="15" x14ac:dyDescent="0.25">
      <c r="A885" s="90" t="s">
        <v>22</v>
      </c>
      <c r="B885" s="90" t="s">
        <v>1070</v>
      </c>
      <c r="C885" s="90">
        <v>2011485</v>
      </c>
      <c r="D885" s="251">
        <v>40883</v>
      </c>
      <c r="E885" s="251" t="s">
        <v>1060</v>
      </c>
      <c r="F885" s="252">
        <v>645.70000000000005</v>
      </c>
    </row>
    <row r="886" spans="1:6" ht="15" x14ac:dyDescent="0.25">
      <c r="A886" s="90" t="s">
        <v>20</v>
      </c>
      <c r="B886" s="90" t="s">
        <v>1058</v>
      </c>
      <c r="C886" s="90">
        <v>2011486</v>
      </c>
      <c r="D886" s="251">
        <v>40884</v>
      </c>
      <c r="E886" s="251" t="s">
        <v>1060</v>
      </c>
      <c r="F886" s="252">
        <v>386.27</v>
      </c>
    </row>
    <row r="887" spans="1:6" ht="15" x14ac:dyDescent="0.25">
      <c r="A887" s="90" t="s">
        <v>20</v>
      </c>
      <c r="B887" s="90" t="s">
        <v>1066</v>
      </c>
      <c r="C887" s="90">
        <v>2011487</v>
      </c>
      <c r="D887" s="251">
        <v>40885</v>
      </c>
      <c r="E887" s="251" t="s">
        <v>1060</v>
      </c>
      <c r="F887" s="252">
        <v>297.41000000000003</v>
      </c>
    </row>
    <row r="888" spans="1:6" ht="15" x14ac:dyDescent="0.25">
      <c r="A888" s="90" t="s">
        <v>20</v>
      </c>
      <c r="B888" s="90" t="s">
        <v>1058</v>
      </c>
      <c r="C888" s="90">
        <v>2011488</v>
      </c>
      <c r="D888" s="251">
        <v>40885</v>
      </c>
      <c r="E888" s="251" t="s">
        <v>1060</v>
      </c>
      <c r="F888" s="252">
        <v>638.62</v>
      </c>
    </row>
    <row r="889" spans="1:6" ht="15" x14ac:dyDescent="0.25">
      <c r="A889" s="90" t="s">
        <v>22</v>
      </c>
      <c r="B889" s="90" t="s">
        <v>1067</v>
      </c>
      <c r="C889" s="90">
        <v>2011489</v>
      </c>
      <c r="D889" s="251">
        <v>40885</v>
      </c>
      <c r="E889" s="251" t="s">
        <v>1059</v>
      </c>
      <c r="F889" s="252">
        <v>804.38</v>
      </c>
    </row>
    <row r="890" spans="1:6" ht="15" x14ac:dyDescent="0.25">
      <c r="A890" s="90" t="s">
        <v>20</v>
      </c>
      <c r="B890" s="90" t="s">
        <v>1065</v>
      </c>
      <c r="C890" s="90">
        <v>2011490</v>
      </c>
      <c r="D890" s="251">
        <v>40886</v>
      </c>
      <c r="E890" s="251" t="s">
        <v>1060</v>
      </c>
      <c r="F890" s="252">
        <v>907.84</v>
      </c>
    </row>
    <row r="891" spans="1:6" ht="15" x14ac:dyDescent="0.25">
      <c r="A891" s="90" t="s">
        <v>20</v>
      </c>
      <c r="B891" s="90" t="s">
        <v>1065</v>
      </c>
      <c r="C891" s="90">
        <v>2011491</v>
      </c>
      <c r="D891" s="251">
        <v>40886</v>
      </c>
      <c r="E891" s="251" t="s">
        <v>1059</v>
      </c>
      <c r="F891" s="252">
        <v>141.08000000000001</v>
      </c>
    </row>
    <row r="892" spans="1:6" ht="15" x14ac:dyDescent="0.25">
      <c r="A892" s="90" t="s">
        <v>20</v>
      </c>
      <c r="B892" s="90" t="s">
        <v>1063</v>
      </c>
      <c r="C892" s="90">
        <v>2011492</v>
      </c>
      <c r="D892" s="251">
        <v>40886</v>
      </c>
      <c r="E892" s="251" t="s">
        <v>1059</v>
      </c>
      <c r="F892" s="252">
        <v>571.86</v>
      </c>
    </row>
    <row r="893" spans="1:6" ht="15" x14ac:dyDescent="0.25">
      <c r="A893" s="90" t="s">
        <v>20</v>
      </c>
      <c r="B893" s="90" t="s">
        <v>1061</v>
      </c>
      <c r="C893" s="90">
        <v>2011493</v>
      </c>
      <c r="D893" s="251">
        <v>40890</v>
      </c>
      <c r="E893" s="251" t="s">
        <v>1060</v>
      </c>
      <c r="F893" s="252">
        <v>33.81</v>
      </c>
    </row>
    <row r="894" spans="1:6" ht="15" x14ac:dyDescent="0.25">
      <c r="A894" s="90" t="s">
        <v>20</v>
      </c>
      <c r="B894" s="90" t="s">
        <v>1065</v>
      </c>
      <c r="C894" s="90">
        <v>2011494</v>
      </c>
      <c r="D894" s="251">
        <v>40890</v>
      </c>
      <c r="E894" s="251" t="s">
        <v>1060</v>
      </c>
      <c r="F894" s="252">
        <v>764.25</v>
      </c>
    </row>
    <row r="895" spans="1:6" ht="15" x14ac:dyDescent="0.25">
      <c r="A895" s="90" t="s">
        <v>22</v>
      </c>
      <c r="B895" s="90" t="s">
        <v>1062</v>
      </c>
      <c r="C895" s="90">
        <v>2011495</v>
      </c>
      <c r="D895" s="251">
        <v>40890</v>
      </c>
      <c r="E895" s="251" t="s">
        <v>1059</v>
      </c>
      <c r="F895" s="252">
        <v>278.67</v>
      </c>
    </row>
    <row r="896" spans="1:6" ht="15" x14ac:dyDescent="0.25">
      <c r="A896" s="90" t="s">
        <v>22</v>
      </c>
      <c r="B896" s="90" t="s">
        <v>1064</v>
      </c>
      <c r="C896" s="90">
        <v>2011496</v>
      </c>
      <c r="D896" s="251">
        <v>40890</v>
      </c>
      <c r="E896" s="251" t="s">
        <v>1060</v>
      </c>
      <c r="F896" s="252">
        <v>1085.06</v>
      </c>
    </row>
    <row r="897" spans="1:6" ht="15" x14ac:dyDescent="0.25">
      <c r="A897" s="90" t="s">
        <v>20</v>
      </c>
      <c r="B897" s="90" t="s">
        <v>1058</v>
      </c>
      <c r="C897" s="90">
        <v>2011497</v>
      </c>
      <c r="D897" s="251">
        <v>40891</v>
      </c>
      <c r="E897" s="251" t="s">
        <v>1060</v>
      </c>
      <c r="F897" s="252">
        <v>38.76</v>
      </c>
    </row>
    <row r="898" spans="1:6" ht="15" x14ac:dyDescent="0.25">
      <c r="A898" s="90" t="s">
        <v>20</v>
      </c>
      <c r="B898" s="90" t="s">
        <v>1061</v>
      </c>
      <c r="C898" s="90">
        <v>2011498</v>
      </c>
      <c r="D898" s="251">
        <v>40892</v>
      </c>
      <c r="E898" s="251" t="s">
        <v>1060</v>
      </c>
      <c r="F898" s="252">
        <v>865.88</v>
      </c>
    </row>
    <row r="899" spans="1:6" ht="15" x14ac:dyDescent="0.25">
      <c r="A899" s="90" t="s">
        <v>20</v>
      </c>
      <c r="B899" s="90" t="s">
        <v>1061</v>
      </c>
      <c r="C899" s="90">
        <v>2011499</v>
      </c>
      <c r="D899" s="251">
        <v>40892</v>
      </c>
      <c r="E899" s="251" t="s">
        <v>1060</v>
      </c>
      <c r="F899" s="252">
        <v>1091.99</v>
      </c>
    </row>
    <row r="900" spans="1:6" ht="15" x14ac:dyDescent="0.25">
      <c r="A900" s="90" t="s">
        <v>22</v>
      </c>
      <c r="B900" s="90" t="s">
        <v>1067</v>
      </c>
      <c r="C900" s="90">
        <v>2011500</v>
      </c>
      <c r="D900" s="251">
        <v>40892</v>
      </c>
      <c r="E900" s="251" t="s">
        <v>1060</v>
      </c>
      <c r="F900" s="252">
        <v>1006.44</v>
      </c>
    </row>
    <row r="901" spans="1:6" ht="15" x14ac:dyDescent="0.25">
      <c r="A901" s="90" t="s">
        <v>22</v>
      </c>
      <c r="B901" s="90" t="s">
        <v>1064</v>
      </c>
      <c r="C901" s="90">
        <v>2011501</v>
      </c>
      <c r="D901" s="251">
        <v>40892</v>
      </c>
      <c r="E901" s="251" t="s">
        <v>1059</v>
      </c>
      <c r="F901" s="252">
        <v>1160.73</v>
      </c>
    </row>
    <row r="902" spans="1:6" ht="15" x14ac:dyDescent="0.25">
      <c r="A902" s="90" t="s">
        <v>20</v>
      </c>
      <c r="B902" s="90" t="s">
        <v>1061</v>
      </c>
      <c r="C902" s="90">
        <v>2011502</v>
      </c>
      <c r="D902" s="251">
        <v>40893</v>
      </c>
      <c r="E902" s="251" t="s">
        <v>1059</v>
      </c>
      <c r="F902" s="252">
        <v>32.25</v>
      </c>
    </row>
    <row r="903" spans="1:6" ht="15" x14ac:dyDescent="0.25">
      <c r="A903" s="90" t="s">
        <v>22</v>
      </c>
      <c r="B903" s="90" t="s">
        <v>1064</v>
      </c>
      <c r="C903" s="90">
        <v>2011503</v>
      </c>
      <c r="D903" s="251">
        <v>40893</v>
      </c>
      <c r="E903" s="251" t="s">
        <v>1060</v>
      </c>
      <c r="F903" s="252">
        <v>1253.43</v>
      </c>
    </row>
    <row r="904" spans="1:6" ht="15" x14ac:dyDescent="0.25">
      <c r="A904" s="90" t="s">
        <v>20</v>
      </c>
      <c r="B904" s="90" t="s">
        <v>1061</v>
      </c>
      <c r="C904" s="90">
        <v>2011504</v>
      </c>
      <c r="D904" s="251">
        <v>40896</v>
      </c>
      <c r="E904" s="251" t="s">
        <v>1060</v>
      </c>
      <c r="F904" s="252">
        <v>1057.7</v>
      </c>
    </row>
    <row r="905" spans="1:6" ht="15" x14ac:dyDescent="0.25">
      <c r="A905" s="90" t="s">
        <v>20</v>
      </c>
      <c r="B905" s="90" t="s">
        <v>1065</v>
      </c>
      <c r="C905" s="90">
        <v>2011505</v>
      </c>
      <c r="D905" s="251">
        <v>40896</v>
      </c>
      <c r="E905" s="251" t="s">
        <v>1059</v>
      </c>
      <c r="F905" s="252">
        <v>1175.8499999999999</v>
      </c>
    </row>
    <row r="906" spans="1:6" ht="15" x14ac:dyDescent="0.25">
      <c r="A906" s="90" t="s">
        <v>20</v>
      </c>
      <c r="B906" s="90" t="s">
        <v>1063</v>
      </c>
      <c r="C906" s="90">
        <v>2011506</v>
      </c>
      <c r="D906" s="251">
        <v>40897</v>
      </c>
      <c r="E906" s="251" t="s">
        <v>1059</v>
      </c>
      <c r="F906" s="252">
        <v>1118.6199999999999</v>
      </c>
    </row>
    <row r="907" spans="1:6" ht="15" x14ac:dyDescent="0.25">
      <c r="A907" s="90" t="s">
        <v>20</v>
      </c>
      <c r="B907" s="90" t="s">
        <v>1058</v>
      </c>
      <c r="C907" s="90">
        <v>2011507</v>
      </c>
      <c r="D907" s="251">
        <v>40898</v>
      </c>
      <c r="E907" s="251" t="s">
        <v>1059</v>
      </c>
      <c r="F907" s="252">
        <v>906.45</v>
      </c>
    </row>
    <row r="908" spans="1:6" ht="15" x14ac:dyDescent="0.25">
      <c r="A908" s="90" t="s">
        <v>20</v>
      </c>
      <c r="B908" s="90" t="s">
        <v>1065</v>
      </c>
      <c r="C908" s="90">
        <v>2011508</v>
      </c>
      <c r="D908" s="251">
        <v>40899</v>
      </c>
      <c r="E908" s="251" t="s">
        <v>1060</v>
      </c>
      <c r="F908" s="252">
        <v>205.77</v>
      </c>
    </row>
    <row r="909" spans="1:6" ht="15" x14ac:dyDescent="0.25">
      <c r="A909" s="90" t="s">
        <v>20</v>
      </c>
      <c r="B909" s="90" t="s">
        <v>1065</v>
      </c>
      <c r="C909" s="90">
        <v>2011509</v>
      </c>
      <c r="D909" s="251">
        <v>40899</v>
      </c>
      <c r="E909" s="251" t="s">
        <v>1059</v>
      </c>
      <c r="F909" s="252">
        <v>342.93</v>
      </c>
    </row>
    <row r="910" spans="1:6" ht="15" x14ac:dyDescent="0.25">
      <c r="A910" s="90" t="s">
        <v>22</v>
      </c>
      <c r="B910" s="90" t="s">
        <v>1067</v>
      </c>
      <c r="C910" s="90">
        <v>2011510</v>
      </c>
      <c r="D910" s="251">
        <v>40900</v>
      </c>
      <c r="E910" s="251" t="s">
        <v>1059</v>
      </c>
      <c r="F910" s="252">
        <v>448.69</v>
      </c>
    </row>
    <row r="911" spans="1:6" ht="15" x14ac:dyDescent="0.25">
      <c r="A911" s="90" t="s">
        <v>22</v>
      </c>
      <c r="B911" s="90" t="s">
        <v>1064</v>
      </c>
      <c r="C911" s="90">
        <v>2011511</v>
      </c>
      <c r="D911" s="251">
        <v>40900</v>
      </c>
      <c r="E911" s="251" t="s">
        <v>1060</v>
      </c>
      <c r="F911" s="252">
        <v>119.6</v>
      </c>
    </row>
    <row r="912" spans="1:6" ht="15" x14ac:dyDescent="0.25">
      <c r="A912" s="90" t="s">
        <v>20</v>
      </c>
      <c r="B912" s="90" t="s">
        <v>1058</v>
      </c>
      <c r="C912" s="90">
        <v>2011512</v>
      </c>
      <c r="D912" s="251">
        <v>40903</v>
      </c>
      <c r="E912" s="251" t="s">
        <v>1060</v>
      </c>
      <c r="F912" s="252">
        <v>110.59</v>
      </c>
    </row>
    <row r="913" spans="1:6" ht="15" x14ac:dyDescent="0.25">
      <c r="A913" s="90" t="s">
        <v>22</v>
      </c>
      <c r="B913" s="90" t="s">
        <v>1070</v>
      </c>
      <c r="C913" s="90">
        <v>2011513</v>
      </c>
      <c r="D913" s="251">
        <v>40903</v>
      </c>
      <c r="E913" s="251" t="s">
        <v>1060</v>
      </c>
      <c r="F913" s="252">
        <v>1205.02</v>
      </c>
    </row>
    <row r="914" spans="1:6" ht="15" x14ac:dyDescent="0.25">
      <c r="A914" s="90" t="s">
        <v>22</v>
      </c>
      <c r="B914" s="90" t="s">
        <v>1067</v>
      </c>
      <c r="C914" s="90">
        <v>2011514</v>
      </c>
      <c r="D914" s="251">
        <v>40903</v>
      </c>
      <c r="E914" s="251" t="s">
        <v>1059</v>
      </c>
      <c r="F914" s="252">
        <v>468.11</v>
      </c>
    </row>
    <row r="915" spans="1:6" ht="15" x14ac:dyDescent="0.25">
      <c r="A915" s="90" t="s">
        <v>22</v>
      </c>
      <c r="B915" s="90" t="s">
        <v>1067</v>
      </c>
      <c r="C915" s="90">
        <v>2011515</v>
      </c>
      <c r="D915" s="251">
        <v>40903</v>
      </c>
      <c r="E915" s="251" t="s">
        <v>1060</v>
      </c>
      <c r="F915" s="252">
        <v>541.37</v>
      </c>
    </row>
    <row r="916" spans="1:6" ht="15" x14ac:dyDescent="0.25">
      <c r="A916" s="90" t="s">
        <v>20</v>
      </c>
      <c r="B916" s="90" t="s">
        <v>1066</v>
      </c>
      <c r="C916" s="90">
        <v>2011516</v>
      </c>
      <c r="D916" s="251">
        <v>40904</v>
      </c>
      <c r="E916" s="251" t="s">
        <v>1060</v>
      </c>
      <c r="F916" s="252">
        <v>900</v>
      </c>
    </row>
    <row r="917" spans="1:6" ht="15" x14ac:dyDescent="0.25">
      <c r="A917" s="90" t="s">
        <v>20</v>
      </c>
      <c r="B917" s="90" t="s">
        <v>1065</v>
      </c>
      <c r="C917" s="90">
        <v>2011517</v>
      </c>
      <c r="D917" s="251">
        <v>40906</v>
      </c>
      <c r="E917" s="251" t="s">
        <v>1060</v>
      </c>
      <c r="F917" s="252">
        <v>329.38</v>
      </c>
    </row>
    <row r="918" spans="1:6" ht="15" x14ac:dyDescent="0.25">
      <c r="A918" s="90" t="s">
        <v>22</v>
      </c>
      <c r="B918" s="90" t="s">
        <v>1068</v>
      </c>
      <c r="C918" s="90">
        <v>2011518</v>
      </c>
      <c r="D918" s="251">
        <v>40906</v>
      </c>
      <c r="E918" s="251" t="s">
        <v>1060</v>
      </c>
      <c r="F918" s="252">
        <v>612.55999999999995</v>
      </c>
    </row>
    <row r="919" spans="1:6" ht="15" x14ac:dyDescent="0.25">
      <c r="A919" s="90" t="s">
        <v>20</v>
      </c>
      <c r="B919" s="90" t="s">
        <v>1061</v>
      </c>
      <c r="C919" s="90">
        <v>2011519</v>
      </c>
      <c r="D919" s="251">
        <v>40907</v>
      </c>
      <c r="E919" s="251" t="s">
        <v>1060</v>
      </c>
      <c r="F919" s="252">
        <v>620.66</v>
      </c>
    </row>
    <row r="920" spans="1:6" ht="15" x14ac:dyDescent="0.25">
      <c r="A920" s="90" t="s">
        <v>20</v>
      </c>
      <c r="B920" s="90" t="s">
        <v>1066</v>
      </c>
      <c r="C920" s="90">
        <v>2011520</v>
      </c>
      <c r="D920" s="251">
        <v>40907</v>
      </c>
      <c r="E920" s="251" t="s">
        <v>1060</v>
      </c>
      <c r="F920" s="252">
        <v>213.33</v>
      </c>
    </row>
    <row r="921" spans="1:6" ht="15" x14ac:dyDescent="0.25">
      <c r="A921" s="90" t="s">
        <v>20</v>
      </c>
      <c r="B921" s="90" t="s">
        <v>1065</v>
      </c>
      <c r="C921" s="90">
        <v>2011521</v>
      </c>
      <c r="D921" s="251">
        <v>40907</v>
      </c>
      <c r="E921" s="251" t="s">
        <v>1059</v>
      </c>
      <c r="F921" s="252">
        <v>874.89</v>
      </c>
    </row>
    <row r="922" spans="1:6" ht="15" x14ac:dyDescent="0.25">
      <c r="A922" s="90" t="s">
        <v>22</v>
      </c>
      <c r="B922" s="90" t="s">
        <v>1069</v>
      </c>
      <c r="C922" s="90">
        <v>2011522</v>
      </c>
      <c r="D922" s="251">
        <v>40907</v>
      </c>
      <c r="E922" s="251" t="s">
        <v>1060</v>
      </c>
      <c r="F922" s="252">
        <v>104.76</v>
      </c>
    </row>
    <row r="923" spans="1:6" ht="15" x14ac:dyDescent="0.25">
      <c r="A923" s="90" t="s">
        <v>22</v>
      </c>
      <c r="B923" s="90" t="s">
        <v>1067</v>
      </c>
      <c r="C923" s="90">
        <v>2011523</v>
      </c>
      <c r="D923" s="251">
        <v>40907</v>
      </c>
      <c r="E923" s="251" t="s">
        <v>1060</v>
      </c>
      <c r="F923" s="252">
        <v>1023.52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A053-BE23-4531-B31B-FBC1F0E37E38}">
  <dimension ref="A1:A12"/>
  <sheetViews>
    <sheetView workbookViewId="0">
      <selection activeCell="C20" sqref="C20"/>
    </sheetView>
  </sheetViews>
  <sheetFormatPr defaultRowHeight="15" x14ac:dyDescent="0.25"/>
  <sheetData>
    <row r="1" spans="1:1" x14ac:dyDescent="0.25">
      <c r="A1" t="s">
        <v>203</v>
      </c>
    </row>
    <row r="2" spans="1:1" x14ac:dyDescent="0.25">
      <c r="A2" t="s">
        <v>204</v>
      </c>
    </row>
    <row r="3" spans="1:1" x14ac:dyDescent="0.25">
      <c r="A3" t="s">
        <v>205</v>
      </c>
    </row>
    <row r="4" spans="1:1" x14ac:dyDescent="0.25">
      <c r="A4" t="s">
        <v>839</v>
      </c>
    </row>
    <row r="5" spans="1:1" x14ac:dyDescent="0.25">
      <c r="A5" t="s">
        <v>125</v>
      </c>
    </row>
    <row r="6" spans="1:1" x14ac:dyDescent="0.25">
      <c r="A6" t="s">
        <v>840</v>
      </c>
    </row>
    <row r="7" spans="1:1" x14ac:dyDescent="0.25">
      <c r="A7" t="s">
        <v>841</v>
      </c>
    </row>
    <row r="8" spans="1:1" x14ac:dyDescent="0.25">
      <c r="A8" t="s">
        <v>842</v>
      </c>
    </row>
    <row r="9" spans="1:1" x14ac:dyDescent="0.25">
      <c r="A9" t="s">
        <v>843</v>
      </c>
    </row>
    <row r="10" spans="1:1" x14ac:dyDescent="0.25">
      <c r="A10" t="s">
        <v>844</v>
      </c>
    </row>
    <row r="11" spans="1:1" x14ac:dyDescent="0.25">
      <c r="A11" t="s">
        <v>845</v>
      </c>
    </row>
    <row r="12" spans="1:1" x14ac:dyDescent="0.25">
      <c r="A12" t="s">
        <v>846</v>
      </c>
    </row>
  </sheetData>
  <phoneticPr fontId="39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E563-02FD-4CD7-A57E-D2EB2D2A8FB9}">
  <dimension ref="A1:A3"/>
  <sheetViews>
    <sheetView workbookViewId="0">
      <selection activeCell="H24" sqref="H24"/>
    </sheetView>
  </sheetViews>
  <sheetFormatPr defaultRowHeight="15" x14ac:dyDescent="0.25"/>
  <sheetData>
    <row r="1" spans="1:1" x14ac:dyDescent="0.25">
      <c r="A1">
        <v>100</v>
      </c>
    </row>
    <row r="2" spans="1:1" x14ac:dyDescent="0.25">
      <c r="A2">
        <v>275</v>
      </c>
    </row>
    <row r="3" spans="1:1" x14ac:dyDescent="0.25">
      <c r="A3">
        <f>Verkopen-Inkopen</f>
        <v>175</v>
      </c>
    </row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2.75" x14ac:dyDescent="0.2"/>
  <cols>
    <col min="1" max="1" width="9.140625" style="61"/>
    <col min="2" max="2" width="10.85546875" style="61" bestFit="1" customWidth="1"/>
    <col min="3" max="4" width="9.140625" style="61"/>
    <col min="5" max="5" width="23.85546875" style="61" bestFit="1" customWidth="1"/>
    <col min="6" max="16384" width="9.140625" style="61"/>
  </cols>
  <sheetData>
    <row r="1" spans="1:5" x14ac:dyDescent="0.2">
      <c r="A1" s="61" t="s">
        <v>210</v>
      </c>
      <c r="B1" s="61" t="s">
        <v>42</v>
      </c>
      <c r="C1" s="61" t="s">
        <v>211</v>
      </c>
      <c r="D1" s="61" t="s">
        <v>212</v>
      </c>
      <c r="E1" s="61" t="s">
        <v>85</v>
      </c>
    </row>
    <row r="2" spans="1:5" ht="15" x14ac:dyDescent="0.25">
      <c r="A2" s="62">
        <v>11263</v>
      </c>
      <c r="B2" s="63">
        <v>1250</v>
      </c>
      <c r="C2" s="64">
        <v>3</v>
      </c>
      <c r="D2" s="65">
        <v>0.25</v>
      </c>
      <c r="E2" s="66">
        <v>40210</v>
      </c>
    </row>
    <row r="3" spans="1:5" ht="15" x14ac:dyDescent="0.25">
      <c r="A3" s="62">
        <v>11264</v>
      </c>
      <c r="B3" s="63">
        <v>345</v>
      </c>
      <c r="C3" s="64">
        <v>12</v>
      </c>
      <c r="D3" s="67">
        <v>0.125</v>
      </c>
      <c r="E3" s="66">
        <v>40219</v>
      </c>
    </row>
    <row r="4" spans="1:5" ht="15" x14ac:dyDescent="0.25">
      <c r="A4" s="62">
        <v>11265</v>
      </c>
      <c r="B4" s="63">
        <v>62.75</v>
      </c>
      <c r="C4" s="64">
        <v>185</v>
      </c>
      <c r="D4" s="68">
        <v>8.3500000000000005E-2</v>
      </c>
      <c r="E4" s="61">
        <v>40456</v>
      </c>
    </row>
    <row r="5" spans="1:5" ht="15" x14ac:dyDescent="0.25">
      <c r="A5" s="62">
        <v>11266</v>
      </c>
      <c r="B5" s="63">
        <v>8.5</v>
      </c>
      <c r="C5" s="64">
        <v>1472</v>
      </c>
      <c r="D5" s="69">
        <v>2.1739999999999999E-2</v>
      </c>
      <c r="E5" s="61">
        <v>40483</v>
      </c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F91B-DD18-43ED-93DF-5C3214F314F9}">
  <dimension ref="A1:L115"/>
  <sheetViews>
    <sheetView workbookViewId="0">
      <selection activeCell="B26" sqref="B26"/>
    </sheetView>
  </sheetViews>
  <sheetFormatPr defaultRowHeight="10.5" x14ac:dyDescent="0.15"/>
  <cols>
    <col min="1" max="1" width="8.42578125" style="207" customWidth="1"/>
    <col min="2" max="2" width="13.140625" style="207" customWidth="1"/>
    <col min="3" max="3" width="11.42578125" style="207" customWidth="1"/>
    <col min="4" max="4" width="20.5703125" style="207" bestFit="1" customWidth="1"/>
    <col min="5" max="5" width="13.5703125" style="207" bestFit="1" customWidth="1"/>
    <col min="6" max="6" width="9.28515625" style="207" bestFit="1" customWidth="1"/>
    <col min="7" max="7" width="11.140625" style="210" bestFit="1" customWidth="1"/>
    <col min="8" max="8" width="12.85546875" style="209" customWidth="1"/>
    <col min="9" max="10" width="9.140625" style="118"/>
    <col min="11" max="11" width="13.5703125" style="118" bestFit="1" customWidth="1"/>
    <col min="12" max="12" width="20.5703125" style="118" bestFit="1" customWidth="1"/>
    <col min="13" max="16384" width="9.140625" style="118"/>
  </cols>
  <sheetData>
    <row r="1" spans="1:12" x14ac:dyDescent="0.15">
      <c r="A1" s="204" t="s">
        <v>489</v>
      </c>
      <c r="B1" s="204" t="s">
        <v>490</v>
      </c>
      <c r="C1" s="204" t="s">
        <v>491</v>
      </c>
      <c r="D1" s="204" t="s">
        <v>492</v>
      </c>
      <c r="E1" s="204" t="s">
        <v>493</v>
      </c>
      <c r="F1" s="204" t="s">
        <v>494</v>
      </c>
      <c r="G1" s="205" t="s">
        <v>495</v>
      </c>
      <c r="H1" s="206" t="s">
        <v>168</v>
      </c>
    </row>
    <row r="2" spans="1:12" ht="15" x14ac:dyDescent="0.25">
      <c r="A2" s="207">
        <v>1975</v>
      </c>
      <c r="B2" s="207" t="s">
        <v>496</v>
      </c>
      <c r="C2" s="207" t="s">
        <v>497</v>
      </c>
      <c r="D2" s="207" t="s">
        <v>498</v>
      </c>
      <c r="E2" s="207" t="s">
        <v>499</v>
      </c>
      <c r="F2" s="207" t="s">
        <v>500</v>
      </c>
      <c r="G2" s="208">
        <v>21887.95</v>
      </c>
      <c r="H2" s="209">
        <v>33365</v>
      </c>
      <c r="K2" s="118" t="s">
        <v>501</v>
      </c>
      <c r="L2" s="118" t="s">
        <v>502</v>
      </c>
    </row>
    <row r="3" spans="1:12" ht="15" x14ac:dyDescent="0.25">
      <c r="A3" s="207">
        <v>1976</v>
      </c>
      <c r="B3" s="207" t="s">
        <v>503</v>
      </c>
      <c r="C3" s="207" t="s">
        <v>504</v>
      </c>
      <c r="D3" s="207" t="s">
        <v>505</v>
      </c>
      <c r="E3" s="207" t="s">
        <v>506</v>
      </c>
      <c r="F3" s="207" t="s">
        <v>507</v>
      </c>
      <c r="G3" s="208">
        <v>23035.88</v>
      </c>
      <c r="H3" s="209">
        <v>33357</v>
      </c>
    </row>
    <row r="4" spans="1:12" ht="15" x14ac:dyDescent="0.25">
      <c r="A4" s="207">
        <v>1168</v>
      </c>
      <c r="B4" s="207" t="s">
        <v>508</v>
      </c>
      <c r="C4" s="207" t="s">
        <v>509</v>
      </c>
      <c r="D4" s="207" t="s">
        <v>505</v>
      </c>
      <c r="E4" s="207" t="s">
        <v>506</v>
      </c>
      <c r="F4" s="207" t="s">
        <v>510</v>
      </c>
      <c r="G4" s="208">
        <v>23035.88</v>
      </c>
      <c r="H4" s="209">
        <v>33338</v>
      </c>
      <c r="K4" s="118" t="str" cm="1">
        <f t="array" ref="K4:K9">_xlfn._xlws.SORT(_xlfn.UNIQUE(Personeelstabel[Afdeling]))</f>
        <v>Accounting</v>
      </c>
      <c r="L4" s="118" t="str" cm="1">
        <f t="array" ref="L4:L23">_xlfn._xlws.SORT(_xlfn.UNIQUE(Personeelstabel[Functie]))</f>
        <v>Accountant</v>
      </c>
    </row>
    <row r="5" spans="1:12" ht="15" x14ac:dyDescent="0.25">
      <c r="A5" s="207">
        <v>1169</v>
      </c>
      <c r="B5" s="207" t="s">
        <v>511</v>
      </c>
      <c r="C5" s="207" t="s">
        <v>485</v>
      </c>
      <c r="D5" s="207" t="s">
        <v>512</v>
      </c>
      <c r="E5" s="207" t="s">
        <v>506</v>
      </c>
      <c r="F5" s="207" t="s">
        <v>500</v>
      </c>
      <c r="G5" s="208">
        <v>34002.050000000003</v>
      </c>
      <c r="H5" s="209">
        <v>33890</v>
      </c>
      <c r="K5" s="118" t="str">
        <v>Administratie</v>
      </c>
      <c r="L5" s="118" t="str">
        <v>Admin. medew.</v>
      </c>
    </row>
    <row r="6" spans="1:12" ht="15" x14ac:dyDescent="0.25">
      <c r="A6" s="207">
        <v>1167</v>
      </c>
      <c r="B6" s="207" t="s">
        <v>513</v>
      </c>
      <c r="C6" s="207" t="s">
        <v>514</v>
      </c>
      <c r="D6" s="207" t="s">
        <v>515</v>
      </c>
      <c r="E6" s="207" t="s">
        <v>516</v>
      </c>
      <c r="F6" s="207" t="s">
        <v>500</v>
      </c>
      <c r="G6" s="208">
        <v>31913.88</v>
      </c>
      <c r="H6" s="209">
        <v>33346</v>
      </c>
      <c r="K6" s="118" t="str">
        <v>Marketing</v>
      </c>
      <c r="L6" s="118" t="str">
        <v>Admin. medew. groep</v>
      </c>
    </row>
    <row r="7" spans="1:12" ht="15" x14ac:dyDescent="0.25">
      <c r="A7" s="207">
        <v>1931</v>
      </c>
      <c r="B7" s="207" t="s">
        <v>517</v>
      </c>
      <c r="C7" s="207" t="s">
        <v>518</v>
      </c>
      <c r="D7" s="207" t="s">
        <v>519</v>
      </c>
      <c r="E7" s="207" t="s">
        <v>499</v>
      </c>
      <c r="F7" s="207" t="s">
        <v>500</v>
      </c>
      <c r="G7" s="208">
        <v>26101.439999999999</v>
      </c>
      <c r="H7" s="209">
        <v>32679</v>
      </c>
      <c r="K7" s="118" t="str">
        <v>Onderz. &amp; ontwik.</v>
      </c>
      <c r="L7" s="118" t="str">
        <v>Assist. accountant</v>
      </c>
    </row>
    <row r="8" spans="1:12" ht="15" x14ac:dyDescent="0.25">
      <c r="A8" s="207">
        <v>1967</v>
      </c>
      <c r="B8" s="207" t="s">
        <v>520</v>
      </c>
      <c r="C8" s="207" t="s">
        <v>521</v>
      </c>
      <c r="D8" s="207" t="s">
        <v>522</v>
      </c>
      <c r="E8" s="207" t="s">
        <v>523</v>
      </c>
      <c r="F8" s="207" t="s">
        <v>500</v>
      </c>
      <c r="G8" s="208">
        <v>23212.32</v>
      </c>
      <c r="H8" s="209">
        <v>33551</v>
      </c>
      <c r="K8" s="118" t="str">
        <v>Ontwerpafdeling</v>
      </c>
      <c r="L8" s="118" t="str">
        <v>Assist. technicus</v>
      </c>
    </row>
    <row r="9" spans="1:12" ht="15" x14ac:dyDescent="0.25">
      <c r="A9" s="207">
        <v>1676</v>
      </c>
      <c r="B9" s="207" t="s">
        <v>524</v>
      </c>
      <c r="C9" s="207" t="s">
        <v>525</v>
      </c>
      <c r="D9" s="207" t="s">
        <v>522</v>
      </c>
      <c r="E9" s="207" t="s">
        <v>523</v>
      </c>
      <c r="F9" s="207" t="s">
        <v>500</v>
      </c>
      <c r="G9" s="208">
        <v>23212.32</v>
      </c>
      <c r="H9" s="209">
        <v>29877</v>
      </c>
      <c r="K9" s="118" t="str">
        <v>Vormgeving</v>
      </c>
      <c r="L9" s="118" t="str">
        <v>Assist. vormgeving</v>
      </c>
    </row>
    <row r="10" spans="1:12" ht="15" x14ac:dyDescent="0.25">
      <c r="A10" s="207">
        <v>1075</v>
      </c>
      <c r="B10" s="207" t="s">
        <v>526</v>
      </c>
      <c r="C10" s="207" t="s">
        <v>527</v>
      </c>
      <c r="D10" s="207" t="s">
        <v>528</v>
      </c>
      <c r="E10" s="207" t="s">
        <v>529</v>
      </c>
      <c r="F10" s="207" t="s">
        <v>507</v>
      </c>
      <c r="G10" s="208">
        <v>23239.439999999999</v>
      </c>
      <c r="H10" s="209">
        <v>33823</v>
      </c>
      <c r="L10" s="118" t="str">
        <v>Bureaumanager</v>
      </c>
    </row>
    <row r="11" spans="1:12" ht="15" x14ac:dyDescent="0.25">
      <c r="A11" s="207">
        <v>1966</v>
      </c>
      <c r="B11" s="207" t="s">
        <v>530</v>
      </c>
      <c r="C11" s="207" t="s">
        <v>531</v>
      </c>
      <c r="D11" s="207" t="s">
        <v>528</v>
      </c>
      <c r="E11" s="207" t="s">
        <v>529</v>
      </c>
      <c r="F11" s="207" t="s">
        <v>510</v>
      </c>
      <c r="G11" s="208">
        <v>23239.439999999999</v>
      </c>
      <c r="H11" s="209">
        <v>33559</v>
      </c>
      <c r="L11" s="118" t="str">
        <v>Groepmanager</v>
      </c>
    </row>
    <row r="12" spans="1:12" ht="15" x14ac:dyDescent="0.25">
      <c r="A12" s="207">
        <v>1816</v>
      </c>
      <c r="B12" s="207" t="s">
        <v>532</v>
      </c>
      <c r="C12" s="207" t="s">
        <v>533</v>
      </c>
      <c r="D12" s="207" t="s">
        <v>512</v>
      </c>
      <c r="E12" s="207" t="s">
        <v>506</v>
      </c>
      <c r="F12" s="207" t="s">
        <v>510</v>
      </c>
      <c r="G12" s="208">
        <v>35480.400000000001</v>
      </c>
      <c r="H12" s="209">
        <v>33062</v>
      </c>
      <c r="L12" s="118" t="str">
        <v>Leidinggev. ontwerpafd.</v>
      </c>
    </row>
    <row r="13" spans="1:12" ht="15" x14ac:dyDescent="0.25">
      <c r="A13" s="207">
        <v>1814</v>
      </c>
      <c r="B13" s="207" t="s">
        <v>534</v>
      </c>
      <c r="C13" s="207" t="s">
        <v>535</v>
      </c>
      <c r="D13" s="207" t="s">
        <v>536</v>
      </c>
      <c r="E13" s="207" t="s">
        <v>506</v>
      </c>
      <c r="F13" s="207" t="s">
        <v>510</v>
      </c>
      <c r="G13" s="208">
        <v>21303.599999999999</v>
      </c>
      <c r="H13" s="209">
        <v>32571</v>
      </c>
      <c r="L13" s="118" t="str">
        <v>Machinetechnicus</v>
      </c>
    </row>
    <row r="14" spans="1:12" ht="15" x14ac:dyDescent="0.25">
      <c r="A14" s="207">
        <v>1968</v>
      </c>
      <c r="B14" s="207" t="s">
        <v>537</v>
      </c>
      <c r="C14" s="207" t="s">
        <v>538</v>
      </c>
      <c r="D14" s="207" t="s">
        <v>539</v>
      </c>
      <c r="E14" s="207" t="s">
        <v>516</v>
      </c>
      <c r="F14" s="207" t="s">
        <v>500</v>
      </c>
      <c r="G14" s="208">
        <v>35989.199999999997</v>
      </c>
      <c r="H14" s="209">
        <v>33970</v>
      </c>
      <c r="L14" s="118" t="str">
        <v>Manager ontwerpafd.</v>
      </c>
    </row>
    <row r="15" spans="1:12" ht="15" x14ac:dyDescent="0.25">
      <c r="A15" s="207">
        <v>1675</v>
      </c>
      <c r="B15" s="207" t="s">
        <v>540</v>
      </c>
      <c r="C15" s="207" t="s">
        <v>541</v>
      </c>
      <c r="D15" s="207" t="s">
        <v>515</v>
      </c>
      <c r="E15" s="207" t="s">
        <v>516</v>
      </c>
      <c r="F15" s="207" t="s">
        <v>500</v>
      </c>
      <c r="G15" s="208">
        <v>33301.440000000002</v>
      </c>
      <c r="H15" s="209">
        <v>29885</v>
      </c>
      <c r="L15" s="118" t="str">
        <v>Onderzoeker</v>
      </c>
    </row>
    <row r="16" spans="1:12" ht="15" x14ac:dyDescent="0.25">
      <c r="A16" s="207">
        <v>1677</v>
      </c>
      <c r="B16" s="207" t="s">
        <v>542</v>
      </c>
      <c r="C16" s="207" t="s">
        <v>543</v>
      </c>
      <c r="D16" s="207" t="s">
        <v>544</v>
      </c>
      <c r="E16" s="207" t="s">
        <v>545</v>
      </c>
      <c r="F16" s="207" t="s">
        <v>510</v>
      </c>
      <c r="G16" s="208">
        <v>37895.519999999997</v>
      </c>
      <c r="H16" s="209">
        <v>32087</v>
      </c>
      <c r="L16" s="118" t="str">
        <v>Produkt-marketer</v>
      </c>
    </row>
    <row r="17" spans="1:12" ht="15" x14ac:dyDescent="0.25">
      <c r="A17" s="207">
        <v>1793</v>
      </c>
      <c r="B17" s="207" t="s">
        <v>546</v>
      </c>
      <c r="C17" s="207" t="s">
        <v>547</v>
      </c>
      <c r="D17" s="207" t="s">
        <v>522</v>
      </c>
      <c r="E17" s="207" t="s">
        <v>523</v>
      </c>
      <c r="F17" s="207" t="s">
        <v>510</v>
      </c>
      <c r="G17" s="208">
        <v>24179.5</v>
      </c>
      <c r="H17" s="209">
        <v>33223</v>
      </c>
      <c r="L17" s="118" t="str">
        <v>Senior medew. ontwerpafd.</v>
      </c>
    </row>
    <row r="18" spans="1:12" ht="15" x14ac:dyDescent="0.25">
      <c r="A18" s="207">
        <v>1792</v>
      </c>
      <c r="B18" s="207" t="s">
        <v>548</v>
      </c>
      <c r="C18" s="207" t="s">
        <v>549</v>
      </c>
      <c r="D18" s="207" t="s">
        <v>550</v>
      </c>
      <c r="E18" s="207" t="s">
        <v>529</v>
      </c>
      <c r="F18" s="207" t="s">
        <v>500</v>
      </c>
      <c r="G18" s="208">
        <v>28859.25</v>
      </c>
      <c r="H18" s="209">
        <v>33231</v>
      </c>
      <c r="L18" s="118" t="str">
        <v>Software-ontwikkelaar</v>
      </c>
    </row>
    <row r="19" spans="1:12" ht="15" x14ac:dyDescent="0.25">
      <c r="A19" s="207">
        <v>1794</v>
      </c>
      <c r="B19" s="207" t="s">
        <v>551</v>
      </c>
      <c r="C19" s="207" t="s">
        <v>552</v>
      </c>
      <c r="D19" s="207" t="s">
        <v>539</v>
      </c>
      <c r="E19" s="207" t="s">
        <v>516</v>
      </c>
      <c r="F19" s="207" t="s">
        <v>510</v>
      </c>
      <c r="G19" s="208">
        <v>37488.75</v>
      </c>
      <c r="H19" s="209">
        <v>31034</v>
      </c>
      <c r="L19" s="118" t="str">
        <v>Specialist vormgeving</v>
      </c>
    </row>
    <row r="20" spans="1:12" ht="15" x14ac:dyDescent="0.25">
      <c r="A20" s="207">
        <v>1426</v>
      </c>
      <c r="B20" s="207" t="s">
        <v>553</v>
      </c>
      <c r="C20" s="207" t="s">
        <v>485</v>
      </c>
      <c r="D20" s="207" t="s">
        <v>515</v>
      </c>
      <c r="E20" s="207" t="s">
        <v>516</v>
      </c>
      <c r="F20" s="207" t="s">
        <v>510</v>
      </c>
      <c r="G20" s="208">
        <v>34689</v>
      </c>
      <c r="H20" s="209">
        <v>28376</v>
      </c>
      <c r="L20" s="118" t="str">
        <v>Technicus</v>
      </c>
    </row>
    <row r="21" spans="1:12" ht="15" x14ac:dyDescent="0.25">
      <c r="A21" s="207">
        <v>1530</v>
      </c>
      <c r="B21" s="207" t="s">
        <v>554</v>
      </c>
      <c r="C21" s="207" t="s">
        <v>555</v>
      </c>
      <c r="D21" s="207" t="s">
        <v>522</v>
      </c>
      <c r="E21" s="207" t="s">
        <v>523</v>
      </c>
      <c r="F21" s="207" t="s">
        <v>507</v>
      </c>
      <c r="G21" s="208">
        <v>25146.68</v>
      </c>
      <c r="H21" s="209">
        <v>33258</v>
      </c>
      <c r="L21" s="118" t="str">
        <v>Unitmanager</v>
      </c>
    </row>
    <row r="22" spans="1:12" ht="15" x14ac:dyDescent="0.25">
      <c r="A22" s="207">
        <v>1054</v>
      </c>
      <c r="B22" s="207" t="s">
        <v>556</v>
      </c>
      <c r="C22" s="207" t="s">
        <v>557</v>
      </c>
      <c r="D22" s="207" t="s">
        <v>528</v>
      </c>
      <c r="E22" s="207" t="s">
        <v>529</v>
      </c>
      <c r="F22" s="207" t="s">
        <v>500</v>
      </c>
      <c r="G22" s="208">
        <v>25176.06</v>
      </c>
      <c r="H22" s="209">
        <v>33344</v>
      </c>
      <c r="L22" s="118" t="str">
        <v>Vertegenwoordiger</v>
      </c>
    </row>
    <row r="23" spans="1:12" ht="15" x14ac:dyDescent="0.25">
      <c r="A23" s="207">
        <v>1977</v>
      </c>
      <c r="B23" s="207" t="s">
        <v>558</v>
      </c>
      <c r="C23" s="207" t="s">
        <v>559</v>
      </c>
      <c r="D23" s="207" t="s">
        <v>550</v>
      </c>
      <c r="E23" s="207" t="s">
        <v>529</v>
      </c>
      <c r="F23" s="207" t="s">
        <v>500</v>
      </c>
      <c r="G23" s="208">
        <v>30013.62</v>
      </c>
      <c r="H23" s="209">
        <v>29385</v>
      </c>
      <c r="L23" s="118" t="str">
        <v>Wetensch. onderzoeker</v>
      </c>
    </row>
    <row r="24" spans="1:12" ht="15" x14ac:dyDescent="0.25">
      <c r="A24" s="207">
        <v>1529</v>
      </c>
      <c r="B24" s="207" t="s">
        <v>560</v>
      </c>
      <c r="C24" s="207" t="s">
        <v>561</v>
      </c>
      <c r="D24" s="207" t="s">
        <v>522</v>
      </c>
      <c r="E24" s="207" t="s">
        <v>506</v>
      </c>
      <c r="F24" s="207" t="s">
        <v>507</v>
      </c>
      <c r="G24" s="208">
        <v>25146.68</v>
      </c>
      <c r="H24" s="209">
        <v>31805</v>
      </c>
    </row>
    <row r="25" spans="1:12" ht="15" x14ac:dyDescent="0.25">
      <c r="A25" s="207">
        <v>1978</v>
      </c>
      <c r="B25" s="207" t="s">
        <v>562</v>
      </c>
      <c r="C25" s="207" t="s">
        <v>280</v>
      </c>
      <c r="D25" s="207" t="s">
        <v>563</v>
      </c>
      <c r="E25" s="207" t="s">
        <v>506</v>
      </c>
      <c r="F25" s="207" t="s">
        <v>510</v>
      </c>
      <c r="G25" s="208">
        <v>51878.84</v>
      </c>
      <c r="H25" s="209">
        <v>29377</v>
      </c>
    </row>
    <row r="26" spans="1:12" ht="15" x14ac:dyDescent="0.25">
      <c r="A26" s="207">
        <v>1055</v>
      </c>
      <c r="B26" s="207" t="s">
        <v>564</v>
      </c>
      <c r="C26" s="207" t="s">
        <v>565</v>
      </c>
      <c r="D26" s="207" t="s">
        <v>505</v>
      </c>
      <c r="E26" s="207" t="s">
        <v>516</v>
      </c>
      <c r="F26" s="207" t="s">
        <v>500</v>
      </c>
      <c r="G26" s="208">
        <v>26040.560000000001</v>
      </c>
      <c r="H26" s="209">
        <v>33336</v>
      </c>
    </row>
    <row r="27" spans="1:12" ht="15" x14ac:dyDescent="0.25">
      <c r="A27" s="207">
        <v>1531</v>
      </c>
      <c r="B27" s="207" t="s">
        <v>566</v>
      </c>
      <c r="C27" s="207" t="s">
        <v>567</v>
      </c>
      <c r="D27" s="207" t="s">
        <v>544</v>
      </c>
      <c r="E27" s="207" t="s">
        <v>545</v>
      </c>
      <c r="F27" s="207" t="s">
        <v>500</v>
      </c>
      <c r="G27" s="208">
        <v>41053.480000000003</v>
      </c>
      <c r="H27" s="209">
        <v>31543</v>
      </c>
    </row>
    <row r="28" spans="1:12" ht="15" x14ac:dyDescent="0.25">
      <c r="A28" s="207">
        <v>1290</v>
      </c>
      <c r="B28" s="207" t="s">
        <v>568</v>
      </c>
      <c r="C28" s="207" t="s">
        <v>569</v>
      </c>
      <c r="D28" s="207" t="s">
        <v>522</v>
      </c>
      <c r="E28" s="207" t="s">
        <v>523</v>
      </c>
      <c r="F28" s="207" t="s">
        <v>510</v>
      </c>
      <c r="G28" s="208">
        <v>26113.86</v>
      </c>
      <c r="H28" s="209">
        <v>31050</v>
      </c>
    </row>
    <row r="29" spans="1:12" ht="15" x14ac:dyDescent="0.25">
      <c r="A29" s="207">
        <v>1300</v>
      </c>
      <c r="B29" s="207" t="s">
        <v>570</v>
      </c>
      <c r="C29" s="207" t="s">
        <v>571</v>
      </c>
      <c r="D29" s="207" t="s">
        <v>519</v>
      </c>
      <c r="E29" s="207" t="s">
        <v>499</v>
      </c>
      <c r="F29" s="207" t="s">
        <v>507</v>
      </c>
      <c r="G29" s="208">
        <v>30451.68</v>
      </c>
      <c r="H29" s="209">
        <v>32855</v>
      </c>
    </row>
    <row r="30" spans="1:12" ht="15" x14ac:dyDescent="0.25">
      <c r="A30" s="207">
        <v>1152</v>
      </c>
      <c r="B30" s="207" t="s">
        <v>572</v>
      </c>
      <c r="C30" s="207" t="s">
        <v>573</v>
      </c>
      <c r="D30" s="207" t="s">
        <v>498</v>
      </c>
      <c r="E30" s="207" t="s">
        <v>499</v>
      </c>
      <c r="F30" s="207" t="s">
        <v>507</v>
      </c>
      <c r="G30" s="208">
        <v>26646.2</v>
      </c>
      <c r="H30" s="209">
        <v>32894</v>
      </c>
    </row>
    <row r="31" spans="1:12" ht="15" x14ac:dyDescent="0.25">
      <c r="A31" s="207">
        <v>1960</v>
      </c>
      <c r="B31" s="207" t="s">
        <v>574</v>
      </c>
      <c r="C31" s="207" t="s">
        <v>575</v>
      </c>
      <c r="D31" s="207" t="s">
        <v>505</v>
      </c>
      <c r="E31" s="207" t="s">
        <v>499</v>
      </c>
      <c r="F31" s="207" t="s">
        <v>500</v>
      </c>
      <c r="G31" s="208">
        <v>28043.68</v>
      </c>
      <c r="H31" s="209">
        <v>31729</v>
      </c>
    </row>
    <row r="32" spans="1:12" ht="15" x14ac:dyDescent="0.25">
      <c r="A32" s="207">
        <v>1153</v>
      </c>
      <c r="B32" s="207" t="s">
        <v>576</v>
      </c>
      <c r="C32" s="207" t="s">
        <v>577</v>
      </c>
      <c r="D32" s="207" t="s">
        <v>505</v>
      </c>
      <c r="E32" s="207" t="s">
        <v>499</v>
      </c>
      <c r="F32" s="207" t="s">
        <v>507</v>
      </c>
      <c r="G32" s="208">
        <v>28043.68</v>
      </c>
      <c r="H32" s="209">
        <v>32886</v>
      </c>
    </row>
    <row r="33" spans="1:8" ht="15" x14ac:dyDescent="0.25">
      <c r="A33" s="207">
        <v>1961</v>
      </c>
      <c r="B33" s="207" t="s">
        <v>520</v>
      </c>
      <c r="C33" s="207" t="s">
        <v>481</v>
      </c>
      <c r="D33" s="207" t="s">
        <v>522</v>
      </c>
      <c r="E33" s="207" t="s">
        <v>523</v>
      </c>
      <c r="F33" s="207" t="s">
        <v>510</v>
      </c>
      <c r="G33" s="208">
        <v>27081.040000000001</v>
      </c>
      <c r="H33" s="209">
        <v>31721</v>
      </c>
    </row>
    <row r="34" spans="1:8" ht="15" x14ac:dyDescent="0.25">
      <c r="A34" s="207">
        <v>1557</v>
      </c>
      <c r="B34" s="207" t="s">
        <v>578</v>
      </c>
      <c r="C34" s="207" t="s">
        <v>579</v>
      </c>
      <c r="D34" s="207" t="s">
        <v>522</v>
      </c>
      <c r="E34" s="207" t="s">
        <v>523</v>
      </c>
      <c r="F34" s="207" t="s">
        <v>500</v>
      </c>
      <c r="G34" s="208">
        <v>27081.040000000001</v>
      </c>
      <c r="H34" s="209">
        <v>29908</v>
      </c>
    </row>
    <row r="35" spans="1:8" ht="15" x14ac:dyDescent="0.25">
      <c r="A35" s="207">
        <v>1723</v>
      </c>
      <c r="B35" s="207" t="s">
        <v>580</v>
      </c>
      <c r="C35" s="207" t="s">
        <v>581</v>
      </c>
      <c r="D35" s="207" t="s">
        <v>582</v>
      </c>
      <c r="E35" s="207" t="s">
        <v>506</v>
      </c>
      <c r="F35" s="207" t="s">
        <v>510</v>
      </c>
      <c r="G35" s="208">
        <v>29362.2</v>
      </c>
      <c r="H35" s="209">
        <v>33091</v>
      </c>
    </row>
    <row r="36" spans="1:8" ht="15" x14ac:dyDescent="0.25">
      <c r="A36" s="207">
        <v>1556</v>
      </c>
      <c r="B36" s="207" t="s">
        <v>583</v>
      </c>
      <c r="C36" s="207" t="s">
        <v>584</v>
      </c>
      <c r="D36" s="207" t="s">
        <v>582</v>
      </c>
      <c r="E36" s="207" t="s">
        <v>506</v>
      </c>
      <c r="F36" s="207" t="s">
        <v>507</v>
      </c>
      <c r="G36" s="208">
        <v>29362.2</v>
      </c>
      <c r="H36" s="209">
        <v>29916</v>
      </c>
    </row>
    <row r="37" spans="1:8" ht="15" x14ac:dyDescent="0.25">
      <c r="A37" s="207">
        <v>1333</v>
      </c>
      <c r="B37" s="207" t="s">
        <v>585</v>
      </c>
      <c r="C37" s="207" t="s">
        <v>484</v>
      </c>
      <c r="D37" s="207" t="s">
        <v>582</v>
      </c>
      <c r="E37" s="207" t="s">
        <v>506</v>
      </c>
      <c r="F37" s="207" t="s">
        <v>500</v>
      </c>
      <c r="G37" s="208">
        <v>29362.2</v>
      </c>
      <c r="H37" s="209">
        <v>32979</v>
      </c>
    </row>
    <row r="38" spans="1:8" ht="15" x14ac:dyDescent="0.25">
      <c r="A38" s="207">
        <v>1299</v>
      </c>
      <c r="B38" s="207" t="s">
        <v>586</v>
      </c>
      <c r="C38" s="207" t="s">
        <v>587</v>
      </c>
      <c r="D38" s="207" t="s">
        <v>536</v>
      </c>
      <c r="E38" s="207" t="s">
        <v>506</v>
      </c>
      <c r="F38" s="207" t="s">
        <v>500</v>
      </c>
      <c r="G38" s="208">
        <v>24854.2</v>
      </c>
      <c r="H38" s="209">
        <v>32863</v>
      </c>
    </row>
    <row r="39" spans="1:8" ht="15" x14ac:dyDescent="0.25">
      <c r="A39" s="207">
        <v>1301</v>
      </c>
      <c r="B39" s="207" t="s">
        <v>588</v>
      </c>
      <c r="C39" s="207" t="s">
        <v>589</v>
      </c>
      <c r="D39" s="207" t="s">
        <v>522</v>
      </c>
      <c r="E39" s="207" t="s">
        <v>516</v>
      </c>
      <c r="F39" s="207" t="s">
        <v>510</v>
      </c>
      <c r="G39" s="208">
        <v>27081.040000000001</v>
      </c>
      <c r="H39" s="209">
        <v>30900</v>
      </c>
    </row>
    <row r="40" spans="1:8" ht="15" x14ac:dyDescent="0.25">
      <c r="A40" s="207">
        <v>1724</v>
      </c>
      <c r="B40" s="207" t="s">
        <v>590</v>
      </c>
      <c r="C40" s="207" t="s">
        <v>591</v>
      </c>
      <c r="D40" s="207" t="s">
        <v>505</v>
      </c>
      <c r="E40" s="207" t="s">
        <v>516</v>
      </c>
      <c r="F40" s="207" t="s">
        <v>507</v>
      </c>
      <c r="G40" s="208">
        <v>28043.68</v>
      </c>
      <c r="H40" s="209">
        <v>33083</v>
      </c>
    </row>
    <row r="41" spans="1:8" ht="15" x14ac:dyDescent="0.25">
      <c r="A41" s="207">
        <v>1558</v>
      </c>
      <c r="B41" s="207" t="s">
        <v>592</v>
      </c>
      <c r="C41" s="207" t="s">
        <v>593</v>
      </c>
      <c r="D41" s="207" t="s">
        <v>539</v>
      </c>
      <c r="E41" s="207" t="s">
        <v>516</v>
      </c>
      <c r="F41" s="207" t="s">
        <v>500</v>
      </c>
      <c r="G41" s="208">
        <v>41987.4</v>
      </c>
      <c r="H41" s="209">
        <v>30240</v>
      </c>
    </row>
    <row r="42" spans="1:8" ht="15" x14ac:dyDescent="0.25">
      <c r="A42" s="207">
        <v>1041</v>
      </c>
      <c r="B42" s="207" t="s">
        <v>594</v>
      </c>
      <c r="C42" s="207" t="s">
        <v>595</v>
      </c>
      <c r="D42" s="207" t="s">
        <v>505</v>
      </c>
      <c r="E42" s="207" t="s">
        <v>545</v>
      </c>
      <c r="F42" s="207" t="s">
        <v>507</v>
      </c>
      <c r="G42" s="208">
        <v>28043.68</v>
      </c>
      <c r="H42" s="209">
        <v>33710</v>
      </c>
    </row>
    <row r="43" spans="1:8" ht="15" x14ac:dyDescent="0.25">
      <c r="A43" s="207">
        <v>1334</v>
      </c>
      <c r="B43" s="207" t="s">
        <v>596</v>
      </c>
      <c r="C43" s="207" t="s">
        <v>597</v>
      </c>
      <c r="D43" s="207" t="s">
        <v>505</v>
      </c>
      <c r="E43" s="207" t="s">
        <v>545</v>
      </c>
      <c r="F43" s="207" t="s">
        <v>510</v>
      </c>
      <c r="G43" s="208">
        <v>28043.68</v>
      </c>
      <c r="H43" s="209">
        <v>32971</v>
      </c>
    </row>
    <row r="44" spans="1:8" ht="15" x14ac:dyDescent="0.25">
      <c r="A44" s="207">
        <v>1330</v>
      </c>
      <c r="B44" s="207" t="s">
        <v>598</v>
      </c>
      <c r="C44" s="207" t="s">
        <v>599</v>
      </c>
      <c r="D44" s="207" t="s">
        <v>519</v>
      </c>
      <c r="E44" s="207" t="s">
        <v>499</v>
      </c>
      <c r="F44" s="207" t="s">
        <v>500</v>
      </c>
      <c r="G44" s="208">
        <v>31539.24</v>
      </c>
      <c r="H44" s="209">
        <v>32553</v>
      </c>
    </row>
    <row r="45" spans="1:8" ht="15" x14ac:dyDescent="0.25">
      <c r="A45" s="207">
        <v>1674</v>
      </c>
      <c r="B45" s="207" t="s">
        <v>600</v>
      </c>
      <c r="C45" s="207" t="s">
        <v>601</v>
      </c>
      <c r="D45" s="207" t="s">
        <v>498</v>
      </c>
      <c r="E45" s="207" t="s">
        <v>499</v>
      </c>
      <c r="F45" s="207" t="s">
        <v>510</v>
      </c>
      <c r="G45" s="208">
        <v>27597.85</v>
      </c>
      <c r="H45" s="209">
        <v>33688</v>
      </c>
    </row>
    <row r="46" spans="1:8" ht="15" x14ac:dyDescent="0.25">
      <c r="A46" s="207">
        <v>1011</v>
      </c>
      <c r="B46" s="207" t="s">
        <v>602</v>
      </c>
      <c r="C46" s="207" t="s">
        <v>603</v>
      </c>
      <c r="D46" s="207" t="s">
        <v>498</v>
      </c>
      <c r="E46" s="207" t="s">
        <v>499</v>
      </c>
      <c r="F46" s="207" t="s">
        <v>500</v>
      </c>
      <c r="G46" s="208">
        <v>27597.85</v>
      </c>
      <c r="H46" s="209">
        <v>31446</v>
      </c>
    </row>
    <row r="47" spans="1:8" ht="15" x14ac:dyDescent="0.25">
      <c r="A47" s="207">
        <v>1675</v>
      </c>
      <c r="B47" s="207" t="s">
        <v>604</v>
      </c>
      <c r="C47" s="207" t="s">
        <v>605</v>
      </c>
      <c r="D47" s="207" t="s">
        <v>505</v>
      </c>
      <c r="E47" s="207" t="s">
        <v>499</v>
      </c>
      <c r="F47" s="207" t="s">
        <v>510</v>
      </c>
      <c r="G47" s="208">
        <v>29045.24</v>
      </c>
      <c r="H47" s="209">
        <v>33680</v>
      </c>
    </row>
    <row r="48" spans="1:8" ht="15" x14ac:dyDescent="0.25">
      <c r="A48" s="207">
        <v>1012</v>
      </c>
      <c r="B48" s="207" t="s">
        <v>606</v>
      </c>
      <c r="C48" s="207" t="s">
        <v>607</v>
      </c>
      <c r="D48" s="207" t="s">
        <v>608</v>
      </c>
      <c r="E48" s="207" t="s">
        <v>506</v>
      </c>
      <c r="F48" s="207" t="s">
        <v>507</v>
      </c>
      <c r="G48" s="208">
        <v>43394.15</v>
      </c>
      <c r="H48" s="209">
        <v>31438</v>
      </c>
    </row>
    <row r="49" spans="1:8" ht="15" x14ac:dyDescent="0.25">
      <c r="A49" s="207">
        <v>1331</v>
      </c>
      <c r="B49" s="207" t="s">
        <v>609</v>
      </c>
      <c r="C49" s="207" t="s">
        <v>610</v>
      </c>
      <c r="D49" s="207" t="s">
        <v>512</v>
      </c>
      <c r="E49" s="207" t="s">
        <v>506</v>
      </c>
      <c r="F49" s="207" t="s">
        <v>507</v>
      </c>
      <c r="G49" s="208">
        <v>42872.15</v>
      </c>
      <c r="H49" s="209">
        <v>32639</v>
      </c>
    </row>
    <row r="50" spans="1:8" ht="15" x14ac:dyDescent="0.25">
      <c r="A50" s="207">
        <v>1310</v>
      </c>
      <c r="B50" s="207" t="s">
        <v>556</v>
      </c>
      <c r="C50" s="207" t="s">
        <v>611</v>
      </c>
      <c r="D50" s="207" t="s">
        <v>582</v>
      </c>
      <c r="E50" s="207" t="s">
        <v>506</v>
      </c>
      <c r="F50" s="207" t="s">
        <v>510</v>
      </c>
      <c r="G50" s="208">
        <v>30410.85</v>
      </c>
      <c r="H50" s="209">
        <v>31689</v>
      </c>
    </row>
    <row r="51" spans="1:8" ht="15" x14ac:dyDescent="0.25">
      <c r="A51" s="207">
        <v>1329</v>
      </c>
      <c r="B51" s="207" t="s">
        <v>612</v>
      </c>
      <c r="C51" s="207" t="s">
        <v>613</v>
      </c>
      <c r="D51" s="207" t="s">
        <v>582</v>
      </c>
      <c r="E51" s="207" t="s">
        <v>506</v>
      </c>
      <c r="F51" s="207" t="s">
        <v>507</v>
      </c>
      <c r="G51" s="208">
        <v>30410.85</v>
      </c>
      <c r="H51" s="209">
        <v>32561</v>
      </c>
    </row>
    <row r="52" spans="1:8" ht="15" x14ac:dyDescent="0.25">
      <c r="A52" s="207">
        <v>1311</v>
      </c>
      <c r="B52" s="207" t="s">
        <v>614</v>
      </c>
      <c r="C52" s="207" t="s">
        <v>615</v>
      </c>
      <c r="D52" s="207" t="s">
        <v>539</v>
      </c>
      <c r="E52" s="207" t="s">
        <v>516</v>
      </c>
      <c r="F52" s="207" t="s">
        <v>507</v>
      </c>
      <c r="G52" s="208">
        <v>43486.95</v>
      </c>
      <c r="H52" s="209">
        <v>31681</v>
      </c>
    </row>
    <row r="53" spans="1:8" ht="15" x14ac:dyDescent="0.25">
      <c r="A53" s="207">
        <v>1657</v>
      </c>
      <c r="B53" s="207" t="s">
        <v>616</v>
      </c>
      <c r="C53" s="207" t="s">
        <v>617</v>
      </c>
      <c r="D53" s="207" t="s">
        <v>519</v>
      </c>
      <c r="E53" s="207" t="s">
        <v>499</v>
      </c>
      <c r="F53" s="207" t="s">
        <v>507</v>
      </c>
      <c r="G53" s="208">
        <v>32626.799999999999</v>
      </c>
      <c r="H53" s="209">
        <v>32117</v>
      </c>
    </row>
    <row r="54" spans="1:8" ht="15" x14ac:dyDescent="0.25">
      <c r="A54" s="207">
        <v>1516</v>
      </c>
      <c r="B54" s="207" t="s">
        <v>618</v>
      </c>
      <c r="C54" s="207" t="s">
        <v>619</v>
      </c>
      <c r="D54" s="207" t="s">
        <v>498</v>
      </c>
      <c r="E54" s="207" t="s">
        <v>499</v>
      </c>
      <c r="F54" s="207" t="s">
        <v>507</v>
      </c>
      <c r="G54" s="208">
        <v>28549.5</v>
      </c>
      <c r="H54" s="209">
        <v>31112</v>
      </c>
    </row>
    <row r="55" spans="1:8" ht="15" x14ac:dyDescent="0.25">
      <c r="A55" s="207">
        <v>1517</v>
      </c>
      <c r="B55" s="207" t="s">
        <v>620</v>
      </c>
      <c r="C55" s="207" t="s">
        <v>584</v>
      </c>
      <c r="D55" s="207" t="s">
        <v>621</v>
      </c>
      <c r="E55" s="207" t="s">
        <v>506</v>
      </c>
      <c r="F55" s="207" t="s">
        <v>507</v>
      </c>
      <c r="G55" s="208">
        <v>62589.599999999999</v>
      </c>
      <c r="H55" s="209">
        <v>31104</v>
      </c>
    </row>
    <row r="56" spans="1:8" ht="15" x14ac:dyDescent="0.25">
      <c r="A56" s="207">
        <v>1658</v>
      </c>
      <c r="B56" s="207" t="s">
        <v>622</v>
      </c>
      <c r="C56" s="207" t="s">
        <v>623</v>
      </c>
      <c r="D56" s="207" t="s">
        <v>512</v>
      </c>
      <c r="E56" s="207" t="s">
        <v>506</v>
      </c>
      <c r="F56" s="207" t="s">
        <v>500</v>
      </c>
      <c r="G56" s="208">
        <v>44350.5</v>
      </c>
      <c r="H56" s="209">
        <v>32300</v>
      </c>
    </row>
    <row r="57" spans="1:8" ht="15" x14ac:dyDescent="0.25">
      <c r="A57" s="207">
        <v>1518</v>
      </c>
      <c r="B57" s="207" t="s">
        <v>624</v>
      </c>
      <c r="C57" s="207" t="s">
        <v>625</v>
      </c>
      <c r="D57" s="207" t="s">
        <v>512</v>
      </c>
      <c r="E57" s="207" t="s">
        <v>506</v>
      </c>
      <c r="F57" s="207" t="s">
        <v>507</v>
      </c>
      <c r="G57" s="208">
        <v>44350.5</v>
      </c>
      <c r="H57" s="209">
        <v>33042</v>
      </c>
    </row>
    <row r="58" spans="1:8" ht="15" x14ac:dyDescent="0.25">
      <c r="A58" s="207">
        <v>1656</v>
      </c>
      <c r="B58" s="207" t="s">
        <v>626</v>
      </c>
      <c r="C58" s="207" t="s">
        <v>597</v>
      </c>
      <c r="D58" s="207" t="s">
        <v>522</v>
      </c>
      <c r="E58" s="207" t="s">
        <v>516</v>
      </c>
      <c r="F58" s="207" t="s">
        <v>500</v>
      </c>
      <c r="G58" s="208">
        <v>29015.4</v>
      </c>
      <c r="H58" s="209">
        <v>32125</v>
      </c>
    </row>
    <row r="59" spans="1:8" ht="15" x14ac:dyDescent="0.25">
      <c r="A59" s="207">
        <v>1079</v>
      </c>
      <c r="B59" s="207" t="s">
        <v>627</v>
      </c>
      <c r="C59" s="207" t="s">
        <v>611</v>
      </c>
      <c r="D59" s="207" t="s">
        <v>522</v>
      </c>
      <c r="E59" s="207" t="s">
        <v>523</v>
      </c>
      <c r="F59" s="207" t="s">
        <v>507</v>
      </c>
      <c r="G59" s="208">
        <v>29982.58</v>
      </c>
      <c r="H59" s="209">
        <v>31495</v>
      </c>
    </row>
    <row r="60" spans="1:8" ht="15" x14ac:dyDescent="0.25">
      <c r="A60" s="207">
        <v>1758</v>
      </c>
      <c r="B60" s="207" t="s">
        <v>628</v>
      </c>
      <c r="C60" s="207" t="s">
        <v>629</v>
      </c>
      <c r="D60" s="207" t="s">
        <v>550</v>
      </c>
      <c r="E60" s="207" t="s">
        <v>529</v>
      </c>
      <c r="F60" s="207" t="s">
        <v>507</v>
      </c>
      <c r="G60" s="208">
        <v>35785.47</v>
      </c>
      <c r="H60" s="209">
        <v>30028</v>
      </c>
    </row>
    <row r="61" spans="1:8" ht="15" x14ac:dyDescent="0.25">
      <c r="A61" s="207">
        <v>1673</v>
      </c>
      <c r="B61" s="207" t="s">
        <v>630</v>
      </c>
      <c r="C61" s="207" t="s">
        <v>569</v>
      </c>
      <c r="D61" s="207" t="s">
        <v>522</v>
      </c>
      <c r="E61" s="207" t="s">
        <v>506</v>
      </c>
      <c r="F61" s="207" t="s">
        <v>500</v>
      </c>
      <c r="G61" s="208">
        <v>29982.58</v>
      </c>
      <c r="H61" s="209">
        <v>32979</v>
      </c>
    </row>
    <row r="62" spans="1:8" ht="15" x14ac:dyDescent="0.25">
      <c r="A62" s="207">
        <v>1509</v>
      </c>
      <c r="B62" s="207" t="s">
        <v>631</v>
      </c>
      <c r="C62" s="207" t="s">
        <v>632</v>
      </c>
      <c r="D62" s="207" t="s">
        <v>522</v>
      </c>
      <c r="E62" s="207" t="s">
        <v>506</v>
      </c>
      <c r="F62" s="207" t="s">
        <v>510</v>
      </c>
      <c r="G62" s="208">
        <v>29982.58</v>
      </c>
      <c r="H62" s="209">
        <v>31217</v>
      </c>
    </row>
    <row r="63" spans="1:8" ht="15" x14ac:dyDescent="0.25">
      <c r="A63" s="207">
        <v>1759</v>
      </c>
      <c r="B63" s="207" t="s">
        <v>633</v>
      </c>
      <c r="C63" s="207" t="s">
        <v>634</v>
      </c>
      <c r="D63" s="207" t="s">
        <v>563</v>
      </c>
      <c r="E63" s="207" t="s">
        <v>506</v>
      </c>
      <c r="F63" s="207" t="s">
        <v>507</v>
      </c>
      <c r="G63" s="208">
        <v>61855.54</v>
      </c>
      <c r="H63" s="209">
        <v>30020</v>
      </c>
    </row>
    <row r="64" spans="1:8" ht="15" x14ac:dyDescent="0.25">
      <c r="A64" s="207">
        <v>1510</v>
      </c>
      <c r="B64" s="207" t="s">
        <v>635</v>
      </c>
      <c r="C64" s="207" t="s">
        <v>636</v>
      </c>
      <c r="D64" s="207" t="s">
        <v>608</v>
      </c>
      <c r="E64" s="207" t="s">
        <v>506</v>
      </c>
      <c r="F64" s="207" t="s">
        <v>500</v>
      </c>
      <c r="G64" s="208">
        <v>46386.85</v>
      </c>
      <c r="H64" s="209">
        <v>31209</v>
      </c>
    </row>
    <row r="65" spans="1:8" ht="15" x14ac:dyDescent="0.25">
      <c r="A65" s="207">
        <v>1078</v>
      </c>
      <c r="B65" s="207" t="s">
        <v>637</v>
      </c>
      <c r="C65" s="207" t="s">
        <v>638</v>
      </c>
      <c r="D65" s="207" t="s">
        <v>522</v>
      </c>
      <c r="E65" s="207" t="s">
        <v>516</v>
      </c>
      <c r="F65" s="207" t="s">
        <v>507</v>
      </c>
      <c r="G65" s="208">
        <v>29982.58</v>
      </c>
      <c r="H65" s="209">
        <v>31503</v>
      </c>
    </row>
    <row r="66" spans="1:8" ht="15" x14ac:dyDescent="0.25">
      <c r="A66" s="207">
        <v>1285</v>
      </c>
      <c r="B66" s="207" t="s">
        <v>639</v>
      </c>
      <c r="C66" s="207" t="s">
        <v>640</v>
      </c>
      <c r="D66" s="207" t="s">
        <v>641</v>
      </c>
      <c r="E66" s="207" t="s">
        <v>516</v>
      </c>
      <c r="F66" s="207" t="s">
        <v>507</v>
      </c>
      <c r="G66" s="208">
        <v>77179.149999999994</v>
      </c>
      <c r="H66" s="209">
        <v>31043</v>
      </c>
    </row>
    <row r="67" spans="1:8" ht="15" x14ac:dyDescent="0.25">
      <c r="A67" s="207">
        <v>1284</v>
      </c>
      <c r="B67" s="207" t="s">
        <v>642</v>
      </c>
      <c r="C67" s="207" t="s">
        <v>601</v>
      </c>
      <c r="D67" s="207" t="s">
        <v>539</v>
      </c>
      <c r="E67" s="207" t="s">
        <v>516</v>
      </c>
      <c r="F67" s="207" t="s">
        <v>510</v>
      </c>
      <c r="G67" s="208">
        <v>46486.05</v>
      </c>
      <c r="H67" s="209">
        <v>31051</v>
      </c>
    </row>
    <row r="68" spans="1:8" ht="15" x14ac:dyDescent="0.25">
      <c r="A68" s="207">
        <v>1674</v>
      </c>
      <c r="B68" s="207" t="s">
        <v>513</v>
      </c>
      <c r="C68" s="207" t="s">
        <v>643</v>
      </c>
      <c r="D68" s="207" t="s">
        <v>505</v>
      </c>
      <c r="E68" s="207" t="s">
        <v>545</v>
      </c>
      <c r="F68" s="207" t="s">
        <v>500</v>
      </c>
      <c r="G68" s="208">
        <v>31048.36</v>
      </c>
      <c r="H68" s="209">
        <v>32971</v>
      </c>
    </row>
    <row r="69" spans="1:8" ht="15" x14ac:dyDescent="0.25">
      <c r="A69" s="207">
        <v>1067</v>
      </c>
      <c r="B69" s="207" t="s">
        <v>644</v>
      </c>
      <c r="C69" s="207" t="s">
        <v>645</v>
      </c>
      <c r="D69" s="207" t="s">
        <v>550</v>
      </c>
      <c r="E69" s="207" t="s">
        <v>529</v>
      </c>
      <c r="F69" s="207" t="s">
        <v>510</v>
      </c>
      <c r="G69" s="208">
        <v>36939.839999999997</v>
      </c>
      <c r="H69" s="209">
        <v>32040</v>
      </c>
    </row>
    <row r="70" spans="1:8" ht="15" x14ac:dyDescent="0.25">
      <c r="A70" s="207">
        <v>1068</v>
      </c>
      <c r="B70" s="207" t="s">
        <v>646</v>
      </c>
      <c r="C70" s="207" t="s">
        <v>647</v>
      </c>
      <c r="D70" s="207" t="s">
        <v>608</v>
      </c>
      <c r="E70" s="207" t="s">
        <v>506</v>
      </c>
      <c r="F70" s="207" t="s">
        <v>507</v>
      </c>
      <c r="G70" s="208">
        <v>47883.199999999997</v>
      </c>
      <c r="H70" s="209">
        <v>32032</v>
      </c>
    </row>
    <row r="71" spans="1:8" ht="15" x14ac:dyDescent="0.25">
      <c r="A71" s="207">
        <v>1922</v>
      </c>
      <c r="B71" s="207" t="s">
        <v>556</v>
      </c>
      <c r="C71" s="207" t="s">
        <v>648</v>
      </c>
      <c r="D71" s="207" t="s">
        <v>536</v>
      </c>
      <c r="E71" s="207" t="s">
        <v>506</v>
      </c>
      <c r="F71" s="207" t="s">
        <v>507</v>
      </c>
      <c r="G71" s="208">
        <v>28404.799999999999</v>
      </c>
      <c r="H71" s="209">
        <v>31751</v>
      </c>
    </row>
    <row r="72" spans="1:8" ht="15" x14ac:dyDescent="0.25">
      <c r="A72" s="207">
        <v>1923</v>
      </c>
      <c r="B72" s="207" t="s">
        <v>62</v>
      </c>
      <c r="C72" s="207" t="s">
        <v>281</v>
      </c>
      <c r="D72" s="207" t="s">
        <v>539</v>
      </c>
      <c r="E72" s="207" t="s">
        <v>516</v>
      </c>
      <c r="F72" s="207" t="s">
        <v>510</v>
      </c>
      <c r="G72" s="208">
        <v>47985.599999999999</v>
      </c>
      <c r="H72" s="209">
        <v>31743</v>
      </c>
    </row>
    <row r="73" spans="1:8" ht="15" x14ac:dyDescent="0.25">
      <c r="A73" s="207">
        <v>1573</v>
      </c>
      <c r="B73" s="207" t="s">
        <v>649</v>
      </c>
      <c r="C73" s="207" t="s">
        <v>650</v>
      </c>
      <c r="D73" s="207" t="s">
        <v>519</v>
      </c>
      <c r="E73" s="207" t="s">
        <v>499</v>
      </c>
      <c r="F73" s="207" t="s">
        <v>510</v>
      </c>
      <c r="G73" s="208">
        <v>35889.480000000003</v>
      </c>
      <c r="H73" s="209">
        <v>32331</v>
      </c>
    </row>
    <row r="74" spans="1:8" ht="15" x14ac:dyDescent="0.25">
      <c r="A74" s="207">
        <v>1695</v>
      </c>
      <c r="B74" s="207" t="s">
        <v>651</v>
      </c>
      <c r="C74" s="207" t="s">
        <v>640</v>
      </c>
      <c r="D74" s="207" t="s">
        <v>550</v>
      </c>
      <c r="E74" s="207" t="s">
        <v>529</v>
      </c>
      <c r="F74" s="207" t="s">
        <v>510</v>
      </c>
      <c r="G74" s="208">
        <v>38094.21</v>
      </c>
      <c r="H74" s="209">
        <v>30975</v>
      </c>
    </row>
    <row r="75" spans="1:8" ht="15" x14ac:dyDescent="0.25">
      <c r="A75" s="207">
        <v>1360</v>
      </c>
      <c r="B75" s="207" t="s">
        <v>652</v>
      </c>
      <c r="C75" s="207" t="s">
        <v>653</v>
      </c>
      <c r="D75" s="207" t="s">
        <v>505</v>
      </c>
      <c r="E75" s="207" t="s">
        <v>506</v>
      </c>
      <c r="F75" s="207" t="s">
        <v>500</v>
      </c>
      <c r="G75" s="208">
        <v>33051.480000000003</v>
      </c>
      <c r="H75" s="209">
        <v>32356</v>
      </c>
    </row>
    <row r="76" spans="1:8" ht="15" x14ac:dyDescent="0.25">
      <c r="A76" s="207">
        <v>1574</v>
      </c>
      <c r="B76" s="207" t="s">
        <v>654</v>
      </c>
      <c r="C76" s="207" t="s">
        <v>655</v>
      </c>
      <c r="D76" s="207" t="s">
        <v>656</v>
      </c>
      <c r="E76" s="207" t="s">
        <v>506</v>
      </c>
      <c r="F76" s="207" t="s">
        <v>510</v>
      </c>
      <c r="G76" s="208">
        <v>50651.37</v>
      </c>
      <c r="H76" s="209">
        <v>31452</v>
      </c>
    </row>
    <row r="77" spans="1:8" ht="15" x14ac:dyDescent="0.25">
      <c r="A77" s="207">
        <v>1977</v>
      </c>
      <c r="B77" s="207" t="s">
        <v>657</v>
      </c>
      <c r="C77" s="207" t="s">
        <v>658</v>
      </c>
      <c r="D77" s="207" t="s">
        <v>512</v>
      </c>
      <c r="E77" s="207" t="s">
        <v>506</v>
      </c>
      <c r="F77" s="207" t="s">
        <v>510</v>
      </c>
      <c r="G77" s="208">
        <v>48785.55</v>
      </c>
      <c r="H77" s="209">
        <v>33490</v>
      </c>
    </row>
    <row r="78" spans="1:8" ht="15" x14ac:dyDescent="0.25">
      <c r="A78" s="207">
        <v>1572</v>
      </c>
      <c r="B78" s="207" t="s">
        <v>659</v>
      </c>
      <c r="C78" s="207" t="s">
        <v>660</v>
      </c>
      <c r="D78" s="207" t="s">
        <v>582</v>
      </c>
      <c r="E78" s="207" t="s">
        <v>506</v>
      </c>
      <c r="F78" s="207" t="s">
        <v>507</v>
      </c>
      <c r="G78" s="208">
        <v>34605.449999999997</v>
      </c>
      <c r="H78" s="209">
        <v>32339</v>
      </c>
    </row>
    <row r="79" spans="1:8" ht="15" x14ac:dyDescent="0.25">
      <c r="A79" s="207">
        <v>1906</v>
      </c>
      <c r="B79" s="207" t="s">
        <v>661</v>
      </c>
      <c r="C79" s="207" t="s">
        <v>662</v>
      </c>
      <c r="D79" s="207" t="s">
        <v>522</v>
      </c>
      <c r="E79" s="207" t="s">
        <v>516</v>
      </c>
      <c r="F79" s="207" t="s">
        <v>507</v>
      </c>
      <c r="G79" s="208">
        <v>31916.94</v>
      </c>
      <c r="H79" s="209">
        <v>32779</v>
      </c>
    </row>
    <row r="80" spans="1:8" ht="15" x14ac:dyDescent="0.25">
      <c r="A80" s="207">
        <v>1907</v>
      </c>
      <c r="B80" s="207" t="s">
        <v>663</v>
      </c>
      <c r="C80" s="207" t="s">
        <v>664</v>
      </c>
      <c r="D80" s="207" t="s">
        <v>505</v>
      </c>
      <c r="E80" s="207" t="s">
        <v>516</v>
      </c>
      <c r="F80" s="207" t="s">
        <v>507</v>
      </c>
      <c r="G80" s="208">
        <v>33051.480000000003</v>
      </c>
      <c r="H80" s="209">
        <v>32771</v>
      </c>
    </row>
    <row r="81" spans="1:8" ht="15" x14ac:dyDescent="0.25">
      <c r="A81" s="207">
        <v>1359</v>
      </c>
      <c r="B81" s="207" t="s">
        <v>665</v>
      </c>
      <c r="C81" s="207" t="s">
        <v>538</v>
      </c>
      <c r="D81" s="207" t="s">
        <v>539</v>
      </c>
      <c r="E81" s="207" t="s">
        <v>516</v>
      </c>
      <c r="F81" s="207" t="s">
        <v>507</v>
      </c>
      <c r="G81" s="208">
        <v>49485.15</v>
      </c>
      <c r="H81" s="209">
        <v>33094</v>
      </c>
    </row>
    <row r="82" spans="1:8" ht="15" x14ac:dyDescent="0.25">
      <c r="A82" s="207">
        <v>1361</v>
      </c>
      <c r="B82" s="207" t="s">
        <v>666</v>
      </c>
      <c r="C82" s="207" t="s">
        <v>667</v>
      </c>
      <c r="D82" s="207" t="s">
        <v>582</v>
      </c>
      <c r="E82" s="207" t="s">
        <v>545</v>
      </c>
      <c r="F82" s="207" t="s">
        <v>507</v>
      </c>
      <c r="G82" s="208">
        <v>34605.449999999997</v>
      </c>
      <c r="H82" s="209">
        <v>32346</v>
      </c>
    </row>
    <row r="83" spans="1:8" ht="15" x14ac:dyDescent="0.25">
      <c r="A83" s="207">
        <v>1368</v>
      </c>
      <c r="B83" s="207" t="s">
        <v>668</v>
      </c>
      <c r="C83" s="207" t="s">
        <v>669</v>
      </c>
      <c r="D83" s="207" t="s">
        <v>522</v>
      </c>
      <c r="E83" s="207" t="s">
        <v>523</v>
      </c>
      <c r="F83" s="207" t="s">
        <v>510</v>
      </c>
      <c r="G83" s="208">
        <v>32884.120000000003</v>
      </c>
      <c r="H83" s="209">
        <v>30386</v>
      </c>
    </row>
    <row r="84" spans="1:8" ht="15" x14ac:dyDescent="0.25">
      <c r="A84" s="207">
        <v>1815</v>
      </c>
      <c r="B84" s="207" t="s">
        <v>670</v>
      </c>
      <c r="C84" s="207" t="s">
        <v>671</v>
      </c>
      <c r="D84" s="207" t="s">
        <v>621</v>
      </c>
      <c r="E84" s="207" t="s">
        <v>506</v>
      </c>
      <c r="F84" s="207" t="s">
        <v>500</v>
      </c>
      <c r="G84" s="208">
        <v>70934.880000000005</v>
      </c>
      <c r="H84" s="209">
        <v>29276</v>
      </c>
    </row>
    <row r="85" spans="1:8" ht="15" x14ac:dyDescent="0.25">
      <c r="A85" s="207">
        <v>1369</v>
      </c>
      <c r="B85" s="207" t="s">
        <v>672</v>
      </c>
      <c r="C85" s="207" t="s">
        <v>587</v>
      </c>
      <c r="D85" s="207" t="s">
        <v>673</v>
      </c>
      <c r="E85" s="207" t="s">
        <v>545</v>
      </c>
      <c r="F85" s="207" t="s">
        <v>510</v>
      </c>
      <c r="G85" s="208">
        <v>57756.480000000003</v>
      </c>
      <c r="H85" s="209">
        <v>30378</v>
      </c>
    </row>
    <row r="86" spans="1:8" ht="15" x14ac:dyDescent="0.25">
      <c r="A86" s="207">
        <v>1370</v>
      </c>
      <c r="B86" s="207" t="s">
        <v>674</v>
      </c>
      <c r="C86" s="207" t="s">
        <v>675</v>
      </c>
      <c r="D86" s="207" t="s">
        <v>544</v>
      </c>
      <c r="E86" s="207" t="s">
        <v>545</v>
      </c>
      <c r="F86" s="207" t="s">
        <v>507</v>
      </c>
      <c r="G86" s="208">
        <v>53685.32</v>
      </c>
      <c r="H86" s="209">
        <v>32108</v>
      </c>
    </row>
    <row r="87" spans="1:8" ht="15" x14ac:dyDescent="0.25">
      <c r="A87" s="207">
        <v>1908</v>
      </c>
      <c r="B87" s="207" t="s">
        <v>676</v>
      </c>
      <c r="C87" s="207" t="s">
        <v>447</v>
      </c>
      <c r="D87" s="207" t="s">
        <v>677</v>
      </c>
      <c r="E87" s="207" t="s">
        <v>523</v>
      </c>
      <c r="F87" s="207" t="s">
        <v>510</v>
      </c>
      <c r="G87" s="208">
        <v>72819.600000000006</v>
      </c>
      <c r="H87" s="209">
        <v>30817</v>
      </c>
    </row>
    <row r="88" spans="1:8" ht="15" x14ac:dyDescent="0.25">
      <c r="A88" s="207">
        <v>1428</v>
      </c>
      <c r="B88" s="207" t="s">
        <v>678</v>
      </c>
      <c r="C88" s="207" t="s">
        <v>679</v>
      </c>
      <c r="D88" s="207" t="s">
        <v>656</v>
      </c>
      <c r="E88" s="207" t="s">
        <v>506</v>
      </c>
      <c r="F88" s="207" t="s">
        <v>507</v>
      </c>
      <c r="G88" s="208">
        <v>53721.15</v>
      </c>
      <c r="H88" s="209">
        <v>31728</v>
      </c>
    </row>
    <row r="89" spans="1:8" ht="15" x14ac:dyDescent="0.25">
      <c r="A89" s="207">
        <v>1352</v>
      </c>
      <c r="B89" s="207" t="s">
        <v>680</v>
      </c>
      <c r="C89" s="207" t="s">
        <v>681</v>
      </c>
      <c r="D89" s="207" t="s">
        <v>536</v>
      </c>
      <c r="E89" s="207" t="s">
        <v>506</v>
      </c>
      <c r="F89" s="207" t="s">
        <v>507</v>
      </c>
      <c r="G89" s="208">
        <v>31067.75</v>
      </c>
      <c r="H89" s="209">
        <v>30212</v>
      </c>
    </row>
    <row r="90" spans="1:8" ht="15" x14ac:dyDescent="0.25">
      <c r="A90" s="207">
        <v>1353</v>
      </c>
      <c r="B90" s="207" t="s">
        <v>682</v>
      </c>
      <c r="C90" s="207" t="s">
        <v>683</v>
      </c>
      <c r="D90" s="207" t="s">
        <v>673</v>
      </c>
      <c r="E90" s="207" t="s">
        <v>545</v>
      </c>
      <c r="F90" s="207" t="s">
        <v>507</v>
      </c>
      <c r="G90" s="208">
        <v>59455.199999999997</v>
      </c>
      <c r="H90" s="209">
        <v>30204</v>
      </c>
    </row>
    <row r="91" spans="1:8" ht="15" x14ac:dyDescent="0.25">
      <c r="A91" s="207">
        <v>1427</v>
      </c>
      <c r="B91" s="207" t="s">
        <v>684</v>
      </c>
      <c r="C91" s="207" t="s">
        <v>685</v>
      </c>
      <c r="D91" s="207" t="s">
        <v>673</v>
      </c>
      <c r="E91" s="207" t="s">
        <v>545</v>
      </c>
      <c r="F91" s="207" t="s">
        <v>500</v>
      </c>
      <c r="G91" s="208">
        <v>59455.199999999997</v>
      </c>
      <c r="H91" s="209">
        <v>28368</v>
      </c>
    </row>
    <row r="92" spans="1:8" ht="15" x14ac:dyDescent="0.25">
      <c r="A92" s="207">
        <v>1291</v>
      </c>
      <c r="B92" s="207" t="s">
        <v>686</v>
      </c>
      <c r="C92" s="207" t="s">
        <v>687</v>
      </c>
      <c r="D92" s="207" t="s">
        <v>522</v>
      </c>
      <c r="E92" s="207" t="s">
        <v>523</v>
      </c>
      <c r="F92" s="207" t="s">
        <v>507</v>
      </c>
      <c r="G92" s="208">
        <v>35785.660000000003</v>
      </c>
      <c r="H92" s="209">
        <v>31042</v>
      </c>
    </row>
    <row r="93" spans="1:8" ht="15" x14ac:dyDescent="0.25">
      <c r="A93" s="207">
        <v>1292</v>
      </c>
      <c r="B93" s="207" t="s">
        <v>688</v>
      </c>
      <c r="C93" s="207" t="s">
        <v>689</v>
      </c>
      <c r="D93" s="207" t="s">
        <v>515</v>
      </c>
      <c r="E93" s="207" t="s">
        <v>516</v>
      </c>
      <c r="F93" s="207" t="s">
        <v>507</v>
      </c>
      <c r="G93" s="208">
        <v>51339.72</v>
      </c>
      <c r="H93" s="209">
        <v>32101</v>
      </c>
    </row>
    <row r="94" spans="1:8" ht="15" x14ac:dyDescent="0.25">
      <c r="A94" s="207">
        <v>1725</v>
      </c>
      <c r="B94" s="207" t="s">
        <v>690</v>
      </c>
      <c r="C94" s="207" t="s">
        <v>577</v>
      </c>
      <c r="D94" s="207" t="s">
        <v>677</v>
      </c>
      <c r="E94" s="207" t="s">
        <v>523</v>
      </c>
      <c r="F94" s="207" t="s">
        <v>507</v>
      </c>
      <c r="G94" s="208">
        <v>79061.279999999999</v>
      </c>
      <c r="H94" s="209">
        <v>28533</v>
      </c>
    </row>
    <row r="95" spans="1:8" ht="15" x14ac:dyDescent="0.25">
      <c r="A95" s="207">
        <v>1302</v>
      </c>
      <c r="B95" s="207" t="s">
        <v>691</v>
      </c>
      <c r="C95" s="207" t="s">
        <v>650</v>
      </c>
      <c r="D95" s="207" t="s">
        <v>621</v>
      </c>
      <c r="E95" s="207" t="s">
        <v>506</v>
      </c>
      <c r="F95" s="207" t="s">
        <v>510</v>
      </c>
      <c r="G95" s="208">
        <v>79280.160000000003</v>
      </c>
      <c r="H95" s="209">
        <v>30892</v>
      </c>
    </row>
    <row r="96" spans="1:8" ht="15" x14ac:dyDescent="0.25">
      <c r="A96" s="207">
        <v>1301</v>
      </c>
      <c r="B96" s="207" t="s">
        <v>692</v>
      </c>
      <c r="C96" s="207" t="s">
        <v>693</v>
      </c>
      <c r="D96" s="207" t="s">
        <v>656</v>
      </c>
      <c r="E96" s="207" t="s">
        <v>506</v>
      </c>
      <c r="F96" s="207" t="s">
        <v>507</v>
      </c>
      <c r="G96" s="208">
        <v>58325.82</v>
      </c>
      <c r="H96" s="209">
        <v>31421</v>
      </c>
    </row>
    <row r="97" spans="1:8" ht="15" x14ac:dyDescent="0.25">
      <c r="A97" s="207">
        <v>1154</v>
      </c>
      <c r="B97" s="207" t="s">
        <v>694</v>
      </c>
      <c r="C97" s="207" t="s">
        <v>695</v>
      </c>
      <c r="D97" s="207" t="s">
        <v>512</v>
      </c>
      <c r="E97" s="207" t="s">
        <v>506</v>
      </c>
      <c r="F97" s="207" t="s">
        <v>500</v>
      </c>
      <c r="G97" s="208">
        <v>56177.3</v>
      </c>
      <c r="H97" s="209">
        <v>31965</v>
      </c>
    </row>
    <row r="98" spans="1:8" ht="15" x14ac:dyDescent="0.25">
      <c r="A98" s="207">
        <v>1303</v>
      </c>
      <c r="B98" s="207" t="s">
        <v>696</v>
      </c>
      <c r="C98" s="207" t="s">
        <v>697</v>
      </c>
      <c r="D98" s="207" t="s">
        <v>512</v>
      </c>
      <c r="E98" s="207" t="s">
        <v>506</v>
      </c>
      <c r="F98" s="207" t="s">
        <v>507</v>
      </c>
      <c r="G98" s="208">
        <v>56177.3</v>
      </c>
      <c r="H98" s="209">
        <v>32205</v>
      </c>
    </row>
    <row r="99" spans="1:8" ht="15" x14ac:dyDescent="0.25">
      <c r="A99" s="207">
        <v>1294</v>
      </c>
      <c r="B99" s="207" t="s">
        <v>22</v>
      </c>
      <c r="C99" s="207" t="s">
        <v>595</v>
      </c>
      <c r="D99" s="207" t="s">
        <v>608</v>
      </c>
      <c r="E99" s="207" t="s">
        <v>506</v>
      </c>
      <c r="F99" s="207" t="s">
        <v>510</v>
      </c>
      <c r="G99" s="208">
        <v>58357.65</v>
      </c>
      <c r="H99" s="209">
        <v>30931</v>
      </c>
    </row>
    <row r="100" spans="1:8" ht="15" x14ac:dyDescent="0.25">
      <c r="A100" s="207">
        <v>1293</v>
      </c>
      <c r="B100" s="207" t="s">
        <v>698</v>
      </c>
      <c r="C100" s="207" t="s">
        <v>699</v>
      </c>
      <c r="D100" s="207" t="s">
        <v>582</v>
      </c>
      <c r="E100" s="207" t="s">
        <v>506</v>
      </c>
      <c r="F100" s="207" t="s">
        <v>507</v>
      </c>
      <c r="G100" s="208">
        <v>40897.35</v>
      </c>
      <c r="H100" s="209">
        <v>30939</v>
      </c>
    </row>
    <row r="101" spans="1:8" ht="15" x14ac:dyDescent="0.25">
      <c r="A101" s="207">
        <v>1725</v>
      </c>
      <c r="B101" s="207" t="s">
        <v>700</v>
      </c>
      <c r="C101" s="207" t="s">
        <v>597</v>
      </c>
      <c r="D101" s="207" t="s">
        <v>641</v>
      </c>
      <c r="E101" s="207" t="s">
        <v>516</v>
      </c>
      <c r="F101" s="207" t="s">
        <v>500</v>
      </c>
      <c r="G101" s="208">
        <v>97096.35</v>
      </c>
      <c r="H101" s="209">
        <v>28523</v>
      </c>
    </row>
    <row r="102" spans="1:8" ht="15" x14ac:dyDescent="0.25">
      <c r="A102" s="207">
        <v>1724</v>
      </c>
      <c r="B102" s="207" t="s">
        <v>701</v>
      </c>
      <c r="C102" s="207" t="s">
        <v>573</v>
      </c>
      <c r="D102" s="207" t="s">
        <v>539</v>
      </c>
      <c r="E102" s="207" t="s">
        <v>516</v>
      </c>
      <c r="F102" s="207" t="s">
        <v>507</v>
      </c>
      <c r="G102" s="208">
        <v>58482.45</v>
      </c>
      <c r="H102" s="209">
        <v>28531</v>
      </c>
    </row>
    <row r="103" spans="1:8" ht="15" x14ac:dyDescent="0.25">
      <c r="A103" s="207">
        <v>1080</v>
      </c>
      <c r="B103" s="207" t="s">
        <v>702</v>
      </c>
      <c r="C103" s="207" t="s">
        <v>703</v>
      </c>
      <c r="D103" s="207" t="s">
        <v>544</v>
      </c>
      <c r="E103" s="207" t="s">
        <v>545</v>
      </c>
      <c r="F103" s="207" t="s">
        <v>507</v>
      </c>
      <c r="G103" s="208">
        <v>64738.18</v>
      </c>
      <c r="H103" s="209">
        <v>32445</v>
      </c>
    </row>
    <row r="104" spans="1:8" ht="15" x14ac:dyDescent="0.25">
      <c r="A104" s="207">
        <v>1968</v>
      </c>
      <c r="B104" s="207" t="s">
        <v>704</v>
      </c>
      <c r="C104" s="207" t="s">
        <v>705</v>
      </c>
      <c r="D104" s="207" t="s">
        <v>706</v>
      </c>
      <c r="E104" s="207" t="s">
        <v>523</v>
      </c>
      <c r="F104" s="207" t="s">
        <v>507</v>
      </c>
      <c r="G104" s="208">
        <v>65821.56</v>
      </c>
      <c r="H104" s="209">
        <v>30046</v>
      </c>
    </row>
    <row r="105" spans="1:8" ht="15" x14ac:dyDescent="0.25">
      <c r="A105" s="207">
        <v>1950</v>
      </c>
      <c r="B105" s="207" t="s">
        <v>707</v>
      </c>
      <c r="C105" s="207" t="s">
        <v>708</v>
      </c>
      <c r="D105" s="207" t="s">
        <v>641</v>
      </c>
      <c r="E105" s="207" t="s">
        <v>516</v>
      </c>
      <c r="F105" s="207" t="s">
        <v>510</v>
      </c>
      <c r="G105" s="208">
        <v>104565.3</v>
      </c>
      <c r="H105" s="209">
        <v>29863</v>
      </c>
    </row>
    <row r="106" spans="1:8" ht="15" x14ac:dyDescent="0.25">
      <c r="A106" s="207">
        <v>1949</v>
      </c>
      <c r="B106" s="207" t="s">
        <v>709</v>
      </c>
      <c r="C106" s="207" t="s">
        <v>710</v>
      </c>
      <c r="D106" s="207" t="s">
        <v>539</v>
      </c>
      <c r="E106" s="207" t="s">
        <v>516</v>
      </c>
      <c r="F106" s="207" t="s">
        <v>500</v>
      </c>
      <c r="G106" s="208">
        <v>62981.1</v>
      </c>
      <c r="H106" s="209">
        <v>29871</v>
      </c>
    </row>
    <row r="107" spans="1:8" ht="15" x14ac:dyDescent="0.25">
      <c r="A107" s="207">
        <v>1967</v>
      </c>
      <c r="B107" s="207" t="s">
        <v>711</v>
      </c>
      <c r="C107" s="207" t="s">
        <v>552</v>
      </c>
      <c r="D107" s="207" t="s">
        <v>515</v>
      </c>
      <c r="E107" s="207" t="s">
        <v>516</v>
      </c>
      <c r="F107" s="207" t="s">
        <v>500</v>
      </c>
      <c r="G107" s="208">
        <v>58277.52</v>
      </c>
      <c r="H107" s="209">
        <v>30054</v>
      </c>
    </row>
    <row r="108" spans="1:8" ht="15" x14ac:dyDescent="0.25">
      <c r="A108" s="207">
        <v>1969</v>
      </c>
      <c r="B108" s="207" t="s">
        <v>16</v>
      </c>
      <c r="C108" s="207" t="s">
        <v>712</v>
      </c>
      <c r="D108" s="207" t="s">
        <v>515</v>
      </c>
      <c r="E108" s="207" t="s">
        <v>516</v>
      </c>
      <c r="F108" s="207" t="s">
        <v>507</v>
      </c>
      <c r="G108" s="208">
        <v>58277.52</v>
      </c>
      <c r="H108" s="209">
        <v>32612</v>
      </c>
    </row>
    <row r="109" spans="1:8" ht="15" x14ac:dyDescent="0.25">
      <c r="A109" s="207">
        <v>1932</v>
      </c>
      <c r="B109" s="207" t="s">
        <v>713</v>
      </c>
      <c r="C109" s="207" t="s">
        <v>611</v>
      </c>
      <c r="D109" s="207" t="s">
        <v>519</v>
      </c>
      <c r="E109" s="207" t="s">
        <v>499</v>
      </c>
      <c r="F109" s="207" t="s">
        <v>510</v>
      </c>
      <c r="G109" s="208">
        <v>47852.639999999999</v>
      </c>
      <c r="H109" s="209">
        <v>32671</v>
      </c>
    </row>
    <row r="110" spans="1:8" ht="15" x14ac:dyDescent="0.25">
      <c r="A110" s="207">
        <v>1933</v>
      </c>
      <c r="B110" s="207" t="s">
        <v>714</v>
      </c>
      <c r="C110" s="207" t="s">
        <v>533</v>
      </c>
      <c r="D110" s="207" t="s">
        <v>656</v>
      </c>
      <c r="E110" s="207" t="s">
        <v>506</v>
      </c>
      <c r="F110" s="207" t="s">
        <v>510</v>
      </c>
      <c r="G110" s="208">
        <v>67535.16</v>
      </c>
      <c r="H110" s="209">
        <v>30689</v>
      </c>
    </row>
    <row r="111" spans="1:8" ht="15" x14ac:dyDescent="0.25">
      <c r="A111" s="207">
        <v>1354</v>
      </c>
      <c r="B111" s="207" t="s">
        <v>715</v>
      </c>
      <c r="C111" s="207" t="s">
        <v>716</v>
      </c>
      <c r="D111" s="207" t="s">
        <v>656</v>
      </c>
      <c r="E111" s="207" t="s">
        <v>506</v>
      </c>
      <c r="F111" s="207" t="s">
        <v>500</v>
      </c>
      <c r="G111" s="208">
        <v>69070.05</v>
      </c>
      <c r="H111" s="209">
        <v>31538</v>
      </c>
    </row>
    <row r="112" spans="1:8" ht="15" x14ac:dyDescent="0.25">
      <c r="A112" s="207">
        <v>1962</v>
      </c>
      <c r="B112" s="207" t="s">
        <v>717</v>
      </c>
      <c r="C112" s="207" t="s">
        <v>718</v>
      </c>
      <c r="D112" s="207" t="s">
        <v>515</v>
      </c>
      <c r="E112" s="207" t="s">
        <v>516</v>
      </c>
      <c r="F112" s="207" t="s">
        <v>507</v>
      </c>
      <c r="G112" s="208">
        <v>66602.880000000005</v>
      </c>
      <c r="H112" s="209">
        <v>32072</v>
      </c>
    </row>
    <row r="113" spans="1:8" ht="15" x14ac:dyDescent="0.25">
      <c r="A113" s="207">
        <v>1076</v>
      </c>
      <c r="B113" s="207" t="s">
        <v>719</v>
      </c>
      <c r="C113" s="207" t="s">
        <v>720</v>
      </c>
      <c r="D113" s="207" t="s">
        <v>563</v>
      </c>
      <c r="E113" s="207" t="s">
        <v>506</v>
      </c>
      <c r="F113" s="207" t="s">
        <v>500</v>
      </c>
      <c r="G113" s="208">
        <v>105753.02</v>
      </c>
      <c r="H113" s="209">
        <v>29066</v>
      </c>
    </row>
    <row r="114" spans="1:8" ht="15" x14ac:dyDescent="0.25">
      <c r="A114" s="207">
        <v>1696</v>
      </c>
      <c r="B114" s="207" t="s">
        <v>511</v>
      </c>
      <c r="C114" s="207" t="s">
        <v>721</v>
      </c>
      <c r="D114" s="207" t="s">
        <v>608</v>
      </c>
      <c r="E114" s="207" t="s">
        <v>506</v>
      </c>
      <c r="F114" s="207" t="s">
        <v>500</v>
      </c>
      <c r="G114" s="208">
        <v>79306.55</v>
      </c>
      <c r="H114" s="209">
        <v>30967</v>
      </c>
    </row>
    <row r="115" spans="1:8" ht="15" x14ac:dyDescent="0.25">
      <c r="A115" s="207">
        <v>1056</v>
      </c>
      <c r="B115" s="207" t="s">
        <v>722</v>
      </c>
      <c r="C115" s="207" t="s">
        <v>723</v>
      </c>
      <c r="D115" s="207" t="s">
        <v>677</v>
      </c>
      <c r="E115" s="207" t="s">
        <v>523</v>
      </c>
      <c r="F115" s="207" t="s">
        <v>500</v>
      </c>
      <c r="G115" s="208">
        <v>116511.36</v>
      </c>
      <c r="H115" s="209">
        <v>29153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/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14" t="s">
        <v>13</v>
      </c>
      <c r="B2" s="114" t="s">
        <v>14</v>
      </c>
      <c r="C2" s="114" t="s">
        <v>15</v>
      </c>
      <c r="D2" s="114">
        <v>5477</v>
      </c>
      <c r="E2" s="114" t="s">
        <v>16</v>
      </c>
    </row>
    <row r="3" spans="1:10" x14ac:dyDescent="0.25">
      <c r="A3" s="114" t="s">
        <v>13</v>
      </c>
      <c r="B3" s="114" t="s">
        <v>17</v>
      </c>
      <c r="C3" s="114" t="s">
        <v>18</v>
      </c>
      <c r="D3" s="114">
        <v>8012</v>
      </c>
      <c r="E3" s="114" t="s">
        <v>19</v>
      </c>
      <c r="G3" s="11" t="s">
        <v>7</v>
      </c>
      <c r="H3" s="11" t="s">
        <v>10</v>
      </c>
    </row>
    <row r="4" spans="1:10" x14ac:dyDescent="0.25">
      <c r="A4" s="114" t="s">
        <v>13</v>
      </c>
      <c r="B4" s="114" t="s">
        <v>14</v>
      </c>
      <c r="C4" s="114" t="s">
        <v>15</v>
      </c>
      <c r="D4" s="114">
        <v>9411</v>
      </c>
      <c r="E4" s="114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14" t="s">
        <v>13</v>
      </c>
      <c r="B5" s="114" t="s">
        <v>14</v>
      </c>
      <c r="C5" s="114" t="s">
        <v>15</v>
      </c>
      <c r="D5" s="114">
        <v>8089</v>
      </c>
      <c r="E5" s="114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14" t="s">
        <v>13</v>
      </c>
      <c r="B6" s="114" t="s">
        <v>17</v>
      </c>
      <c r="C6" s="114" t="s">
        <v>18</v>
      </c>
      <c r="D6" s="114">
        <v>9566</v>
      </c>
      <c r="E6" s="114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14" t="s">
        <v>21</v>
      </c>
      <c r="B7" s="114" t="s">
        <v>14</v>
      </c>
      <c r="C7" s="114" t="s">
        <v>15</v>
      </c>
      <c r="D7" s="114">
        <v>6805</v>
      </c>
      <c r="E7" s="114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14" t="s">
        <v>21</v>
      </c>
      <c r="B8" s="114" t="s">
        <v>17</v>
      </c>
      <c r="C8" s="114" t="s">
        <v>18</v>
      </c>
      <c r="D8" s="114">
        <v>6085</v>
      </c>
      <c r="E8" s="114" t="s">
        <v>20</v>
      </c>
    </row>
    <row r="9" spans="1:10" x14ac:dyDescent="0.25">
      <c r="A9" s="114" t="s">
        <v>21</v>
      </c>
      <c r="B9" s="114" t="s">
        <v>17</v>
      </c>
      <c r="C9" s="114" t="s">
        <v>18</v>
      </c>
      <c r="D9" s="114">
        <v>265</v>
      </c>
      <c r="E9" s="114" t="s">
        <v>19</v>
      </c>
    </row>
    <row r="10" spans="1:10" x14ac:dyDescent="0.25">
      <c r="A10" s="114" t="s">
        <v>21</v>
      </c>
      <c r="B10" s="114" t="s">
        <v>17</v>
      </c>
      <c r="C10" s="114" t="s">
        <v>15</v>
      </c>
      <c r="D10" s="114">
        <v>5575</v>
      </c>
      <c r="E10" s="114" t="s">
        <v>20</v>
      </c>
    </row>
    <row r="11" spans="1:10" x14ac:dyDescent="0.25">
      <c r="A11" s="114" t="s">
        <v>21</v>
      </c>
      <c r="B11" s="114" t="s">
        <v>14</v>
      </c>
      <c r="C11" s="114" t="s">
        <v>18</v>
      </c>
      <c r="D11" s="114">
        <v>5971</v>
      </c>
      <c r="E11" s="114" t="s">
        <v>22</v>
      </c>
    </row>
    <row r="12" spans="1:10" x14ac:dyDescent="0.25">
      <c r="A12" s="114" t="s">
        <v>21</v>
      </c>
      <c r="B12" s="114" t="s">
        <v>14</v>
      </c>
      <c r="C12" s="114" t="s">
        <v>18</v>
      </c>
      <c r="D12" s="114">
        <v>4046</v>
      </c>
      <c r="E12" s="114" t="s">
        <v>16</v>
      </c>
    </row>
    <row r="13" spans="1:10" x14ac:dyDescent="0.25">
      <c r="A13" s="114" t="s">
        <v>21</v>
      </c>
      <c r="B13" s="114" t="s">
        <v>17</v>
      </c>
      <c r="C13" s="114" t="s">
        <v>18</v>
      </c>
      <c r="D13" s="114">
        <v>1361</v>
      </c>
      <c r="E13" s="114" t="s">
        <v>22</v>
      </c>
    </row>
  </sheetData>
  <pageMargins left="0.7" right="0.7" top="0.75" bottom="0.75" header="0.3" footer="0.3"/>
  <pageSetup paperSize="9"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C12" sqref="C12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Q25" sqref="Q25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35" t="s">
        <v>116</v>
      </c>
      <c r="B1" s="35" t="s">
        <v>117</v>
      </c>
    </row>
    <row r="2" spans="1:2" x14ac:dyDescent="0.25">
      <c r="A2" s="36">
        <v>7.1</v>
      </c>
      <c r="B2" s="111">
        <v>62</v>
      </c>
    </row>
    <row r="3" spans="1:2" x14ac:dyDescent="0.25">
      <c r="A3" s="36">
        <v>8.3000000000000007</v>
      </c>
      <c r="B3" s="111">
        <v>68</v>
      </c>
    </row>
    <row r="4" spans="1:2" x14ac:dyDescent="0.25">
      <c r="A4" s="36">
        <v>10.7</v>
      </c>
      <c r="B4" s="111">
        <v>74</v>
      </c>
    </row>
    <row r="5" spans="1:2" x14ac:dyDescent="0.25">
      <c r="A5" s="36">
        <v>9.4</v>
      </c>
      <c r="B5" s="111">
        <v>71</v>
      </c>
    </row>
    <row r="6" spans="1:2" x14ac:dyDescent="0.25">
      <c r="A6" s="36">
        <v>12.6</v>
      </c>
      <c r="B6" s="111">
        <v>82</v>
      </c>
    </row>
    <row r="7" spans="1:2" x14ac:dyDescent="0.25">
      <c r="A7" s="36">
        <v>11.1</v>
      </c>
      <c r="B7" s="111">
        <v>76</v>
      </c>
    </row>
    <row r="8" spans="1:2" x14ac:dyDescent="0.25">
      <c r="A8" s="36">
        <v>10.3</v>
      </c>
      <c r="B8" s="111">
        <v>72</v>
      </c>
    </row>
    <row r="9" spans="1:2" x14ac:dyDescent="0.25">
      <c r="A9" s="36">
        <v>13.1</v>
      </c>
      <c r="B9" s="111">
        <v>79</v>
      </c>
    </row>
    <row r="10" spans="1:2" x14ac:dyDescent="0.25">
      <c r="A10" s="36">
        <v>9.6</v>
      </c>
      <c r="B10" s="111">
        <v>68</v>
      </c>
    </row>
    <row r="11" spans="1:2" x14ac:dyDescent="0.25">
      <c r="A11" s="36">
        <v>12.4</v>
      </c>
      <c r="B11" s="111">
        <v>77</v>
      </c>
    </row>
    <row r="19" spans="2:3" x14ac:dyDescent="0.25">
      <c r="B19" t="s">
        <v>118</v>
      </c>
      <c r="C19">
        <f>SLOPE(B2:B11,A2:A11)</f>
        <v>2.9550321199143461</v>
      </c>
    </row>
    <row r="20" spans="2:3" x14ac:dyDescent="0.25">
      <c r="B20" t="s">
        <v>119</v>
      </c>
      <c r="C20">
        <f>INTERCEPT(B2:B11,A2:A11)</f>
        <v>41.990364025695953</v>
      </c>
    </row>
  </sheetData>
  <pageMargins left="0.7" right="0.7" top="0.75" bottom="0.75" header="0.3" footer="0.3"/>
  <pageSetup paperSize="9" orientation="portrait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7" sqref="A7"/>
    </sheetView>
  </sheetViews>
  <sheetFormatPr defaultRowHeight="10.5" x14ac:dyDescent="0.15"/>
  <cols>
    <col min="1" max="1" width="8.42578125" style="164" customWidth="1"/>
    <col min="2" max="3" width="12.7109375" style="164" customWidth="1"/>
    <col min="4" max="4" width="6.7109375" style="164" customWidth="1"/>
    <col min="5" max="5" width="9.28515625" style="164" customWidth="1"/>
    <col min="6" max="6" width="10.140625" style="164" customWidth="1"/>
    <col min="7" max="7" width="7.5703125" style="164" customWidth="1"/>
    <col min="8" max="8" width="10.140625" style="164" customWidth="1"/>
    <col min="9" max="9" width="13.42578125" style="164" bestFit="1" customWidth="1"/>
    <col min="10" max="16384" width="9.140625" style="164"/>
  </cols>
  <sheetData>
    <row r="1" spans="1:8" x14ac:dyDescent="0.15">
      <c r="A1" s="163" t="s">
        <v>235</v>
      </c>
      <c r="B1" s="163" t="s">
        <v>236</v>
      </c>
      <c r="C1" s="163" t="s">
        <v>237</v>
      </c>
      <c r="D1" s="163" t="s">
        <v>162</v>
      </c>
      <c r="E1" s="163" t="s">
        <v>238</v>
      </c>
      <c r="F1" s="163" t="s">
        <v>239</v>
      </c>
      <c r="G1" s="163" t="s">
        <v>132</v>
      </c>
      <c r="H1" s="163" t="s">
        <v>240</v>
      </c>
    </row>
    <row r="2" spans="1:8" ht="15" x14ac:dyDescent="0.25">
      <c r="A2" s="165">
        <v>40588</v>
      </c>
      <c r="B2" s="164" t="s">
        <v>241</v>
      </c>
      <c r="C2" s="164" t="s">
        <v>242</v>
      </c>
      <c r="D2" s="166">
        <v>2</v>
      </c>
      <c r="E2" s="167">
        <v>44.5</v>
      </c>
      <c r="F2" s="168">
        <f>D2*E2</f>
        <v>89</v>
      </c>
      <c r="G2" s="168">
        <f>21%*F2</f>
        <v>18.689999999999998</v>
      </c>
      <c r="H2" s="168">
        <f>F2+G2</f>
        <v>107.69</v>
      </c>
    </row>
    <row r="3" spans="1:8" ht="15" x14ac:dyDescent="0.25">
      <c r="A3" s="165">
        <v>40589</v>
      </c>
      <c r="B3" s="164" t="s">
        <v>243</v>
      </c>
      <c r="C3" s="164" t="s">
        <v>244</v>
      </c>
      <c r="D3" s="166">
        <v>3</v>
      </c>
      <c r="E3" s="167">
        <v>82.7</v>
      </c>
      <c r="F3" s="168">
        <f>D3*E3</f>
        <v>248.10000000000002</v>
      </c>
      <c r="G3" s="168">
        <f t="shared" ref="G3:G4" si="0">21%*F3</f>
        <v>52.101000000000006</v>
      </c>
      <c r="H3" s="168">
        <f>F3+G3</f>
        <v>300.20100000000002</v>
      </c>
    </row>
    <row r="4" spans="1:8" ht="15" x14ac:dyDescent="0.25">
      <c r="A4" s="165">
        <v>40589</v>
      </c>
      <c r="B4" s="164" t="s">
        <v>245</v>
      </c>
      <c r="C4" s="164" t="s">
        <v>246</v>
      </c>
      <c r="D4" s="166">
        <v>2</v>
      </c>
      <c r="E4" s="167">
        <v>98.4</v>
      </c>
      <c r="F4" s="168">
        <f>D4*E4</f>
        <v>196.8</v>
      </c>
      <c r="G4" s="168">
        <f t="shared" si="0"/>
        <v>41.328000000000003</v>
      </c>
      <c r="H4" s="168">
        <f>F4+G4</f>
        <v>238.12800000000001</v>
      </c>
    </row>
  </sheetData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153"/>
    <col min="2" max="2" width="24.7109375" style="153" customWidth="1"/>
    <col min="3" max="3" width="35.7109375" style="153" customWidth="1"/>
    <col min="4" max="16384" width="9.140625" style="153"/>
  </cols>
  <sheetData>
    <row r="2" spans="2:3" x14ac:dyDescent="0.25">
      <c r="B2" s="260" t="s">
        <v>333</v>
      </c>
      <c r="C2" s="260"/>
    </row>
    <row r="4" spans="2:3" ht="39.950000000000003" customHeight="1" x14ac:dyDescent="0.25">
      <c r="B4" s="154" t="s">
        <v>334</v>
      </c>
      <c r="C4" s="154" t="s">
        <v>339</v>
      </c>
    </row>
    <row r="5" spans="2:3" ht="39.950000000000003" customHeight="1" x14ac:dyDescent="0.25">
      <c r="B5" s="154" t="s">
        <v>335</v>
      </c>
      <c r="C5" s="155" t="s">
        <v>338</v>
      </c>
    </row>
    <row r="6" spans="2:3" ht="39.950000000000003" customHeight="1" x14ac:dyDescent="0.25">
      <c r="B6" s="154" t="s">
        <v>336</v>
      </c>
      <c r="C6" s="155" t="s">
        <v>340</v>
      </c>
    </row>
    <row r="7" spans="2:3" ht="39.950000000000003" customHeight="1" x14ac:dyDescent="0.25">
      <c r="B7" s="154" t="s">
        <v>337</v>
      </c>
      <c r="C7" s="155" t="s">
        <v>341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5"/>
  <sheetViews>
    <sheetView workbookViewId="0">
      <selection activeCell="A17" sqref="A17"/>
    </sheetView>
  </sheetViews>
  <sheetFormatPr defaultRowHeight="12.75" x14ac:dyDescent="0.2"/>
  <cols>
    <col min="1" max="1" width="25.5703125" style="90" customWidth="1"/>
    <col min="2" max="2" width="12.140625" style="90" bestFit="1" customWidth="1"/>
    <col min="3" max="3" width="17.28515625" style="90" bestFit="1" customWidth="1"/>
    <col min="4" max="4" width="8.28515625" style="90" bestFit="1" customWidth="1"/>
    <col min="5" max="16384" width="9.140625" style="90"/>
  </cols>
  <sheetData>
    <row r="1" spans="1:2" x14ac:dyDescent="0.2">
      <c r="A1" s="92" t="s">
        <v>303</v>
      </c>
    </row>
    <row r="2" spans="1:2" ht="15" x14ac:dyDescent="0.25">
      <c r="A2" s="90" t="s">
        <v>302</v>
      </c>
      <c r="B2" s="93">
        <v>20000</v>
      </c>
    </row>
    <row r="3" spans="1:2" ht="15" x14ac:dyDescent="0.25">
      <c r="A3" s="90" t="s">
        <v>295</v>
      </c>
      <c r="B3" s="93">
        <v>1000</v>
      </c>
    </row>
    <row r="5" spans="1:2" ht="15" x14ac:dyDescent="0.25">
      <c r="A5" s="92" t="s">
        <v>301</v>
      </c>
      <c r="B5" s="93"/>
    </row>
    <row r="6" spans="1:2" ht="15" x14ac:dyDescent="0.25">
      <c r="A6" s="90" t="s">
        <v>300</v>
      </c>
      <c r="B6" s="93">
        <v>1345</v>
      </c>
    </row>
    <row r="7" spans="1:2" ht="15" x14ac:dyDescent="0.25">
      <c r="A7" s="90" t="s">
        <v>299</v>
      </c>
      <c r="B7" s="93">
        <v>1883</v>
      </c>
    </row>
    <row r="8" spans="1:2" ht="15" x14ac:dyDescent="0.25">
      <c r="A8" s="90" t="s">
        <v>298</v>
      </c>
      <c r="B8" s="94">
        <v>0.21</v>
      </c>
    </row>
    <row r="9" spans="1:2" ht="15" x14ac:dyDescent="0.25">
      <c r="B9" s="94"/>
    </row>
    <row r="10" spans="1:2" x14ac:dyDescent="0.2">
      <c r="A10" s="92" t="s">
        <v>297</v>
      </c>
    </row>
    <row r="11" spans="1:2" ht="15" x14ac:dyDescent="0.25">
      <c r="A11" s="90" t="s">
        <v>296</v>
      </c>
      <c r="B11" s="93">
        <f>B8*B2</f>
        <v>4200</v>
      </c>
    </row>
    <row r="12" spans="1:2" ht="15" x14ac:dyDescent="0.25">
      <c r="A12" s="90" t="s">
        <v>295</v>
      </c>
      <c r="B12" s="93">
        <f>B3</f>
        <v>1000</v>
      </c>
    </row>
    <row r="13" spans="1:2" ht="15" x14ac:dyDescent="0.25">
      <c r="A13" s="90" t="s">
        <v>294</v>
      </c>
      <c r="B13" s="93">
        <f>B11-B12</f>
        <v>3200</v>
      </c>
    </row>
    <row r="14" spans="1:2" ht="15" x14ac:dyDescent="0.25">
      <c r="A14" s="90" t="s">
        <v>293</v>
      </c>
      <c r="B14" s="93">
        <f>IF(B13&lt;0,0,IF(B13&gt;B7,0,IF(B13&lt;=B6,B13,2.5*(B7-B13))))</f>
        <v>0</v>
      </c>
    </row>
    <row r="15" spans="1:2" x14ac:dyDescent="0.2">
      <c r="A15" s="92" t="str">
        <f>IF(B13&lt;0,"Terug te ontvangen","Te betalen")</f>
        <v>Te betalen</v>
      </c>
      <c r="B15" s="91">
        <f>ABS(B13-B14)</f>
        <v>3200</v>
      </c>
    </row>
  </sheetData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43D-2AC5-4C89-BA6D-ADA9CB3194A9}">
  <dimension ref="A1:C6"/>
  <sheetViews>
    <sheetView workbookViewId="0">
      <selection activeCell="A2" sqref="A2"/>
    </sheetView>
  </sheetViews>
  <sheetFormatPr defaultRowHeight="15" x14ac:dyDescent="0.25"/>
  <cols>
    <col min="1" max="1" width="7.85546875" style="153" customWidth="1"/>
    <col min="2" max="2" width="7" style="153" customWidth="1"/>
    <col min="3" max="3" width="8.7109375" style="153" customWidth="1"/>
    <col min="4" max="16384" width="9.140625" style="153"/>
  </cols>
  <sheetData>
    <row r="1" spans="1:3" x14ac:dyDescent="0.25">
      <c r="A1" s="153" t="s">
        <v>427</v>
      </c>
      <c r="B1" s="153" t="s">
        <v>428</v>
      </c>
      <c r="C1" s="153" t="s">
        <v>429</v>
      </c>
    </row>
    <row r="2" spans="1:3" x14ac:dyDescent="0.25">
      <c r="A2" s="153" t="s">
        <v>430</v>
      </c>
      <c r="B2" s="153">
        <v>5</v>
      </c>
      <c r="C2" s="153">
        <v>3</v>
      </c>
    </row>
    <row r="3" spans="1:3" x14ac:dyDescent="0.25">
      <c r="A3" s="153" t="s">
        <v>431</v>
      </c>
      <c r="B3" s="153">
        <v>10</v>
      </c>
      <c r="C3" s="153">
        <v>5</v>
      </c>
    </row>
    <row r="4" spans="1:3" x14ac:dyDescent="0.25">
      <c r="A4" s="153" t="s">
        <v>432</v>
      </c>
      <c r="B4" s="153">
        <v>9</v>
      </c>
      <c r="C4" s="153">
        <v>9</v>
      </c>
    </row>
    <row r="5" spans="1:3" x14ac:dyDescent="0.25">
      <c r="A5" s="153" t="s">
        <v>433</v>
      </c>
      <c r="B5" s="153">
        <v>6</v>
      </c>
      <c r="C5" s="153">
        <v>5</v>
      </c>
    </row>
    <row r="6" spans="1:3" x14ac:dyDescent="0.25">
      <c r="A6" s="153" t="s">
        <v>434</v>
      </c>
      <c r="B6" s="153">
        <v>1</v>
      </c>
      <c r="C6" s="153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5BF-4E95-4D52-B4F5-51DDFD9EBC06}">
  <dimension ref="A1:C11"/>
  <sheetViews>
    <sheetView workbookViewId="0">
      <selection activeCell="A13" sqref="A1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7109375" bestFit="1" customWidth="1"/>
  </cols>
  <sheetData>
    <row r="1" spans="1:3" x14ac:dyDescent="0.25">
      <c r="A1" t="s">
        <v>427</v>
      </c>
      <c r="B1" t="s">
        <v>282</v>
      </c>
      <c r="C1" t="s">
        <v>162</v>
      </c>
    </row>
    <row r="2" spans="1:3" x14ac:dyDescent="0.25">
      <c r="A2" t="s">
        <v>430</v>
      </c>
      <c r="B2" t="s">
        <v>428</v>
      </c>
      <c r="C2" s="178">
        <v>5</v>
      </c>
    </row>
    <row r="3" spans="1:3" x14ac:dyDescent="0.25">
      <c r="A3" t="s">
        <v>430</v>
      </c>
      <c r="B3" t="s">
        <v>429</v>
      </c>
      <c r="C3" s="178">
        <v>3</v>
      </c>
    </row>
    <row r="4" spans="1:3" x14ac:dyDescent="0.25">
      <c r="A4" t="s">
        <v>431</v>
      </c>
      <c r="B4" t="s">
        <v>428</v>
      </c>
      <c r="C4" s="178">
        <v>10</v>
      </c>
    </row>
    <row r="5" spans="1:3" x14ac:dyDescent="0.25">
      <c r="A5" t="s">
        <v>431</v>
      </c>
      <c r="B5" t="s">
        <v>429</v>
      </c>
      <c r="C5" s="178">
        <v>5</v>
      </c>
    </row>
    <row r="6" spans="1:3" x14ac:dyDescent="0.25">
      <c r="A6" t="s">
        <v>432</v>
      </c>
      <c r="B6" t="s">
        <v>428</v>
      </c>
      <c r="C6" s="178">
        <v>9</v>
      </c>
    </row>
    <row r="7" spans="1:3" x14ac:dyDescent="0.25">
      <c r="A7" t="s">
        <v>432</v>
      </c>
      <c r="B7" t="s">
        <v>429</v>
      </c>
      <c r="C7" s="178">
        <v>9</v>
      </c>
    </row>
    <row r="8" spans="1:3" x14ac:dyDescent="0.25">
      <c r="A8" t="s">
        <v>433</v>
      </c>
      <c r="B8" t="s">
        <v>428</v>
      </c>
      <c r="C8" s="178">
        <v>6</v>
      </c>
    </row>
    <row r="9" spans="1:3" x14ac:dyDescent="0.25">
      <c r="A9" t="s">
        <v>433</v>
      </c>
      <c r="B9" t="s">
        <v>429</v>
      </c>
      <c r="C9" s="178">
        <v>5</v>
      </c>
    </row>
    <row r="10" spans="1:3" x14ac:dyDescent="0.25">
      <c r="A10" t="s">
        <v>434</v>
      </c>
      <c r="B10" t="s">
        <v>428</v>
      </c>
      <c r="C10" s="178">
        <v>1</v>
      </c>
    </row>
    <row r="11" spans="1:3" x14ac:dyDescent="0.25">
      <c r="A11" t="s">
        <v>434</v>
      </c>
      <c r="B11" t="s">
        <v>429</v>
      </c>
      <c r="C11" s="178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AA9-6E7B-4480-BA88-3D7CD0F7C908}">
  <dimension ref="A1:E6"/>
  <sheetViews>
    <sheetView workbookViewId="0">
      <selection sqref="A1:E6"/>
    </sheetView>
  </sheetViews>
  <sheetFormatPr defaultRowHeight="15" x14ac:dyDescent="0.25"/>
  <cols>
    <col min="1" max="1" width="9.140625" style="153"/>
    <col min="2" max="2" width="12.42578125" style="153" customWidth="1"/>
    <col min="3" max="3" width="14.140625" style="153" customWidth="1"/>
    <col min="4" max="4" width="12.42578125" style="153" customWidth="1"/>
    <col min="5" max="5" width="14.140625" style="153" customWidth="1"/>
    <col min="6" max="16384" width="9.140625" style="153"/>
  </cols>
  <sheetData>
    <row r="1" spans="1:5" x14ac:dyDescent="0.25">
      <c r="A1" s="153" t="s">
        <v>427</v>
      </c>
      <c r="B1" s="153" t="s">
        <v>435</v>
      </c>
      <c r="C1" s="153" t="s">
        <v>436</v>
      </c>
      <c r="D1" s="153" t="s">
        <v>437</v>
      </c>
      <c r="E1" s="153" t="s">
        <v>438</v>
      </c>
    </row>
    <row r="2" spans="1:5" x14ac:dyDescent="0.25">
      <c r="A2" s="153" t="s">
        <v>430</v>
      </c>
      <c r="B2" s="153">
        <v>2</v>
      </c>
      <c r="C2" s="153">
        <v>1</v>
      </c>
      <c r="D2" s="153">
        <v>3</v>
      </c>
      <c r="E2" s="153">
        <v>2</v>
      </c>
    </row>
    <row r="3" spans="1:5" x14ac:dyDescent="0.25">
      <c r="A3" s="153" t="s">
        <v>431</v>
      </c>
      <c r="B3" s="153">
        <v>5</v>
      </c>
      <c r="C3" s="153">
        <v>2</v>
      </c>
      <c r="D3" s="153">
        <v>5</v>
      </c>
      <c r="E3" s="153">
        <v>3</v>
      </c>
    </row>
    <row r="4" spans="1:5" x14ac:dyDescent="0.25">
      <c r="A4" s="153" t="s">
        <v>432</v>
      </c>
      <c r="B4" s="153">
        <v>6</v>
      </c>
      <c r="C4" s="153">
        <v>5</v>
      </c>
      <c r="D4" s="153">
        <v>3</v>
      </c>
      <c r="E4" s="153">
        <v>4</v>
      </c>
    </row>
    <row r="5" spans="1:5" x14ac:dyDescent="0.25">
      <c r="A5" s="153" t="s">
        <v>433</v>
      </c>
      <c r="B5" s="153">
        <v>2</v>
      </c>
      <c r="C5" s="153">
        <v>4</v>
      </c>
      <c r="D5" s="153">
        <v>4</v>
      </c>
      <c r="E5" s="153">
        <v>1</v>
      </c>
    </row>
    <row r="6" spans="1:5" x14ac:dyDescent="0.25">
      <c r="A6" s="153" t="s">
        <v>434</v>
      </c>
      <c r="B6" s="153">
        <v>0</v>
      </c>
      <c r="C6" s="153">
        <v>2</v>
      </c>
      <c r="D6" s="153">
        <v>1</v>
      </c>
      <c r="E6" s="153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8B82-4BEA-4065-9F1C-2E7CED68D1B2}">
  <dimension ref="A1:D21"/>
  <sheetViews>
    <sheetView workbookViewId="0">
      <selection activeCell="M14" sqref="M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427</v>
      </c>
      <c r="B1" t="s">
        <v>282</v>
      </c>
      <c r="C1" t="s">
        <v>439</v>
      </c>
      <c r="D1" t="s">
        <v>162</v>
      </c>
    </row>
    <row r="2" spans="1:4" x14ac:dyDescent="0.25">
      <c r="A2" t="s">
        <v>430</v>
      </c>
      <c r="B2" t="s">
        <v>428</v>
      </c>
      <c r="C2" t="s">
        <v>440</v>
      </c>
      <c r="D2" s="178">
        <v>2</v>
      </c>
    </row>
    <row r="3" spans="1:4" x14ac:dyDescent="0.25">
      <c r="A3" t="s">
        <v>430</v>
      </c>
      <c r="B3" t="s">
        <v>429</v>
      </c>
      <c r="C3" t="s">
        <v>440</v>
      </c>
      <c r="D3" s="178">
        <v>1</v>
      </c>
    </row>
    <row r="4" spans="1:4" x14ac:dyDescent="0.25">
      <c r="A4" t="s">
        <v>430</v>
      </c>
      <c r="B4" t="s">
        <v>428</v>
      </c>
      <c r="C4" t="s">
        <v>441</v>
      </c>
      <c r="D4" s="178">
        <v>3</v>
      </c>
    </row>
    <row r="5" spans="1:4" x14ac:dyDescent="0.25">
      <c r="A5" t="s">
        <v>430</v>
      </c>
      <c r="B5" t="s">
        <v>429</v>
      </c>
      <c r="C5" t="s">
        <v>441</v>
      </c>
      <c r="D5" s="178">
        <v>2</v>
      </c>
    </row>
    <row r="6" spans="1:4" x14ac:dyDescent="0.25">
      <c r="A6" t="s">
        <v>431</v>
      </c>
      <c r="B6" t="s">
        <v>428</v>
      </c>
      <c r="C6" t="s">
        <v>440</v>
      </c>
      <c r="D6" s="178">
        <v>5</v>
      </c>
    </row>
    <row r="7" spans="1:4" x14ac:dyDescent="0.25">
      <c r="A7" t="s">
        <v>431</v>
      </c>
      <c r="B7" t="s">
        <v>429</v>
      </c>
      <c r="C7" t="s">
        <v>440</v>
      </c>
      <c r="D7" s="178">
        <v>2</v>
      </c>
    </row>
    <row r="8" spans="1:4" x14ac:dyDescent="0.25">
      <c r="A8" t="s">
        <v>431</v>
      </c>
      <c r="B8" t="s">
        <v>428</v>
      </c>
      <c r="C8" t="s">
        <v>441</v>
      </c>
      <c r="D8" s="178">
        <v>5</v>
      </c>
    </row>
    <row r="9" spans="1:4" x14ac:dyDescent="0.25">
      <c r="A9" t="s">
        <v>431</v>
      </c>
      <c r="B9" t="s">
        <v>429</v>
      </c>
      <c r="C9" t="s">
        <v>441</v>
      </c>
      <c r="D9" s="178">
        <v>3</v>
      </c>
    </row>
    <row r="10" spans="1:4" x14ac:dyDescent="0.25">
      <c r="A10" t="s">
        <v>432</v>
      </c>
      <c r="B10" t="s">
        <v>428</v>
      </c>
      <c r="C10" t="s">
        <v>440</v>
      </c>
      <c r="D10" s="178">
        <v>6</v>
      </c>
    </row>
    <row r="11" spans="1:4" x14ac:dyDescent="0.25">
      <c r="A11" t="s">
        <v>432</v>
      </c>
      <c r="B11" t="s">
        <v>429</v>
      </c>
      <c r="C11" t="s">
        <v>440</v>
      </c>
      <c r="D11" s="178">
        <v>5</v>
      </c>
    </row>
    <row r="12" spans="1:4" x14ac:dyDescent="0.25">
      <c r="A12" t="s">
        <v>432</v>
      </c>
      <c r="B12" t="s">
        <v>428</v>
      </c>
      <c r="C12" t="s">
        <v>441</v>
      </c>
      <c r="D12" s="178">
        <v>3</v>
      </c>
    </row>
    <row r="13" spans="1:4" x14ac:dyDescent="0.25">
      <c r="A13" t="s">
        <v>432</v>
      </c>
      <c r="B13" t="s">
        <v>429</v>
      </c>
      <c r="C13" t="s">
        <v>441</v>
      </c>
      <c r="D13" s="178">
        <v>4</v>
      </c>
    </row>
    <row r="14" spans="1:4" x14ac:dyDescent="0.25">
      <c r="A14" t="s">
        <v>433</v>
      </c>
      <c r="B14" t="s">
        <v>428</v>
      </c>
      <c r="C14" t="s">
        <v>440</v>
      </c>
      <c r="D14" s="178">
        <v>2</v>
      </c>
    </row>
    <row r="15" spans="1:4" x14ac:dyDescent="0.25">
      <c r="A15" t="s">
        <v>433</v>
      </c>
      <c r="B15" t="s">
        <v>429</v>
      </c>
      <c r="C15" t="s">
        <v>440</v>
      </c>
      <c r="D15" s="178">
        <v>4</v>
      </c>
    </row>
    <row r="16" spans="1:4" x14ac:dyDescent="0.25">
      <c r="A16" t="s">
        <v>433</v>
      </c>
      <c r="B16" t="s">
        <v>428</v>
      </c>
      <c r="C16" t="s">
        <v>441</v>
      </c>
      <c r="D16" s="178">
        <v>4</v>
      </c>
    </row>
    <row r="17" spans="1:4" x14ac:dyDescent="0.25">
      <c r="A17" t="s">
        <v>433</v>
      </c>
      <c r="B17" t="s">
        <v>429</v>
      </c>
      <c r="C17" t="s">
        <v>441</v>
      </c>
      <c r="D17" s="178">
        <v>1</v>
      </c>
    </row>
    <row r="18" spans="1:4" x14ac:dyDescent="0.25">
      <c r="A18" t="s">
        <v>434</v>
      </c>
      <c r="B18" t="s">
        <v>428</v>
      </c>
      <c r="C18" t="s">
        <v>440</v>
      </c>
      <c r="D18" s="178">
        <v>0</v>
      </c>
    </row>
    <row r="19" spans="1:4" x14ac:dyDescent="0.25">
      <c r="A19" t="s">
        <v>434</v>
      </c>
      <c r="B19" t="s">
        <v>429</v>
      </c>
      <c r="C19" t="s">
        <v>440</v>
      </c>
      <c r="D19" s="178">
        <v>2</v>
      </c>
    </row>
    <row r="20" spans="1:4" x14ac:dyDescent="0.25">
      <c r="A20" t="s">
        <v>434</v>
      </c>
      <c r="B20" t="s">
        <v>428</v>
      </c>
      <c r="C20" t="s">
        <v>441</v>
      </c>
      <c r="D20" s="178">
        <v>1</v>
      </c>
    </row>
    <row r="21" spans="1:4" x14ac:dyDescent="0.25">
      <c r="A21" t="s">
        <v>434</v>
      </c>
      <c r="B21" t="s">
        <v>429</v>
      </c>
      <c r="C21" t="s">
        <v>441</v>
      </c>
      <c r="D21" s="178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A9CA-0710-476F-87CD-114CF151E1A5}">
  <dimension ref="A1:G11"/>
  <sheetViews>
    <sheetView workbookViewId="0">
      <selection activeCell="A6" sqref="A6"/>
    </sheetView>
  </sheetViews>
  <sheetFormatPr defaultRowHeight="15" x14ac:dyDescent="0.25"/>
  <cols>
    <col min="1" max="1" width="9.7109375" style="153" customWidth="1"/>
    <col min="2" max="2" width="12.7109375" style="153" customWidth="1"/>
    <col min="3" max="7" width="7.5703125" style="153" customWidth="1"/>
    <col min="8" max="16384" width="9.140625" style="153"/>
  </cols>
  <sheetData>
    <row r="1" spans="1:7" x14ac:dyDescent="0.25">
      <c r="A1" s="153" t="s">
        <v>442</v>
      </c>
      <c r="B1" s="153" t="s">
        <v>443</v>
      </c>
      <c r="C1" s="153" t="s">
        <v>440</v>
      </c>
      <c r="D1" s="153" t="s">
        <v>441</v>
      </c>
      <c r="E1" s="153" t="s">
        <v>444</v>
      </c>
      <c r="F1" s="153" t="s">
        <v>445</v>
      </c>
      <c r="G1" s="153" t="s">
        <v>446</v>
      </c>
    </row>
    <row r="2" spans="1:7" x14ac:dyDescent="0.25">
      <c r="A2" s="153" t="s">
        <v>453</v>
      </c>
      <c r="B2" s="153" t="s">
        <v>448</v>
      </c>
      <c r="C2" s="153" t="s">
        <v>431</v>
      </c>
      <c r="G2" s="153" t="s">
        <v>430</v>
      </c>
    </row>
    <row r="3" spans="1:7" x14ac:dyDescent="0.25">
      <c r="A3" s="153" t="s">
        <v>453</v>
      </c>
      <c r="B3" s="153" t="s">
        <v>449</v>
      </c>
      <c r="C3" s="153" t="s">
        <v>431</v>
      </c>
      <c r="G3" s="153" t="s">
        <v>432</v>
      </c>
    </row>
    <row r="4" spans="1:7" x14ac:dyDescent="0.25">
      <c r="A4" s="153" t="s">
        <v>447</v>
      </c>
      <c r="B4" s="153" t="s">
        <v>448</v>
      </c>
      <c r="C4" s="153" t="s">
        <v>430</v>
      </c>
      <c r="E4" s="153" t="s">
        <v>431</v>
      </c>
    </row>
    <row r="5" spans="1:7" x14ac:dyDescent="0.25">
      <c r="A5" s="153" t="s">
        <v>447</v>
      </c>
      <c r="B5" s="153" t="s">
        <v>449</v>
      </c>
      <c r="C5" s="153" t="s">
        <v>432</v>
      </c>
      <c r="E5" s="153" t="s">
        <v>432</v>
      </c>
    </row>
    <row r="6" spans="1:7" x14ac:dyDescent="0.25">
      <c r="A6" s="153" t="s">
        <v>451</v>
      </c>
      <c r="B6" s="153" t="s">
        <v>448</v>
      </c>
      <c r="D6" s="153" t="s">
        <v>432</v>
      </c>
      <c r="G6" s="153" t="s">
        <v>431</v>
      </c>
    </row>
    <row r="7" spans="1:7" x14ac:dyDescent="0.25">
      <c r="A7" s="153" t="s">
        <v>451</v>
      </c>
      <c r="B7" s="153" t="s">
        <v>449</v>
      </c>
      <c r="D7" s="153" t="s">
        <v>430</v>
      </c>
      <c r="G7" s="153" t="s">
        <v>430</v>
      </c>
    </row>
    <row r="8" spans="1:7" x14ac:dyDescent="0.25">
      <c r="A8" s="153" t="s">
        <v>452</v>
      </c>
      <c r="B8" s="153" t="s">
        <v>448</v>
      </c>
      <c r="E8" s="153" t="s">
        <v>432</v>
      </c>
      <c r="F8" s="153" t="s">
        <v>430</v>
      </c>
    </row>
    <row r="9" spans="1:7" x14ac:dyDescent="0.25">
      <c r="A9" s="153" t="s">
        <v>452</v>
      </c>
      <c r="B9" s="153" t="s">
        <v>449</v>
      </c>
      <c r="E9" s="153" t="s">
        <v>432</v>
      </c>
      <c r="F9" s="153" t="s">
        <v>430</v>
      </c>
    </row>
    <row r="10" spans="1:7" x14ac:dyDescent="0.25">
      <c r="A10" s="153" t="s">
        <v>450</v>
      </c>
      <c r="B10" s="153" t="s">
        <v>448</v>
      </c>
      <c r="D10" s="153" t="s">
        <v>433</v>
      </c>
      <c r="F10" s="153" t="s">
        <v>430</v>
      </c>
    </row>
    <row r="11" spans="1:7" x14ac:dyDescent="0.25">
      <c r="A11" s="153" t="s">
        <v>450</v>
      </c>
      <c r="B11" s="153" t="s">
        <v>449</v>
      </c>
      <c r="D11" s="153" t="s">
        <v>434</v>
      </c>
      <c r="F11" s="153" t="s">
        <v>432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71C-75A9-4A25-B468-F1B6224D81B8}">
  <dimension ref="A1:D11"/>
  <sheetViews>
    <sheetView workbookViewId="0">
      <selection activeCell="C2" sqref="C2:D11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3.7109375" bestFit="1" customWidth="1"/>
    <col min="4" max="4" width="11.85546875" bestFit="1" customWidth="1"/>
    <col min="5" max="5" width="6.7109375" bestFit="1" customWidth="1"/>
    <col min="6" max="7" width="10.28515625" bestFit="1" customWidth="1"/>
  </cols>
  <sheetData>
    <row r="1" spans="1:4" x14ac:dyDescent="0.25">
      <c r="A1" t="s">
        <v>442</v>
      </c>
      <c r="B1" t="s">
        <v>439</v>
      </c>
      <c r="C1" t="s">
        <v>448</v>
      </c>
      <c r="D1" t="s">
        <v>449</v>
      </c>
    </row>
    <row r="2" spans="1:4" x14ac:dyDescent="0.25">
      <c r="A2" t="s">
        <v>453</v>
      </c>
      <c r="B2" t="s">
        <v>440</v>
      </c>
      <c r="C2" t="s">
        <v>431</v>
      </c>
      <c r="D2" t="s">
        <v>431</v>
      </c>
    </row>
    <row r="3" spans="1:4" x14ac:dyDescent="0.25">
      <c r="A3" t="s">
        <v>453</v>
      </c>
      <c r="B3" t="s">
        <v>446</v>
      </c>
      <c r="C3" t="s">
        <v>430</v>
      </c>
      <c r="D3" t="s">
        <v>432</v>
      </c>
    </row>
    <row r="4" spans="1:4" x14ac:dyDescent="0.25">
      <c r="A4" t="s">
        <v>447</v>
      </c>
      <c r="B4" t="s">
        <v>440</v>
      </c>
      <c r="C4" t="s">
        <v>430</v>
      </c>
      <c r="D4" t="s">
        <v>432</v>
      </c>
    </row>
    <row r="5" spans="1:4" x14ac:dyDescent="0.25">
      <c r="A5" t="s">
        <v>447</v>
      </c>
      <c r="B5" t="s">
        <v>444</v>
      </c>
      <c r="C5" t="s">
        <v>431</v>
      </c>
      <c r="D5" t="s">
        <v>432</v>
      </c>
    </row>
    <row r="6" spans="1:4" x14ac:dyDescent="0.25">
      <c r="A6" t="s">
        <v>451</v>
      </c>
      <c r="B6" t="s">
        <v>441</v>
      </c>
      <c r="C6" t="s">
        <v>432</v>
      </c>
      <c r="D6" t="s">
        <v>430</v>
      </c>
    </row>
    <row r="7" spans="1:4" x14ac:dyDescent="0.25">
      <c r="A7" t="s">
        <v>451</v>
      </c>
      <c r="B7" t="s">
        <v>446</v>
      </c>
      <c r="C7" t="s">
        <v>431</v>
      </c>
      <c r="D7" t="s">
        <v>430</v>
      </c>
    </row>
    <row r="8" spans="1:4" x14ac:dyDescent="0.25">
      <c r="A8" t="s">
        <v>452</v>
      </c>
      <c r="B8" t="s">
        <v>444</v>
      </c>
      <c r="C8" t="s">
        <v>432</v>
      </c>
      <c r="D8" t="s">
        <v>432</v>
      </c>
    </row>
    <row r="9" spans="1:4" x14ac:dyDescent="0.25">
      <c r="A9" t="s">
        <v>452</v>
      </c>
      <c r="B9" t="s">
        <v>445</v>
      </c>
      <c r="C9" t="s">
        <v>430</v>
      </c>
      <c r="D9" t="s">
        <v>430</v>
      </c>
    </row>
    <row r="10" spans="1:4" x14ac:dyDescent="0.25">
      <c r="A10" t="s">
        <v>450</v>
      </c>
      <c r="B10" t="s">
        <v>441</v>
      </c>
      <c r="C10" t="s">
        <v>433</v>
      </c>
      <c r="D10" t="s">
        <v>434</v>
      </c>
    </row>
    <row r="11" spans="1:4" x14ac:dyDescent="0.25">
      <c r="A11" t="s">
        <v>450</v>
      </c>
      <c r="B11" t="s">
        <v>445</v>
      </c>
      <c r="C11" t="s">
        <v>430</v>
      </c>
      <c r="D11" t="s">
        <v>432</v>
      </c>
    </row>
  </sheetData>
  <phoneticPr fontId="3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A897-5590-401A-AC96-6D043BDE38B7}">
  <dimension ref="A1:B18"/>
  <sheetViews>
    <sheetView workbookViewId="0">
      <selection activeCell="I13" sqref="I13"/>
    </sheetView>
  </sheetViews>
  <sheetFormatPr defaultRowHeight="10.5" x14ac:dyDescent="0.15"/>
  <cols>
    <col min="1" max="1" width="21.28515625" style="118" customWidth="1"/>
    <col min="2" max="2" width="9.28515625" style="118" customWidth="1"/>
    <col min="3" max="16384" width="9.140625" style="118"/>
  </cols>
  <sheetData>
    <row r="1" spans="1:2" ht="15" x14ac:dyDescent="0.15">
      <c r="A1" s="261" t="s">
        <v>1078</v>
      </c>
      <c r="B1" s="262"/>
    </row>
    <row r="3" spans="1:2" x14ac:dyDescent="0.15">
      <c r="A3" s="133" t="s">
        <v>1079</v>
      </c>
    </row>
    <row r="4" spans="1:2" ht="15" x14ac:dyDescent="0.25">
      <c r="A4" s="118" t="s">
        <v>316</v>
      </c>
      <c r="B4" s="76">
        <v>250</v>
      </c>
    </row>
    <row r="5" spans="1:2" ht="15" x14ac:dyDescent="0.25">
      <c r="A5" s="118" t="s">
        <v>193</v>
      </c>
      <c r="B5" s="76">
        <v>600</v>
      </c>
    </row>
    <row r="6" spans="1:2" ht="15" x14ac:dyDescent="0.25">
      <c r="A6" s="118" t="s">
        <v>1080</v>
      </c>
      <c r="B6" s="76">
        <v>50</v>
      </c>
    </row>
    <row r="7" spans="1:2" ht="15" x14ac:dyDescent="0.25">
      <c r="A7" s="118" t="s">
        <v>1081</v>
      </c>
      <c r="B7" s="76">
        <f>SUM(B4:B6)</f>
        <v>900</v>
      </c>
    </row>
    <row r="9" spans="1:2" x14ac:dyDescent="0.15">
      <c r="A9" s="133" t="s">
        <v>1082</v>
      </c>
    </row>
    <row r="10" spans="1:2" ht="15" x14ac:dyDescent="0.25">
      <c r="A10" s="118" t="s">
        <v>1083</v>
      </c>
      <c r="B10" s="76">
        <v>0.4</v>
      </c>
    </row>
    <row r="12" spans="1:2" x14ac:dyDescent="0.15">
      <c r="A12" s="133" t="s">
        <v>1084</v>
      </c>
    </row>
    <row r="13" spans="1:2" ht="15" x14ac:dyDescent="0.25">
      <c r="A13" s="118" t="s">
        <v>1083</v>
      </c>
      <c r="B13" s="76">
        <v>2</v>
      </c>
    </row>
    <row r="15" spans="1:2" x14ac:dyDescent="0.15">
      <c r="A15" s="133" t="s">
        <v>1085</v>
      </c>
    </row>
    <row r="16" spans="1:2" x14ac:dyDescent="0.15">
      <c r="A16" s="118" t="s">
        <v>1086</v>
      </c>
      <c r="B16" s="255">
        <v>600</v>
      </c>
    </row>
    <row r="18" spans="1:2" x14ac:dyDescent="0.15">
      <c r="A18" s="133" t="s">
        <v>1087</v>
      </c>
      <c r="B18" s="127">
        <f>B16*(B13-B10)-B7</f>
        <v>60</v>
      </c>
    </row>
  </sheetData>
  <mergeCells count="1">
    <mergeCell ref="A1:B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90E0-F2FD-4769-BF55-1C37A97FC5B8}">
  <dimension ref="A1:K433"/>
  <sheetViews>
    <sheetView workbookViewId="0">
      <selection activeCell="G5" sqref="G5"/>
    </sheetView>
  </sheetViews>
  <sheetFormatPr defaultRowHeight="12.75" x14ac:dyDescent="0.2"/>
  <cols>
    <col min="1" max="1" width="8.5703125" style="90" bestFit="1" customWidth="1"/>
    <col min="2" max="2" width="10.42578125" style="90" bestFit="1" customWidth="1"/>
    <col min="3" max="3" width="11.42578125" style="90" bestFit="1" customWidth="1"/>
    <col min="4" max="4" width="15.5703125" style="90" bestFit="1" customWidth="1"/>
    <col min="5" max="6" width="9.140625" style="90"/>
    <col min="7" max="7" width="14.5703125" style="90" bestFit="1" customWidth="1"/>
    <col min="8" max="8" width="14.28515625" style="90" bestFit="1" customWidth="1"/>
    <col min="9" max="10" width="7" style="90" bestFit="1" customWidth="1"/>
    <col min="11" max="11" width="10" style="90" bestFit="1" customWidth="1"/>
    <col min="12" max="248" width="9.140625" style="90"/>
    <col min="249" max="249" width="10.140625" style="90" bestFit="1" customWidth="1"/>
    <col min="250" max="250" width="9.28515625" style="90" bestFit="1" customWidth="1"/>
    <col min="251" max="251" width="7.85546875" style="90" bestFit="1" customWidth="1"/>
    <col min="252" max="252" width="12.140625" style="90" bestFit="1" customWidth="1"/>
    <col min="253" max="253" width="10.85546875" style="90" bestFit="1" customWidth="1"/>
    <col min="254" max="504" width="9.140625" style="90"/>
    <col min="505" max="505" width="10.140625" style="90" bestFit="1" customWidth="1"/>
    <col min="506" max="506" width="9.28515625" style="90" bestFit="1" customWidth="1"/>
    <col min="507" max="507" width="7.85546875" style="90" bestFit="1" customWidth="1"/>
    <col min="508" max="508" width="12.140625" style="90" bestFit="1" customWidth="1"/>
    <col min="509" max="509" width="10.85546875" style="90" bestFit="1" customWidth="1"/>
    <col min="510" max="760" width="9.140625" style="90"/>
    <col min="761" max="761" width="10.140625" style="90" bestFit="1" customWidth="1"/>
    <col min="762" max="762" width="9.28515625" style="90" bestFit="1" customWidth="1"/>
    <col min="763" max="763" width="7.85546875" style="90" bestFit="1" customWidth="1"/>
    <col min="764" max="764" width="12.140625" style="90" bestFit="1" customWidth="1"/>
    <col min="765" max="765" width="10.85546875" style="90" bestFit="1" customWidth="1"/>
    <col min="766" max="1016" width="9.140625" style="90"/>
    <col min="1017" max="1017" width="10.140625" style="90" bestFit="1" customWidth="1"/>
    <col min="1018" max="1018" width="9.28515625" style="90" bestFit="1" customWidth="1"/>
    <col min="1019" max="1019" width="7.85546875" style="90" bestFit="1" customWidth="1"/>
    <col min="1020" max="1020" width="12.140625" style="90" bestFit="1" customWidth="1"/>
    <col min="1021" max="1021" width="10.85546875" style="90" bestFit="1" customWidth="1"/>
    <col min="1022" max="1272" width="9.140625" style="90"/>
    <col min="1273" max="1273" width="10.140625" style="90" bestFit="1" customWidth="1"/>
    <col min="1274" max="1274" width="9.28515625" style="90" bestFit="1" customWidth="1"/>
    <col min="1275" max="1275" width="7.85546875" style="90" bestFit="1" customWidth="1"/>
    <col min="1276" max="1276" width="12.140625" style="90" bestFit="1" customWidth="1"/>
    <col min="1277" max="1277" width="10.85546875" style="90" bestFit="1" customWidth="1"/>
    <col min="1278" max="1528" width="9.140625" style="90"/>
    <col min="1529" max="1529" width="10.140625" style="90" bestFit="1" customWidth="1"/>
    <col min="1530" max="1530" width="9.28515625" style="90" bestFit="1" customWidth="1"/>
    <col min="1531" max="1531" width="7.85546875" style="90" bestFit="1" customWidth="1"/>
    <col min="1532" max="1532" width="12.140625" style="90" bestFit="1" customWidth="1"/>
    <col min="1533" max="1533" width="10.85546875" style="90" bestFit="1" customWidth="1"/>
    <col min="1534" max="1784" width="9.140625" style="90"/>
    <col min="1785" max="1785" width="10.140625" style="90" bestFit="1" customWidth="1"/>
    <col min="1786" max="1786" width="9.28515625" style="90" bestFit="1" customWidth="1"/>
    <col min="1787" max="1787" width="7.85546875" style="90" bestFit="1" customWidth="1"/>
    <col min="1788" max="1788" width="12.140625" style="90" bestFit="1" customWidth="1"/>
    <col min="1789" max="1789" width="10.85546875" style="90" bestFit="1" customWidth="1"/>
    <col min="1790" max="2040" width="9.140625" style="90"/>
    <col min="2041" max="2041" width="10.140625" style="90" bestFit="1" customWidth="1"/>
    <col min="2042" max="2042" width="9.28515625" style="90" bestFit="1" customWidth="1"/>
    <col min="2043" max="2043" width="7.85546875" style="90" bestFit="1" customWidth="1"/>
    <col min="2044" max="2044" width="12.140625" style="90" bestFit="1" customWidth="1"/>
    <col min="2045" max="2045" width="10.85546875" style="90" bestFit="1" customWidth="1"/>
    <col min="2046" max="2296" width="9.140625" style="90"/>
    <col min="2297" max="2297" width="10.140625" style="90" bestFit="1" customWidth="1"/>
    <col min="2298" max="2298" width="9.28515625" style="90" bestFit="1" customWidth="1"/>
    <col min="2299" max="2299" width="7.85546875" style="90" bestFit="1" customWidth="1"/>
    <col min="2300" max="2300" width="12.140625" style="90" bestFit="1" customWidth="1"/>
    <col min="2301" max="2301" width="10.85546875" style="90" bestFit="1" customWidth="1"/>
    <col min="2302" max="2552" width="9.140625" style="90"/>
    <col min="2553" max="2553" width="10.140625" style="90" bestFit="1" customWidth="1"/>
    <col min="2554" max="2554" width="9.28515625" style="90" bestFit="1" customWidth="1"/>
    <col min="2555" max="2555" width="7.85546875" style="90" bestFit="1" customWidth="1"/>
    <col min="2556" max="2556" width="12.140625" style="90" bestFit="1" customWidth="1"/>
    <col min="2557" max="2557" width="10.85546875" style="90" bestFit="1" customWidth="1"/>
    <col min="2558" max="2808" width="9.140625" style="90"/>
    <col min="2809" max="2809" width="10.140625" style="90" bestFit="1" customWidth="1"/>
    <col min="2810" max="2810" width="9.28515625" style="90" bestFit="1" customWidth="1"/>
    <col min="2811" max="2811" width="7.85546875" style="90" bestFit="1" customWidth="1"/>
    <col min="2812" max="2812" width="12.140625" style="90" bestFit="1" customWidth="1"/>
    <col min="2813" max="2813" width="10.85546875" style="90" bestFit="1" customWidth="1"/>
    <col min="2814" max="3064" width="9.140625" style="90"/>
    <col min="3065" max="3065" width="10.140625" style="90" bestFit="1" customWidth="1"/>
    <col min="3066" max="3066" width="9.28515625" style="90" bestFit="1" customWidth="1"/>
    <col min="3067" max="3067" width="7.85546875" style="90" bestFit="1" customWidth="1"/>
    <col min="3068" max="3068" width="12.140625" style="90" bestFit="1" customWidth="1"/>
    <col min="3069" max="3069" width="10.85546875" style="90" bestFit="1" customWidth="1"/>
    <col min="3070" max="3320" width="9.140625" style="90"/>
    <col min="3321" max="3321" width="10.140625" style="90" bestFit="1" customWidth="1"/>
    <col min="3322" max="3322" width="9.28515625" style="90" bestFit="1" customWidth="1"/>
    <col min="3323" max="3323" width="7.85546875" style="90" bestFit="1" customWidth="1"/>
    <col min="3324" max="3324" width="12.140625" style="90" bestFit="1" customWidth="1"/>
    <col min="3325" max="3325" width="10.85546875" style="90" bestFit="1" customWidth="1"/>
    <col min="3326" max="3576" width="9.140625" style="90"/>
    <col min="3577" max="3577" width="10.140625" style="90" bestFit="1" customWidth="1"/>
    <col min="3578" max="3578" width="9.28515625" style="90" bestFit="1" customWidth="1"/>
    <col min="3579" max="3579" width="7.85546875" style="90" bestFit="1" customWidth="1"/>
    <col min="3580" max="3580" width="12.140625" style="90" bestFit="1" customWidth="1"/>
    <col min="3581" max="3581" width="10.85546875" style="90" bestFit="1" customWidth="1"/>
    <col min="3582" max="3832" width="9.140625" style="90"/>
    <col min="3833" max="3833" width="10.140625" style="90" bestFit="1" customWidth="1"/>
    <col min="3834" max="3834" width="9.28515625" style="90" bestFit="1" customWidth="1"/>
    <col min="3835" max="3835" width="7.85546875" style="90" bestFit="1" customWidth="1"/>
    <col min="3836" max="3836" width="12.140625" style="90" bestFit="1" customWidth="1"/>
    <col min="3837" max="3837" width="10.85546875" style="90" bestFit="1" customWidth="1"/>
    <col min="3838" max="4088" width="9.140625" style="90"/>
    <col min="4089" max="4089" width="10.140625" style="90" bestFit="1" customWidth="1"/>
    <col min="4090" max="4090" width="9.28515625" style="90" bestFit="1" customWidth="1"/>
    <col min="4091" max="4091" width="7.85546875" style="90" bestFit="1" customWidth="1"/>
    <col min="4092" max="4092" width="12.140625" style="90" bestFit="1" customWidth="1"/>
    <col min="4093" max="4093" width="10.85546875" style="90" bestFit="1" customWidth="1"/>
    <col min="4094" max="4344" width="9.140625" style="90"/>
    <col min="4345" max="4345" width="10.140625" style="90" bestFit="1" customWidth="1"/>
    <col min="4346" max="4346" width="9.28515625" style="90" bestFit="1" customWidth="1"/>
    <col min="4347" max="4347" width="7.85546875" style="90" bestFit="1" customWidth="1"/>
    <col min="4348" max="4348" width="12.140625" style="90" bestFit="1" customWidth="1"/>
    <col min="4349" max="4349" width="10.85546875" style="90" bestFit="1" customWidth="1"/>
    <col min="4350" max="4600" width="9.140625" style="90"/>
    <col min="4601" max="4601" width="10.140625" style="90" bestFit="1" customWidth="1"/>
    <col min="4602" max="4602" width="9.28515625" style="90" bestFit="1" customWidth="1"/>
    <col min="4603" max="4603" width="7.85546875" style="90" bestFit="1" customWidth="1"/>
    <col min="4604" max="4604" width="12.140625" style="90" bestFit="1" customWidth="1"/>
    <col min="4605" max="4605" width="10.85546875" style="90" bestFit="1" customWidth="1"/>
    <col min="4606" max="4856" width="9.140625" style="90"/>
    <col min="4857" max="4857" width="10.140625" style="90" bestFit="1" customWidth="1"/>
    <col min="4858" max="4858" width="9.28515625" style="90" bestFit="1" customWidth="1"/>
    <col min="4859" max="4859" width="7.85546875" style="90" bestFit="1" customWidth="1"/>
    <col min="4860" max="4860" width="12.140625" style="90" bestFit="1" customWidth="1"/>
    <col min="4861" max="4861" width="10.85546875" style="90" bestFit="1" customWidth="1"/>
    <col min="4862" max="5112" width="9.140625" style="90"/>
    <col min="5113" max="5113" width="10.140625" style="90" bestFit="1" customWidth="1"/>
    <col min="5114" max="5114" width="9.28515625" style="90" bestFit="1" customWidth="1"/>
    <col min="5115" max="5115" width="7.85546875" style="90" bestFit="1" customWidth="1"/>
    <col min="5116" max="5116" width="12.140625" style="90" bestFit="1" customWidth="1"/>
    <col min="5117" max="5117" width="10.85546875" style="90" bestFit="1" customWidth="1"/>
    <col min="5118" max="5368" width="9.140625" style="90"/>
    <col min="5369" max="5369" width="10.140625" style="90" bestFit="1" customWidth="1"/>
    <col min="5370" max="5370" width="9.28515625" style="90" bestFit="1" customWidth="1"/>
    <col min="5371" max="5371" width="7.85546875" style="90" bestFit="1" customWidth="1"/>
    <col min="5372" max="5372" width="12.140625" style="90" bestFit="1" customWidth="1"/>
    <col min="5373" max="5373" width="10.85546875" style="90" bestFit="1" customWidth="1"/>
    <col min="5374" max="5624" width="9.140625" style="90"/>
    <col min="5625" max="5625" width="10.140625" style="90" bestFit="1" customWidth="1"/>
    <col min="5626" max="5626" width="9.28515625" style="90" bestFit="1" customWidth="1"/>
    <col min="5627" max="5627" width="7.85546875" style="90" bestFit="1" customWidth="1"/>
    <col min="5628" max="5628" width="12.140625" style="90" bestFit="1" customWidth="1"/>
    <col min="5629" max="5629" width="10.85546875" style="90" bestFit="1" customWidth="1"/>
    <col min="5630" max="5880" width="9.140625" style="90"/>
    <col min="5881" max="5881" width="10.140625" style="90" bestFit="1" customWidth="1"/>
    <col min="5882" max="5882" width="9.28515625" style="90" bestFit="1" customWidth="1"/>
    <col min="5883" max="5883" width="7.85546875" style="90" bestFit="1" customWidth="1"/>
    <col min="5884" max="5884" width="12.140625" style="90" bestFit="1" customWidth="1"/>
    <col min="5885" max="5885" width="10.85546875" style="90" bestFit="1" customWidth="1"/>
    <col min="5886" max="6136" width="9.140625" style="90"/>
    <col min="6137" max="6137" width="10.140625" style="90" bestFit="1" customWidth="1"/>
    <col min="6138" max="6138" width="9.28515625" style="90" bestFit="1" customWidth="1"/>
    <col min="6139" max="6139" width="7.85546875" style="90" bestFit="1" customWidth="1"/>
    <col min="6140" max="6140" width="12.140625" style="90" bestFit="1" customWidth="1"/>
    <col min="6141" max="6141" width="10.85546875" style="90" bestFit="1" customWidth="1"/>
    <col min="6142" max="6392" width="9.140625" style="90"/>
    <col min="6393" max="6393" width="10.140625" style="90" bestFit="1" customWidth="1"/>
    <col min="6394" max="6394" width="9.28515625" style="90" bestFit="1" customWidth="1"/>
    <col min="6395" max="6395" width="7.85546875" style="90" bestFit="1" customWidth="1"/>
    <col min="6396" max="6396" width="12.140625" style="90" bestFit="1" customWidth="1"/>
    <col min="6397" max="6397" width="10.85546875" style="90" bestFit="1" customWidth="1"/>
    <col min="6398" max="6648" width="9.140625" style="90"/>
    <col min="6649" max="6649" width="10.140625" style="90" bestFit="1" customWidth="1"/>
    <col min="6650" max="6650" width="9.28515625" style="90" bestFit="1" customWidth="1"/>
    <col min="6651" max="6651" width="7.85546875" style="90" bestFit="1" customWidth="1"/>
    <col min="6652" max="6652" width="12.140625" style="90" bestFit="1" customWidth="1"/>
    <col min="6653" max="6653" width="10.85546875" style="90" bestFit="1" customWidth="1"/>
    <col min="6654" max="6904" width="9.140625" style="90"/>
    <col min="6905" max="6905" width="10.140625" style="90" bestFit="1" customWidth="1"/>
    <col min="6906" max="6906" width="9.28515625" style="90" bestFit="1" customWidth="1"/>
    <col min="6907" max="6907" width="7.85546875" style="90" bestFit="1" customWidth="1"/>
    <col min="6908" max="6908" width="12.140625" style="90" bestFit="1" customWidth="1"/>
    <col min="6909" max="6909" width="10.85546875" style="90" bestFit="1" customWidth="1"/>
    <col min="6910" max="7160" width="9.140625" style="90"/>
    <col min="7161" max="7161" width="10.140625" style="90" bestFit="1" customWidth="1"/>
    <col min="7162" max="7162" width="9.28515625" style="90" bestFit="1" customWidth="1"/>
    <col min="7163" max="7163" width="7.85546875" style="90" bestFit="1" customWidth="1"/>
    <col min="7164" max="7164" width="12.140625" style="90" bestFit="1" customWidth="1"/>
    <col min="7165" max="7165" width="10.85546875" style="90" bestFit="1" customWidth="1"/>
    <col min="7166" max="7416" width="9.140625" style="90"/>
    <col min="7417" max="7417" width="10.140625" style="90" bestFit="1" customWidth="1"/>
    <col min="7418" max="7418" width="9.28515625" style="90" bestFit="1" customWidth="1"/>
    <col min="7419" max="7419" width="7.85546875" style="90" bestFit="1" customWidth="1"/>
    <col min="7420" max="7420" width="12.140625" style="90" bestFit="1" customWidth="1"/>
    <col min="7421" max="7421" width="10.85546875" style="90" bestFit="1" customWidth="1"/>
    <col min="7422" max="7672" width="9.140625" style="90"/>
    <col min="7673" max="7673" width="10.140625" style="90" bestFit="1" customWidth="1"/>
    <col min="7674" max="7674" width="9.28515625" style="90" bestFit="1" customWidth="1"/>
    <col min="7675" max="7675" width="7.85546875" style="90" bestFit="1" customWidth="1"/>
    <col min="7676" max="7676" width="12.140625" style="90" bestFit="1" customWidth="1"/>
    <col min="7677" max="7677" width="10.85546875" style="90" bestFit="1" customWidth="1"/>
    <col min="7678" max="7928" width="9.140625" style="90"/>
    <col min="7929" max="7929" width="10.140625" style="90" bestFit="1" customWidth="1"/>
    <col min="7930" max="7930" width="9.28515625" style="90" bestFit="1" customWidth="1"/>
    <col min="7931" max="7931" width="7.85546875" style="90" bestFit="1" customWidth="1"/>
    <col min="7932" max="7932" width="12.140625" style="90" bestFit="1" customWidth="1"/>
    <col min="7933" max="7933" width="10.85546875" style="90" bestFit="1" customWidth="1"/>
    <col min="7934" max="8184" width="9.140625" style="90"/>
    <col min="8185" max="8185" width="10.140625" style="90" bestFit="1" customWidth="1"/>
    <col min="8186" max="8186" width="9.28515625" style="90" bestFit="1" customWidth="1"/>
    <col min="8187" max="8187" width="7.85546875" style="90" bestFit="1" customWidth="1"/>
    <col min="8188" max="8188" width="12.140625" style="90" bestFit="1" customWidth="1"/>
    <col min="8189" max="8189" width="10.85546875" style="90" bestFit="1" customWidth="1"/>
    <col min="8190" max="8440" width="9.140625" style="90"/>
    <col min="8441" max="8441" width="10.140625" style="90" bestFit="1" customWidth="1"/>
    <col min="8442" max="8442" width="9.28515625" style="90" bestFit="1" customWidth="1"/>
    <col min="8443" max="8443" width="7.85546875" style="90" bestFit="1" customWidth="1"/>
    <col min="8444" max="8444" width="12.140625" style="90" bestFit="1" customWidth="1"/>
    <col min="8445" max="8445" width="10.85546875" style="90" bestFit="1" customWidth="1"/>
    <col min="8446" max="8696" width="9.140625" style="90"/>
    <col min="8697" max="8697" width="10.140625" style="90" bestFit="1" customWidth="1"/>
    <col min="8698" max="8698" width="9.28515625" style="90" bestFit="1" customWidth="1"/>
    <col min="8699" max="8699" width="7.85546875" style="90" bestFit="1" customWidth="1"/>
    <col min="8700" max="8700" width="12.140625" style="90" bestFit="1" customWidth="1"/>
    <col min="8701" max="8701" width="10.85546875" style="90" bestFit="1" customWidth="1"/>
    <col min="8702" max="8952" width="9.140625" style="90"/>
    <col min="8953" max="8953" width="10.140625" style="90" bestFit="1" customWidth="1"/>
    <col min="8954" max="8954" width="9.28515625" style="90" bestFit="1" customWidth="1"/>
    <col min="8955" max="8955" width="7.85546875" style="90" bestFit="1" customWidth="1"/>
    <col min="8956" max="8956" width="12.140625" style="90" bestFit="1" customWidth="1"/>
    <col min="8957" max="8957" width="10.85546875" style="90" bestFit="1" customWidth="1"/>
    <col min="8958" max="9208" width="9.140625" style="90"/>
    <col min="9209" max="9209" width="10.140625" style="90" bestFit="1" customWidth="1"/>
    <col min="9210" max="9210" width="9.28515625" style="90" bestFit="1" customWidth="1"/>
    <col min="9211" max="9211" width="7.85546875" style="90" bestFit="1" customWidth="1"/>
    <col min="9212" max="9212" width="12.140625" style="90" bestFit="1" customWidth="1"/>
    <col min="9213" max="9213" width="10.85546875" style="90" bestFit="1" customWidth="1"/>
    <col min="9214" max="9464" width="9.140625" style="90"/>
    <col min="9465" max="9465" width="10.140625" style="90" bestFit="1" customWidth="1"/>
    <col min="9466" max="9466" width="9.28515625" style="90" bestFit="1" customWidth="1"/>
    <col min="9467" max="9467" width="7.85546875" style="90" bestFit="1" customWidth="1"/>
    <col min="9468" max="9468" width="12.140625" style="90" bestFit="1" customWidth="1"/>
    <col min="9469" max="9469" width="10.85546875" style="90" bestFit="1" customWidth="1"/>
    <col min="9470" max="9720" width="9.140625" style="90"/>
    <col min="9721" max="9721" width="10.140625" style="90" bestFit="1" customWidth="1"/>
    <col min="9722" max="9722" width="9.28515625" style="90" bestFit="1" customWidth="1"/>
    <col min="9723" max="9723" width="7.85546875" style="90" bestFit="1" customWidth="1"/>
    <col min="9724" max="9724" width="12.140625" style="90" bestFit="1" customWidth="1"/>
    <col min="9725" max="9725" width="10.85546875" style="90" bestFit="1" customWidth="1"/>
    <col min="9726" max="9976" width="9.140625" style="90"/>
    <col min="9977" max="9977" width="10.140625" style="90" bestFit="1" customWidth="1"/>
    <col min="9978" max="9978" width="9.28515625" style="90" bestFit="1" customWidth="1"/>
    <col min="9979" max="9979" width="7.85546875" style="90" bestFit="1" customWidth="1"/>
    <col min="9980" max="9980" width="12.140625" style="90" bestFit="1" customWidth="1"/>
    <col min="9981" max="9981" width="10.85546875" style="90" bestFit="1" customWidth="1"/>
    <col min="9982" max="10232" width="9.140625" style="90"/>
    <col min="10233" max="10233" width="10.140625" style="90" bestFit="1" customWidth="1"/>
    <col min="10234" max="10234" width="9.28515625" style="90" bestFit="1" customWidth="1"/>
    <col min="10235" max="10235" width="7.85546875" style="90" bestFit="1" customWidth="1"/>
    <col min="10236" max="10236" width="12.140625" style="90" bestFit="1" customWidth="1"/>
    <col min="10237" max="10237" width="10.85546875" style="90" bestFit="1" customWidth="1"/>
    <col min="10238" max="10488" width="9.140625" style="90"/>
    <col min="10489" max="10489" width="10.140625" style="90" bestFit="1" customWidth="1"/>
    <col min="10490" max="10490" width="9.28515625" style="90" bestFit="1" customWidth="1"/>
    <col min="10491" max="10491" width="7.85546875" style="90" bestFit="1" customWidth="1"/>
    <col min="10492" max="10492" width="12.140625" style="90" bestFit="1" customWidth="1"/>
    <col min="10493" max="10493" width="10.85546875" style="90" bestFit="1" customWidth="1"/>
    <col min="10494" max="10744" width="9.140625" style="90"/>
    <col min="10745" max="10745" width="10.140625" style="90" bestFit="1" customWidth="1"/>
    <col min="10746" max="10746" width="9.28515625" style="90" bestFit="1" customWidth="1"/>
    <col min="10747" max="10747" width="7.85546875" style="90" bestFit="1" customWidth="1"/>
    <col min="10748" max="10748" width="12.140625" style="90" bestFit="1" customWidth="1"/>
    <col min="10749" max="10749" width="10.85546875" style="90" bestFit="1" customWidth="1"/>
    <col min="10750" max="11000" width="9.140625" style="90"/>
    <col min="11001" max="11001" width="10.140625" style="90" bestFit="1" customWidth="1"/>
    <col min="11002" max="11002" width="9.28515625" style="90" bestFit="1" customWidth="1"/>
    <col min="11003" max="11003" width="7.85546875" style="90" bestFit="1" customWidth="1"/>
    <col min="11004" max="11004" width="12.140625" style="90" bestFit="1" customWidth="1"/>
    <col min="11005" max="11005" width="10.85546875" style="90" bestFit="1" customWidth="1"/>
    <col min="11006" max="11256" width="9.140625" style="90"/>
    <col min="11257" max="11257" width="10.140625" style="90" bestFit="1" customWidth="1"/>
    <col min="11258" max="11258" width="9.28515625" style="90" bestFit="1" customWidth="1"/>
    <col min="11259" max="11259" width="7.85546875" style="90" bestFit="1" customWidth="1"/>
    <col min="11260" max="11260" width="12.140625" style="90" bestFit="1" customWidth="1"/>
    <col min="11261" max="11261" width="10.85546875" style="90" bestFit="1" customWidth="1"/>
    <col min="11262" max="11512" width="9.140625" style="90"/>
    <col min="11513" max="11513" width="10.140625" style="90" bestFit="1" customWidth="1"/>
    <col min="11514" max="11514" width="9.28515625" style="90" bestFit="1" customWidth="1"/>
    <col min="11515" max="11515" width="7.85546875" style="90" bestFit="1" customWidth="1"/>
    <col min="11516" max="11516" width="12.140625" style="90" bestFit="1" customWidth="1"/>
    <col min="11517" max="11517" width="10.85546875" style="90" bestFit="1" customWidth="1"/>
    <col min="11518" max="11768" width="9.140625" style="90"/>
    <col min="11769" max="11769" width="10.140625" style="90" bestFit="1" customWidth="1"/>
    <col min="11770" max="11770" width="9.28515625" style="90" bestFit="1" customWidth="1"/>
    <col min="11771" max="11771" width="7.85546875" style="90" bestFit="1" customWidth="1"/>
    <col min="11772" max="11772" width="12.140625" style="90" bestFit="1" customWidth="1"/>
    <col min="11773" max="11773" width="10.85546875" style="90" bestFit="1" customWidth="1"/>
    <col min="11774" max="12024" width="9.140625" style="90"/>
    <col min="12025" max="12025" width="10.140625" style="90" bestFit="1" customWidth="1"/>
    <col min="12026" max="12026" width="9.28515625" style="90" bestFit="1" customWidth="1"/>
    <col min="12027" max="12027" width="7.85546875" style="90" bestFit="1" customWidth="1"/>
    <col min="12028" max="12028" width="12.140625" style="90" bestFit="1" customWidth="1"/>
    <col min="12029" max="12029" width="10.85546875" style="90" bestFit="1" customWidth="1"/>
    <col min="12030" max="12280" width="9.140625" style="90"/>
    <col min="12281" max="12281" width="10.140625" style="90" bestFit="1" customWidth="1"/>
    <col min="12282" max="12282" width="9.28515625" style="90" bestFit="1" customWidth="1"/>
    <col min="12283" max="12283" width="7.85546875" style="90" bestFit="1" customWidth="1"/>
    <col min="12284" max="12284" width="12.140625" style="90" bestFit="1" customWidth="1"/>
    <col min="12285" max="12285" width="10.85546875" style="90" bestFit="1" customWidth="1"/>
    <col min="12286" max="12536" width="9.140625" style="90"/>
    <col min="12537" max="12537" width="10.140625" style="90" bestFit="1" customWidth="1"/>
    <col min="12538" max="12538" width="9.28515625" style="90" bestFit="1" customWidth="1"/>
    <col min="12539" max="12539" width="7.85546875" style="90" bestFit="1" customWidth="1"/>
    <col min="12540" max="12540" width="12.140625" style="90" bestFit="1" customWidth="1"/>
    <col min="12541" max="12541" width="10.85546875" style="90" bestFit="1" customWidth="1"/>
    <col min="12542" max="12792" width="9.140625" style="90"/>
    <col min="12793" max="12793" width="10.140625" style="90" bestFit="1" customWidth="1"/>
    <col min="12794" max="12794" width="9.28515625" style="90" bestFit="1" customWidth="1"/>
    <col min="12795" max="12795" width="7.85546875" style="90" bestFit="1" customWidth="1"/>
    <col min="12796" max="12796" width="12.140625" style="90" bestFit="1" customWidth="1"/>
    <col min="12797" max="12797" width="10.85546875" style="90" bestFit="1" customWidth="1"/>
    <col min="12798" max="13048" width="9.140625" style="90"/>
    <col min="13049" max="13049" width="10.140625" style="90" bestFit="1" customWidth="1"/>
    <col min="13050" max="13050" width="9.28515625" style="90" bestFit="1" customWidth="1"/>
    <col min="13051" max="13051" width="7.85546875" style="90" bestFit="1" customWidth="1"/>
    <col min="13052" max="13052" width="12.140625" style="90" bestFit="1" customWidth="1"/>
    <col min="13053" max="13053" width="10.85546875" style="90" bestFit="1" customWidth="1"/>
    <col min="13054" max="13304" width="9.140625" style="90"/>
    <col min="13305" max="13305" width="10.140625" style="90" bestFit="1" customWidth="1"/>
    <col min="13306" max="13306" width="9.28515625" style="90" bestFit="1" customWidth="1"/>
    <col min="13307" max="13307" width="7.85546875" style="90" bestFit="1" customWidth="1"/>
    <col min="13308" max="13308" width="12.140625" style="90" bestFit="1" customWidth="1"/>
    <col min="13309" max="13309" width="10.85546875" style="90" bestFit="1" customWidth="1"/>
    <col min="13310" max="13560" width="9.140625" style="90"/>
    <col min="13561" max="13561" width="10.140625" style="90" bestFit="1" customWidth="1"/>
    <col min="13562" max="13562" width="9.28515625" style="90" bestFit="1" customWidth="1"/>
    <col min="13563" max="13563" width="7.85546875" style="90" bestFit="1" customWidth="1"/>
    <col min="13564" max="13564" width="12.140625" style="90" bestFit="1" customWidth="1"/>
    <col min="13565" max="13565" width="10.85546875" style="90" bestFit="1" customWidth="1"/>
    <col min="13566" max="13816" width="9.140625" style="90"/>
    <col min="13817" max="13817" width="10.140625" style="90" bestFit="1" customWidth="1"/>
    <col min="13818" max="13818" width="9.28515625" style="90" bestFit="1" customWidth="1"/>
    <col min="13819" max="13819" width="7.85546875" style="90" bestFit="1" customWidth="1"/>
    <col min="13820" max="13820" width="12.140625" style="90" bestFit="1" customWidth="1"/>
    <col min="13821" max="13821" width="10.85546875" style="90" bestFit="1" customWidth="1"/>
    <col min="13822" max="14072" width="9.140625" style="90"/>
    <col min="14073" max="14073" width="10.140625" style="90" bestFit="1" customWidth="1"/>
    <col min="14074" max="14074" width="9.28515625" style="90" bestFit="1" customWidth="1"/>
    <col min="14075" max="14075" width="7.85546875" style="90" bestFit="1" customWidth="1"/>
    <col min="14076" max="14076" width="12.140625" style="90" bestFit="1" customWidth="1"/>
    <col min="14077" max="14077" width="10.85546875" style="90" bestFit="1" customWidth="1"/>
    <col min="14078" max="14328" width="9.140625" style="90"/>
    <col min="14329" max="14329" width="10.140625" style="90" bestFit="1" customWidth="1"/>
    <col min="14330" max="14330" width="9.28515625" style="90" bestFit="1" customWidth="1"/>
    <col min="14331" max="14331" width="7.85546875" style="90" bestFit="1" customWidth="1"/>
    <col min="14332" max="14332" width="12.140625" style="90" bestFit="1" customWidth="1"/>
    <col min="14333" max="14333" width="10.85546875" style="90" bestFit="1" customWidth="1"/>
    <col min="14334" max="14584" width="9.140625" style="90"/>
    <col min="14585" max="14585" width="10.140625" style="90" bestFit="1" customWidth="1"/>
    <col min="14586" max="14586" width="9.28515625" style="90" bestFit="1" customWidth="1"/>
    <col min="14587" max="14587" width="7.85546875" style="90" bestFit="1" customWidth="1"/>
    <col min="14588" max="14588" width="12.140625" style="90" bestFit="1" customWidth="1"/>
    <col min="14589" max="14589" width="10.85546875" style="90" bestFit="1" customWidth="1"/>
    <col min="14590" max="14840" width="9.140625" style="90"/>
    <col min="14841" max="14841" width="10.140625" style="90" bestFit="1" customWidth="1"/>
    <col min="14842" max="14842" width="9.28515625" style="90" bestFit="1" customWidth="1"/>
    <col min="14843" max="14843" width="7.85546875" style="90" bestFit="1" customWidth="1"/>
    <col min="14844" max="14844" width="12.140625" style="90" bestFit="1" customWidth="1"/>
    <col min="14845" max="14845" width="10.85546875" style="90" bestFit="1" customWidth="1"/>
    <col min="14846" max="15096" width="9.140625" style="90"/>
    <col min="15097" max="15097" width="10.140625" style="90" bestFit="1" customWidth="1"/>
    <col min="15098" max="15098" width="9.28515625" style="90" bestFit="1" customWidth="1"/>
    <col min="15099" max="15099" width="7.85546875" style="90" bestFit="1" customWidth="1"/>
    <col min="15100" max="15100" width="12.140625" style="90" bestFit="1" customWidth="1"/>
    <col min="15101" max="15101" width="10.85546875" style="90" bestFit="1" customWidth="1"/>
    <col min="15102" max="15352" width="9.140625" style="90"/>
    <col min="15353" max="15353" width="10.140625" style="90" bestFit="1" customWidth="1"/>
    <col min="15354" max="15354" width="9.28515625" style="90" bestFit="1" customWidth="1"/>
    <col min="15355" max="15355" width="7.85546875" style="90" bestFit="1" customWidth="1"/>
    <col min="15356" max="15356" width="12.140625" style="90" bestFit="1" customWidth="1"/>
    <col min="15357" max="15357" width="10.85546875" style="90" bestFit="1" customWidth="1"/>
    <col min="15358" max="15608" width="9.140625" style="90"/>
    <col min="15609" max="15609" width="10.140625" style="90" bestFit="1" customWidth="1"/>
    <col min="15610" max="15610" width="9.28515625" style="90" bestFit="1" customWidth="1"/>
    <col min="15611" max="15611" width="7.85546875" style="90" bestFit="1" customWidth="1"/>
    <col min="15612" max="15612" width="12.140625" style="90" bestFit="1" customWidth="1"/>
    <col min="15613" max="15613" width="10.85546875" style="90" bestFit="1" customWidth="1"/>
    <col min="15614" max="15864" width="9.140625" style="90"/>
    <col min="15865" max="15865" width="10.140625" style="90" bestFit="1" customWidth="1"/>
    <col min="15866" max="15866" width="9.28515625" style="90" bestFit="1" customWidth="1"/>
    <col min="15867" max="15867" width="7.85546875" style="90" bestFit="1" customWidth="1"/>
    <col min="15868" max="15868" width="12.140625" style="90" bestFit="1" customWidth="1"/>
    <col min="15869" max="15869" width="10.85546875" style="90" bestFit="1" customWidth="1"/>
    <col min="15870" max="16120" width="9.140625" style="90"/>
    <col min="16121" max="16121" width="10.140625" style="90" bestFit="1" customWidth="1"/>
    <col min="16122" max="16122" width="9.28515625" style="90" bestFit="1" customWidth="1"/>
    <col min="16123" max="16123" width="7.85546875" style="90" bestFit="1" customWidth="1"/>
    <col min="16124" max="16124" width="12.140625" style="90" bestFit="1" customWidth="1"/>
    <col min="16125" max="16125" width="10.85546875" style="90" bestFit="1" customWidth="1"/>
    <col min="16126" max="16384" width="9.140625" style="90"/>
  </cols>
  <sheetData>
    <row r="1" spans="1:11" ht="15" x14ac:dyDescent="0.25">
      <c r="A1" s="233" t="s">
        <v>235</v>
      </c>
      <c r="B1" s="233" t="s">
        <v>1025</v>
      </c>
      <c r="C1" s="233" t="s">
        <v>1026</v>
      </c>
      <c r="D1" s="233" t="s">
        <v>1027</v>
      </c>
      <c r="E1" s="233" t="s">
        <v>1008</v>
      </c>
      <c r="G1"/>
      <c r="H1"/>
    </row>
    <row r="2" spans="1:11" x14ac:dyDescent="0.2">
      <c r="A2" s="249">
        <v>42400</v>
      </c>
      <c r="B2" s="90" t="s">
        <v>1028</v>
      </c>
      <c r="C2" s="90" t="s">
        <v>1029</v>
      </c>
      <c r="D2" s="90" t="s">
        <v>1030</v>
      </c>
      <c r="E2" s="90">
        <v>12511</v>
      </c>
    </row>
    <row r="3" spans="1:11" ht="15" x14ac:dyDescent="0.25">
      <c r="A3" s="249">
        <v>42400</v>
      </c>
      <c r="B3" s="90" t="s">
        <v>1028</v>
      </c>
      <c r="C3" s="90" t="s">
        <v>1031</v>
      </c>
      <c r="D3" s="90" t="s">
        <v>1032</v>
      </c>
      <c r="E3" s="90">
        <v>7261</v>
      </c>
      <c r="G3" s="11" t="s">
        <v>1046</v>
      </c>
      <c r="H3" s="11" t="s">
        <v>98</v>
      </c>
      <c r="I3"/>
      <c r="J3"/>
      <c r="K3"/>
    </row>
    <row r="4" spans="1:11" ht="15" x14ac:dyDescent="0.25">
      <c r="A4" s="249">
        <v>42400</v>
      </c>
      <c r="B4" s="90" t="s">
        <v>1028</v>
      </c>
      <c r="C4" s="90" t="s">
        <v>1033</v>
      </c>
      <c r="D4" s="90" t="s">
        <v>1032</v>
      </c>
      <c r="E4" s="90">
        <v>9681</v>
      </c>
      <c r="G4" s="11" t="s">
        <v>86</v>
      </c>
      <c r="H4" t="s">
        <v>1037</v>
      </c>
      <c r="I4" t="s">
        <v>1030</v>
      </c>
      <c r="J4" t="s">
        <v>1032</v>
      </c>
      <c r="K4" t="s">
        <v>8</v>
      </c>
    </row>
    <row r="5" spans="1:11" ht="15" x14ac:dyDescent="0.25">
      <c r="A5" s="249">
        <v>42400</v>
      </c>
      <c r="B5" s="90" t="s">
        <v>1028</v>
      </c>
      <c r="C5" s="90" t="s">
        <v>1034</v>
      </c>
      <c r="D5" s="90" t="s">
        <v>1030</v>
      </c>
      <c r="E5" s="90">
        <v>18766</v>
      </c>
      <c r="G5" s="3" t="s">
        <v>125</v>
      </c>
      <c r="H5">
        <v>239369</v>
      </c>
      <c r="I5">
        <v>185317</v>
      </c>
      <c r="J5">
        <v>154432</v>
      </c>
      <c r="K5">
        <v>579118</v>
      </c>
    </row>
    <row r="6" spans="1:11" ht="15" x14ac:dyDescent="0.25">
      <c r="A6" s="249">
        <v>42400</v>
      </c>
      <c r="B6" s="90" t="s">
        <v>1028</v>
      </c>
      <c r="C6" s="90" t="s">
        <v>1035</v>
      </c>
      <c r="D6" s="90" t="s">
        <v>1032</v>
      </c>
      <c r="E6" s="90">
        <v>2420</v>
      </c>
      <c r="G6" s="3" t="s">
        <v>8</v>
      </c>
      <c r="H6">
        <v>239369</v>
      </c>
      <c r="I6">
        <v>185317</v>
      </c>
      <c r="J6">
        <v>154432</v>
      </c>
      <c r="K6">
        <v>579118</v>
      </c>
    </row>
    <row r="7" spans="1:11" ht="15" x14ac:dyDescent="0.25">
      <c r="A7" s="249">
        <v>42400</v>
      </c>
      <c r="B7" s="90" t="s">
        <v>1028</v>
      </c>
      <c r="C7" s="90" t="s">
        <v>1036</v>
      </c>
      <c r="D7" s="90" t="s">
        <v>1037</v>
      </c>
      <c r="E7" s="90">
        <v>25009</v>
      </c>
      <c r="G7"/>
      <c r="H7"/>
      <c r="I7"/>
      <c r="J7"/>
      <c r="K7"/>
    </row>
    <row r="8" spans="1:11" ht="15" x14ac:dyDescent="0.25">
      <c r="A8" s="249">
        <v>42400</v>
      </c>
      <c r="B8" s="90" t="s">
        <v>1028</v>
      </c>
      <c r="C8" s="90" t="s">
        <v>1038</v>
      </c>
      <c r="D8" s="90" t="s">
        <v>1030</v>
      </c>
      <c r="E8" s="90">
        <v>5362</v>
      </c>
      <c r="G8"/>
      <c r="H8"/>
      <c r="I8"/>
      <c r="J8"/>
      <c r="K8"/>
    </row>
    <row r="9" spans="1:11" ht="15" x14ac:dyDescent="0.25">
      <c r="A9" s="249">
        <v>42400</v>
      </c>
      <c r="B9" s="90" t="s">
        <v>1028</v>
      </c>
      <c r="C9" s="90" t="s">
        <v>1039</v>
      </c>
      <c r="D9" s="90" t="s">
        <v>1032</v>
      </c>
      <c r="E9" s="90">
        <v>15490</v>
      </c>
      <c r="G9"/>
      <c r="H9"/>
      <c r="I9"/>
      <c r="J9"/>
      <c r="K9"/>
    </row>
    <row r="10" spans="1:11" ht="15" x14ac:dyDescent="0.25">
      <c r="A10" s="249">
        <v>42400</v>
      </c>
      <c r="B10" s="90" t="s">
        <v>1028</v>
      </c>
      <c r="C10" s="90" t="s">
        <v>1040</v>
      </c>
      <c r="D10" s="90" t="s">
        <v>1030</v>
      </c>
      <c r="E10" s="90">
        <v>21447</v>
      </c>
      <c r="G10"/>
      <c r="H10"/>
      <c r="I10"/>
      <c r="J10"/>
      <c r="K10"/>
    </row>
    <row r="11" spans="1:11" ht="15" x14ac:dyDescent="0.25">
      <c r="A11" s="249">
        <v>42400</v>
      </c>
      <c r="B11" s="90" t="s">
        <v>1028</v>
      </c>
      <c r="C11" s="90" t="s">
        <v>1041</v>
      </c>
      <c r="D11" s="90" t="s">
        <v>1037</v>
      </c>
      <c r="E11" s="90">
        <v>16673</v>
      </c>
      <c r="G11"/>
      <c r="H11"/>
      <c r="I11"/>
      <c r="J11"/>
      <c r="K11"/>
    </row>
    <row r="12" spans="1:11" ht="15" x14ac:dyDescent="0.25">
      <c r="A12" s="249">
        <v>42400</v>
      </c>
      <c r="B12" s="90" t="s">
        <v>1028</v>
      </c>
      <c r="C12" s="90" t="s">
        <v>1042</v>
      </c>
      <c r="D12" s="90" t="s">
        <v>1037</v>
      </c>
      <c r="E12" s="90">
        <v>33346</v>
      </c>
      <c r="G12"/>
      <c r="H12"/>
      <c r="I12"/>
      <c r="J12"/>
      <c r="K12"/>
    </row>
    <row r="13" spans="1:11" ht="15" x14ac:dyDescent="0.25">
      <c r="A13" s="249">
        <v>42400</v>
      </c>
      <c r="B13" s="90" t="s">
        <v>1028</v>
      </c>
      <c r="C13" s="90" t="s">
        <v>1043</v>
      </c>
      <c r="D13" s="90" t="s">
        <v>1032</v>
      </c>
      <c r="E13" s="90">
        <v>13553</v>
      </c>
      <c r="G13"/>
      <c r="H13"/>
      <c r="I13"/>
      <c r="J13"/>
      <c r="K13"/>
    </row>
    <row r="14" spans="1:11" ht="15" x14ac:dyDescent="0.25">
      <c r="A14" s="249">
        <v>42400</v>
      </c>
      <c r="B14" s="90" t="s">
        <v>1044</v>
      </c>
      <c r="C14" s="90" t="s">
        <v>1029</v>
      </c>
      <c r="D14" s="90" t="s">
        <v>1030</v>
      </c>
      <c r="E14" s="90">
        <v>13616</v>
      </c>
      <c r="G14"/>
      <c r="H14"/>
      <c r="I14"/>
      <c r="J14"/>
      <c r="K14"/>
    </row>
    <row r="15" spans="1:11" ht="15" x14ac:dyDescent="0.25">
      <c r="A15" s="249">
        <v>42400</v>
      </c>
      <c r="B15" s="90" t="s">
        <v>1044</v>
      </c>
      <c r="C15" s="90" t="s">
        <v>1031</v>
      </c>
      <c r="D15" s="90" t="s">
        <v>1032</v>
      </c>
      <c r="E15" s="90">
        <v>7902</v>
      </c>
      <c r="G15"/>
      <c r="H15"/>
      <c r="I15"/>
      <c r="J15"/>
      <c r="K15"/>
    </row>
    <row r="16" spans="1:11" ht="15" x14ac:dyDescent="0.25">
      <c r="A16" s="249">
        <v>42400</v>
      </c>
      <c r="B16" s="90" t="s">
        <v>1044</v>
      </c>
      <c r="C16" s="90" t="s">
        <v>1033</v>
      </c>
      <c r="D16" s="90" t="s">
        <v>1032</v>
      </c>
      <c r="E16" s="90">
        <v>10536</v>
      </c>
      <c r="G16"/>
      <c r="H16"/>
      <c r="I16"/>
      <c r="J16"/>
      <c r="K16"/>
    </row>
    <row r="17" spans="1:11" ht="15" x14ac:dyDescent="0.25">
      <c r="A17" s="249">
        <v>42400</v>
      </c>
      <c r="B17" s="90" t="s">
        <v>1044</v>
      </c>
      <c r="C17" s="90" t="s">
        <v>1034</v>
      </c>
      <c r="D17" s="90" t="s">
        <v>1030</v>
      </c>
      <c r="E17" s="90">
        <v>20424</v>
      </c>
      <c r="G17"/>
      <c r="H17"/>
      <c r="I17"/>
      <c r="J17"/>
      <c r="K17"/>
    </row>
    <row r="18" spans="1:11" ht="15" x14ac:dyDescent="0.25">
      <c r="A18" s="249">
        <v>42400</v>
      </c>
      <c r="B18" s="90" t="s">
        <v>1044</v>
      </c>
      <c r="C18" s="90" t="s">
        <v>1035</v>
      </c>
      <c r="D18" s="90" t="s">
        <v>1032</v>
      </c>
      <c r="E18" s="90">
        <v>2634</v>
      </c>
      <c r="G18"/>
      <c r="H18"/>
      <c r="I18"/>
      <c r="J18"/>
      <c r="K18"/>
    </row>
    <row r="19" spans="1:11" ht="15" x14ac:dyDescent="0.25">
      <c r="A19" s="249">
        <v>42400</v>
      </c>
      <c r="B19" s="90" t="s">
        <v>1044</v>
      </c>
      <c r="C19" s="90" t="s">
        <v>1036</v>
      </c>
      <c r="D19" s="90" t="s">
        <v>1037</v>
      </c>
      <c r="E19" s="90">
        <v>27218</v>
      </c>
      <c r="G19"/>
      <c r="H19"/>
      <c r="I19"/>
      <c r="J19"/>
      <c r="K19"/>
    </row>
    <row r="20" spans="1:11" ht="15" x14ac:dyDescent="0.25">
      <c r="A20" s="249">
        <v>42400</v>
      </c>
      <c r="B20" s="90" t="s">
        <v>1044</v>
      </c>
      <c r="C20" s="90" t="s">
        <v>1038</v>
      </c>
      <c r="D20" s="90" t="s">
        <v>1030</v>
      </c>
      <c r="E20" s="90">
        <v>5835</v>
      </c>
      <c r="G20"/>
      <c r="H20"/>
      <c r="I20"/>
      <c r="J20"/>
      <c r="K20"/>
    </row>
    <row r="21" spans="1:11" ht="15" x14ac:dyDescent="0.25">
      <c r="A21" s="249">
        <v>42400</v>
      </c>
      <c r="B21" s="90" t="s">
        <v>1044</v>
      </c>
      <c r="C21" s="90" t="s">
        <v>1039</v>
      </c>
      <c r="D21" s="90" t="s">
        <v>1032</v>
      </c>
      <c r="E21" s="90">
        <v>16858</v>
      </c>
      <c r="G21"/>
      <c r="H21"/>
      <c r="I21"/>
      <c r="J21"/>
      <c r="K21"/>
    </row>
    <row r="22" spans="1:11" ht="15" x14ac:dyDescent="0.25">
      <c r="A22" s="249">
        <v>42400</v>
      </c>
      <c r="B22" s="90" t="s">
        <v>1044</v>
      </c>
      <c r="C22" s="90" t="s">
        <v>1040</v>
      </c>
      <c r="D22" s="90" t="s">
        <v>1030</v>
      </c>
      <c r="E22" s="90">
        <v>23342</v>
      </c>
      <c r="G22"/>
      <c r="H22"/>
      <c r="I22"/>
      <c r="J22"/>
      <c r="K22"/>
    </row>
    <row r="23" spans="1:11" ht="15" x14ac:dyDescent="0.25">
      <c r="A23" s="249">
        <v>42400</v>
      </c>
      <c r="B23" s="90" t="s">
        <v>1044</v>
      </c>
      <c r="C23" s="90" t="s">
        <v>1041</v>
      </c>
      <c r="D23" s="90" t="s">
        <v>1037</v>
      </c>
      <c r="E23" s="90">
        <v>18146</v>
      </c>
      <c r="G23"/>
      <c r="H23"/>
      <c r="I23"/>
      <c r="J23"/>
      <c r="K23"/>
    </row>
    <row r="24" spans="1:11" ht="15" x14ac:dyDescent="0.25">
      <c r="A24" s="249">
        <v>42400</v>
      </c>
      <c r="B24" s="90" t="s">
        <v>1044</v>
      </c>
      <c r="C24" s="90" t="s">
        <v>1042</v>
      </c>
      <c r="D24" s="90" t="s">
        <v>1037</v>
      </c>
      <c r="E24" s="90">
        <v>36291</v>
      </c>
      <c r="G24"/>
      <c r="H24"/>
      <c r="I24"/>
      <c r="J24"/>
      <c r="K24"/>
    </row>
    <row r="25" spans="1:11" ht="15" x14ac:dyDescent="0.25">
      <c r="A25" s="249">
        <v>42400</v>
      </c>
      <c r="B25" s="90" t="s">
        <v>1044</v>
      </c>
      <c r="C25" s="90" t="s">
        <v>1043</v>
      </c>
      <c r="D25" s="90" t="s">
        <v>1032</v>
      </c>
      <c r="E25" s="90">
        <v>14751</v>
      </c>
      <c r="G25"/>
      <c r="H25"/>
      <c r="I25"/>
      <c r="J25"/>
      <c r="K25"/>
    </row>
    <row r="26" spans="1:11" ht="15" x14ac:dyDescent="0.25">
      <c r="A26" s="249">
        <v>42400</v>
      </c>
      <c r="B26" s="90" t="s">
        <v>1045</v>
      </c>
      <c r="C26" s="90" t="s">
        <v>1029</v>
      </c>
      <c r="D26" s="90" t="s">
        <v>1030</v>
      </c>
      <c r="E26" s="90">
        <v>10399</v>
      </c>
      <c r="G26"/>
      <c r="H26"/>
      <c r="I26"/>
      <c r="J26"/>
      <c r="K26"/>
    </row>
    <row r="27" spans="1:11" ht="15" x14ac:dyDescent="0.25">
      <c r="A27" s="249">
        <v>42400</v>
      </c>
      <c r="B27" s="90" t="s">
        <v>1045</v>
      </c>
      <c r="C27" s="90" t="s">
        <v>1031</v>
      </c>
      <c r="D27" s="90" t="s">
        <v>1032</v>
      </c>
      <c r="E27" s="90">
        <v>6035</v>
      </c>
      <c r="G27"/>
      <c r="H27"/>
      <c r="I27"/>
      <c r="J27"/>
      <c r="K27"/>
    </row>
    <row r="28" spans="1:11" ht="15" x14ac:dyDescent="0.25">
      <c r="A28" s="249">
        <v>42400</v>
      </c>
      <c r="B28" s="90" t="s">
        <v>1045</v>
      </c>
      <c r="C28" s="90" t="s">
        <v>1033</v>
      </c>
      <c r="D28" s="90" t="s">
        <v>1032</v>
      </c>
      <c r="E28" s="90">
        <v>8047</v>
      </c>
      <c r="G28"/>
      <c r="H28"/>
      <c r="I28"/>
      <c r="J28"/>
      <c r="K28"/>
    </row>
    <row r="29" spans="1:11" ht="15" x14ac:dyDescent="0.25">
      <c r="A29" s="249">
        <v>42400</v>
      </c>
      <c r="B29" s="90" t="s">
        <v>1045</v>
      </c>
      <c r="C29" s="90" t="s">
        <v>1034</v>
      </c>
      <c r="D29" s="90" t="s">
        <v>1030</v>
      </c>
      <c r="E29" s="90">
        <v>15599</v>
      </c>
      <c r="G29"/>
      <c r="H29"/>
      <c r="I29"/>
      <c r="J29"/>
      <c r="K29"/>
    </row>
    <row r="30" spans="1:11" x14ac:dyDescent="0.2">
      <c r="A30" s="249">
        <v>42400</v>
      </c>
      <c r="B30" s="90" t="s">
        <v>1045</v>
      </c>
      <c r="C30" s="90" t="s">
        <v>1035</v>
      </c>
      <c r="D30" s="90" t="s">
        <v>1032</v>
      </c>
      <c r="E30" s="90">
        <v>2012</v>
      </c>
    </row>
    <row r="31" spans="1:11" x14ac:dyDescent="0.2">
      <c r="A31" s="249">
        <v>42400</v>
      </c>
      <c r="B31" s="90" t="s">
        <v>1045</v>
      </c>
      <c r="C31" s="90" t="s">
        <v>1036</v>
      </c>
      <c r="D31" s="90" t="s">
        <v>1037</v>
      </c>
      <c r="E31" s="90">
        <v>20788</v>
      </c>
    </row>
    <row r="32" spans="1:11" x14ac:dyDescent="0.2">
      <c r="A32" s="249">
        <v>42400</v>
      </c>
      <c r="B32" s="90" t="s">
        <v>1045</v>
      </c>
      <c r="C32" s="90" t="s">
        <v>1038</v>
      </c>
      <c r="D32" s="90" t="s">
        <v>1030</v>
      </c>
      <c r="E32" s="90">
        <v>4457</v>
      </c>
    </row>
    <row r="33" spans="1:5" x14ac:dyDescent="0.2">
      <c r="A33" s="249">
        <v>42400</v>
      </c>
      <c r="B33" s="90" t="s">
        <v>1045</v>
      </c>
      <c r="C33" s="90" t="s">
        <v>1039</v>
      </c>
      <c r="D33" s="90" t="s">
        <v>1032</v>
      </c>
      <c r="E33" s="90">
        <v>12875</v>
      </c>
    </row>
    <row r="34" spans="1:5" x14ac:dyDescent="0.2">
      <c r="A34" s="249">
        <v>42400</v>
      </c>
      <c r="B34" s="90" t="s">
        <v>1045</v>
      </c>
      <c r="C34" s="90" t="s">
        <v>1040</v>
      </c>
      <c r="D34" s="90" t="s">
        <v>1030</v>
      </c>
      <c r="E34" s="90">
        <v>17827</v>
      </c>
    </row>
    <row r="35" spans="1:5" x14ac:dyDescent="0.2">
      <c r="A35" s="249">
        <v>42400</v>
      </c>
      <c r="B35" s="90" t="s">
        <v>1045</v>
      </c>
      <c r="C35" s="90" t="s">
        <v>1041</v>
      </c>
      <c r="D35" s="90" t="s">
        <v>1037</v>
      </c>
      <c r="E35" s="90">
        <v>13859</v>
      </c>
    </row>
    <row r="36" spans="1:5" x14ac:dyDescent="0.2">
      <c r="A36" s="249">
        <v>42400</v>
      </c>
      <c r="B36" s="90" t="s">
        <v>1045</v>
      </c>
      <c r="C36" s="90" t="s">
        <v>1042</v>
      </c>
      <c r="D36" s="90" t="s">
        <v>1037</v>
      </c>
      <c r="E36" s="90">
        <v>27717</v>
      </c>
    </row>
    <row r="37" spans="1:5" x14ac:dyDescent="0.2">
      <c r="A37" s="249">
        <v>42400</v>
      </c>
      <c r="B37" s="90" t="s">
        <v>1045</v>
      </c>
      <c r="C37" s="90" t="s">
        <v>1043</v>
      </c>
      <c r="D37" s="90" t="s">
        <v>1032</v>
      </c>
      <c r="E37" s="90">
        <v>11266</v>
      </c>
    </row>
    <row r="38" spans="1:5" x14ac:dyDescent="0.2">
      <c r="A38" s="249">
        <v>42429</v>
      </c>
      <c r="B38" s="90" t="s">
        <v>1028</v>
      </c>
      <c r="C38" s="90" t="s">
        <v>1029</v>
      </c>
      <c r="D38" s="90" t="s">
        <v>1030</v>
      </c>
      <c r="E38" s="90">
        <v>13128</v>
      </c>
    </row>
    <row r="39" spans="1:5" x14ac:dyDescent="0.2">
      <c r="A39" s="249">
        <v>42429</v>
      </c>
      <c r="B39" s="90" t="s">
        <v>1028</v>
      </c>
      <c r="C39" s="90" t="s">
        <v>1031</v>
      </c>
      <c r="D39" s="90" t="s">
        <v>1032</v>
      </c>
      <c r="E39" s="90">
        <v>7619</v>
      </c>
    </row>
    <row r="40" spans="1:5" x14ac:dyDescent="0.2">
      <c r="A40" s="249">
        <v>42429</v>
      </c>
      <c r="B40" s="90" t="s">
        <v>1028</v>
      </c>
      <c r="C40" s="90" t="s">
        <v>1033</v>
      </c>
      <c r="D40" s="90" t="s">
        <v>1032</v>
      </c>
      <c r="E40" s="90">
        <v>10158</v>
      </c>
    </row>
    <row r="41" spans="1:5" x14ac:dyDescent="0.2">
      <c r="A41" s="249">
        <v>42429</v>
      </c>
      <c r="B41" s="90" t="s">
        <v>1028</v>
      </c>
      <c r="C41" s="90" t="s">
        <v>1034</v>
      </c>
      <c r="D41" s="90" t="s">
        <v>1030</v>
      </c>
      <c r="E41" s="90">
        <v>19691</v>
      </c>
    </row>
    <row r="42" spans="1:5" x14ac:dyDescent="0.2">
      <c r="A42" s="249">
        <v>42429</v>
      </c>
      <c r="B42" s="90" t="s">
        <v>1028</v>
      </c>
      <c r="C42" s="90" t="s">
        <v>1035</v>
      </c>
      <c r="D42" s="90" t="s">
        <v>1032</v>
      </c>
      <c r="E42" s="90">
        <v>2540</v>
      </c>
    </row>
    <row r="43" spans="1:5" x14ac:dyDescent="0.2">
      <c r="A43" s="249">
        <v>42429</v>
      </c>
      <c r="B43" s="90" t="s">
        <v>1028</v>
      </c>
      <c r="C43" s="90" t="s">
        <v>1036</v>
      </c>
      <c r="D43" s="90" t="s">
        <v>1037</v>
      </c>
      <c r="E43" s="90">
        <v>26242</v>
      </c>
    </row>
    <row r="44" spans="1:5" x14ac:dyDescent="0.2">
      <c r="A44" s="249">
        <v>42429</v>
      </c>
      <c r="B44" s="90" t="s">
        <v>1028</v>
      </c>
      <c r="C44" s="90" t="s">
        <v>1038</v>
      </c>
      <c r="D44" s="90" t="s">
        <v>1030</v>
      </c>
      <c r="E44" s="90">
        <v>5626</v>
      </c>
    </row>
    <row r="45" spans="1:5" x14ac:dyDescent="0.2">
      <c r="A45" s="249">
        <v>42429</v>
      </c>
      <c r="B45" s="90" t="s">
        <v>1028</v>
      </c>
      <c r="C45" s="90" t="s">
        <v>1039</v>
      </c>
      <c r="D45" s="90" t="s">
        <v>1032</v>
      </c>
      <c r="E45" s="90">
        <v>16253</v>
      </c>
    </row>
    <row r="46" spans="1:5" x14ac:dyDescent="0.2">
      <c r="A46" s="249">
        <v>42429</v>
      </c>
      <c r="B46" s="90" t="s">
        <v>1028</v>
      </c>
      <c r="C46" s="90" t="s">
        <v>1040</v>
      </c>
      <c r="D46" s="90" t="s">
        <v>1030</v>
      </c>
      <c r="E46" s="90">
        <v>22504</v>
      </c>
    </row>
    <row r="47" spans="1:5" x14ac:dyDescent="0.2">
      <c r="A47" s="249">
        <v>42429</v>
      </c>
      <c r="B47" s="90" t="s">
        <v>1028</v>
      </c>
      <c r="C47" s="90" t="s">
        <v>1041</v>
      </c>
      <c r="D47" s="90" t="s">
        <v>1037</v>
      </c>
      <c r="E47" s="90">
        <v>17495</v>
      </c>
    </row>
    <row r="48" spans="1:5" x14ac:dyDescent="0.2">
      <c r="A48" s="249">
        <v>42429</v>
      </c>
      <c r="B48" s="90" t="s">
        <v>1028</v>
      </c>
      <c r="C48" s="90" t="s">
        <v>1042</v>
      </c>
      <c r="D48" s="90" t="s">
        <v>1037</v>
      </c>
      <c r="E48" s="90">
        <v>34989</v>
      </c>
    </row>
    <row r="49" spans="1:5" x14ac:dyDescent="0.2">
      <c r="A49" s="249">
        <v>42429</v>
      </c>
      <c r="B49" s="90" t="s">
        <v>1028</v>
      </c>
      <c r="C49" s="90" t="s">
        <v>1043</v>
      </c>
      <c r="D49" s="90" t="s">
        <v>1032</v>
      </c>
      <c r="E49" s="90">
        <v>14221</v>
      </c>
    </row>
    <row r="50" spans="1:5" x14ac:dyDescent="0.2">
      <c r="A50" s="249">
        <v>42429</v>
      </c>
      <c r="B50" s="90" t="s">
        <v>1044</v>
      </c>
      <c r="C50" s="90" t="s">
        <v>1029</v>
      </c>
      <c r="D50" s="90" t="s">
        <v>1030</v>
      </c>
      <c r="E50" s="90">
        <v>15077</v>
      </c>
    </row>
    <row r="51" spans="1:5" x14ac:dyDescent="0.2">
      <c r="A51" s="249">
        <v>42429</v>
      </c>
      <c r="B51" s="90" t="s">
        <v>1044</v>
      </c>
      <c r="C51" s="90" t="s">
        <v>1031</v>
      </c>
      <c r="D51" s="90" t="s">
        <v>1032</v>
      </c>
      <c r="E51" s="90">
        <v>8750</v>
      </c>
    </row>
    <row r="52" spans="1:5" x14ac:dyDescent="0.2">
      <c r="A52" s="249">
        <v>42429</v>
      </c>
      <c r="B52" s="90" t="s">
        <v>1044</v>
      </c>
      <c r="C52" s="90" t="s">
        <v>1033</v>
      </c>
      <c r="D52" s="90" t="s">
        <v>1032</v>
      </c>
      <c r="E52" s="90">
        <v>11667</v>
      </c>
    </row>
    <row r="53" spans="1:5" x14ac:dyDescent="0.2">
      <c r="A53" s="249">
        <v>42429</v>
      </c>
      <c r="B53" s="90" t="s">
        <v>1044</v>
      </c>
      <c r="C53" s="90" t="s">
        <v>1034</v>
      </c>
      <c r="D53" s="90" t="s">
        <v>1030</v>
      </c>
      <c r="E53" s="90">
        <v>22616</v>
      </c>
    </row>
    <row r="54" spans="1:5" x14ac:dyDescent="0.2">
      <c r="A54" s="249">
        <v>42429</v>
      </c>
      <c r="B54" s="90" t="s">
        <v>1044</v>
      </c>
      <c r="C54" s="90" t="s">
        <v>1035</v>
      </c>
      <c r="D54" s="90" t="s">
        <v>1032</v>
      </c>
      <c r="E54" s="90">
        <v>2917</v>
      </c>
    </row>
    <row r="55" spans="1:5" x14ac:dyDescent="0.2">
      <c r="A55" s="249">
        <v>42429</v>
      </c>
      <c r="B55" s="90" t="s">
        <v>1044</v>
      </c>
      <c r="C55" s="90" t="s">
        <v>1036</v>
      </c>
      <c r="D55" s="90" t="s">
        <v>1037</v>
      </c>
      <c r="E55" s="90">
        <v>30140</v>
      </c>
    </row>
    <row r="56" spans="1:5" x14ac:dyDescent="0.2">
      <c r="A56" s="249">
        <v>42429</v>
      </c>
      <c r="B56" s="90" t="s">
        <v>1044</v>
      </c>
      <c r="C56" s="90" t="s">
        <v>1038</v>
      </c>
      <c r="D56" s="90" t="s">
        <v>1030</v>
      </c>
      <c r="E56" s="90">
        <v>6462</v>
      </c>
    </row>
    <row r="57" spans="1:5" x14ac:dyDescent="0.2">
      <c r="A57" s="249">
        <v>42429</v>
      </c>
      <c r="B57" s="90" t="s">
        <v>1044</v>
      </c>
      <c r="C57" s="90" t="s">
        <v>1039</v>
      </c>
      <c r="D57" s="90" t="s">
        <v>1032</v>
      </c>
      <c r="E57" s="90">
        <v>18667</v>
      </c>
    </row>
    <row r="58" spans="1:5" x14ac:dyDescent="0.2">
      <c r="A58" s="249">
        <v>42429</v>
      </c>
      <c r="B58" s="90" t="s">
        <v>1044</v>
      </c>
      <c r="C58" s="90" t="s">
        <v>1040</v>
      </c>
      <c r="D58" s="90" t="s">
        <v>1030</v>
      </c>
      <c r="E58" s="90">
        <v>25847</v>
      </c>
    </row>
    <row r="59" spans="1:5" x14ac:dyDescent="0.2">
      <c r="A59" s="249">
        <v>42429</v>
      </c>
      <c r="B59" s="90" t="s">
        <v>1044</v>
      </c>
      <c r="C59" s="90" t="s">
        <v>1041</v>
      </c>
      <c r="D59" s="90" t="s">
        <v>1037</v>
      </c>
      <c r="E59" s="90">
        <v>20093</v>
      </c>
    </row>
    <row r="60" spans="1:5" x14ac:dyDescent="0.2">
      <c r="A60" s="249">
        <v>42429</v>
      </c>
      <c r="B60" s="90" t="s">
        <v>1044</v>
      </c>
      <c r="C60" s="90" t="s">
        <v>1042</v>
      </c>
      <c r="D60" s="90" t="s">
        <v>1037</v>
      </c>
      <c r="E60" s="90">
        <v>40186</v>
      </c>
    </row>
    <row r="61" spans="1:5" x14ac:dyDescent="0.2">
      <c r="A61" s="249">
        <v>42429</v>
      </c>
      <c r="B61" s="90" t="s">
        <v>1044</v>
      </c>
      <c r="C61" s="90" t="s">
        <v>1043</v>
      </c>
      <c r="D61" s="90" t="s">
        <v>1032</v>
      </c>
      <c r="E61" s="90">
        <v>16334</v>
      </c>
    </row>
    <row r="62" spans="1:5" x14ac:dyDescent="0.2">
      <c r="A62" s="249">
        <v>42429</v>
      </c>
      <c r="B62" s="90" t="s">
        <v>1045</v>
      </c>
      <c r="C62" s="90" t="s">
        <v>1029</v>
      </c>
      <c r="D62" s="90" t="s">
        <v>1030</v>
      </c>
      <c r="E62" s="90">
        <v>13657</v>
      </c>
    </row>
    <row r="63" spans="1:5" x14ac:dyDescent="0.2">
      <c r="A63" s="249">
        <v>42429</v>
      </c>
      <c r="B63" s="90" t="s">
        <v>1045</v>
      </c>
      <c r="C63" s="90" t="s">
        <v>1031</v>
      </c>
      <c r="D63" s="90" t="s">
        <v>1032</v>
      </c>
      <c r="E63" s="90">
        <v>7926</v>
      </c>
    </row>
    <row r="64" spans="1:5" x14ac:dyDescent="0.2">
      <c r="A64" s="249">
        <v>42429</v>
      </c>
      <c r="B64" s="90" t="s">
        <v>1045</v>
      </c>
      <c r="C64" s="90" t="s">
        <v>1033</v>
      </c>
      <c r="D64" s="90" t="s">
        <v>1032</v>
      </c>
      <c r="E64" s="90">
        <v>10568</v>
      </c>
    </row>
    <row r="65" spans="1:5" x14ac:dyDescent="0.2">
      <c r="A65" s="249">
        <v>42429</v>
      </c>
      <c r="B65" s="90" t="s">
        <v>1045</v>
      </c>
      <c r="C65" s="90" t="s">
        <v>1034</v>
      </c>
      <c r="D65" s="90" t="s">
        <v>1030</v>
      </c>
      <c r="E65" s="90">
        <v>20486</v>
      </c>
    </row>
    <row r="66" spans="1:5" x14ac:dyDescent="0.2">
      <c r="A66" s="249">
        <v>42429</v>
      </c>
      <c r="B66" s="90" t="s">
        <v>1045</v>
      </c>
      <c r="C66" s="90" t="s">
        <v>1035</v>
      </c>
      <c r="D66" s="90" t="s">
        <v>1032</v>
      </c>
      <c r="E66" s="90">
        <v>2642</v>
      </c>
    </row>
    <row r="67" spans="1:5" x14ac:dyDescent="0.2">
      <c r="A67" s="249">
        <v>42429</v>
      </c>
      <c r="B67" s="90" t="s">
        <v>1045</v>
      </c>
      <c r="C67" s="90" t="s">
        <v>1036</v>
      </c>
      <c r="D67" s="90" t="s">
        <v>1037</v>
      </c>
      <c r="E67" s="90">
        <v>27301</v>
      </c>
    </row>
    <row r="68" spans="1:5" x14ac:dyDescent="0.2">
      <c r="A68" s="249">
        <v>42429</v>
      </c>
      <c r="B68" s="90" t="s">
        <v>1045</v>
      </c>
      <c r="C68" s="90" t="s">
        <v>1038</v>
      </c>
      <c r="D68" s="90" t="s">
        <v>1030</v>
      </c>
      <c r="E68" s="90">
        <v>5853</v>
      </c>
    </row>
    <row r="69" spans="1:5" x14ac:dyDescent="0.2">
      <c r="A69" s="249">
        <v>42429</v>
      </c>
      <c r="B69" s="90" t="s">
        <v>1045</v>
      </c>
      <c r="C69" s="90" t="s">
        <v>1039</v>
      </c>
      <c r="D69" s="90" t="s">
        <v>1032</v>
      </c>
      <c r="E69" s="90">
        <v>16909</v>
      </c>
    </row>
    <row r="70" spans="1:5" x14ac:dyDescent="0.2">
      <c r="A70" s="249">
        <v>42429</v>
      </c>
      <c r="B70" s="90" t="s">
        <v>1045</v>
      </c>
      <c r="C70" s="90" t="s">
        <v>1040</v>
      </c>
      <c r="D70" s="90" t="s">
        <v>1030</v>
      </c>
      <c r="E70" s="90">
        <v>23413</v>
      </c>
    </row>
    <row r="71" spans="1:5" x14ac:dyDescent="0.2">
      <c r="A71" s="249">
        <v>42429</v>
      </c>
      <c r="B71" s="90" t="s">
        <v>1045</v>
      </c>
      <c r="C71" s="90" t="s">
        <v>1041</v>
      </c>
      <c r="D71" s="90" t="s">
        <v>1037</v>
      </c>
      <c r="E71" s="90">
        <v>18201</v>
      </c>
    </row>
    <row r="72" spans="1:5" x14ac:dyDescent="0.2">
      <c r="A72" s="249">
        <v>42429</v>
      </c>
      <c r="B72" s="90" t="s">
        <v>1045</v>
      </c>
      <c r="C72" s="90" t="s">
        <v>1042</v>
      </c>
      <c r="D72" s="90" t="s">
        <v>1037</v>
      </c>
      <c r="E72" s="90">
        <v>36402</v>
      </c>
    </row>
    <row r="73" spans="1:5" x14ac:dyDescent="0.2">
      <c r="A73" s="249">
        <v>42429</v>
      </c>
      <c r="B73" s="90" t="s">
        <v>1045</v>
      </c>
      <c r="C73" s="90" t="s">
        <v>1043</v>
      </c>
      <c r="D73" s="90" t="s">
        <v>1032</v>
      </c>
      <c r="E73" s="90">
        <v>14796</v>
      </c>
    </row>
    <row r="74" spans="1:5" x14ac:dyDescent="0.2">
      <c r="A74" s="249">
        <v>42460</v>
      </c>
      <c r="B74" s="90" t="s">
        <v>1028</v>
      </c>
      <c r="C74" s="90" t="s">
        <v>1029</v>
      </c>
      <c r="D74" s="90" t="s">
        <v>1030</v>
      </c>
      <c r="E74" s="90">
        <v>11276</v>
      </c>
    </row>
    <row r="75" spans="1:5" x14ac:dyDescent="0.2">
      <c r="A75" s="249">
        <v>42460</v>
      </c>
      <c r="B75" s="90" t="s">
        <v>1028</v>
      </c>
      <c r="C75" s="90" t="s">
        <v>1031</v>
      </c>
      <c r="D75" s="90" t="s">
        <v>1032</v>
      </c>
      <c r="E75" s="90">
        <v>6544</v>
      </c>
    </row>
    <row r="76" spans="1:5" x14ac:dyDescent="0.2">
      <c r="A76" s="249">
        <v>42460</v>
      </c>
      <c r="B76" s="90" t="s">
        <v>1028</v>
      </c>
      <c r="C76" s="90" t="s">
        <v>1033</v>
      </c>
      <c r="D76" s="90" t="s">
        <v>1032</v>
      </c>
      <c r="E76" s="90">
        <v>8725</v>
      </c>
    </row>
    <row r="77" spans="1:5" x14ac:dyDescent="0.2">
      <c r="A77" s="249">
        <v>42460</v>
      </c>
      <c r="B77" s="90" t="s">
        <v>1028</v>
      </c>
      <c r="C77" s="90" t="s">
        <v>1034</v>
      </c>
      <c r="D77" s="90" t="s">
        <v>1030</v>
      </c>
      <c r="E77" s="90">
        <v>16914</v>
      </c>
    </row>
    <row r="78" spans="1:5" x14ac:dyDescent="0.2">
      <c r="A78" s="249">
        <v>42460</v>
      </c>
      <c r="B78" s="90" t="s">
        <v>1028</v>
      </c>
      <c r="C78" s="90" t="s">
        <v>1035</v>
      </c>
      <c r="D78" s="90" t="s">
        <v>1032</v>
      </c>
      <c r="E78" s="90">
        <v>2181</v>
      </c>
    </row>
    <row r="79" spans="1:5" x14ac:dyDescent="0.2">
      <c r="A79" s="249">
        <v>42460</v>
      </c>
      <c r="B79" s="90" t="s">
        <v>1028</v>
      </c>
      <c r="C79" s="90" t="s">
        <v>1036</v>
      </c>
      <c r="D79" s="90" t="s">
        <v>1037</v>
      </c>
      <c r="E79" s="90">
        <v>22541</v>
      </c>
    </row>
    <row r="80" spans="1:5" x14ac:dyDescent="0.2">
      <c r="A80" s="249">
        <v>42460</v>
      </c>
      <c r="B80" s="90" t="s">
        <v>1028</v>
      </c>
      <c r="C80" s="90" t="s">
        <v>1038</v>
      </c>
      <c r="D80" s="90" t="s">
        <v>1030</v>
      </c>
      <c r="E80" s="90">
        <v>4833</v>
      </c>
    </row>
    <row r="81" spans="1:5" x14ac:dyDescent="0.2">
      <c r="A81" s="249">
        <v>42460</v>
      </c>
      <c r="B81" s="90" t="s">
        <v>1028</v>
      </c>
      <c r="C81" s="90" t="s">
        <v>1039</v>
      </c>
      <c r="D81" s="90" t="s">
        <v>1032</v>
      </c>
      <c r="E81" s="90">
        <v>13961</v>
      </c>
    </row>
    <row r="82" spans="1:5" x14ac:dyDescent="0.2">
      <c r="A82" s="249">
        <v>42460</v>
      </c>
      <c r="B82" s="90" t="s">
        <v>1028</v>
      </c>
      <c r="C82" s="90" t="s">
        <v>1040</v>
      </c>
      <c r="D82" s="90" t="s">
        <v>1030</v>
      </c>
      <c r="E82" s="90">
        <v>19330</v>
      </c>
    </row>
    <row r="83" spans="1:5" x14ac:dyDescent="0.2">
      <c r="A83" s="249">
        <v>42460</v>
      </c>
      <c r="B83" s="90" t="s">
        <v>1028</v>
      </c>
      <c r="C83" s="90" t="s">
        <v>1041</v>
      </c>
      <c r="D83" s="90" t="s">
        <v>1037</v>
      </c>
      <c r="E83" s="90">
        <v>15027</v>
      </c>
    </row>
    <row r="84" spans="1:5" x14ac:dyDescent="0.2">
      <c r="A84" s="249">
        <v>42460</v>
      </c>
      <c r="B84" s="90" t="s">
        <v>1028</v>
      </c>
      <c r="C84" s="90" t="s">
        <v>1042</v>
      </c>
      <c r="D84" s="90" t="s">
        <v>1037</v>
      </c>
      <c r="E84" s="90">
        <v>30054</v>
      </c>
    </row>
    <row r="85" spans="1:5" x14ac:dyDescent="0.2">
      <c r="A85" s="249">
        <v>42460</v>
      </c>
      <c r="B85" s="90" t="s">
        <v>1028</v>
      </c>
      <c r="C85" s="90" t="s">
        <v>1043</v>
      </c>
      <c r="D85" s="90" t="s">
        <v>1032</v>
      </c>
      <c r="E85" s="90">
        <v>12216</v>
      </c>
    </row>
    <row r="86" spans="1:5" x14ac:dyDescent="0.2">
      <c r="A86" s="249">
        <v>42460</v>
      </c>
      <c r="B86" s="90" t="s">
        <v>1044</v>
      </c>
      <c r="C86" s="90" t="s">
        <v>1029</v>
      </c>
      <c r="D86" s="90" t="s">
        <v>1030</v>
      </c>
      <c r="E86" s="90">
        <v>16354</v>
      </c>
    </row>
    <row r="87" spans="1:5" x14ac:dyDescent="0.2">
      <c r="A87" s="249">
        <v>42460</v>
      </c>
      <c r="B87" s="90" t="s">
        <v>1044</v>
      </c>
      <c r="C87" s="90" t="s">
        <v>1031</v>
      </c>
      <c r="D87" s="90" t="s">
        <v>1032</v>
      </c>
      <c r="E87" s="90">
        <v>9491</v>
      </c>
    </row>
    <row r="88" spans="1:5" x14ac:dyDescent="0.2">
      <c r="A88" s="249">
        <v>42460</v>
      </c>
      <c r="B88" s="90" t="s">
        <v>1044</v>
      </c>
      <c r="C88" s="90" t="s">
        <v>1033</v>
      </c>
      <c r="D88" s="90" t="s">
        <v>1032</v>
      </c>
      <c r="E88" s="90">
        <v>12655</v>
      </c>
    </row>
    <row r="89" spans="1:5" x14ac:dyDescent="0.2">
      <c r="A89" s="249">
        <v>42460</v>
      </c>
      <c r="B89" s="90" t="s">
        <v>1044</v>
      </c>
      <c r="C89" s="90" t="s">
        <v>1034</v>
      </c>
      <c r="D89" s="90" t="s">
        <v>1030</v>
      </c>
      <c r="E89" s="90">
        <v>24532</v>
      </c>
    </row>
    <row r="90" spans="1:5" x14ac:dyDescent="0.2">
      <c r="A90" s="249">
        <v>42460</v>
      </c>
      <c r="B90" s="90" t="s">
        <v>1044</v>
      </c>
      <c r="C90" s="90" t="s">
        <v>1035</v>
      </c>
      <c r="D90" s="90" t="s">
        <v>1032</v>
      </c>
      <c r="E90" s="90">
        <v>3164</v>
      </c>
    </row>
    <row r="91" spans="1:5" x14ac:dyDescent="0.2">
      <c r="A91" s="249">
        <v>42460</v>
      </c>
      <c r="B91" s="90" t="s">
        <v>1044</v>
      </c>
      <c r="C91" s="90" t="s">
        <v>1036</v>
      </c>
      <c r="D91" s="90" t="s">
        <v>1037</v>
      </c>
      <c r="E91" s="90">
        <v>32692</v>
      </c>
    </row>
    <row r="92" spans="1:5" x14ac:dyDescent="0.2">
      <c r="A92" s="249">
        <v>42460</v>
      </c>
      <c r="B92" s="90" t="s">
        <v>1044</v>
      </c>
      <c r="C92" s="90" t="s">
        <v>1038</v>
      </c>
      <c r="D92" s="90" t="s">
        <v>1030</v>
      </c>
      <c r="E92" s="90">
        <v>7009</v>
      </c>
    </row>
    <row r="93" spans="1:5" x14ac:dyDescent="0.2">
      <c r="A93" s="249">
        <v>42460</v>
      </c>
      <c r="B93" s="90" t="s">
        <v>1044</v>
      </c>
      <c r="C93" s="90" t="s">
        <v>1039</v>
      </c>
      <c r="D93" s="90" t="s">
        <v>1032</v>
      </c>
      <c r="E93" s="90">
        <v>20248</v>
      </c>
    </row>
    <row r="94" spans="1:5" x14ac:dyDescent="0.2">
      <c r="A94" s="249">
        <v>42460</v>
      </c>
      <c r="B94" s="90" t="s">
        <v>1044</v>
      </c>
      <c r="C94" s="90" t="s">
        <v>1040</v>
      </c>
      <c r="D94" s="90" t="s">
        <v>1030</v>
      </c>
      <c r="E94" s="90">
        <v>28036</v>
      </c>
    </row>
    <row r="95" spans="1:5" x14ac:dyDescent="0.2">
      <c r="A95" s="249">
        <v>42460</v>
      </c>
      <c r="B95" s="90" t="s">
        <v>1044</v>
      </c>
      <c r="C95" s="90" t="s">
        <v>1041</v>
      </c>
      <c r="D95" s="90" t="s">
        <v>1037</v>
      </c>
      <c r="E95" s="90">
        <v>21795</v>
      </c>
    </row>
    <row r="96" spans="1:5" x14ac:dyDescent="0.2">
      <c r="A96" s="249">
        <v>42460</v>
      </c>
      <c r="B96" s="90" t="s">
        <v>1044</v>
      </c>
      <c r="C96" s="90" t="s">
        <v>1042</v>
      </c>
      <c r="D96" s="90" t="s">
        <v>1037</v>
      </c>
      <c r="E96" s="90">
        <v>43590</v>
      </c>
    </row>
    <row r="97" spans="1:5" x14ac:dyDescent="0.2">
      <c r="A97" s="249">
        <v>42460</v>
      </c>
      <c r="B97" s="90" t="s">
        <v>1044</v>
      </c>
      <c r="C97" s="90" t="s">
        <v>1043</v>
      </c>
      <c r="D97" s="90" t="s">
        <v>1032</v>
      </c>
      <c r="E97" s="90">
        <v>17717</v>
      </c>
    </row>
    <row r="98" spans="1:5" x14ac:dyDescent="0.2">
      <c r="A98" s="249">
        <v>42460</v>
      </c>
      <c r="B98" s="90" t="s">
        <v>1045</v>
      </c>
      <c r="C98" s="90" t="s">
        <v>1029</v>
      </c>
      <c r="D98" s="90" t="s">
        <v>1030</v>
      </c>
      <c r="E98" s="90">
        <v>13382</v>
      </c>
    </row>
    <row r="99" spans="1:5" x14ac:dyDescent="0.2">
      <c r="A99" s="249">
        <v>42460</v>
      </c>
      <c r="B99" s="90" t="s">
        <v>1045</v>
      </c>
      <c r="C99" s="90" t="s">
        <v>1031</v>
      </c>
      <c r="D99" s="90" t="s">
        <v>1032</v>
      </c>
      <c r="E99" s="90">
        <v>7766</v>
      </c>
    </row>
    <row r="100" spans="1:5" x14ac:dyDescent="0.2">
      <c r="A100" s="249">
        <v>42460</v>
      </c>
      <c r="B100" s="90" t="s">
        <v>1045</v>
      </c>
      <c r="C100" s="90" t="s">
        <v>1033</v>
      </c>
      <c r="D100" s="90" t="s">
        <v>1032</v>
      </c>
      <c r="E100" s="90">
        <v>10355</v>
      </c>
    </row>
    <row r="101" spans="1:5" x14ac:dyDescent="0.2">
      <c r="A101" s="249">
        <v>42460</v>
      </c>
      <c r="B101" s="90" t="s">
        <v>1045</v>
      </c>
      <c r="C101" s="90" t="s">
        <v>1034</v>
      </c>
      <c r="D101" s="90" t="s">
        <v>1030</v>
      </c>
      <c r="E101" s="90">
        <v>20073</v>
      </c>
    </row>
    <row r="102" spans="1:5" x14ac:dyDescent="0.2">
      <c r="A102" s="249">
        <v>42460</v>
      </c>
      <c r="B102" s="90" t="s">
        <v>1045</v>
      </c>
      <c r="C102" s="90" t="s">
        <v>1035</v>
      </c>
      <c r="D102" s="90" t="s">
        <v>1032</v>
      </c>
      <c r="E102" s="90">
        <v>2589</v>
      </c>
    </row>
    <row r="103" spans="1:5" x14ac:dyDescent="0.2">
      <c r="A103" s="249">
        <v>42460</v>
      </c>
      <c r="B103" s="90" t="s">
        <v>1045</v>
      </c>
      <c r="C103" s="90" t="s">
        <v>1036</v>
      </c>
      <c r="D103" s="90" t="s">
        <v>1037</v>
      </c>
      <c r="E103" s="90">
        <v>26751</v>
      </c>
    </row>
    <row r="104" spans="1:5" x14ac:dyDescent="0.2">
      <c r="A104" s="249">
        <v>42460</v>
      </c>
      <c r="B104" s="90" t="s">
        <v>1045</v>
      </c>
      <c r="C104" s="90" t="s">
        <v>1038</v>
      </c>
      <c r="D104" s="90" t="s">
        <v>1030</v>
      </c>
      <c r="E104" s="90">
        <v>5735</v>
      </c>
    </row>
    <row r="105" spans="1:5" x14ac:dyDescent="0.2">
      <c r="A105" s="249">
        <v>42460</v>
      </c>
      <c r="B105" s="90" t="s">
        <v>1045</v>
      </c>
      <c r="C105" s="90" t="s">
        <v>1039</v>
      </c>
      <c r="D105" s="90" t="s">
        <v>1032</v>
      </c>
      <c r="E105" s="90">
        <v>16568</v>
      </c>
    </row>
    <row r="106" spans="1:5" x14ac:dyDescent="0.2">
      <c r="A106" s="249">
        <v>42460</v>
      </c>
      <c r="B106" s="90" t="s">
        <v>1045</v>
      </c>
      <c r="C106" s="90" t="s">
        <v>1040</v>
      </c>
      <c r="D106" s="90" t="s">
        <v>1030</v>
      </c>
      <c r="E106" s="90">
        <v>22940</v>
      </c>
    </row>
    <row r="107" spans="1:5" x14ac:dyDescent="0.2">
      <c r="A107" s="249">
        <v>42460</v>
      </c>
      <c r="B107" s="90" t="s">
        <v>1045</v>
      </c>
      <c r="C107" s="90" t="s">
        <v>1041</v>
      </c>
      <c r="D107" s="90" t="s">
        <v>1037</v>
      </c>
      <c r="E107" s="90">
        <v>17834</v>
      </c>
    </row>
    <row r="108" spans="1:5" x14ac:dyDescent="0.2">
      <c r="A108" s="249">
        <v>42460</v>
      </c>
      <c r="B108" s="90" t="s">
        <v>1045</v>
      </c>
      <c r="C108" s="90" t="s">
        <v>1042</v>
      </c>
      <c r="D108" s="90" t="s">
        <v>1037</v>
      </c>
      <c r="E108" s="90">
        <v>35667</v>
      </c>
    </row>
    <row r="109" spans="1:5" x14ac:dyDescent="0.2">
      <c r="A109" s="249">
        <v>42460</v>
      </c>
      <c r="B109" s="90" t="s">
        <v>1045</v>
      </c>
      <c r="C109" s="90" t="s">
        <v>1043</v>
      </c>
      <c r="D109" s="90" t="s">
        <v>1032</v>
      </c>
      <c r="E109" s="90">
        <v>14497</v>
      </c>
    </row>
    <row r="110" spans="1:5" x14ac:dyDescent="0.2">
      <c r="A110" s="249">
        <v>42490</v>
      </c>
      <c r="B110" s="90" t="s">
        <v>1028</v>
      </c>
      <c r="C110" s="90" t="s">
        <v>1029</v>
      </c>
      <c r="D110" s="90" t="s">
        <v>1030</v>
      </c>
      <c r="E110" s="90">
        <v>12306</v>
      </c>
    </row>
    <row r="111" spans="1:5" x14ac:dyDescent="0.2">
      <c r="A111" s="249">
        <v>42490</v>
      </c>
      <c r="B111" s="90" t="s">
        <v>1028</v>
      </c>
      <c r="C111" s="90" t="s">
        <v>1031</v>
      </c>
      <c r="D111" s="90" t="s">
        <v>1032</v>
      </c>
      <c r="E111" s="90">
        <v>7142</v>
      </c>
    </row>
    <row r="112" spans="1:5" x14ac:dyDescent="0.2">
      <c r="A112" s="249">
        <v>42490</v>
      </c>
      <c r="B112" s="90" t="s">
        <v>1028</v>
      </c>
      <c r="C112" s="90" t="s">
        <v>1033</v>
      </c>
      <c r="D112" s="90" t="s">
        <v>1032</v>
      </c>
      <c r="E112" s="90">
        <v>9523</v>
      </c>
    </row>
    <row r="113" spans="1:5" x14ac:dyDescent="0.2">
      <c r="A113" s="249">
        <v>42490</v>
      </c>
      <c r="B113" s="90" t="s">
        <v>1028</v>
      </c>
      <c r="C113" s="90" t="s">
        <v>1034</v>
      </c>
      <c r="D113" s="90" t="s">
        <v>1030</v>
      </c>
      <c r="E113" s="90">
        <v>18459</v>
      </c>
    </row>
    <row r="114" spans="1:5" x14ac:dyDescent="0.2">
      <c r="A114" s="249">
        <v>42490</v>
      </c>
      <c r="B114" s="90" t="s">
        <v>1028</v>
      </c>
      <c r="C114" s="90" t="s">
        <v>1035</v>
      </c>
      <c r="D114" s="90" t="s">
        <v>1032</v>
      </c>
      <c r="E114" s="90">
        <v>2381</v>
      </c>
    </row>
    <row r="115" spans="1:5" x14ac:dyDescent="0.2">
      <c r="A115" s="249">
        <v>42490</v>
      </c>
      <c r="B115" s="90" t="s">
        <v>1028</v>
      </c>
      <c r="C115" s="90" t="s">
        <v>1036</v>
      </c>
      <c r="D115" s="90" t="s">
        <v>1037</v>
      </c>
      <c r="E115" s="90">
        <v>24600</v>
      </c>
    </row>
    <row r="116" spans="1:5" x14ac:dyDescent="0.2">
      <c r="A116" s="249">
        <v>42490</v>
      </c>
      <c r="B116" s="90" t="s">
        <v>1028</v>
      </c>
      <c r="C116" s="90" t="s">
        <v>1038</v>
      </c>
      <c r="D116" s="90" t="s">
        <v>1030</v>
      </c>
      <c r="E116" s="90">
        <v>5274</v>
      </c>
    </row>
    <row r="117" spans="1:5" x14ac:dyDescent="0.2">
      <c r="A117" s="249">
        <v>42490</v>
      </c>
      <c r="B117" s="90" t="s">
        <v>1028</v>
      </c>
      <c r="C117" s="90" t="s">
        <v>1039</v>
      </c>
      <c r="D117" s="90" t="s">
        <v>1032</v>
      </c>
      <c r="E117" s="90">
        <v>15236</v>
      </c>
    </row>
    <row r="118" spans="1:5" x14ac:dyDescent="0.2">
      <c r="A118" s="249">
        <v>42490</v>
      </c>
      <c r="B118" s="90" t="s">
        <v>1028</v>
      </c>
      <c r="C118" s="90" t="s">
        <v>1040</v>
      </c>
      <c r="D118" s="90" t="s">
        <v>1030</v>
      </c>
      <c r="E118" s="90">
        <v>21096</v>
      </c>
    </row>
    <row r="119" spans="1:5" x14ac:dyDescent="0.2">
      <c r="A119" s="249">
        <v>42490</v>
      </c>
      <c r="B119" s="90" t="s">
        <v>1028</v>
      </c>
      <c r="C119" s="90" t="s">
        <v>1041</v>
      </c>
      <c r="D119" s="90" t="s">
        <v>1037</v>
      </c>
      <c r="E119" s="90">
        <v>16400</v>
      </c>
    </row>
    <row r="120" spans="1:5" x14ac:dyDescent="0.2">
      <c r="A120" s="249">
        <v>42490</v>
      </c>
      <c r="B120" s="90" t="s">
        <v>1028</v>
      </c>
      <c r="C120" s="90" t="s">
        <v>1042</v>
      </c>
      <c r="D120" s="90" t="s">
        <v>1037</v>
      </c>
      <c r="E120" s="90">
        <v>32800</v>
      </c>
    </row>
    <row r="121" spans="1:5" x14ac:dyDescent="0.2">
      <c r="A121" s="249">
        <v>42490</v>
      </c>
      <c r="B121" s="90" t="s">
        <v>1028</v>
      </c>
      <c r="C121" s="90" t="s">
        <v>1043</v>
      </c>
      <c r="D121" s="90" t="s">
        <v>1032</v>
      </c>
      <c r="E121" s="90">
        <v>13332</v>
      </c>
    </row>
    <row r="122" spans="1:5" x14ac:dyDescent="0.2">
      <c r="A122" s="249">
        <v>42490</v>
      </c>
      <c r="B122" s="90" t="s">
        <v>1044</v>
      </c>
      <c r="C122" s="90" t="s">
        <v>1029</v>
      </c>
      <c r="D122" s="90" t="s">
        <v>1030</v>
      </c>
      <c r="E122" s="90">
        <v>13300</v>
      </c>
    </row>
    <row r="123" spans="1:5" x14ac:dyDescent="0.2">
      <c r="A123" s="249">
        <v>42490</v>
      </c>
      <c r="B123" s="90" t="s">
        <v>1044</v>
      </c>
      <c r="C123" s="90" t="s">
        <v>1031</v>
      </c>
      <c r="D123" s="90" t="s">
        <v>1032</v>
      </c>
      <c r="E123" s="90">
        <v>7719</v>
      </c>
    </row>
    <row r="124" spans="1:5" x14ac:dyDescent="0.2">
      <c r="A124" s="249">
        <v>42490</v>
      </c>
      <c r="B124" s="90" t="s">
        <v>1044</v>
      </c>
      <c r="C124" s="90" t="s">
        <v>1033</v>
      </c>
      <c r="D124" s="90" t="s">
        <v>1032</v>
      </c>
      <c r="E124" s="90">
        <v>10292</v>
      </c>
    </row>
    <row r="125" spans="1:5" x14ac:dyDescent="0.2">
      <c r="A125" s="249">
        <v>42490</v>
      </c>
      <c r="B125" s="90" t="s">
        <v>1044</v>
      </c>
      <c r="C125" s="90" t="s">
        <v>1034</v>
      </c>
      <c r="D125" s="90" t="s">
        <v>1030</v>
      </c>
      <c r="E125" s="90">
        <v>19950</v>
      </c>
    </row>
    <row r="126" spans="1:5" x14ac:dyDescent="0.2">
      <c r="A126" s="249">
        <v>42490</v>
      </c>
      <c r="B126" s="90" t="s">
        <v>1044</v>
      </c>
      <c r="C126" s="90" t="s">
        <v>1035</v>
      </c>
      <c r="D126" s="90" t="s">
        <v>1032</v>
      </c>
      <c r="E126" s="90">
        <v>2573</v>
      </c>
    </row>
    <row r="127" spans="1:5" x14ac:dyDescent="0.2">
      <c r="A127" s="249">
        <v>42490</v>
      </c>
      <c r="B127" s="90" t="s">
        <v>1044</v>
      </c>
      <c r="C127" s="90" t="s">
        <v>1036</v>
      </c>
      <c r="D127" s="90" t="s">
        <v>1037</v>
      </c>
      <c r="E127" s="90">
        <v>26587</v>
      </c>
    </row>
    <row r="128" spans="1:5" x14ac:dyDescent="0.2">
      <c r="A128" s="249">
        <v>42490</v>
      </c>
      <c r="B128" s="90" t="s">
        <v>1044</v>
      </c>
      <c r="C128" s="90" t="s">
        <v>1038</v>
      </c>
      <c r="D128" s="90" t="s">
        <v>1030</v>
      </c>
      <c r="E128" s="90">
        <v>5700</v>
      </c>
    </row>
    <row r="129" spans="1:5" x14ac:dyDescent="0.2">
      <c r="A129" s="249">
        <v>42490</v>
      </c>
      <c r="B129" s="90" t="s">
        <v>1044</v>
      </c>
      <c r="C129" s="90" t="s">
        <v>1039</v>
      </c>
      <c r="D129" s="90" t="s">
        <v>1032</v>
      </c>
      <c r="E129" s="90">
        <v>16467</v>
      </c>
    </row>
    <row r="130" spans="1:5" x14ac:dyDescent="0.2">
      <c r="A130" s="249">
        <v>42490</v>
      </c>
      <c r="B130" s="90" t="s">
        <v>1044</v>
      </c>
      <c r="C130" s="90" t="s">
        <v>1040</v>
      </c>
      <c r="D130" s="90" t="s">
        <v>1030</v>
      </c>
      <c r="E130" s="90">
        <v>22800</v>
      </c>
    </row>
    <row r="131" spans="1:5" x14ac:dyDescent="0.2">
      <c r="A131" s="249">
        <v>42490</v>
      </c>
      <c r="B131" s="90" t="s">
        <v>1044</v>
      </c>
      <c r="C131" s="90" t="s">
        <v>1041</v>
      </c>
      <c r="D131" s="90" t="s">
        <v>1037</v>
      </c>
      <c r="E131" s="90">
        <v>17725</v>
      </c>
    </row>
    <row r="132" spans="1:5" x14ac:dyDescent="0.2">
      <c r="A132" s="249">
        <v>42490</v>
      </c>
      <c r="B132" s="90" t="s">
        <v>1044</v>
      </c>
      <c r="C132" s="90" t="s">
        <v>1042</v>
      </c>
      <c r="D132" s="90" t="s">
        <v>1037</v>
      </c>
      <c r="E132" s="90">
        <v>35450</v>
      </c>
    </row>
    <row r="133" spans="1:5" x14ac:dyDescent="0.2">
      <c r="A133" s="249">
        <v>42490</v>
      </c>
      <c r="B133" s="90" t="s">
        <v>1044</v>
      </c>
      <c r="C133" s="90" t="s">
        <v>1043</v>
      </c>
      <c r="D133" s="90" t="s">
        <v>1032</v>
      </c>
      <c r="E133" s="90">
        <v>14409</v>
      </c>
    </row>
    <row r="134" spans="1:5" x14ac:dyDescent="0.2">
      <c r="A134" s="249">
        <v>42490</v>
      </c>
      <c r="B134" s="90" t="s">
        <v>1045</v>
      </c>
      <c r="C134" s="90" t="s">
        <v>1029</v>
      </c>
      <c r="D134" s="90" t="s">
        <v>1030</v>
      </c>
      <c r="E134" s="90">
        <v>13569</v>
      </c>
    </row>
    <row r="135" spans="1:5" x14ac:dyDescent="0.2">
      <c r="A135" s="249">
        <v>42490</v>
      </c>
      <c r="B135" s="90" t="s">
        <v>1045</v>
      </c>
      <c r="C135" s="90" t="s">
        <v>1031</v>
      </c>
      <c r="D135" s="90" t="s">
        <v>1032</v>
      </c>
      <c r="E135" s="90">
        <v>7875</v>
      </c>
    </row>
    <row r="136" spans="1:5" x14ac:dyDescent="0.2">
      <c r="A136" s="249">
        <v>42490</v>
      </c>
      <c r="B136" s="90" t="s">
        <v>1045</v>
      </c>
      <c r="C136" s="90" t="s">
        <v>1033</v>
      </c>
      <c r="D136" s="90" t="s">
        <v>1032</v>
      </c>
      <c r="E136" s="90">
        <v>10500</v>
      </c>
    </row>
    <row r="137" spans="1:5" x14ac:dyDescent="0.2">
      <c r="A137" s="249">
        <v>42490</v>
      </c>
      <c r="B137" s="90" t="s">
        <v>1045</v>
      </c>
      <c r="C137" s="90" t="s">
        <v>1034</v>
      </c>
      <c r="D137" s="90" t="s">
        <v>1030</v>
      </c>
      <c r="E137" s="90">
        <v>20354</v>
      </c>
    </row>
    <row r="138" spans="1:5" x14ac:dyDescent="0.2">
      <c r="A138" s="249">
        <v>42490</v>
      </c>
      <c r="B138" s="90" t="s">
        <v>1045</v>
      </c>
      <c r="C138" s="90" t="s">
        <v>1035</v>
      </c>
      <c r="D138" s="90" t="s">
        <v>1032</v>
      </c>
      <c r="E138" s="90">
        <v>2625</v>
      </c>
    </row>
    <row r="139" spans="1:5" x14ac:dyDescent="0.2">
      <c r="A139" s="249">
        <v>42490</v>
      </c>
      <c r="B139" s="90" t="s">
        <v>1045</v>
      </c>
      <c r="C139" s="90" t="s">
        <v>1036</v>
      </c>
      <c r="D139" s="90" t="s">
        <v>1037</v>
      </c>
      <c r="E139" s="90">
        <v>27125</v>
      </c>
    </row>
    <row r="140" spans="1:5" x14ac:dyDescent="0.2">
      <c r="A140" s="249">
        <v>42490</v>
      </c>
      <c r="B140" s="90" t="s">
        <v>1045</v>
      </c>
      <c r="C140" s="90" t="s">
        <v>1038</v>
      </c>
      <c r="D140" s="90" t="s">
        <v>1030</v>
      </c>
      <c r="E140" s="90">
        <v>5815</v>
      </c>
    </row>
    <row r="141" spans="1:5" x14ac:dyDescent="0.2">
      <c r="A141" s="249">
        <v>42490</v>
      </c>
      <c r="B141" s="90" t="s">
        <v>1045</v>
      </c>
      <c r="C141" s="90" t="s">
        <v>1039</v>
      </c>
      <c r="D141" s="90" t="s">
        <v>1032</v>
      </c>
      <c r="E141" s="90">
        <v>16800</v>
      </c>
    </row>
    <row r="142" spans="1:5" x14ac:dyDescent="0.2">
      <c r="A142" s="249">
        <v>42490</v>
      </c>
      <c r="B142" s="90" t="s">
        <v>1045</v>
      </c>
      <c r="C142" s="90" t="s">
        <v>1040</v>
      </c>
      <c r="D142" s="90" t="s">
        <v>1030</v>
      </c>
      <c r="E142" s="90">
        <v>23262</v>
      </c>
    </row>
    <row r="143" spans="1:5" x14ac:dyDescent="0.2">
      <c r="A143" s="249">
        <v>42490</v>
      </c>
      <c r="B143" s="90" t="s">
        <v>1045</v>
      </c>
      <c r="C143" s="90" t="s">
        <v>1041</v>
      </c>
      <c r="D143" s="90" t="s">
        <v>1037</v>
      </c>
      <c r="E143" s="90">
        <v>18083</v>
      </c>
    </row>
    <row r="144" spans="1:5" x14ac:dyDescent="0.2">
      <c r="A144" s="249">
        <v>42490</v>
      </c>
      <c r="B144" s="90" t="s">
        <v>1045</v>
      </c>
      <c r="C144" s="90" t="s">
        <v>1042</v>
      </c>
      <c r="D144" s="90" t="s">
        <v>1037</v>
      </c>
      <c r="E144" s="90">
        <v>36167</v>
      </c>
    </row>
    <row r="145" spans="1:5" x14ac:dyDescent="0.2">
      <c r="A145" s="249">
        <v>42490</v>
      </c>
      <c r="B145" s="90" t="s">
        <v>1045</v>
      </c>
      <c r="C145" s="90" t="s">
        <v>1043</v>
      </c>
      <c r="D145" s="90" t="s">
        <v>1032</v>
      </c>
      <c r="E145" s="90">
        <v>14700</v>
      </c>
    </row>
    <row r="146" spans="1:5" x14ac:dyDescent="0.2">
      <c r="A146" s="249">
        <v>42521</v>
      </c>
      <c r="B146" s="90" t="s">
        <v>1028</v>
      </c>
      <c r="C146" s="90" t="s">
        <v>1029</v>
      </c>
      <c r="D146" s="90" t="s">
        <v>1030</v>
      </c>
      <c r="E146" s="90">
        <v>13093</v>
      </c>
    </row>
    <row r="147" spans="1:5" x14ac:dyDescent="0.2">
      <c r="A147" s="249">
        <v>42521</v>
      </c>
      <c r="B147" s="90" t="s">
        <v>1028</v>
      </c>
      <c r="C147" s="90" t="s">
        <v>1031</v>
      </c>
      <c r="D147" s="90" t="s">
        <v>1032</v>
      </c>
      <c r="E147" s="90">
        <v>7599</v>
      </c>
    </row>
    <row r="148" spans="1:5" x14ac:dyDescent="0.2">
      <c r="A148" s="249">
        <v>42521</v>
      </c>
      <c r="B148" s="90" t="s">
        <v>1028</v>
      </c>
      <c r="C148" s="90" t="s">
        <v>1033</v>
      </c>
      <c r="D148" s="90" t="s">
        <v>1032</v>
      </c>
      <c r="E148" s="90">
        <v>10131</v>
      </c>
    </row>
    <row r="149" spans="1:5" x14ac:dyDescent="0.2">
      <c r="A149" s="249">
        <v>42521</v>
      </c>
      <c r="B149" s="90" t="s">
        <v>1028</v>
      </c>
      <c r="C149" s="90" t="s">
        <v>1034</v>
      </c>
      <c r="D149" s="90" t="s">
        <v>1030</v>
      </c>
      <c r="E149" s="90">
        <v>19639</v>
      </c>
    </row>
    <row r="150" spans="1:5" x14ac:dyDescent="0.2">
      <c r="A150" s="249">
        <v>42521</v>
      </c>
      <c r="B150" s="90" t="s">
        <v>1028</v>
      </c>
      <c r="C150" s="90" t="s">
        <v>1035</v>
      </c>
      <c r="D150" s="90" t="s">
        <v>1032</v>
      </c>
      <c r="E150" s="90">
        <v>2533</v>
      </c>
    </row>
    <row r="151" spans="1:5" x14ac:dyDescent="0.2">
      <c r="A151" s="249">
        <v>42521</v>
      </c>
      <c r="B151" s="90" t="s">
        <v>1028</v>
      </c>
      <c r="C151" s="90" t="s">
        <v>1036</v>
      </c>
      <c r="D151" s="90" t="s">
        <v>1037</v>
      </c>
      <c r="E151" s="90">
        <v>26173</v>
      </c>
    </row>
    <row r="152" spans="1:5" x14ac:dyDescent="0.2">
      <c r="A152" s="249">
        <v>42521</v>
      </c>
      <c r="B152" s="90" t="s">
        <v>1028</v>
      </c>
      <c r="C152" s="90" t="s">
        <v>1038</v>
      </c>
      <c r="D152" s="90" t="s">
        <v>1030</v>
      </c>
      <c r="E152" s="90">
        <v>5611</v>
      </c>
    </row>
    <row r="153" spans="1:5" x14ac:dyDescent="0.2">
      <c r="A153" s="249">
        <v>42521</v>
      </c>
      <c r="B153" s="90" t="s">
        <v>1028</v>
      </c>
      <c r="C153" s="90" t="s">
        <v>1039</v>
      </c>
      <c r="D153" s="90" t="s">
        <v>1032</v>
      </c>
      <c r="E153" s="90">
        <v>16210</v>
      </c>
    </row>
    <row r="154" spans="1:5" x14ac:dyDescent="0.2">
      <c r="A154" s="249">
        <v>42521</v>
      </c>
      <c r="B154" s="90" t="s">
        <v>1028</v>
      </c>
      <c r="C154" s="90" t="s">
        <v>1040</v>
      </c>
      <c r="D154" s="90" t="s">
        <v>1030</v>
      </c>
      <c r="E154" s="90">
        <v>22445</v>
      </c>
    </row>
    <row r="155" spans="1:5" x14ac:dyDescent="0.2">
      <c r="A155" s="249">
        <v>42521</v>
      </c>
      <c r="B155" s="90" t="s">
        <v>1028</v>
      </c>
      <c r="C155" s="90" t="s">
        <v>1041</v>
      </c>
      <c r="D155" s="90" t="s">
        <v>1037</v>
      </c>
      <c r="E155" s="90">
        <v>17449</v>
      </c>
    </row>
    <row r="156" spans="1:5" x14ac:dyDescent="0.2">
      <c r="A156" s="249">
        <v>42521</v>
      </c>
      <c r="B156" s="90" t="s">
        <v>1028</v>
      </c>
      <c r="C156" s="90" t="s">
        <v>1042</v>
      </c>
      <c r="D156" s="90" t="s">
        <v>1037</v>
      </c>
      <c r="E156" s="90">
        <v>34897</v>
      </c>
    </row>
    <row r="157" spans="1:5" x14ac:dyDescent="0.2">
      <c r="A157" s="249">
        <v>42521</v>
      </c>
      <c r="B157" s="90" t="s">
        <v>1028</v>
      </c>
      <c r="C157" s="90" t="s">
        <v>1043</v>
      </c>
      <c r="D157" s="90" t="s">
        <v>1032</v>
      </c>
      <c r="E157" s="90">
        <v>14184</v>
      </c>
    </row>
    <row r="158" spans="1:5" x14ac:dyDescent="0.2">
      <c r="A158" s="249">
        <v>42521</v>
      </c>
      <c r="B158" s="90" t="s">
        <v>1044</v>
      </c>
      <c r="C158" s="90" t="s">
        <v>1029</v>
      </c>
      <c r="D158" s="90" t="s">
        <v>1030</v>
      </c>
      <c r="E158" s="90">
        <v>16217</v>
      </c>
    </row>
    <row r="159" spans="1:5" x14ac:dyDescent="0.2">
      <c r="A159" s="249">
        <v>42521</v>
      </c>
      <c r="B159" s="90" t="s">
        <v>1044</v>
      </c>
      <c r="C159" s="90" t="s">
        <v>1031</v>
      </c>
      <c r="D159" s="90" t="s">
        <v>1032</v>
      </c>
      <c r="E159" s="90">
        <v>9411</v>
      </c>
    </row>
    <row r="160" spans="1:5" x14ac:dyDescent="0.2">
      <c r="A160" s="249">
        <v>42521</v>
      </c>
      <c r="B160" s="90" t="s">
        <v>1044</v>
      </c>
      <c r="C160" s="90" t="s">
        <v>1033</v>
      </c>
      <c r="D160" s="90" t="s">
        <v>1032</v>
      </c>
      <c r="E160" s="90">
        <v>12549</v>
      </c>
    </row>
    <row r="161" spans="1:5" x14ac:dyDescent="0.2">
      <c r="A161" s="249">
        <v>42521</v>
      </c>
      <c r="B161" s="90" t="s">
        <v>1044</v>
      </c>
      <c r="C161" s="90" t="s">
        <v>1034</v>
      </c>
      <c r="D161" s="90" t="s">
        <v>1030</v>
      </c>
      <c r="E161" s="90">
        <v>24325</v>
      </c>
    </row>
    <row r="162" spans="1:5" x14ac:dyDescent="0.2">
      <c r="A162" s="249">
        <v>42521</v>
      </c>
      <c r="B162" s="90" t="s">
        <v>1044</v>
      </c>
      <c r="C162" s="90" t="s">
        <v>1035</v>
      </c>
      <c r="D162" s="90" t="s">
        <v>1032</v>
      </c>
      <c r="E162" s="90">
        <v>3137</v>
      </c>
    </row>
    <row r="163" spans="1:5" x14ac:dyDescent="0.2">
      <c r="A163" s="249">
        <v>42521</v>
      </c>
      <c r="B163" s="90" t="s">
        <v>1044</v>
      </c>
      <c r="C163" s="90" t="s">
        <v>1036</v>
      </c>
      <c r="D163" s="90" t="s">
        <v>1037</v>
      </c>
      <c r="E163" s="90">
        <v>32417</v>
      </c>
    </row>
    <row r="164" spans="1:5" x14ac:dyDescent="0.2">
      <c r="A164" s="249">
        <v>42521</v>
      </c>
      <c r="B164" s="90" t="s">
        <v>1044</v>
      </c>
      <c r="C164" s="90" t="s">
        <v>1038</v>
      </c>
      <c r="D164" s="90" t="s">
        <v>1030</v>
      </c>
      <c r="E164" s="90">
        <v>6950</v>
      </c>
    </row>
    <row r="165" spans="1:5" x14ac:dyDescent="0.2">
      <c r="A165" s="249">
        <v>42521</v>
      </c>
      <c r="B165" s="90" t="s">
        <v>1044</v>
      </c>
      <c r="C165" s="90" t="s">
        <v>1039</v>
      </c>
      <c r="D165" s="90" t="s">
        <v>1032</v>
      </c>
      <c r="E165" s="90">
        <v>20078</v>
      </c>
    </row>
    <row r="166" spans="1:5" x14ac:dyDescent="0.2">
      <c r="A166" s="249">
        <v>42521</v>
      </c>
      <c r="B166" s="90" t="s">
        <v>1044</v>
      </c>
      <c r="C166" s="90" t="s">
        <v>1040</v>
      </c>
      <c r="D166" s="90" t="s">
        <v>1030</v>
      </c>
      <c r="E166" s="90">
        <v>27800</v>
      </c>
    </row>
    <row r="167" spans="1:5" x14ac:dyDescent="0.2">
      <c r="A167" s="249">
        <v>42521</v>
      </c>
      <c r="B167" s="90" t="s">
        <v>1044</v>
      </c>
      <c r="C167" s="90" t="s">
        <v>1041</v>
      </c>
      <c r="D167" s="90" t="s">
        <v>1037</v>
      </c>
      <c r="E167" s="90">
        <v>21612</v>
      </c>
    </row>
    <row r="168" spans="1:5" x14ac:dyDescent="0.2">
      <c r="A168" s="249">
        <v>42521</v>
      </c>
      <c r="B168" s="90" t="s">
        <v>1044</v>
      </c>
      <c r="C168" s="90" t="s">
        <v>1042</v>
      </c>
      <c r="D168" s="90" t="s">
        <v>1037</v>
      </c>
      <c r="E168" s="90">
        <v>43223</v>
      </c>
    </row>
    <row r="169" spans="1:5" x14ac:dyDescent="0.2">
      <c r="A169" s="249">
        <v>42521</v>
      </c>
      <c r="B169" s="90" t="s">
        <v>1044</v>
      </c>
      <c r="C169" s="90" t="s">
        <v>1043</v>
      </c>
      <c r="D169" s="90" t="s">
        <v>1032</v>
      </c>
      <c r="E169" s="90">
        <v>17568</v>
      </c>
    </row>
    <row r="170" spans="1:5" x14ac:dyDescent="0.2">
      <c r="A170" s="249">
        <v>42521</v>
      </c>
      <c r="B170" s="90" t="s">
        <v>1045</v>
      </c>
      <c r="C170" s="90" t="s">
        <v>1029</v>
      </c>
      <c r="D170" s="90" t="s">
        <v>1030</v>
      </c>
      <c r="E170" s="90">
        <v>10605</v>
      </c>
    </row>
    <row r="171" spans="1:5" x14ac:dyDescent="0.2">
      <c r="A171" s="249">
        <v>42521</v>
      </c>
      <c r="B171" s="90" t="s">
        <v>1045</v>
      </c>
      <c r="C171" s="90" t="s">
        <v>1031</v>
      </c>
      <c r="D171" s="90" t="s">
        <v>1032</v>
      </c>
      <c r="E171" s="90">
        <v>6155</v>
      </c>
    </row>
    <row r="172" spans="1:5" x14ac:dyDescent="0.2">
      <c r="A172" s="249">
        <v>42521</v>
      </c>
      <c r="B172" s="90" t="s">
        <v>1045</v>
      </c>
      <c r="C172" s="90" t="s">
        <v>1033</v>
      </c>
      <c r="D172" s="90" t="s">
        <v>1032</v>
      </c>
      <c r="E172" s="90">
        <v>8206</v>
      </c>
    </row>
    <row r="173" spans="1:5" x14ac:dyDescent="0.2">
      <c r="A173" s="249">
        <v>42521</v>
      </c>
      <c r="B173" s="90" t="s">
        <v>1045</v>
      </c>
      <c r="C173" s="90" t="s">
        <v>1034</v>
      </c>
      <c r="D173" s="90" t="s">
        <v>1030</v>
      </c>
      <c r="E173" s="90">
        <v>15907</v>
      </c>
    </row>
    <row r="174" spans="1:5" x14ac:dyDescent="0.2">
      <c r="A174" s="249">
        <v>42521</v>
      </c>
      <c r="B174" s="90" t="s">
        <v>1045</v>
      </c>
      <c r="C174" s="90" t="s">
        <v>1035</v>
      </c>
      <c r="D174" s="90" t="s">
        <v>1032</v>
      </c>
      <c r="E174" s="90">
        <v>2052</v>
      </c>
    </row>
    <row r="175" spans="1:5" x14ac:dyDescent="0.2">
      <c r="A175" s="249">
        <v>42521</v>
      </c>
      <c r="B175" s="90" t="s">
        <v>1045</v>
      </c>
      <c r="C175" s="90" t="s">
        <v>1036</v>
      </c>
      <c r="D175" s="90" t="s">
        <v>1037</v>
      </c>
      <c r="E175" s="90">
        <v>21199</v>
      </c>
    </row>
    <row r="176" spans="1:5" x14ac:dyDescent="0.2">
      <c r="A176" s="249">
        <v>42521</v>
      </c>
      <c r="B176" s="90" t="s">
        <v>1045</v>
      </c>
      <c r="C176" s="90" t="s">
        <v>1038</v>
      </c>
      <c r="D176" s="90" t="s">
        <v>1030</v>
      </c>
      <c r="E176" s="90">
        <v>4545</v>
      </c>
    </row>
    <row r="177" spans="1:5" x14ac:dyDescent="0.2">
      <c r="A177" s="249">
        <v>42521</v>
      </c>
      <c r="B177" s="90" t="s">
        <v>1045</v>
      </c>
      <c r="C177" s="90" t="s">
        <v>1039</v>
      </c>
      <c r="D177" s="90" t="s">
        <v>1032</v>
      </c>
      <c r="E177" s="90">
        <v>13130</v>
      </c>
    </row>
    <row r="178" spans="1:5" x14ac:dyDescent="0.2">
      <c r="A178" s="249">
        <v>42521</v>
      </c>
      <c r="B178" s="90" t="s">
        <v>1045</v>
      </c>
      <c r="C178" s="90" t="s">
        <v>1040</v>
      </c>
      <c r="D178" s="90" t="s">
        <v>1030</v>
      </c>
      <c r="E178" s="90">
        <v>18180</v>
      </c>
    </row>
    <row r="179" spans="1:5" x14ac:dyDescent="0.2">
      <c r="A179" s="249">
        <v>42521</v>
      </c>
      <c r="B179" s="90" t="s">
        <v>1045</v>
      </c>
      <c r="C179" s="90" t="s">
        <v>1041</v>
      </c>
      <c r="D179" s="90" t="s">
        <v>1037</v>
      </c>
      <c r="E179" s="90">
        <v>14133</v>
      </c>
    </row>
    <row r="180" spans="1:5" x14ac:dyDescent="0.2">
      <c r="A180" s="249">
        <v>42521</v>
      </c>
      <c r="B180" s="90" t="s">
        <v>1045</v>
      </c>
      <c r="C180" s="90" t="s">
        <v>1042</v>
      </c>
      <c r="D180" s="90" t="s">
        <v>1037</v>
      </c>
      <c r="E180" s="90">
        <v>28266</v>
      </c>
    </row>
    <row r="181" spans="1:5" x14ac:dyDescent="0.2">
      <c r="A181" s="249">
        <v>42521</v>
      </c>
      <c r="B181" s="90" t="s">
        <v>1045</v>
      </c>
      <c r="C181" s="90" t="s">
        <v>1043</v>
      </c>
      <c r="D181" s="90" t="s">
        <v>1032</v>
      </c>
      <c r="E181" s="90">
        <v>11489</v>
      </c>
    </row>
    <row r="182" spans="1:5" x14ac:dyDescent="0.2">
      <c r="A182" s="249">
        <v>42551</v>
      </c>
      <c r="B182" s="90" t="s">
        <v>1028</v>
      </c>
      <c r="C182" s="90" t="s">
        <v>1029</v>
      </c>
      <c r="D182" s="90" t="s">
        <v>1030</v>
      </c>
      <c r="E182" s="90">
        <v>14911</v>
      </c>
    </row>
    <row r="183" spans="1:5" x14ac:dyDescent="0.2">
      <c r="A183" s="249">
        <v>42551</v>
      </c>
      <c r="B183" s="90" t="s">
        <v>1028</v>
      </c>
      <c r="C183" s="90" t="s">
        <v>1031</v>
      </c>
      <c r="D183" s="90" t="s">
        <v>1032</v>
      </c>
      <c r="E183" s="90">
        <v>8654</v>
      </c>
    </row>
    <row r="184" spans="1:5" x14ac:dyDescent="0.2">
      <c r="A184" s="249">
        <v>42551</v>
      </c>
      <c r="B184" s="90" t="s">
        <v>1028</v>
      </c>
      <c r="C184" s="90" t="s">
        <v>1033</v>
      </c>
      <c r="D184" s="90" t="s">
        <v>1032</v>
      </c>
      <c r="E184" s="90">
        <v>11538</v>
      </c>
    </row>
    <row r="185" spans="1:5" x14ac:dyDescent="0.2">
      <c r="A185" s="249">
        <v>42551</v>
      </c>
      <c r="B185" s="90" t="s">
        <v>1028</v>
      </c>
      <c r="C185" s="90" t="s">
        <v>1034</v>
      </c>
      <c r="D185" s="90" t="s">
        <v>1030</v>
      </c>
      <c r="E185" s="90">
        <v>22366</v>
      </c>
    </row>
    <row r="186" spans="1:5" x14ac:dyDescent="0.2">
      <c r="A186" s="249">
        <v>42551</v>
      </c>
      <c r="B186" s="90" t="s">
        <v>1028</v>
      </c>
      <c r="C186" s="90" t="s">
        <v>1035</v>
      </c>
      <c r="D186" s="90" t="s">
        <v>1032</v>
      </c>
      <c r="E186" s="90">
        <v>2885</v>
      </c>
    </row>
    <row r="187" spans="1:5" x14ac:dyDescent="0.2">
      <c r="A187" s="249">
        <v>42551</v>
      </c>
      <c r="B187" s="90" t="s">
        <v>1028</v>
      </c>
      <c r="C187" s="90" t="s">
        <v>1036</v>
      </c>
      <c r="D187" s="90" t="s">
        <v>1037</v>
      </c>
      <c r="E187" s="90">
        <v>29807</v>
      </c>
    </row>
    <row r="188" spans="1:5" x14ac:dyDescent="0.2">
      <c r="A188" s="249">
        <v>42551</v>
      </c>
      <c r="B188" s="90" t="s">
        <v>1028</v>
      </c>
      <c r="C188" s="90" t="s">
        <v>1038</v>
      </c>
      <c r="D188" s="90" t="s">
        <v>1030</v>
      </c>
      <c r="E188" s="90">
        <v>6390</v>
      </c>
    </row>
    <row r="189" spans="1:5" x14ac:dyDescent="0.2">
      <c r="A189" s="249">
        <v>42551</v>
      </c>
      <c r="B189" s="90" t="s">
        <v>1028</v>
      </c>
      <c r="C189" s="90" t="s">
        <v>1039</v>
      </c>
      <c r="D189" s="90" t="s">
        <v>1032</v>
      </c>
      <c r="E189" s="90">
        <v>18461</v>
      </c>
    </row>
    <row r="190" spans="1:5" x14ac:dyDescent="0.2">
      <c r="A190" s="249">
        <v>42551</v>
      </c>
      <c r="B190" s="90" t="s">
        <v>1028</v>
      </c>
      <c r="C190" s="90" t="s">
        <v>1040</v>
      </c>
      <c r="D190" s="90" t="s">
        <v>1030</v>
      </c>
      <c r="E190" s="90">
        <v>25561</v>
      </c>
    </row>
    <row r="191" spans="1:5" x14ac:dyDescent="0.2">
      <c r="A191" s="249">
        <v>42551</v>
      </c>
      <c r="B191" s="90" t="s">
        <v>1028</v>
      </c>
      <c r="C191" s="90" t="s">
        <v>1041</v>
      </c>
      <c r="D191" s="90" t="s">
        <v>1037</v>
      </c>
      <c r="E191" s="90">
        <v>19871</v>
      </c>
    </row>
    <row r="192" spans="1:5" x14ac:dyDescent="0.2">
      <c r="A192" s="249">
        <v>42551</v>
      </c>
      <c r="B192" s="90" t="s">
        <v>1028</v>
      </c>
      <c r="C192" s="90" t="s">
        <v>1042</v>
      </c>
      <c r="D192" s="90" t="s">
        <v>1037</v>
      </c>
      <c r="E192" s="90">
        <v>39742</v>
      </c>
    </row>
    <row r="193" spans="1:5" x14ac:dyDescent="0.2">
      <c r="A193" s="249">
        <v>42551</v>
      </c>
      <c r="B193" s="90" t="s">
        <v>1028</v>
      </c>
      <c r="C193" s="90" t="s">
        <v>1043</v>
      </c>
      <c r="D193" s="90" t="s">
        <v>1032</v>
      </c>
      <c r="E193" s="90">
        <v>16153</v>
      </c>
    </row>
    <row r="194" spans="1:5" x14ac:dyDescent="0.2">
      <c r="A194" s="249">
        <v>42551</v>
      </c>
      <c r="B194" s="90" t="s">
        <v>1044</v>
      </c>
      <c r="C194" s="90" t="s">
        <v>1029</v>
      </c>
      <c r="D194" s="90" t="s">
        <v>1030</v>
      </c>
      <c r="E194" s="90">
        <v>15526</v>
      </c>
    </row>
    <row r="195" spans="1:5" x14ac:dyDescent="0.2">
      <c r="A195" s="249">
        <v>42551</v>
      </c>
      <c r="B195" s="90" t="s">
        <v>1044</v>
      </c>
      <c r="C195" s="90" t="s">
        <v>1031</v>
      </c>
      <c r="D195" s="90" t="s">
        <v>1032</v>
      </c>
      <c r="E195" s="90">
        <v>9010</v>
      </c>
    </row>
    <row r="196" spans="1:5" x14ac:dyDescent="0.2">
      <c r="A196" s="249">
        <v>42551</v>
      </c>
      <c r="B196" s="90" t="s">
        <v>1044</v>
      </c>
      <c r="C196" s="90" t="s">
        <v>1033</v>
      </c>
      <c r="D196" s="90" t="s">
        <v>1032</v>
      </c>
      <c r="E196" s="90">
        <v>12014</v>
      </c>
    </row>
    <row r="197" spans="1:5" x14ac:dyDescent="0.2">
      <c r="A197" s="249">
        <v>42551</v>
      </c>
      <c r="B197" s="90" t="s">
        <v>1044</v>
      </c>
      <c r="C197" s="90" t="s">
        <v>1034</v>
      </c>
      <c r="D197" s="90" t="s">
        <v>1030</v>
      </c>
      <c r="E197" s="90">
        <v>23288</v>
      </c>
    </row>
    <row r="198" spans="1:5" x14ac:dyDescent="0.2">
      <c r="A198" s="249">
        <v>42551</v>
      </c>
      <c r="B198" s="90" t="s">
        <v>1044</v>
      </c>
      <c r="C198" s="90" t="s">
        <v>1035</v>
      </c>
      <c r="D198" s="90" t="s">
        <v>1032</v>
      </c>
      <c r="E198" s="90">
        <v>3003</v>
      </c>
    </row>
    <row r="199" spans="1:5" x14ac:dyDescent="0.2">
      <c r="A199" s="249">
        <v>42551</v>
      </c>
      <c r="B199" s="90" t="s">
        <v>1044</v>
      </c>
      <c r="C199" s="90" t="s">
        <v>1036</v>
      </c>
      <c r="D199" s="90" t="s">
        <v>1037</v>
      </c>
      <c r="E199" s="90">
        <v>31036</v>
      </c>
    </row>
    <row r="200" spans="1:5" x14ac:dyDescent="0.2">
      <c r="A200" s="249">
        <v>42551</v>
      </c>
      <c r="B200" s="90" t="s">
        <v>1044</v>
      </c>
      <c r="C200" s="90" t="s">
        <v>1038</v>
      </c>
      <c r="D200" s="90" t="s">
        <v>1030</v>
      </c>
      <c r="E200" s="90">
        <v>6654</v>
      </c>
    </row>
    <row r="201" spans="1:5" x14ac:dyDescent="0.2">
      <c r="A201" s="249">
        <v>42551</v>
      </c>
      <c r="B201" s="90" t="s">
        <v>1044</v>
      </c>
      <c r="C201" s="90" t="s">
        <v>1039</v>
      </c>
      <c r="D201" s="90" t="s">
        <v>1032</v>
      </c>
      <c r="E201" s="90">
        <v>19222</v>
      </c>
    </row>
    <row r="202" spans="1:5" x14ac:dyDescent="0.2">
      <c r="A202" s="249">
        <v>42551</v>
      </c>
      <c r="B202" s="90" t="s">
        <v>1044</v>
      </c>
      <c r="C202" s="90" t="s">
        <v>1040</v>
      </c>
      <c r="D202" s="90" t="s">
        <v>1030</v>
      </c>
      <c r="E202" s="90">
        <v>26615</v>
      </c>
    </row>
    <row r="203" spans="1:5" x14ac:dyDescent="0.2">
      <c r="A203" s="249">
        <v>42551</v>
      </c>
      <c r="B203" s="90" t="s">
        <v>1044</v>
      </c>
      <c r="C203" s="90" t="s">
        <v>1041</v>
      </c>
      <c r="D203" s="90" t="s">
        <v>1037</v>
      </c>
      <c r="E203" s="90">
        <v>20691</v>
      </c>
    </row>
    <row r="204" spans="1:5" x14ac:dyDescent="0.2">
      <c r="A204" s="249">
        <v>42551</v>
      </c>
      <c r="B204" s="90" t="s">
        <v>1044</v>
      </c>
      <c r="C204" s="90" t="s">
        <v>1042</v>
      </c>
      <c r="D204" s="90" t="s">
        <v>1037</v>
      </c>
      <c r="E204" s="90">
        <v>41381</v>
      </c>
    </row>
    <row r="205" spans="1:5" x14ac:dyDescent="0.2">
      <c r="A205" s="249">
        <v>42551</v>
      </c>
      <c r="B205" s="90" t="s">
        <v>1044</v>
      </c>
      <c r="C205" s="90" t="s">
        <v>1043</v>
      </c>
      <c r="D205" s="90" t="s">
        <v>1032</v>
      </c>
      <c r="E205" s="90">
        <v>16819</v>
      </c>
    </row>
    <row r="206" spans="1:5" x14ac:dyDescent="0.2">
      <c r="A206" s="249">
        <v>42551</v>
      </c>
      <c r="B206" s="90" t="s">
        <v>1045</v>
      </c>
      <c r="C206" s="90" t="s">
        <v>1029</v>
      </c>
      <c r="D206" s="90" t="s">
        <v>1030</v>
      </c>
      <c r="E206" s="90">
        <v>12388</v>
      </c>
    </row>
    <row r="207" spans="1:5" x14ac:dyDescent="0.2">
      <c r="A207" s="249">
        <v>42551</v>
      </c>
      <c r="B207" s="90" t="s">
        <v>1045</v>
      </c>
      <c r="C207" s="90" t="s">
        <v>1031</v>
      </c>
      <c r="D207" s="90" t="s">
        <v>1032</v>
      </c>
      <c r="E207" s="90">
        <v>7189</v>
      </c>
    </row>
    <row r="208" spans="1:5" x14ac:dyDescent="0.2">
      <c r="A208" s="249">
        <v>42551</v>
      </c>
      <c r="B208" s="90" t="s">
        <v>1045</v>
      </c>
      <c r="C208" s="90" t="s">
        <v>1033</v>
      </c>
      <c r="D208" s="90" t="s">
        <v>1032</v>
      </c>
      <c r="E208" s="90">
        <v>9586</v>
      </c>
    </row>
    <row r="209" spans="1:5" x14ac:dyDescent="0.2">
      <c r="A209" s="249">
        <v>42551</v>
      </c>
      <c r="B209" s="90" t="s">
        <v>1045</v>
      </c>
      <c r="C209" s="90" t="s">
        <v>1034</v>
      </c>
      <c r="D209" s="90" t="s">
        <v>1030</v>
      </c>
      <c r="E209" s="90">
        <v>18582</v>
      </c>
    </row>
    <row r="210" spans="1:5" x14ac:dyDescent="0.2">
      <c r="A210" s="249">
        <v>42551</v>
      </c>
      <c r="B210" s="90" t="s">
        <v>1045</v>
      </c>
      <c r="C210" s="90" t="s">
        <v>1035</v>
      </c>
      <c r="D210" s="90" t="s">
        <v>1032</v>
      </c>
      <c r="E210" s="90">
        <v>2396</v>
      </c>
    </row>
    <row r="211" spans="1:5" x14ac:dyDescent="0.2">
      <c r="A211" s="249">
        <v>42551</v>
      </c>
      <c r="B211" s="90" t="s">
        <v>1045</v>
      </c>
      <c r="C211" s="90" t="s">
        <v>1036</v>
      </c>
      <c r="D211" s="90" t="s">
        <v>1037</v>
      </c>
      <c r="E211" s="90">
        <v>24763</v>
      </c>
    </row>
    <row r="212" spans="1:5" x14ac:dyDescent="0.2">
      <c r="A212" s="249">
        <v>42551</v>
      </c>
      <c r="B212" s="90" t="s">
        <v>1045</v>
      </c>
      <c r="C212" s="90" t="s">
        <v>1038</v>
      </c>
      <c r="D212" s="90" t="s">
        <v>1030</v>
      </c>
      <c r="E212" s="90">
        <v>5309</v>
      </c>
    </row>
    <row r="213" spans="1:5" x14ac:dyDescent="0.2">
      <c r="A213" s="249">
        <v>42551</v>
      </c>
      <c r="B213" s="90" t="s">
        <v>1045</v>
      </c>
      <c r="C213" s="90" t="s">
        <v>1039</v>
      </c>
      <c r="D213" s="90" t="s">
        <v>1032</v>
      </c>
      <c r="E213" s="90">
        <v>15337</v>
      </c>
    </row>
    <row r="214" spans="1:5" x14ac:dyDescent="0.2">
      <c r="A214" s="249">
        <v>42551</v>
      </c>
      <c r="B214" s="90" t="s">
        <v>1045</v>
      </c>
      <c r="C214" s="90" t="s">
        <v>1040</v>
      </c>
      <c r="D214" s="90" t="s">
        <v>1030</v>
      </c>
      <c r="E214" s="90">
        <v>21236</v>
      </c>
    </row>
    <row r="215" spans="1:5" x14ac:dyDescent="0.2">
      <c r="A215" s="249">
        <v>42551</v>
      </c>
      <c r="B215" s="90" t="s">
        <v>1045</v>
      </c>
      <c r="C215" s="90" t="s">
        <v>1041</v>
      </c>
      <c r="D215" s="90" t="s">
        <v>1037</v>
      </c>
      <c r="E215" s="90">
        <v>16509</v>
      </c>
    </row>
    <row r="216" spans="1:5" x14ac:dyDescent="0.2">
      <c r="A216" s="249">
        <v>42551</v>
      </c>
      <c r="B216" s="90" t="s">
        <v>1045</v>
      </c>
      <c r="C216" s="90" t="s">
        <v>1042</v>
      </c>
      <c r="D216" s="90" t="s">
        <v>1037</v>
      </c>
      <c r="E216" s="90">
        <v>33017</v>
      </c>
    </row>
    <row r="217" spans="1:5" x14ac:dyDescent="0.2">
      <c r="A217" s="249">
        <v>42551</v>
      </c>
      <c r="B217" s="90" t="s">
        <v>1045</v>
      </c>
      <c r="C217" s="90" t="s">
        <v>1043</v>
      </c>
      <c r="D217" s="90" t="s">
        <v>1032</v>
      </c>
      <c r="E217" s="90">
        <v>13420</v>
      </c>
    </row>
    <row r="218" spans="1:5" x14ac:dyDescent="0.2">
      <c r="A218" s="249">
        <v>42582</v>
      </c>
      <c r="B218" s="90" t="s">
        <v>1028</v>
      </c>
      <c r="C218" s="90" t="s">
        <v>1029</v>
      </c>
      <c r="D218" s="90" t="s">
        <v>1030</v>
      </c>
      <c r="E218" s="90">
        <v>12550</v>
      </c>
    </row>
    <row r="219" spans="1:5" x14ac:dyDescent="0.2">
      <c r="A219" s="249">
        <v>42582</v>
      </c>
      <c r="B219" s="90" t="s">
        <v>1028</v>
      </c>
      <c r="C219" s="90" t="s">
        <v>1031</v>
      </c>
      <c r="D219" s="90" t="s">
        <v>1032</v>
      </c>
      <c r="E219" s="90">
        <v>7283</v>
      </c>
    </row>
    <row r="220" spans="1:5" x14ac:dyDescent="0.2">
      <c r="A220" s="249">
        <v>42582</v>
      </c>
      <c r="B220" s="90" t="s">
        <v>1028</v>
      </c>
      <c r="C220" s="90" t="s">
        <v>1033</v>
      </c>
      <c r="D220" s="90" t="s">
        <v>1032</v>
      </c>
      <c r="E220" s="90">
        <v>9711</v>
      </c>
    </row>
    <row r="221" spans="1:5" x14ac:dyDescent="0.2">
      <c r="A221" s="249">
        <v>42582</v>
      </c>
      <c r="B221" s="90" t="s">
        <v>1028</v>
      </c>
      <c r="C221" s="90" t="s">
        <v>1034</v>
      </c>
      <c r="D221" s="90" t="s">
        <v>1030</v>
      </c>
      <c r="E221" s="90">
        <v>18825</v>
      </c>
    </row>
    <row r="222" spans="1:5" x14ac:dyDescent="0.2">
      <c r="A222" s="249">
        <v>42582</v>
      </c>
      <c r="B222" s="90" t="s">
        <v>1028</v>
      </c>
      <c r="C222" s="90" t="s">
        <v>1035</v>
      </c>
      <c r="D222" s="90" t="s">
        <v>1032</v>
      </c>
      <c r="E222" s="90">
        <v>2428</v>
      </c>
    </row>
    <row r="223" spans="1:5" x14ac:dyDescent="0.2">
      <c r="A223" s="249">
        <v>42582</v>
      </c>
      <c r="B223" s="90" t="s">
        <v>1028</v>
      </c>
      <c r="C223" s="90" t="s">
        <v>1036</v>
      </c>
      <c r="D223" s="90" t="s">
        <v>1037</v>
      </c>
      <c r="E223" s="90">
        <v>25087</v>
      </c>
    </row>
    <row r="224" spans="1:5" x14ac:dyDescent="0.2">
      <c r="A224" s="249">
        <v>42582</v>
      </c>
      <c r="B224" s="90" t="s">
        <v>1028</v>
      </c>
      <c r="C224" s="90" t="s">
        <v>1038</v>
      </c>
      <c r="D224" s="90" t="s">
        <v>1030</v>
      </c>
      <c r="E224" s="90">
        <v>5379</v>
      </c>
    </row>
    <row r="225" spans="1:5" x14ac:dyDescent="0.2">
      <c r="A225" s="249">
        <v>42582</v>
      </c>
      <c r="B225" s="90" t="s">
        <v>1028</v>
      </c>
      <c r="C225" s="90" t="s">
        <v>1039</v>
      </c>
      <c r="D225" s="90" t="s">
        <v>1032</v>
      </c>
      <c r="E225" s="90">
        <v>15538</v>
      </c>
    </row>
    <row r="226" spans="1:5" x14ac:dyDescent="0.2">
      <c r="A226" s="249">
        <v>42582</v>
      </c>
      <c r="B226" s="90" t="s">
        <v>1028</v>
      </c>
      <c r="C226" s="90" t="s">
        <v>1040</v>
      </c>
      <c r="D226" s="90" t="s">
        <v>1030</v>
      </c>
      <c r="E226" s="90">
        <v>21514</v>
      </c>
    </row>
    <row r="227" spans="1:5" x14ac:dyDescent="0.2">
      <c r="A227" s="249">
        <v>42582</v>
      </c>
      <c r="B227" s="90" t="s">
        <v>1028</v>
      </c>
      <c r="C227" s="90" t="s">
        <v>1041</v>
      </c>
      <c r="D227" s="90" t="s">
        <v>1037</v>
      </c>
      <c r="E227" s="90">
        <v>16725</v>
      </c>
    </row>
    <row r="228" spans="1:5" x14ac:dyDescent="0.2">
      <c r="A228" s="249">
        <v>42582</v>
      </c>
      <c r="B228" s="90" t="s">
        <v>1028</v>
      </c>
      <c r="C228" s="90" t="s">
        <v>1042</v>
      </c>
      <c r="D228" s="90" t="s">
        <v>1037</v>
      </c>
      <c r="E228" s="90">
        <v>33450</v>
      </c>
    </row>
    <row r="229" spans="1:5" x14ac:dyDescent="0.2">
      <c r="A229" s="249">
        <v>42582</v>
      </c>
      <c r="B229" s="90" t="s">
        <v>1028</v>
      </c>
      <c r="C229" s="90" t="s">
        <v>1043</v>
      </c>
      <c r="D229" s="90" t="s">
        <v>1032</v>
      </c>
      <c r="E229" s="90">
        <v>13596</v>
      </c>
    </row>
    <row r="230" spans="1:5" x14ac:dyDescent="0.2">
      <c r="A230" s="249">
        <v>42582</v>
      </c>
      <c r="B230" s="90" t="s">
        <v>1044</v>
      </c>
      <c r="C230" s="90" t="s">
        <v>1029</v>
      </c>
      <c r="D230" s="90" t="s">
        <v>1030</v>
      </c>
      <c r="E230" s="90">
        <v>15269</v>
      </c>
    </row>
    <row r="231" spans="1:5" x14ac:dyDescent="0.2">
      <c r="A231" s="249">
        <v>42582</v>
      </c>
      <c r="B231" s="90" t="s">
        <v>1044</v>
      </c>
      <c r="C231" s="90" t="s">
        <v>1031</v>
      </c>
      <c r="D231" s="90" t="s">
        <v>1032</v>
      </c>
      <c r="E231" s="90">
        <v>8862</v>
      </c>
    </row>
    <row r="232" spans="1:5" x14ac:dyDescent="0.2">
      <c r="A232" s="249">
        <v>42582</v>
      </c>
      <c r="B232" s="90" t="s">
        <v>1044</v>
      </c>
      <c r="C232" s="90" t="s">
        <v>1033</v>
      </c>
      <c r="D232" s="90" t="s">
        <v>1032</v>
      </c>
      <c r="E232" s="90">
        <v>11816</v>
      </c>
    </row>
    <row r="233" spans="1:5" x14ac:dyDescent="0.2">
      <c r="A233" s="249">
        <v>42582</v>
      </c>
      <c r="B233" s="90" t="s">
        <v>1044</v>
      </c>
      <c r="C233" s="90" t="s">
        <v>1034</v>
      </c>
      <c r="D233" s="90" t="s">
        <v>1030</v>
      </c>
      <c r="E233" s="90">
        <v>22904</v>
      </c>
    </row>
    <row r="234" spans="1:5" x14ac:dyDescent="0.2">
      <c r="A234" s="249">
        <v>42582</v>
      </c>
      <c r="B234" s="90" t="s">
        <v>1044</v>
      </c>
      <c r="C234" s="90" t="s">
        <v>1035</v>
      </c>
      <c r="D234" s="90" t="s">
        <v>1032</v>
      </c>
      <c r="E234" s="90">
        <v>2954</v>
      </c>
    </row>
    <row r="235" spans="1:5" x14ac:dyDescent="0.2">
      <c r="A235" s="249">
        <v>42582</v>
      </c>
      <c r="B235" s="90" t="s">
        <v>1044</v>
      </c>
      <c r="C235" s="90" t="s">
        <v>1036</v>
      </c>
      <c r="D235" s="90" t="s">
        <v>1037</v>
      </c>
      <c r="E235" s="90">
        <v>30524</v>
      </c>
    </row>
    <row r="236" spans="1:5" x14ac:dyDescent="0.2">
      <c r="A236" s="249">
        <v>42582</v>
      </c>
      <c r="B236" s="90" t="s">
        <v>1044</v>
      </c>
      <c r="C236" s="90" t="s">
        <v>1038</v>
      </c>
      <c r="D236" s="90" t="s">
        <v>1030</v>
      </c>
      <c r="E236" s="90">
        <v>6544</v>
      </c>
    </row>
    <row r="237" spans="1:5" x14ac:dyDescent="0.2">
      <c r="A237" s="249">
        <v>42582</v>
      </c>
      <c r="B237" s="90" t="s">
        <v>1044</v>
      </c>
      <c r="C237" s="90" t="s">
        <v>1039</v>
      </c>
      <c r="D237" s="90" t="s">
        <v>1032</v>
      </c>
      <c r="E237" s="90">
        <v>18905</v>
      </c>
    </row>
    <row r="238" spans="1:5" x14ac:dyDescent="0.2">
      <c r="A238" s="249">
        <v>42582</v>
      </c>
      <c r="B238" s="90" t="s">
        <v>1044</v>
      </c>
      <c r="C238" s="90" t="s">
        <v>1040</v>
      </c>
      <c r="D238" s="90" t="s">
        <v>1030</v>
      </c>
      <c r="E238" s="90">
        <v>26176</v>
      </c>
    </row>
    <row r="239" spans="1:5" x14ac:dyDescent="0.2">
      <c r="A239" s="249">
        <v>42582</v>
      </c>
      <c r="B239" s="90" t="s">
        <v>1044</v>
      </c>
      <c r="C239" s="90" t="s">
        <v>1041</v>
      </c>
      <c r="D239" s="90" t="s">
        <v>1037</v>
      </c>
      <c r="E239" s="90">
        <v>20349</v>
      </c>
    </row>
    <row r="240" spans="1:5" x14ac:dyDescent="0.2">
      <c r="A240" s="249">
        <v>42582</v>
      </c>
      <c r="B240" s="90" t="s">
        <v>1044</v>
      </c>
      <c r="C240" s="90" t="s">
        <v>1042</v>
      </c>
      <c r="D240" s="90" t="s">
        <v>1037</v>
      </c>
      <c r="E240" s="90">
        <v>40698</v>
      </c>
    </row>
    <row r="241" spans="1:5" x14ac:dyDescent="0.2">
      <c r="A241" s="249">
        <v>42582</v>
      </c>
      <c r="B241" s="90" t="s">
        <v>1044</v>
      </c>
      <c r="C241" s="90" t="s">
        <v>1043</v>
      </c>
      <c r="D241" s="90" t="s">
        <v>1032</v>
      </c>
      <c r="E241" s="90">
        <v>16542</v>
      </c>
    </row>
    <row r="242" spans="1:5" x14ac:dyDescent="0.2">
      <c r="A242" s="249">
        <v>42582</v>
      </c>
      <c r="B242" s="90" t="s">
        <v>1045</v>
      </c>
      <c r="C242" s="90" t="s">
        <v>1029</v>
      </c>
      <c r="D242" s="90" t="s">
        <v>1030</v>
      </c>
      <c r="E242" s="90">
        <v>13680</v>
      </c>
    </row>
    <row r="243" spans="1:5" x14ac:dyDescent="0.2">
      <c r="A243" s="249">
        <v>42582</v>
      </c>
      <c r="B243" s="90" t="s">
        <v>1045</v>
      </c>
      <c r="C243" s="90" t="s">
        <v>1031</v>
      </c>
      <c r="D243" s="90" t="s">
        <v>1032</v>
      </c>
      <c r="E243" s="90">
        <v>7939</v>
      </c>
    </row>
    <row r="244" spans="1:5" x14ac:dyDescent="0.2">
      <c r="A244" s="249">
        <v>42582</v>
      </c>
      <c r="B244" s="90" t="s">
        <v>1045</v>
      </c>
      <c r="C244" s="90" t="s">
        <v>1033</v>
      </c>
      <c r="D244" s="90" t="s">
        <v>1032</v>
      </c>
      <c r="E244" s="90">
        <v>10585</v>
      </c>
    </row>
    <row r="245" spans="1:5" x14ac:dyDescent="0.2">
      <c r="A245" s="249">
        <v>42582</v>
      </c>
      <c r="B245" s="90" t="s">
        <v>1045</v>
      </c>
      <c r="C245" s="90" t="s">
        <v>1034</v>
      </c>
      <c r="D245" s="90" t="s">
        <v>1030</v>
      </c>
      <c r="E245" s="90">
        <v>20519</v>
      </c>
    </row>
    <row r="246" spans="1:5" x14ac:dyDescent="0.2">
      <c r="A246" s="249">
        <v>42582</v>
      </c>
      <c r="B246" s="90" t="s">
        <v>1045</v>
      </c>
      <c r="C246" s="90" t="s">
        <v>1035</v>
      </c>
      <c r="D246" s="90" t="s">
        <v>1032</v>
      </c>
      <c r="E246" s="90">
        <v>2646</v>
      </c>
    </row>
    <row r="247" spans="1:5" x14ac:dyDescent="0.2">
      <c r="A247" s="249">
        <v>42582</v>
      </c>
      <c r="B247" s="90" t="s">
        <v>1045</v>
      </c>
      <c r="C247" s="90" t="s">
        <v>1036</v>
      </c>
      <c r="D247" s="90" t="s">
        <v>1037</v>
      </c>
      <c r="E247" s="90">
        <v>27345</v>
      </c>
    </row>
    <row r="248" spans="1:5" x14ac:dyDescent="0.2">
      <c r="A248" s="249">
        <v>42582</v>
      </c>
      <c r="B248" s="90" t="s">
        <v>1045</v>
      </c>
      <c r="C248" s="90" t="s">
        <v>1038</v>
      </c>
      <c r="D248" s="90" t="s">
        <v>1030</v>
      </c>
      <c r="E248" s="90">
        <v>5863</v>
      </c>
    </row>
    <row r="249" spans="1:5" x14ac:dyDescent="0.2">
      <c r="A249" s="249">
        <v>42582</v>
      </c>
      <c r="B249" s="90" t="s">
        <v>1045</v>
      </c>
      <c r="C249" s="90" t="s">
        <v>1039</v>
      </c>
      <c r="D249" s="90" t="s">
        <v>1032</v>
      </c>
      <c r="E249" s="90">
        <v>16937</v>
      </c>
    </row>
    <row r="250" spans="1:5" x14ac:dyDescent="0.2">
      <c r="A250" s="249">
        <v>42582</v>
      </c>
      <c r="B250" s="90" t="s">
        <v>1045</v>
      </c>
      <c r="C250" s="90" t="s">
        <v>1040</v>
      </c>
      <c r="D250" s="90" t="s">
        <v>1030</v>
      </c>
      <c r="E250" s="90">
        <v>23451</v>
      </c>
    </row>
    <row r="251" spans="1:5" x14ac:dyDescent="0.2">
      <c r="A251" s="249">
        <v>42582</v>
      </c>
      <c r="B251" s="90" t="s">
        <v>1045</v>
      </c>
      <c r="C251" s="90" t="s">
        <v>1041</v>
      </c>
      <c r="D251" s="90" t="s">
        <v>1037</v>
      </c>
      <c r="E251" s="90">
        <v>18230</v>
      </c>
    </row>
    <row r="252" spans="1:5" x14ac:dyDescent="0.2">
      <c r="A252" s="249">
        <v>42582</v>
      </c>
      <c r="B252" s="90" t="s">
        <v>1045</v>
      </c>
      <c r="C252" s="90" t="s">
        <v>1042</v>
      </c>
      <c r="D252" s="90" t="s">
        <v>1037</v>
      </c>
      <c r="E252" s="90">
        <v>36461</v>
      </c>
    </row>
    <row r="253" spans="1:5" x14ac:dyDescent="0.2">
      <c r="A253" s="249">
        <v>42582</v>
      </c>
      <c r="B253" s="90" t="s">
        <v>1045</v>
      </c>
      <c r="C253" s="90" t="s">
        <v>1043</v>
      </c>
      <c r="D253" s="90" t="s">
        <v>1032</v>
      </c>
      <c r="E253" s="90">
        <v>14819</v>
      </c>
    </row>
    <row r="254" spans="1:5" x14ac:dyDescent="0.2">
      <c r="A254" s="249">
        <v>42613</v>
      </c>
      <c r="B254" s="90" t="s">
        <v>1028</v>
      </c>
      <c r="C254" s="90" t="s">
        <v>1029</v>
      </c>
      <c r="D254" s="90" t="s">
        <v>1030</v>
      </c>
      <c r="E254" s="90">
        <v>13873</v>
      </c>
    </row>
    <row r="255" spans="1:5" x14ac:dyDescent="0.2">
      <c r="A255" s="249">
        <v>42613</v>
      </c>
      <c r="B255" s="90" t="s">
        <v>1028</v>
      </c>
      <c r="C255" s="90" t="s">
        <v>1031</v>
      </c>
      <c r="D255" s="90" t="s">
        <v>1032</v>
      </c>
      <c r="E255" s="90">
        <v>8051</v>
      </c>
    </row>
    <row r="256" spans="1:5" x14ac:dyDescent="0.2">
      <c r="A256" s="249">
        <v>42613</v>
      </c>
      <c r="B256" s="90" t="s">
        <v>1028</v>
      </c>
      <c r="C256" s="90" t="s">
        <v>1033</v>
      </c>
      <c r="D256" s="90" t="s">
        <v>1032</v>
      </c>
      <c r="E256" s="90">
        <v>10735</v>
      </c>
    </row>
    <row r="257" spans="1:5" x14ac:dyDescent="0.2">
      <c r="A257" s="249">
        <v>42613</v>
      </c>
      <c r="B257" s="90" t="s">
        <v>1028</v>
      </c>
      <c r="C257" s="90" t="s">
        <v>1034</v>
      </c>
      <c r="D257" s="90" t="s">
        <v>1030</v>
      </c>
      <c r="E257" s="90">
        <v>20809</v>
      </c>
    </row>
    <row r="258" spans="1:5" x14ac:dyDescent="0.2">
      <c r="A258" s="249">
        <v>42613</v>
      </c>
      <c r="B258" s="90" t="s">
        <v>1028</v>
      </c>
      <c r="C258" s="90" t="s">
        <v>1035</v>
      </c>
      <c r="D258" s="90" t="s">
        <v>1032</v>
      </c>
      <c r="E258" s="90">
        <v>2684</v>
      </c>
    </row>
    <row r="259" spans="1:5" x14ac:dyDescent="0.2">
      <c r="A259" s="249">
        <v>42613</v>
      </c>
      <c r="B259" s="90" t="s">
        <v>1028</v>
      </c>
      <c r="C259" s="90" t="s">
        <v>1036</v>
      </c>
      <c r="D259" s="90" t="s">
        <v>1037</v>
      </c>
      <c r="E259" s="90">
        <v>27732</v>
      </c>
    </row>
    <row r="260" spans="1:5" x14ac:dyDescent="0.2">
      <c r="A260" s="249">
        <v>42613</v>
      </c>
      <c r="B260" s="90" t="s">
        <v>1028</v>
      </c>
      <c r="C260" s="90" t="s">
        <v>1038</v>
      </c>
      <c r="D260" s="90" t="s">
        <v>1030</v>
      </c>
      <c r="E260" s="90">
        <v>5946</v>
      </c>
    </row>
    <row r="261" spans="1:5" x14ac:dyDescent="0.2">
      <c r="A261" s="249">
        <v>42613</v>
      </c>
      <c r="B261" s="90" t="s">
        <v>1028</v>
      </c>
      <c r="C261" s="90" t="s">
        <v>1039</v>
      </c>
      <c r="D261" s="90" t="s">
        <v>1032</v>
      </c>
      <c r="E261" s="90">
        <v>17176</v>
      </c>
    </row>
    <row r="262" spans="1:5" x14ac:dyDescent="0.2">
      <c r="A262" s="249">
        <v>42613</v>
      </c>
      <c r="B262" s="90" t="s">
        <v>1028</v>
      </c>
      <c r="C262" s="90" t="s">
        <v>1040</v>
      </c>
      <c r="D262" s="90" t="s">
        <v>1030</v>
      </c>
      <c r="E262" s="90">
        <v>23782</v>
      </c>
    </row>
    <row r="263" spans="1:5" x14ac:dyDescent="0.2">
      <c r="A263" s="249">
        <v>42613</v>
      </c>
      <c r="B263" s="90" t="s">
        <v>1028</v>
      </c>
      <c r="C263" s="90" t="s">
        <v>1041</v>
      </c>
      <c r="D263" s="90" t="s">
        <v>1037</v>
      </c>
      <c r="E263" s="90">
        <v>18488</v>
      </c>
    </row>
    <row r="264" spans="1:5" x14ac:dyDescent="0.2">
      <c r="A264" s="249">
        <v>42613</v>
      </c>
      <c r="B264" s="90" t="s">
        <v>1028</v>
      </c>
      <c r="C264" s="90" t="s">
        <v>1042</v>
      </c>
      <c r="D264" s="90" t="s">
        <v>1037</v>
      </c>
      <c r="E264" s="90">
        <v>36976</v>
      </c>
    </row>
    <row r="265" spans="1:5" x14ac:dyDescent="0.2">
      <c r="A265" s="249">
        <v>42613</v>
      </c>
      <c r="B265" s="90" t="s">
        <v>1028</v>
      </c>
      <c r="C265" s="90" t="s">
        <v>1043</v>
      </c>
      <c r="D265" s="90" t="s">
        <v>1032</v>
      </c>
      <c r="E265" s="90">
        <v>15029</v>
      </c>
    </row>
    <row r="266" spans="1:5" x14ac:dyDescent="0.2">
      <c r="A266" s="249">
        <v>42613</v>
      </c>
      <c r="B266" s="90" t="s">
        <v>1044</v>
      </c>
      <c r="C266" s="90" t="s">
        <v>1029</v>
      </c>
      <c r="D266" s="90" t="s">
        <v>1030</v>
      </c>
      <c r="E266" s="90">
        <v>16476</v>
      </c>
    </row>
    <row r="267" spans="1:5" x14ac:dyDescent="0.2">
      <c r="A267" s="249">
        <v>42613</v>
      </c>
      <c r="B267" s="90" t="s">
        <v>1044</v>
      </c>
      <c r="C267" s="90" t="s">
        <v>1031</v>
      </c>
      <c r="D267" s="90" t="s">
        <v>1032</v>
      </c>
      <c r="E267" s="90">
        <v>9562</v>
      </c>
    </row>
    <row r="268" spans="1:5" x14ac:dyDescent="0.2">
      <c r="A268" s="249">
        <v>42613</v>
      </c>
      <c r="B268" s="90" t="s">
        <v>1044</v>
      </c>
      <c r="C268" s="90" t="s">
        <v>1033</v>
      </c>
      <c r="D268" s="90" t="s">
        <v>1032</v>
      </c>
      <c r="E268" s="90">
        <v>12749</v>
      </c>
    </row>
    <row r="269" spans="1:5" x14ac:dyDescent="0.2">
      <c r="A269" s="249">
        <v>42613</v>
      </c>
      <c r="B269" s="90" t="s">
        <v>1044</v>
      </c>
      <c r="C269" s="90" t="s">
        <v>1034</v>
      </c>
      <c r="D269" s="90" t="s">
        <v>1030</v>
      </c>
      <c r="E269" s="90">
        <v>24713</v>
      </c>
    </row>
    <row r="270" spans="1:5" x14ac:dyDescent="0.2">
      <c r="A270" s="249">
        <v>42613</v>
      </c>
      <c r="B270" s="90" t="s">
        <v>1044</v>
      </c>
      <c r="C270" s="90" t="s">
        <v>1035</v>
      </c>
      <c r="D270" s="90" t="s">
        <v>1032</v>
      </c>
      <c r="E270" s="90">
        <v>3187</v>
      </c>
    </row>
    <row r="271" spans="1:5" x14ac:dyDescent="0.2">
      <c r="A271" s="249">
        <v>42613</v>
      </c>
      <c r="B271" s="90" t="s">
        <v>1044</v>
      </c>
      <c r="C271" s="90" t="s">
        <v>1036</v>
      </c>
      <c r="D271" s="90" t="s">
        <v>1037</v>
      </c>
      <c r="E271" s="90">
        <v>32935</v>
      </c>
    </row>
    <row r="272" spans="1:5" x14ac:dyDescent="0.2">
      <c r="A272" s="249">
        <v>42613</v>
      </c>
      <c r="B272" s="90" t="s">
        <v>1044</v>
      </c>
      <c r="C272" s="90" t="s">
        <v>1038</v>
      </c>
      <c r="D272" s="90" t="s">
        <v>1030</v>
      </c>
      <c r="E272" s="90">
        <v>7061</v>
      </c>
    </row>
    <row r="273" spans="1:5" x14ac:dyDescent="0.2">
      <c r="A273" s="249">
        <v>42613</v>
      </c>
      <c r="B273" s="90" t="s">
        <v>1044</v>
      </c>
      <c r="C273" s="90" t="s">
        <v>1039</v>
      </c>
      <c r="D273" s="90" t="s">
        <v>1032</v>
      </c>
      <c r="E273" s="90">
        <v>20398</v>
      </c>
    </row>
    <row r="274" spans="1:5" x14ac:dyDescent="0.2">
      <c r="A274" s="249">
        <v>42613</v>
      </c>
      <c r="B274" s="90" t="s">
        <v>1044</v>
      </c>
      <c r="C274" s="90" t="s">
        <v>1040</v>
      </c>
      <c r="D274" s="90" t="s">
        <v>1030</v>
      </c>
      <c r="E274" s="90">
        <v>28244</v>
      </c>
    </row>
    <row r="275" spans="1:5" x14ac:dyDescent="0.2">
      <c r="A275" s="249">
        <v>42613</v>
      </c>
      <c r="B275" s="90" t="s">
        <v>1044</v>
      </c>
      <c r="C275" s="90" t="s">
        <v>1041</v>
      </c>
      <c r="D275" s="90" t="s">
        <v>1037</v>
      </c>
      <c r="E275" s="90">
        <v>21957</v>
      </c>
    </row>
    <row r="276" spans="1:5" x14ac:dyDescent="0.2">
      <c r="A276" s="249">
        <v>42613</v>
      </c>
      <c r="B276" s="90" t="s">
        <v>1044</v>
      </c>
      <c r="C276" s="90" t="s">
        <v>1042</v>
      </c>
      <c r="D276" s="90" t="s">
        <v>1037</v>
      </c>
      <c r="E276" s="90">
        <v>43913</v>
      </c>
    </row>
    <row r="277" spans="1:5" x14ac:dyDescent="0.2">
      <c r="A277" s="249">
        <v>42613</v>
      </c>
      <c r="B277" s="90" t="s">
        <v>1044</v>
      </c>
      <c r="C277" s="90" t="s">
        <v>1043</v>
      </c>
      <c r="D277" s="90" t="s">
        <v>1032</v>
      </c>
      <c r="E277" s="90">
        <v>17849</v>
      </c>
    </row>
    <row r="278" spans="1:5" x14ac:dyDescent="0.2">
      <c r="A278" s="249">
        <v>42613</v>
      </c>
      <c r="B278" s="90" t="s">
        <v>1045</v>
      </c>
      <c r="C278" s="90" t="s">
        <v>1029</v>
      </c>
      <c r="D278" s="90" t="s">
        <v>1030</v>
      </c>
      <c r="E278" s="90">
        <v>11707</v>
      </c>
    </row>
    <row r="279" spans="1:5" x14ac:dyDescent="0.2">
      <c r="A279" s="249">
        <v>42613</v>
      </c>
      <c r="B279" s="90" t="s">
        <v>1045</v>
      </c>
      <c r="C279" s="90" t="s">
        <v>1031</v>
      </c>
      <c r="D279" s="90" t="s">
        <v>1032</v>
      </c>
      <c r="E279" s="90">
        <v>6794</v>
      </c>
    </row>
    <row r="280" spans="1:5" x14ac:dyDescent="0.2">
      <c r="A280" s="249">
        <v>42613</v>
      </c>
      <c r="B280" s="90" t="s">
        <v>1045</v>
      </c>
      <c r="C280" s="90" t="s">
        <v>1033</v>
      </c>
      <c r="D280" s="90" t="s">
        <v>1032</v>
      </c>
      <c r="E280" s="90">
        <v>9059</v>
      </c>
    </row>
    <row r="281" spans="1:5" x14ac:dyDescent="0.2">
      <c r="A281" s="249">
        <v>42613</v>
      </c>
      <c r="B281" s="90" t="s">
        <v>1045</v>
      </c>
      <c r="C281" s="90" t="s">
        <v>1034</v>
      </c>
      <c r="D281" s="90" t="s">
        <v>1030</v>
      </c>
      <c r="E281" s="90">
        <v>17560</v>
      </c>
    </row>
    <row r="282" spans="1:5" x14ac:dyDescent="0.2">
      <c r="A282" s="249">
        <v>42613</v>
      </c>
      <c r="B282" s="90" t="s">
        <v>1045</v>
      </c>
      <c r="C282" s="90" t="s">
        <v>1035</v>
      </c>
      <c r="D282" s="90" t="s">
        <v>1032</v>
      </c>
      <c r="E282" s="90">
        <v>2265</v>
      </c>
    </row>
    <row r="283" spans="1:5" x14ac:dyDescent="0.2">
      <c r="A283" s="249">
        <v>42613</v>
      </c>
      <c r="B283" s="90" t="s">
        <v>1045</v>
      </c>
      <c r="C283" s="90" t="s">
        <v>1036</v>
      </c>
      <c r="D283" s="90" t="s">
        <v>1037</v>
      </c>
      <c r="E283" s="90">
        <v>23402</v>
      </c>
    </row>
    <row r="284" spans="1:5" x14ac:dyDescent="0.2">
      <c r="A284" s="249">
        <v>42613</v>
      </c>
      <c r="B284" s="90" t="s">
        <v>1045</v>
      </c>
      <c r="C284" s="90" t="s">
        <v>1038</v>
      </c>
      <c r="D284" s="90" t="s">
        <v>1030</v>
      </c>
      <c r="E284" s="90">
        <v>5017</v>
      </c>
    </row>
    <row r="285" spans="1:5" x14ac:dyDescent="0.2">
      <c r="A285" s="249">
        <v>42613</v>
      </c>
      <c r="B285" s="90" t="s">
        <v>1045</v>
      </c>
      <c r="C285" s="90" t="s">
        <v>1039</v>
      </c>
      <c r="D285" s="90" t="s">
        <v>1032</v>
      </c>
      <c r="E285" s="90">
        <v>14494</v>
      </c>
    </row>
    <row r="286" spans="1:5" x14ac:dyDescent="0.2">
      <c r="A286" s="249">
        <v>42613</v>
      </c>
      <c r="B286" s="90" t="s">
        <v>1045</v>
      </c>
      <c r="C286" s="90" t="s">
        <v>1040</v>
      </c>
      <c r="D286" s="90" t="s">
        <v>1030</v>
      </c>
      <c r="E286" s="90">
        <v>20069</v>
      </c>
    </row>
    <row r="287" spans="1:5" x14ac:dyDescent="0.2">
      <c r="A287" s="249">
        <v>42613</v>
      </c>
      <c r="B287" s="90" t="s">
        <v>1045</v>
      </c>
      <c r="C287" s="90" t="s">
        <v>1041</v>
      </c>
      <c r="D287" s="90" t="s">
        <v>1037</v>
      </c>
      <c r="E287" s="90">
        <v>15601</v>
      </c>
    </row>
    <row r="288" spans="1:5" x14ac:dyDescent="0.2">
      <c r="A288" s="249">
        <v>42613</v>
      </c>
      <c r="B288" s="90" t="s">
        <v>1045</v>
      </c>
      <c r="C288" s="90" t="s">
        <v>1042</v>
      </c>
      <c r="D288" s="90" t="s">
        <v>1037</v>
      </c>
      <c r="E288" s="90">
        <v>31202</v>
      </c>
    </row>
    <row r="289" spans="1:5" x14ac:dyDescent="0.2">
      <c r="A289" s="249">
        <v>42613</v>
      </c>
      <c r="B289" s="90" t="s">
        <v>1045</v>
      </c>
      <c r="C289" s="90" t="s">
        <v>1043</v>
      </c>
      <c r="D289" s="90" t="s">
        <v>1032</v>
      </c>
      <c r="E289" s="90">
        <v>12682</v>
      </c>
    </row>
    <row r="290" spans="1:5" x14ac:dyDescent="0.2">
      <c r="A290" s="249">
        <v>42643</v>
      </c>
      <c r="B290" s="90" t="s">
        <v>1028</v>
      </c>
      <c r="C290" s="90" t="s">
        <v>1029</v>
      </c>
      <c r="D290" s="90" t="s">
        <v>1030</v>
      </c>
      <c r="E290" s="90">
        <v>13920</v>
      </c>
    </row>
    <row r="291" spans="1:5" x14ac:dyDescent="0.2">
      <c r="A291" s="249">
        <v>42643</v>
      </c>
      <c r="B291" s="90" t="s">
        <v>1028</v>
      </c>
      <c r="C291" s="90" t="s">
        <v>1031</v>
      </c>
      <c r="D291" s="90" t="s">
        <v>1032</v>
      </c>
      <c r="E291" s="90">
        <v>8078</v>
      </c>
    </row>
    <row r="292" spans="1:5" x14ac:dyDescent="0.2">
      <c r="A292" s="249">
        <v>42643</v>
      </c>
      <c r="B292" s="90" t="s">
        <v>1028</v>
      </c>
      <c r="C292" s="90" t="s">
        <v>1033</v>
      </c>
      <c r="D292" s="90" t="s">
        <v>1032</v>
      </c>
      <c r="E292" s="90">
        <v>10771</v>
      </c>
    </row>
    <row r="293" spans="1:5" x14ac:dyDescent="0.2">
      <c r="A293" s="249">
        <v>42643</v>
      </c>
      <c r="B293" s="90" t="s">
        <v>1028</v>
      </c>
      <c r="C293" s="90" t="s">
        <v>1034</v>
      </c>
      <c r="D293" s="90" t="s">
        <v>1030</v>
      </c>
      <c r="E293" s="90">
        <v>20880</v>
      </c>
    </row>
    <row r="294" spans="1:5" x14ac:dyDescent="0.2">
      <c r="A294" s="249">
        <v>42643</v>
      </c>
      <c r="B294" s="90" t="s">
        <v>1028</v>
      </c>
      <c r="C294" s="90" t="s">
        <v>1035</v>
      </c>
      <c r="D294" s="90" t="s">
        <v>1032</v>
      </c>
      <c r="E294" s="90">
        <v>2693</v>
      </c>
    </row>
    <row r="295" spans="1:5" x14ac:dyDescent="0.2">
      <c r="A295" s="249">
        <v>42643</v>
      </c>
      <c r="B295" s="90" t="s">
        <v>1028</v>
      </c>
      <c r="C295" s="90" t="s">
        <v>1036</v>
      </c>
      <c r="D295" s="90" t="s">
        <v>1037</v>
      </c>
      <c r="E295" s="90">
        <v>27826</v>
      </c>
    </row>
    <row r="296" spans="1:5" x14ac:dyDescent="0.2">
      <c r="A296" s="249">
        <v>42643</v>
      </c>
      <c r="B296" s="90" t="s">
        <v>1028</v>
      </c>
      <c r="C296" s="90" t="s">
        <v>1038</v>
      </c>
      <c r="D296" s="90" t="s">
        <v>1030</v>
      </c>
      <c r="E296" s="90">
        <v>5966</v>
      </c>
    </row>
    <row r="297" spans="1:5" x14ac:dyDescent="0.2">
      <c r="A297" s="249">
        <v>42643</v>
      </c>
      <c r="B297" s="90" t="s">
        <v>1028</v>
      </c>
      <c r="C297" s="90" t="s">
        <v>1039</v>
      </c>
      <c r="D297" s="90" t="s">
        <v>1032</v>
      </c>
      <c r="E297" s="90">
        <v>17234</v>
      </c>
    </row>
    <row r="298" spans="1:5" x14ac:dyDescent="0.2">
      <c r="A298" s="249">
        <v>42643</v>
      </c>
      <c r="B298" s="90" t="s">
        <v>1028</v>
      </c>
      <c r="C298" s="90" t="s">
        <v>1040</v>
      </c>
      <c r="D298" s="90" t="s">
        <v>1030</v>
      </c>
      <c r="E298" s="90">
        <v>23862</v>
      </c>
    </row>
    <row r="299" spans="1:5" x14ac:dyDescent="0.2">
      <c r="A299" s="249">
        <v>42643</v>
      </c>
      <c r="B299" s="90" t="s">
        <v>1028</v>
      </c>
      <c r="C299" s="90" t="s">
        <v>1041</v>
      </c>
      <c r="D299" s="90" t="s">
        <v>1037</v>
      </c>
      <c r="E299" s="90">
        <v>18550</v>
      </c>
    </row>
    <row r="300" spans="1:5" x14ac:dyDescent="0.2">
      <c r="A300" s="249">
        <v>42643</v>
      </c>
      <c r="B300" s="90" t="s">
        <v>1028</v>
      </c>
      <c r="C300" s="90" t="s">
        <v>1042</v>
      </c>
      <c r="D300" s="90" t="s">
        <v>1037</v>
      </c>
      <c r="E300" s="90">
        <v>37101</v>
      </c>
    </row>
    <row r="301" spans="1:5" x14ac:dyDescent="0.2">
      <c r="A301" s="249">
        <v>42643</v>
      </c>
      <c r="B301" s="90" t="s">
        <v>1028</v>
      </c>
      <c r="C301" s="90" t="s">
        <v>1043</v>
      </c>
      <c r="D301" s="90" t="s">
        <v>1032</v>
      </c>
      <c r="E301" s="90">
        <v>15080</v>
      </c>
    </row>
    <row r="302" spans="1:5" x14ac:dyDescent="0.2">
      <c r="A302" s="249">
        <v>42643</v>
      </c>
      <c r="B302" s="90" t="s">
        <v>1044</v>
      </c>
      <c r="C302" s="90" t="s">
        <v>1029</v>
      </c>
      <c r="D302" s="90" t="s">
        <v>1030</v>
      </c>
      <c r="E302" s="90">
        <v>12119</v>
      </c>
    </row>
    <row r="303" spans="1:5" x14ac:dyDescent="0.2">
      <c r="A303" s="249">
        <v>42643</v>
      </c>
      <c r="B303" s="90" t="s">
        <v>1044</v>
      </c>
      <c r="C303" s="90" t="s">
        <v>1031</v>
      </c>
      <c r="D303" s="90" t="s">
        <v>1032</v>
      </c>
      <c r="E303" s="90">
        <v>7034</v>
      </c>
    </row>
    <row r="304" spans="1:5" x14ac:dyDescent="0.2">
      <c r="A304" s="249">
        <v>42643</v>
      </c>
      <c r="B304" s="90" t="s">
        <v>1044</v>
      </c>
      <c r="C304" s="90" t="s">
        <v>1033</v>
      </c>
      <c r="D304" s="90" t="s">
        <v>1032</v>
      </c>
      <c r="E304" s="90">
        <v>9378</v>
      </c>
    </row>
    <row r="305" spans="1:5" x14ac:dyDescent="0.2">
      <c r="A305" s="249">
        <v>42643</v>
      </c>
      <c r="B305" s="90" t="s">
        <v>1044</v>
      </c>
      <c r="C305" s="90" t="s">
        <v>1034</v>
      </c>
      <c r="D305" s="90" t="s">
        <v>1030</v>
      </c>
      <c r="E305" s="90">
        <v>18179</v>
      </c>
    </row>
    <row r="306" spans="1:5" x14ac:dyDescent="0.2">
      <c r="A306" s="249">
        <v>42643</v>
      </c>
      <c r="B306" s="90" t="s">
        <v>1044</v>
      </c>
      <c r="C306" s="90" t="s">
        <v>1035</v>
      </c>
      <c r="D306" s="90" t="s">
        <v>1032</v>
      </c>
      <c r="E306" s="90">
        <v>2345</v>
      </c>
    </row>
    <row r="307" spans="1:5" x14ac:dyDescent="0.2">
      <c r="A307" s="249">
        <v>42643</v>
      </c>
      <c r="B307" s="90" t="s">
        <v>1044</v>
      </c>
      <c r="C307" s="90" t="s">
        <v>1036</v>
      </c>
      <c r="D307" s="90" t="s">
        <v>1037</v>
      </c>
      <c r="E307" s="90">
        <v>24227</v>
      </c>
    </row>
    <row r="308" spans="1:5" x14ac:dyDescent="0.2">
      <c r="A308" s="249">
        <v>42643</v>
      </c>
      <c r="B308" s="90" t="s">
        <v>1044</v>
      </c>
      <c r="C308" s="90" t="s">
        <v>1038</v>
      </c>
      <c r="D308" s="90" t="s">
        <v>1030</v>
      </c>
      <c r="E308" s="90">
        <v>5194</v>
      </c>
    </row>
    <row r="309" spans="1:5" x14ac:dyDescent="0.2">
      <c r="A309" s="249">
        <v>42643</v>
      </c>
      <c r="B309" s="90" t="s">
        <v>1044</v>
      </c>
      <c r="C309" s="90" t="s">
        <v>1039</v>
      </c>
      <c r="D309" s="90" t="s">
        <v>1032</v>
      </c>
      <c r="E309" s="90">
        <v>15005</v>
      </c>
    </row>
    <row r="310" spans="1:5" x14ac:dyDescent="0.2">
      <c r="A310" s="249">
        <v>42643</v>
      </c>
      <c r="B310" s="90" t="s">
        <v>1044</v>
      </c>
      <c r="C310" s="90" t="s">
        <v>1040</v>
      </c>
      <c r="D310" s="90" t="s">
        <v>1030</v>
      </c>
      <c r="E310" s="90">
        <v>20776</v>
      </c>
    </row>
    <row r="311" spans="1:5" x14ac:dyDescent="0.2">
      <c r="A311" s="249">
        <v>42643</v>
      </c>
      <c r="B311" s="90" t="s">
        <v>1044</v>
      </c>
      <c r="C311" s="90" t="s">
        <v>1041</v>
      </c>
      <c r="D311" s="90" t="s">
        <v>1037</v>
      </c>
      <c r="E311" s="90">
        <v>16151</v>
      </c>
    </row>
    <row r="312" spans="1:5" x14ac:dyDescent="0.2">
      <c r="A312" s="249">
        <v>42643</v>
      </c>
      <c r="B312" s="90" t="s">
        <v>1044</v>
      </c>
      <c r="C312" s="90" t="s">
        <v>1042</v>
      </c>
      <c r="D312" s="90" t="s">
        <v>1037</v>
      </c>
      <c r="E312" s="90">
        <v>32302</v>
      </c>
    </row>
    <row r="313" spans="1:5" x14ac:dyDescent="0.2">
      <c r="A313" s="249">
        <v>42643</v>
      </c>
      <c r="B313" s="90" t="s">
        <v>1044</v>
      </c>
      <c r="C313" s="90" t="s">
        <v>1043</v>
      </c>
      <c r="D313" s="90" t="s">
        <v>1032</v>
      </c>
      <c r="E313" s="90">
        <v>13129</v>
      </c>
    </row>
    <row r="314" spans="1:5" x14ac:dyDescent="0.2">
      <c r="A314" s="249">
        <v>42643</v>
      </c>
      <c r="B314" s="90" t="s">
        <v>1045</v>
      </c>
      <c r="C314" s="90" t="s">
        <v>1029</v>
      </c>
      <c r="D314" s="90" t="s">
        <v>1030</v>
      </c>
      <c r="E314" s="90">
        <v>10546</v>
      </c>
    </row>
    <row r="315" spans="1:5" x14ac:dyDescent="0.2">
      <c r="A315" s="249">
        <v>42643</v>
      </c>
      <c r="B315" s="90" t="s">
        <v>1045</v>
      </c>
      <c r="C315" s="90" t="s">
        <v>1031</v>
      </c>
      <c r="D315" s="90" t="s">
        <v>1032</v>
      </c>
      <c r="E315" s="90">
        <v>6120</v>
      </c>
    </row>
    <row r="316" spans="1:5" x14ac:dyDescent="0.2">
      <c r="A316" s="249">
        <v>42643</v>
      </c>
      <c r="B316" s="90" t="s">
        <v>1045</v>
      </c>
      <c r="C316" s="90" t="s">
        <v>1033</v>
      </c>
      <c r="D316" s="90" t="s">
        <v>1032</v>
      </c>
      <c r="E316" s="90">
        <v>8161</v>
      </c>
    </row>
    <row r="317" spans="1:5" x14ac:dyDescent="0.2">
      <c r="A317" s="249">
        <v>42643</v>
      </c>
      <c r="B317" s="90" t="s">
        <v>1045</v>
      </c>
      <c r="C317" s="90" t="s">
        <v>1034</v>
      </c>
      <c r="D317" s="90" t="s">
        <v>1030</v>
      </c>
      <c r="E317" s="90">
        <v>15819</v>
      </c>
    </row>
    <row r="318" spans="1:5" x14ac:dyDescent="0.2">
      <c r="A318" s="249">
        <v>42643</v>
      </c>
      <c r="B318" s="90" t="s">
        <v>1045</v>
      </c>
      <c r="C318" s="90" t="s">
        <v>1035</v>
      </c>
      <c r="D318" s="90" t="s">
        <v>1032</v>
      </c>
      <c r="E318" s="90">
        <v>2040</v>
      </c>
    </row>
    <row r="319" spans="1:5" x14ac:dyDescent="0.2">
      <c r="A319" s="249">
        <v>42643</v>
      </c>
      <c r="B319" s="90" t="s">
        <v>1045</v>
      </c>
      <c r="C319" s="90" t="s">
        <v>1036</v>
      </c>
      <c r="D319" s="90" t="s">
        <v>1037</v>
      </c>
      <c r="E319" s="90">
        <v>21082</v>
      </c>
    </row>
    <row r="320" spans="1:5" x14ac:dyDescent="0.2">
      <c r="A320" s="249">
        <v>42643</v>
      </c>
      <c r="B320" s="90" t="s">
        <v>1045</v>
      </c>
      <c r="C320" s="90" t="s">
        <v>1038</v>
      </c>
      <c r="D320" s="90" t="s">
        <v>1030</v>
      </c>
      <c r="E320" s="90">
        <v>4520</v>
      </c>
    </row>
    <row r="321" spans="1:5" x14ac:dyDescent="0.2">
      <c r="A321" s="249">
        <v>42643</v>
      </c>
      <c r="B321" s="90" t="s">
        <v>1045</v>
      </c>
      <c r="C321" s="90" t="s">
        <v>1039</v>
      </c>
      <c r="D321" s="90" t="s">
        <v>1032</v>
      </c>
      <c r="E321" s="90">
        <v>13057</v>
      </c>
    </row>
    <row r="322" spans="1:5" x14ac:dyDescent="0.2">
      <c r="A322" s="249">
        <v>42643</v>
      </c>
      <c r="B322" s="90" t="s">
        <v>1045</v>
      </c>
      <c r="C322" s="90" t="s">
        <v>1040</v>
      </c>
      <c r="D322" s="90" t="s">
        <v>1030</v>
      </c>
      <c r="E322" s="90">
        <v>18079</v>
      </c>
    </row>
    <row r="323" spans="1:5" x14ac:dyDescent="0.2">
      <c r="A323" s="249">
        <v>42643</v>
      </c>
      <c r="B323" s="90" t="s">
        <v>1045</v>
      </c>
      <c r="C323" s="90" t="s">
        <v>1041</v>
      </c>
      <c r="D323" s="90" t="s">
        <v>1037</v>
      </c>
      <c r="E323" s="90">
        <v>14054</v>
      </c>
    </row>
    <row r="324" spans="1:5" x14ac:dyDescent="0.2">
      <c r="A324" s="249">
        <v>42643</v>
      </c>
      <c r="B324" s="90" t="s">
        <v>1045</v>
      </c>
      <c r="C324" s="90" t="s">
        <v>1042</v>
      </c>
      <c r="D324" s="90" t="s">
        <v>1037</v>
      </c>
      <c r="E324" s="90">
        <v>28109</v>
      </c>
    </row>
    <row r="325" spans="1:5" x14ac:dyDescent="0.2">
      <c r="A325" s="249">
        <v>42643</v>
      </c>
      <c r="B325" s="90" t="s">
        <v>1045</v>
      </c>
      <c r="C325" s="90" t="s">
        <v>1043</v>
      </c>
      <c r="D325" s="90" t="s">
        <v>1032</v>
      </c>
      <c r="E325" s="90">
        <v>11425</v>
      </c>
    </row>
    <row r="326" spans="1:5" x14ac:dyDescent="0.2">
      <c r="A326" s="249">
        <v>42674</v>
      </c>
      <c r="B326" s="90" t="s">
        <v>1028</v>
      </c>
      <c r="C326" s="90" t="s">
        <v>1029</v>
      </c>
      <c r="D326" s="90" t="s">
        <v>1030</v>
      </c>
      <c r="E326" s="90">
        <v>12662</v>
      </c>
    </row>
    <row r="327" spans="1:5" x14ac:dyDescent="0.2">
      <c r="A327" s="249">
        <v>42674</v>
      </c>
      <c r="B327" s="90" t="s">
        <v>1028</v>
      </c>
      <c r="C327" s="90" t="s">
        <v>1031</v>
      </c>
      <c r="D327" s="90" t="s">
        <v>1032</v>
      </c>
      <c r="E327" s="90">
        <v>7348</v>
      </c>
    </row>
    <row r="328" spans="1:5" x14ac:dyDescent="0.2">
      <c r="A328" s="249">
        <v>42674</v>
      </c>
      <c r="B328" s="90" t="s">
        <v>1028</v>
      </c>
      <c r="C328" s="90" t="s">
        <v>1033</v>
      </c>
      <c r="D328" s="90" t="s">
        <v>1032</v>
      </c>
      <c r="E328" s="90">
        <v>9798</v>
      </c>
    </row>
    <row r="329" spans="1:5" x14ac:dyDescent="0.2">
      <c r="A329" s="249">
        <v>42674</v>
      </c>
      <c r="B329" s="90" t="s">
        <v>1028</v>
      </c>
      <c r="C329" s="90" t="s">
        <v>1034</v>
      </c>
      <c r="D329" s="90" t="s">
        <v>1030</v>
      </c>
      <c r="E329" s="90">
        <v>18992</v>
      </c>
    </row>
    <row r="330" spans="1:5" x14ac:dyDescent="0.2">
      <c r="A330" s="249">
        <v>42674</v>
      </c>
      <c r="B330" s="90" t="s">
        <v>1028</v>
      </c>
      <c r="C330" s="90" t="s">
        <v>1035</v>
      </c>
      <c r="D330" s="90" t="s">
        <v>1032</v>
      </c>
      <c r="E330" s="90">
        <v>2449</v>
      </c>
    </row>
    <row r="331" spans="1:5" x14ac:dyDescent="0.2">
      <c r="A331" s="249">
        <v>42674</v>
      </c>
      <c r="B331" s="90" t="s">
        <v>1028</v>
      </c>
      <c r="C331" s="90" t="s">
        <v>1036</v>
      </c>
      <c r="D331" s="90" t="s">
        <v>1037</v>
      </c>
      <c r="E331" s="90">
        <v>25311</v>
      </c>
    </row>
    <row r="332" spans="1:5" x14ac:dyDescent="0.2">
      <c r="A332" s="249">
        <v>42674</v>
      </c>
      <c r="B332" s="90" t="s">
        <v>1028</v>
      </c>
      <c r="C332" s="90" t="s">
        <v>1038</v>
      </c>
      <c r="D332" s="90" t="s">
        <v>1030</v>
      </c>
      <c r="E332" s="90">
        <v>5426</v>
      </c>
    </row>
    <row r="333" spans="1:5" x14ac:dyDescent="0.2">
      <c r="A333" s="249">
        <v>42674</v>
      </c>
      <c r="B333" s="90" t="s">
        <v>1028</v>
      </c>
      <c r="C333" s="90" t="s">
        <v>1039</v>
      </c>
      <c r="D333" s="90" t="s">
        <v>1032</v>
      </c>
      <c r="E333" s="90">
        <v>15676</v>
      </c>
    </row>
    <row r="334" spans="1:5" x14ac:dyDescent="0.2">
      <c r="A334" s="249">
        <v>42674</v>
      </c>
      <c r="B334" s="90" t="s">
        <v>1028</v>
      </c>
      <c r="C334" s="90" t="s">
        <v>1040</v>
      </c>
      <c r="D334" s="90" t="s">
        <v>1030</v>
      </c>
      <c r="E334" s="90">
        <v>21706</v>
      </c>
    </row>
    <row r="335" spans="1:5" x14ac:dyDescent="0.2">
      <c r="A335" s="249">
        <v>42674</v>
      </c>
      <c r="B335" s="90" t="s">
        <v>1028</v>
      </c>
      <c r="C335" s="90" t="s">
        <v>1041</v>
      </c>
      <c r="D335" s="90" t="s">
        <v>1037</v>
      </c>
      <c r="E335" s="90">
        <v>16874</v>
      </c>
    </row>
    <row r="336" spans="1:5" x14ac:dyDescent="0.2">
      <c r="A336" s="249">
        <v>42674</v>
      </c>
      <c r="B336" s="90" t="s">
        <v>1028</v>
      </c>
      <c r="C336" s="90" t="s">
        <v>1042</v>
      </c>
      <c r="D336" s="90" t="s">
        <v>1037</v>
      </c>
      <c r="E336" s="90">
        <v>33747</v>
      </c>
    </row>
    <row r="337" spans="1:5" x14ac:dyDescent="0.2">
      <c r="A337" s="249">
        <v>42674</v>
      </c>
      <c r="B337" s="90" t="s">
        <v>1028</v>
      </c>
      <c r="C337" s="90" t="s">
        <v>1043</v>
      </c>
      <c r="D337" s="90" t="s">
        <v>1032</v>
      </c>
      <c r="E337" s="90">
        <v>13717</v>
      </c>
    </row>
    <row r="338" spans="1:5" x14ac:dyDescent="0.2">
      <c r="A338" s="249">
        <v>42674</v>
      </c>
      <c r="B338" s="90" t="s">
        <v>1044</v>
      </c>
      <c r="C338" s="90" t="s">
        <v>1029</v>
      </c>
      <c r="D338" s="90" t="s">
        <v>1030</v>
      </c>
      <c r="E338" s="90">
        <v>16437</v>
      </c>
    </row>
    <row r="339" spans="1:5" x14ac:dyDescent="0.2">
      <c r="A339" s="249">
        <v>42674</v>
      </c>
      <c r="B339" s="90" t="s">
        <v>1044</v>
      </c>
      <c r="C339" s="90" t="s">
        <v>1031</v>
      </c>
      <c r="D339" s="90" t="s">
        <v>1032</v>
      </c>
      <c r="E339" s="90">
        <v>9539</v>
      </c>
    </row>
    <row r="340" spans="1:5" x14ac:dyDescent="0.2">
      <c r="A340" s="249">
        <v>42674</v>
      </c>
      <c r="B340" s="90" t="s">
        <v>1044</v>
      </c>
      <c r="C340" s="90" t="s">
        <v>1033</v>
      </c>
      <c r="D340" s="90" t="s">
        <v>1032</v>
      </c>
      <c r="E340" s="90">
        <v>12719</v>
      </c>
    </row>
    <row r="341" spans="1:5" x14ac:dyDescent="0.2">
      <c r="A341" s="249">
        <v>42674</v>
      </c>
      <c r="B341" s="90" t="s">
        <v>1044</v>
      </c>
      <c r="C341" s="90" t="s">
        <v>1034</v>
      </c>
      <c r="D341" s="90" t="s">
        <v>1030</v>
      </c>
      <c r="E341" s="90">
        <v>24656</v>
      </c>
    </row>
    <row r="342" spans="1:5" x14ac:dyDescent="0.2">
      <c r="A342" s="249">
        <v>42674</v>
      </c>
      <c r="B342" s="90" t="s">
        <v>1044</v>
      </c>
      <c r="C342" s="90" t="s">
        <v>1035</v>
      </c>
      <c r="D342" s="90" t="s">
        <v>1032</v>
      </c>
      <c r="E342" s="90">
        <v>3180</v>
      </c>
    </row>
    <row r="343" spans="1:5" x14ac:dyDescent="0.2">
      <c r="A343" s="249">
        <v>42674</v>
      </c>
      <c r="B343" s="90" t="s">
        <v>1044</v>
      </c>
      <c r="C343" s="90" t="s">
        <v>1036</v>
      </c>
      <c r="D343" s="90" t="s">
        <v>1037</v>
      </c>
      <c r="E343" s="90">
        <v>32858</v>
      </c>
    </row>
    <row r="344" spans="1:5" x14ac:dyDescent="0.2">
      <c r="A344" s="249">
        <v>42674</v>
      </c>
      <c r="B344" s="90" t="s">
        <v>1044</v>
      </c>
      <c r="C344" s="90" t="s">
        <v>1038</v>
      </c>
      <c r="D344" s="90" t="s">
        <v>1030</v>
      </c>
      <c r="E344" s="90">
        <v>7044</v>
      </c>
    </row>
    <row r="345" spans="1:5" x14ac:dyDescent="0.2">
      <c r="A345" s="249">
        <v>42674</v>
      </c>
      <c r="B345" s="90" t="s">
        <v>1044</v>
      </c>
      <c r="C345" s="90" t="s">
        <v>1039</v>
      </c>
      <c r="D345" s="90" t="s">
        <v>1032</v>
      </c>
      <c r="E345" s="90">
        <v>20351</v>
      </c>
    </row>
    <row r="346" spans="1:5" x14ac:dyDescent="0.2">
      <c r="A346" s="249">
        <v>42674</v>
      </c>
      <c r="B346" s="90" t="s">
        <v>1044</v>
      </c>
      <c r="C346" s="90" t="s">
        <v>1040</v>
      </c>
      <c r="D346" s="90" t="s">
        <v>1030</v>
      </c>
      <c r="E346" s="90">
        <v>28178</v>
      </c>
    </row>
    <row r="347" spans="1:5" x14ac:dyDescent="0.2">
      <c r="A347" s="249">
        <v>42674</v>
      </c>
      <c r="B347" s="90" t="s">
        <v>1044</v>
      </c>
      <c r="C347" s="90" t="s">
        <v>1041</v>
      </c>
      <c r="D347" s="90" t="s">
        <v>1037</v>
      </c>
      <c r="E347" s="90">
        <v>21905</v>
      </c>
    </row>
    <row r="348" spans="1:5" x14ac:dyDescent="0.2">
      <c r="A348" s="249">
        <v>42674</v>
      </c>
      <c r="B348" s="90" t="s">
        <v>1044</v>
      </c>
      <c r="C348" s="90" t="s">
        <v>1042</v>
      </c>
      <c r="D348" s="90" t="s">
        <v>1037</v>
      </c>
      <c r="E348" s="90">
        <v>43811</v>
      </c>
    </row>
    <row r="349" spans="1:5" x14ac:dyDescent="0.2">
      <c r="A349" s="249">
        <v>42674</v>
      </c>
      <c r="B349" s="90" t="s">
        <v>1044</v>
      </c>
      <c r="C349" s="90" t="s">
        <v>1043</v>
      </c>
      <c r="D349" s="90" t="s">
        <v>1032</v>
      </c>
      <c r="E349" s="90">
        <v>17807</v>
      </c>
    </row>
    <row r="350" spans="1:5" x14ac:dyDescent="0.2">
      <c r="A350" s="249">
        <v>42674</v>
      </c>
      <c r="B350" s="90" t="s">
        <v>1045</v>
      </c>
      <c r="C350" s="90" t="s">
        <v>1029</v>
      </c>
      <c r="D350" s="90" t="s">
        <v>1030</v>
      </c>
      <c r="E350" s="90">
        <v>12331</v>
      </c>
    </row>
    <row r="351" spans="1:5" x14ac:dyDescent="0.2">
      <c r="A351" s="249">
        <v>42674</v>
      </c>
      <c r="B351" s="90" t="s">
        <v>1045</v>
      </c>
      <c r="C351" s="90" t="s">
        <v>1031</v>
      </c>
      <c r="D351" s="90" t="s">
        <v>1032</v>
      </c>
      <c r="E351" s="90">
        <v>7156</v>
      </c>
    </row>
    <row r="352" spans="1:5" x14ac:dyDescent="0.2">
      <c r="A352" s="249">
        <v>42674</v>
      </c>
      <c r="B352" s="90" t="s">
        <v>1045</v>
      </c>
      <c r="C352" s="90" t="s">
        <v>1033</v>
      </c>
      <c r="D352" s="90" t="s">
        <v>1032</v>
      </c>
      <c r="E352" s="90">
        <v>9542</v>
      </c>
    </row>
    <row r="353" spans="1:5" x14ac:dyDescent="0.2">
      <c r="A353" s="249">
        <v>42674</v>
      </c>
      <c r="B353" s="90" t="s">
        <v>1045</v>
      </c>
      <c r="C353" s="90" t="s">
        <v>1034</v>
      </c>
      <c r="D353" s="90" t="s">
        <v>1030</v>
      </c>
      <c r="E353" s="90">
        <v>18496</v>
      </c>
    </row>
    <row r="354" spans="1:5" x14ac:dyDescent="0.2">
      <c r="A354" s="249">
        <v>42674</v>
      </c>
      <c r="B354" s="90" t="s">
        <v>1045</v>
      </c>
      <c r="C354" s="90" t="s">
        <v>1035</v>
      </c>
      <c r="D354" s="90" t="s">
        <v>1032</v>
      </c>
      <c r="E354" s="90">
        <v>2385</v>
      </c>
    </row>
    <row r="355" spans="1:5" x14ac:dyDescent="0.2">
      <c r="A355" s="249">
        <v>42674</v>
      </c>
      <c r="B355" s="90" t="s">
        <v>1045</v>
      </c>
      <c r="C355" s="90" t="s">
        <v>1036</v>
      </c>
      <c r="D355" s="90" t="s">
        <v>1037</v>
      </c>
      <c r="E355" s="90">
        <v>24649</v>
      </c>
    </row>
    <row r="356" spans="1:5" x14ac:dyDescent="0.2">
      <c r="A356" s="249">
        <v>42674</v>
      </c>
      <c r="B356" s="90" t="s">
        <v>1045</v>
      </c>
      <c r="C356" s="90" t="s">
        <v>1038</v>
      </c>
      <c r="D356" s="90" t="s">
        <v>1030</v>
      </c>
      <c r="E356" s="90">
        <v>5285</v>
      </c>
    </row>
    <row r="357" spans="1:5" x14ac:dyDescent="0.2">
      <c r="A357" s="249">
        <v>42674</v>
      </c>
      <c r="B357" s="90" t="s">
        <v>1045</v>
      </c>
      <c r="C357" s="90" t="s">
        <v>1039</v>
      </c>
      <c r="D357" s="90" t="s">
        <v>1032</v>
      </c>
      <c r="E357" s="90">
        <v>15267</v>
      </c>
    </row>
    <row r="358" spans="1:5" x14ac:dyDescent="0.2">
      <c r="A358" s="249">
        <v>42674</v>
      </c>
      <c r="B358" s="90" t="s">
        <v>1045</v>
      </c>
      <c r="C358" s="90" t="s">
        <v>1040</v>
      </c>
      <c r="D358" s="90" t="s">
        <v>1030</v>
      </c>
      <c r="E358" s="90">
        <v>21138</v>
      </c>
    </row>
    <row r="359" spans="1:5" x14ac:dyDescent="0.2">
      <c r="A359" s="249">
        <v>42674</v>
      </c>
      <c r="B359" s="90" t="s">
        <v>1045</v>
      </c>
      <c r="C359" s="90" t="s">
        <v>1041</v>
      </c>
      <c r="D359" s="90" t="s">
        <v>1037</v>
      </c>
      <c r="E359" s="90">
        <v>16433</v>
      </c>
    </row>
    <row r="360" spans="1:5" x14ac:dyDescent="0.2">
      <c r="A360" s="249">
        <v>42674</v>
      </c>
      <c r="B360" s="90" t="s">
        <v>1045</v>
      </c>
      <c r="C360" s="90" t="s">
        <v>1042</v>
      </c>
      <c r="D360" s="90" t="s">
        <v>1037</v>
      </c>
      <c r="E360" s="90">
        <v>32866</v>
      </c>
    </row>
    <row r="361" spans="1:5" x14ac:dyDescent="0.2">
      <c r="A361" s="249">
        <v>42674</v>
      </c>
      <c r="B361" s="90" t="s">
        <v>1045</v>
      </c>
      <c r="C361" s="90" t="s">
        <v>1043</v>
      </c>
      <c r="D361" s="90" t="s">
        <v>1032</v>
      </c>
      <c r="E361" s="90">
        <v>13358</v>
      </c>
    </row>
    <row r="362" spans="1:5" x14ac:dyDescent="0.2">
      <c r="A362" s="249">
        <v>42704</v>
      </c>
      <c r="B362" s="90" t="s">
        <v>1028</v>
      </c>
      <c r="C362" s="90" t="s">
        <v>1029</v>
      </c>
      <c r="D362" s="90" t="s">
        <v>1030</v>
      </c>
      <c r="E362" s="90">
        <v>14622</v>
      </c>
    </row>
    <row r="363" spans="1:5" x14ac:dyDescent="0.2">
      <c r="A363" s="249">
        <v>42704</v>
      </c>
      <c r="B363" s="90" t="s">
        <v>1028</v>
      </c>
      <c r="C363" s="90" t="s">
        <v>1031</v>
      </c>
      <c r="D363" s="90" t="s">
        <v>1032</v>
      </c>
      <c r="E363" s="90">
        <v>8486</v>
      </c>
    </row>
    <row r="364" spans="1:5" x14ac:dyDescent="0.2">
      <c r="A364" s="249">
        <v>42704</v>
      </c>
      <c r="B364" s="90" t="s">
        <v>1028</v>
      </c>
      <c r="C364" s="90" t="s">
        <v>1033</v>
      </c>
      <c r="D364" s="90" t="s">
        <v>1032</v>
      </c>
      <c r="E364" s="90">
        <v>11314</v>
      </c>
    </row>
    <row r="365" spans="1:5" x14ac:dyDescent="0.2">
      <c r="A365" s="249">
        <v>42704</v>
      </c>
      <c r="B365" s="90" t="s">
        <v>1028</v>
      </c>
      <c r="C365" s="90" t="s">
        <v>1034</v>
      </c>
      <c r="D365" s="90" t="s">
        <v>1030</v>
      </c>
      <c r="E365" s="90">
        <v>21932</v>
      </c>
    </row>
    <row r="366" spans="1:5" x14ac:dyDescent="0.2">
      <c r="A366" s="249">
        <v>42704</v>
      </c>
      <c r="B366" s="90" t="s">
        <v>1028</v>
      </c>
      <c r="C366" s="90" t="s">
        <v>1035</v>
      </c>
      <c r="D366" s="90" t="s">
        <v>1032</v>
      </c>
      <c r="E366" s="90">
        <v>2829</v>
      </c>
    </row>
    <row r="367" spans="1:5" x14ac:dyDescent="0.2">
      <c r="A367" s="249">
        <v>42704</v>
      </c>
      <c r="B367" s="90" t="s">
        <v>1028</v>
      </c>
      <c r="C367" s="90" t="s">
        <v>1036</v>
      </c>
      <c r="D367" s="90" t="s">
        <v>1037</v>
      </c>
      <c r="E367" s="90">
        <v>29229</v>
      </c>
    </row>
    <row r="368" spans="1:5" x14ac:dyDescent="0.2">
      <c r="A368" s="249">
        <v>42704</v>
      </c>
      <c r="B368" s="90" t="s">
        <v>1028</v>
      </c>
      <c r="C368" s="90" t="s">
        <v>1038</v>
      </c>
      <c r="D368" s="90" t="s">
        <v>1030</v>
      </c>
      <c r="E368" s="90">
        <v>6266</v>
      </c>
    </row>
    <row r="369" spans="1:5" x14ac:dyDescent="0.2">
      <c r="A369" s="249">
        <v>42704</v>
      </c>
      <c r="B369" s="90" t="s">
        <v>1028</v>
      </c>
      <c r="C369" s="90" t="s">
        <v>1039</v>
      </c>
      <c r="D369" s="90" t="s">
        <v>1032</v>
      </c>
      <c r="E369" s="90">
        <v>18103</v>
      </c>
    </row>
    <row r="370" spans="1:5" x14ac:dyDescent="0.2">
      <c r="A370" s="249">
        <v>42704</v>
      </c>
      <c r="B370" s="90" t="s">
        <v>1028</v>
      </c>
      <c r="C370" s="90" t="s">
        <v>1040</v>
      </c>
      <c r="D370" s="90" t="s">
        <v>1030</v>
      </c>
      <c r="E370" s="90">
        <v>25066</v>
      </c>
    </row>
    <row r="371" spans="1:5" x14ac:dyDescent="0.2">
      <c r="A371" s="249">
        <v>42704</v>
      </c>
      <c r="B371" s="90" t="s">
        <v>1028</v>
      </c>
      <c r="C371" s="90" t="s">
        <v>1041</v>
      </c>
      <c r="D371" s="90" t="s">
        <v>1037</v>
      </c>
      <c r="E371" s="90">
        <v>19486</v>
      </c>
    </row>
    <row r="372" spans="1:5" x14ac:dyDescent="0.2">
      <c r="A372" s="249">
        <v>42704</v>
      </c>
      <c r="B372" s="90" t="s">
        <v>1028</v>
      </c>
      <c r="C372" s="90" t="s">
        <v>1042</v>
      </c>
      <c r="D372" s="90" t="s">
        <v>1037</v>
      </c>
      <c r="E372" s="90">
        <v>38971</v>
      </c>
    </row>
    <row r="373" spans="1:5" x14ac:dyDescent="0.2">
      <c r="A373" s="249">
        <v>42704</v>
      </c>
      <c r="B373" s="90" t="s">
        <v>1028</v>
      </c>
      <c r="C373" s="90" t="s">
        <v>1043</v>
      </c>
      <c r="D373" s="90" t="s">
        <v>1032</v>
      </c>
      <c r="E373" s="90">
        <v>15840</v>
      </c>
    </row>
    <row r="374" spans="1:5" x14ac:dyDescent="0.2">
      <c r="A374" s="249">
        <v>42704</v>
      </c>
      <c r="B374" s="90" t="s">
        <v>1044</v>
      </c>
      <c r="C374" s="90" t="s">
        <v>1029</v>
      </c>
      <c r="D374" s="90" t="s">
        <v>1030</v>
      </c>
      <c r="E374" s="90">
        <v>11745</v>
      </c>
    </row>
    <row r="375" spans="1:5" x14ac:dyDescent="0.2">
      <c r="A375" s="249">
        <v>42704</v>
      </c>
      <c r="B375" s="90" t="s">
        <v>1044</v>
      </c>
      <c r="C375" s="90" t="s">
        <v>1031</v>
      </c>
      <c r="D375" s="90" t="s">
        <v>1032</v>
      </c>
      <c r="E375" s="90">
        <v>6816</v>
      </c>
    </row>
    <row r="376" spans="1:5" x14ac:dyDescent="0.2">
      <c r="A376" s="249">
        <v>42704</v>
      </c>
      <c r="B376" s="90" t="s">
        <v>1044</v>
      </c>
      <c r="C376" s="90" t="s">
        <v>1033</v>
      </c>
      <c r="D376" s="90" t="s">
        <v>1032</v>
      </c>
      <c r="E376" s="90">
        <v>9088</v>
      </c>
    </row>
    <row r="377" spans="1:5" x14ac:dyDescent="0.2">
      <c r="A377" s="249">
        <v>42704</v>
      </c>
      <c r="B377" s="90" t="s">
        <v>1044</v>
      </c>
      <c r="C377" s="90" t="s">
        <v>1034</v>
      </c>
      <c r="D377" s="90" t="s">
        <v>1030</v>
      </c>
      <c r="E377" s="90">
        <v>17618</v>
      </c>
    </row>
    <row r="378" spans="1:5" x14ac:dyDescent="0.2">
      <c r="A378" s="249">
        <v>42704</v>
      </c>
      <c r="B378" s="90" t="s">
        <v>1044</v>
      </c>
      <c r="C378" s="90" t="s">
        <v>1035</v>
      </c>
      <c r="D378" s="90" t="s">
        <v>1032</v>
      </c>
      <c r="E378" s="90">
        <v>2272</v>
      </c>
    </row>
    <row r="379" spans="1:5" x14ac:dyDescent="0.2">
      <c r="A379" s="249">
        <v>42704</v>
      </c>
      <c r="B379" s="90" t="s">
        <v>1044</v>
      </c>
      <c r="C379" s="90" t="s">
        <v>1036</v>
      </c>
      <c r="D379" s="90" t="s">
        <v>1037</v>
      </c>
      <c r="E379" s="90">
        <v>23479</v>
      </c>
    </row>
    <row r="380" spans="1:5" x14ac:dyDescent="0.2">
      <c r="A380" s="249">
        <v>42704</v>
      </c>
      <c r="B380" s="90" t="s">
        <v>1044</v>
      </c>
      <c r="C380" s="90" t="s">
        <v>1038</v>
      </c>
      <c r="D380" s="90" t="s">
        <v>1030</v>
      </c>
      <c r="E380" s="90">
        <v>5034</v>
      </c>
    </row>
    <row r="381" spans="1:5" x14ac:dyDescent="0.2">
      <c r="A381" s="249">
        <v>42704</v>
      </c>
      <c r="B381" s="90" t="s">
        <v>1044</v>
      </c>
      <c r="C381" s="90" t="s">
        <v>1039</v>
      </c>
      <c r="D381" s="90" t="s">
        <v>1032</v>
      </c>
      <c r="E381" s="90">
        <v>14542</v>
      </c>
    </row>
    <row r="382" spans="1:5" x14ac:dyDescent="0.2">
      <c r="A382" s="249">
        <v>42704</v>
      </c>
      <c r="B382" s="90" t="s">
        <v>1044</v>
      </c>
      <c r="C382" s="90" t="s">
        <v>1040</v>
      </c>
      <c r="D382" s="90" t="s">
        <v>1030</v>
      </c>
      <c r="E382" s="90">
        <v>20134</v>
      </c>
    </row>
    <row r="383" spans="1:5" x14ac:dyDescent="0.2">
      <c r="A383" s="249">
        <v>42704</v>
      </c>
      <c r="B383" s="90" t="s">
        <v>1044</v>
      </c>
      <c r="C383" s="90" t="s">
        <v>1041</v>
      </c>
      <c r="D383" s="90" t="s">
        <v>1037</v>
      </c>
      <c r="E383" s="90">
        <v>15652</v>
      </c>
    </row>
    <row r="384" spans="1:5" x14ac:dyDescent="0.2">
      <c r="A384" s="249">
        <v>42704</v>
      </c>
      <c r="B384" s="90" t="s">
        <v>1044</v>
      </c>
      <c r="C384" s="90" t="s">
        <v>1042</v>
      </c>
      <c r="D384" s="90" t="s">
        <v>1037</v>
      </c>
      <c r="E384" s="90">
        <v>31305</v>
      </c>
    </row>
    <row r="385" spans="1:5" x14ac:dyDescent="0.2">
      <c r="A385" s="249">
        <v>42704</v>
      </c>
      <c r="B385" s="90" t="s">
        <v>1044</v>
      </c>
      <c r="C385" s="90" t="s">
        <v>1043</v>
      </c>
      <c r="D385" s="90" t="s">
        <v>1032</v>
      </c>
      <c r="E385" s="90">
        <v>12724</v>
      </c>
    </row>
    <row r="386" spans="1:5" x14ac:dyDescent="0.2">
      <c r="A386" s="249">
        <v>42704</v>
      </c>
      <c r="B386" s="90" t="s">
        <v>1045</v>
      </c>
      <c r="C386" s="90" t="s">
        <v>1029</v>
      </c>
      <c r="D386" s="90" t="s">
        <v>1030</v>
      </c>
      <c r="E386" s="90">
        <v>11766</v>
      </c>
    </row>
    <row r="387" spans="1:5" x14ac:dyDescent="0.2">
      <c r="A387" s="249">
        <v>42704</v>
      </c>
      <c r="B387" s="90" t="s">
        <v>1045</v>
      </c>
      <c r="C387" s="90" t="s">
        <v>1031</v>
      </c>
      <c r="D387" s="90" t="s">
        <v>1032</v>
      </c>
      <c r="E387" s="90">
        <v>6829</v>
      </c>
    </row>
    <row r="388" spans="1:5" x14ac:dyDescent="0.2">
      <c r="A388" s="249">
        <v>42704</v>
      </c>
      <c r="B388" s="90" t="s">
        <v>1045</v>
      </c>
      <c r="C388" s="90" t="s">
        <v>1033</v>
      </c>
      <c r="D388" s="90" t="s">
        <v>1032</v>
      </c>
      <c r="E388" s="90">
        <v>9105</v>
      </c>
    </row>
    <row r="389" spans="1:5" x14ac:dyDescent="0.2">
      <c r="A389" s="249">
        <v>42704</v>
      </c>
      <c r="B389" s="90" t="s">
        <v>1045</v>
      </c>
      <c r="C389" s="90" t="s">
        <v>1034</v>
      </c>
      <c r="D389" s="90" t="s">
        <v>1030</v>
      </c>
      <c r="E389" s="90">
        <v>17649</v>
      </c>
    </row>
    <row r="390" spans="1:5" x14ac:dyDescent="0.2">
      <c r="A390" s="249">
        <v>42704</v>
      </c>
      <c r="B390" s="90" t="s">
        <v>1045</v>
      </c>
      <c r="C390" s="90" t="s">
        <v>1035</v>
      </c>
      <c r="D390" s="90" t="s">
        <v>1032</v>
      </c>
      <c r="E390" s="90">
        <v>2276</v>
      </c>
    </row>
    <row r="391" spans="1:5" x14ac:dyDescent="0.2">
      <c r="A391" s="249">
        <v>42704</v>
      </c>
      <c r="B391" s="90" t="s">
        <v>1045</v>
      </c>
      <c r="C391" s="90" t="s">
        <v>1036</v>
      </c>
      <c r="D391" s="90" t="s">
        <v>1037</v>
      </c>
      <c r="E391" s="90">
        <v>23521</v>
      </c>
    </row>
    <row r="392" spans="1:5" x14ac:dyDescent="0.2">
      <c r="A392" s="249">
        <v>42704</v>
      </c>
      <c r="B392" s="90" t="s">
        <v>1045</v>
      </c>
      <c r="C392" s="90" t="s">
        <v>1038</v>
      </c>
      <c r="D392" s="90" t="s">
        <v>1030</v>
      </c>
      <c r="E392" s="90">
        <v>5043</v>
      </c>
    </row>
    <row r="393" spans="1:5" x14ac:dyDescent="0.2">
      <c r="A393" s="249">
        <v>42704</v>
      </c>
      <c r="B393" s="90" t="s">
        <v>1045</v>
      </c>
      <c r="C393" s="90" t="s">
        <v>1039</v>
      </c>
      <c r="D393" s="90" t="s">
        <v>1032</v>
      </c>
      <c r="E393" s="90">
        <v>14568</v>
      </c>
    </row>
    <row r="394" spans="1:5" x14ac:dyDescent="0.2">
      <c r="A394" s="249">
        <v>42704</v>
      </c>
      <c r="B394" s="90" t="s">
        <v>1045</v>
      </c>
      <c r="C394" s="90" t="s">
        <v>1040</v>
      </c>
      <c r="D394" s="90" t="s">
        <v>1030</v>
      </c>
      <c r="E394" s="90">
        <v>20171</v>
      </c>
    </row>
    <row r="395" spans="1:5" x14ac:dyDescent="0.2">
      <c r="A395" s="249">
        <v>42704</v>
      </c>
      <c r="B395" s="90" t="s">
        <v>1045</v>
      </c>
      <c r="C395" s="90" t="s">
        <v>1041</v>
      </c>
      <c r="D395" s="90" t="s">
        <v>1037</v>
      </c>
      <c r="E395" s="90">
        <v>15680</v>
      </c>
    </row>
    <row r="396" spans="1:5" x14ac:dyDescent="0.2">
      <c r="A396" s="249">
        <v>42704</v>
      </c>
      <c r="B396" s="90" t="s">
        <v>1045</v>
      </c>
      <c r="C396" s="90" t="s">
        <v>1042</v>
      </c>
      <c r="D396" s="90" t="s">
        <v>1037</v>
      </c>
      <c r="E396" s="90">
        <v>31361</v>
      </c>
    </row>
    <row r="397" spans="1:5" x14ac:dyDescent="0.2">
      <c r="A397" s="249">
        <v>42704</v>
      </c>
      <c r="B397" s="90" t="s">
        <v>1045</v>
      </c>
      <c r="C397" s="90" t="s">
        <v>1043</v>
      </c>
      <c r="D397" s="90" t="s">
        <v>1032</v>
      </c>
      <c r="E397" s="90">
        <v>12747</v>
      </c>
    </row>
    <row r="398" spans="1:5" x14ac:dyDescent="0.2">
      <c r="A398" s="249">
        <v>42735</v>
      </c>
      <c r="B398" s="90" t="s">
        <v>1028</v>
      </c>
      <c r="C398" s="90" t="s">
        <v>1029</v>
      </c>
      <c r="D398" s="90" t="s">
        <v>1030</v>
      </c>
      <c r="E398" s="90">
        <v>15464</v>
      </c>
    </row>
    <row r="399" spans="1:5" x14ac:dyDescent="0.2">
      <c r="A399" s="249">
        <v>42735</v>
      </c>
      <c r="B399" s="90" t="s">
        <v>1028</v>
      </c>
      <c r="C399" s="90" t="s">
        <v>1031</v>
      </c>
      <c r="D399" s="90" t="s">
        <v>1032</v>
      </c>
      <c r="E399" s="90">
        <v>8974</v>
      </c>
    </row>
    <row r="400" spans="1:5" x14ac:dyDescent="0.2">
      <c r="A400" s="249">
        <v>42735</v>
      </c>
      <c r="B400" s="90" t="s">
        <v>1028</v>
      </c>
      <c r="C400" s="90" t="s">
        <v>1033</v>
      </c>
      <c r="D400" s="90" t="s">
        <v>1032</v>
      </c>
      <c r="E400" s="90">
        <v>11966</v>
      </c>
    </row>
    <row r="401" spans="1:5" x14ac:dyDescent="0.2">
      <c r="A401" s="249">
        <v>42735</v>
      </c>
      <c r="B401" s="90" t="s">
        <v>1028</v>
      </c>
      <c r="C401" s="90" t="s">
        <v>1034</v>
      </c>
      <c r="D401" s="90" t="s">
        <v>1030</v>
      </c>
      <c r="E401" s="90">
        <v>23196</v>
      </c>
    </row>
    <row r="402" spans="1:5" x14ac:dyDescent="0.2">
      <c r="A402" s="249">
        <v>42735</v>
      </c>
      <c r="B402" s="90" t="s">
        <v>1028</v>
      </c>
      <c r="C402" s="90" t="s">
        <v>1035</v>
      </c>
      <c r="D402" s="90" t="s">
        <v>1032</v>
      </c>
      <c r="E402" s="90">
        <v>2991</v>
      </c>
    </row>
    <row r="403" spans="1:5" x14ac:dyDescent="0.2">
      <c r="A403" s="249">
        <v>42735</v>
      </c>
      <c r="B403" s="90" t="s">
        <v>1028</v>
      </c>
      <c r="C403" s="90" t="s">
        <v>1036</v>
      </c>
      <c r="D403" s="90" t="s">
        <v>1037</v>
      </c>
      <c r="E403" s="90">
        <v>30912</v>
      </c>
    </row>
    <row r="404" spans="1:5" x14ac:dyDescent="0.2">
      <c r="A404" s="249">
        <v>42735</v>
      </c>
      <c r="B404" s="90" t="s">
        <v>1028</v>
      </c>
      <c r="C404" s="90" t="s">
        <v>1038</v>
      </c>
      <c r="D404" s="90" t="s">
        <v>1030</v>
      </c>
      <c r="E404" s="90">
        <v>6627</v>
      </c>
    </row>
    <row r="405" spans="1:5" x14ac:dyDescent="0.2">
      <c r="A405" s="249">
        <v>42735</v>
      </c>
      <c r="B405" s="90" t="s">
        <v>1028</v>
      </c>
      <c r="C405" s="90" t="s">
        <v>1039</v>
      </c>
      <c r="D405" s="90" t="s">
        <v>1032</v>
      </c>
      <c r="E405" s="90">
        <v>19146</v>
      </c>
    </row>
    <row r="406" spans="1:5" x14ac:dyDescent="0.2">
      <c r="A406" s="249">
        <v>42735</v>
      </c>
      <c r="B406" s="90" t="s">
        <v>1028</v>
      </c>
      <c r="C406" s="90" t="s">
        <v>1040</v>
      </c>
      <c r="D406" s="90" t="s">
        <v>1030</v>
      </c>
      <c r="E406" s="90">
        <v>26509</v>
      </c>
    </row>
    <row r="407" spans="1:5" x14ac:dyDescent="0.2">
      <c r="A407" s="249">
        <v>42735</v>
      </c>
      <c r="B407" s="90" t="s">
        <v>1028</v>
      </c>
      <c r="C407" s="90" t="s">
        <v>1041</v>
      </c>
      <c r="D407" s="90" t="s">
        <v>1037</v>
      </c>
      <c r="E407" s="90">
        <v>20608</v>
      </c>
    </row>
    <row r="408" spans="1:5" x14ac:dyDescent="0.2">
      <c r="A408" s="249">
        <v>42735</v>
      </c>
      <c r="B408" s="90" t="s">
        <v>1028</v>
      </c>
      <c r="C408" s="90" t="s">
        <v>1042</v>
      </c>
      <c r="D408" s="90" t="s">
        <v>1037</v>
      </c>
      <c r="E408" s="90">
        <v>41216</v>
      </c>
    </row>
    <row r="409" spans="1:5" x14ac:dyDescent="0.2">
      <c r="A409" s="249">
        <v>42735</v>
      </c>
      <c r="B409" s="90" t="s">
        <v>1028</v>
      </c>
      <c r="C409" s="90" t="s">
        <v>1043</v>
      </c>
      <c r="D409" s="90" t="s">
        <v>1032</v>
      </c>
      <c r="E409" s="90">
        <v>16752</v>
      </c>
    </row>
    <row r="410" spans="1:5" x14ac:dyDescent="0.2">
      <c r="A410" s="249">
        <v>42735</v>
      </c>
      <c r="B410" s="90" t="s">
        <v>1044</v>
      </c>
      <c r="C410" s="90" t="s">
        <v>1029</v>
      </c>
      <c r="D410" s="90" t="s">
        <v>1030</v>
      </c>
      <c r="E410" s="90">
        <v>12478</v>
      </c>
    </row>
    <row r="411" spans="1:5" x14ac:dyDescent="0.2">
      <c r="A411" s="249">
        <v>42735</v>
      </c>
      <c r="B411" s="90" t="s">
        <v>1044</v>
      </c>
      <c r="C411" s="90" t="s">
        <v>1031</v>
      </c>
      <c r="D411" s="90" t="s">
        <v>1032</v>
      </c>
      <c r="E411" s="90">
        <v>7242</v>
      </c>
    </row>
    <row r="412" spans="1:5" x14ac:dyDescent="0.2">
      <c r="A412" s="249">
        <v>42735</v>
      </c>
      <c r="B412" s="90" t="s">
        <v>1044</v>
      </c>
      <c r="C412" s="90" t="s">
        <v>1033</v>
      </c>
      <c r="D412" s="90" t="s">
        <v>1032</v>
      </c>
      <c r="E412" s="90">
        <v>9655</v>
      </c>
    </row>
    <row r="413" spans="1:5" x14ac:dyDescent="0.2">
      <c r="A413" s="249">
        <v>42735</v>
      </c>
      <c r="B413" s="90" t="s">
        <v>1044</v>
      </c>
      <c r="C413" s="90" t="s">
        <v>1034</v>
      </c>
      <c r="D413" s="90" t="s">
        <v>1030</v>
      </c>
      <c r="E413" s="90">
        <v>18717</v>
      </c>
    </row>
    <row r="414" spans="1:5" x14ac:dyDescent="0.2">
      <c r="A414" s="249">
        <v>42735</v>
      </c>
      <c r="B414" s="90" t="s">
        <v>1044</v>
      </c>
      <c r="C414" s="90" t="s">
        <v>1035</v>
      </c>
      <c r="D414" s="90" t="s">
        <v>1032</v>
      </c>
      <c r="E414" s="90">
        <v>2414</v>
      </c>
    </row>
    <row r="415" spans="1:5" x14ac:dyDescent="0.2">
      <c r="A415" s="249">
        <v>42735</v>
      </c>
      <c r="B415" s="90" t="s">
        <v>1044</v>
      </c>
      <c r="C415" s="90" t="s">
        <v>1036</v>
      </c>
      <c r="D415" s="90" t="s">
        <v>1037</v>
      </c>
      <c r="E415" s="90">
        <v>24943</v>
      </c>
    </row>
    <row r="416" spans="1:5" x14ac:dyDescent="0.2">
      <c r="A416" s="249">
        <v>42735</v>
      </c>
      <c r="B416" s="90" t="s">
        <v>1044</v>
      </c>
      <c r="C416" s="90" t="s">
        <v>1038</v>
      </c>
      <c r="D416" s="90" t="s">
        <v>1030</v>
      </c>
      <c r="E416" s="90">
        <v>5348</v>
      </c>
    </row>
    <row r="417" spans="1:5" x14ac:dyDescent="0.2">
      <c r="A417" s="249">
        <v>42735</v>
      </c>
      <c r="B417" s="90" t="s">
        <v>1044</v>
      </c>
      <c r="C417" s="90" t="s">
        <v>1039</v>
      </c>
      <c r="D417" s="90" t="s">
        <v>1032</v>
      </c>
      <c r="E417" s="90">
        <v>15449</v>
      </c>
    </row>
    <row r="418" spans="1:5" x14ac:dyDescent="0.2">
      <c r="A418" s="249">
        <v>42735</v>
      </c>
      <c r="B418" s="90" t="s">
        <v>1044</v>
      </c>
      <c r="C418" s="90" t="s">
        <v>1040</v>
      </c>
      <c r="D418" s="90" t="s">
        <v>1030</v>
      </c>
      <c r="E418" s="90">
        <v>21390</v>
      </c>
    </row>
    <row r="419" spans="1:5" x14ac:dyDescent="0.2">
      <c r="A419" s="249">
        <v>42735</v>
      </c>
      <c r="B419" s="90" t="s">
        <v>1044</v>
      </c>
      <c r="C419" s="90" t="s">
        <v>1041</v>
      </c>
      <c r="D419" s="90" t="s">
        <v>1037</v>
      </c>
      <c r="E419" s="90">
        <v>16629</v>
      </c>
    </row>
    <row r="420" spans="1:5" x14ac:dyDescent="0.2">
      <c r="A420" s="249">
        <v>42735</v>
      </c>
      <c r="B420" s="90" t="s">
        <v>1044</v>
      </c>
      <c r="C420" s="90" t="s">
        <v>1042</v>
      </c>
      <c r="D420" s="90" t="s">
        <v>1037</v>
      </c>
      <c r="E420" s="90">
        <v>33258</v>
      </c>
    </row>
    <row r="421" spans="1:5" x14ac:dyDescent="0.2">
      <c r="A421" s="249">
        <v>42735</v>
      </c>
      <c r="B421" s="90" t="s">
        <v>1044</v>
      </c>
      <c r="C421" s="90" t="s">
        <v>1043</v>
      </c>
      <c r="D421" s="90" t="s">
        <v>1032</v>
      </c>
      <c r="E421" s="90">
        <v>13518</v>
      </c>
    </row>
    <row r="422" spans="1:5" x14ac:dyDescent="0.2">
      <c r="A422" s="249">
        <v>42735</v>
      </c>
      <c r="B422" s="90" t="s">
        <v>1045</v>
      </c>
      <c r="C422" s="90" t="s">
        <v>1029</v>
      </c>
      <c r="D422" s="90" t="s">
        <v>1030</v>
      </c>
      <c r="E422" s="90">
        <v>12882</v>
      </c>
    </row>
    <row r="423" spans="1:5" x14ac:dyDescent="0.2">
      <c r="A423" s="249">
        <v>42735</v>
      </c>
      <c r="B423" s="90" t="s">
        <v>1045</v>
      </c>
      <c r="C423" s="90" t="s">
        <v>1031</v>
      </c>
      <c r="D423" s="90" t="s">
        <v>1032</v>
      </c>
      <c r="E423" s="90">
        <v>7476</v>
      </c>
    </row>
    <row r="424" spans="1:5" x14ac:dyDescent="0.2">
      <c r="A424" s="249">
        <v>42735</v>
      </c>
      <c r="B424" s="90" t="s">
        <v>1045</v>
      </c>
      <c r="C424" s="90" t="s">
        <v>1033</v>
      </c>
      <c r="D424" s="90" t="s">
        <v>1032</v>
      </c>
      <c r="E424" s="90">
        <v>9968</v>
      </c>
    </row>
    <row r="425" spans="1:5" x14ac:dyDescent="0.2">
      <c r="A425" s="249">
        <v>42735</v>
      </c>
      <c r="B425" s="90" t="s">
        <v>1045</v>
      </c>
      <c r="C425" s="90" t="s">
        <v>1034</v>
      </c>
      <c r="D425" s="90" t="s">
        <v>1030</v>
      </c>
      <c r="E425" s="90">
        <v>19322</v>
      </c>
    </row>
    <row r="426" spans="1:5" x14ac:dyDescent="0.2">
      <c r="A426" s="249">
        <v>42735</v>
      </c>
      <c r="B426" s="90" t="s">
        <v>1045</v>
      </c>
      <c r="C426" s="90" t="s">
        <v>1035</v>
      </c>
      <c r="D426" s="90" t="s">
        <v>1032</v>
      </c>
      <c r="E426" s="90">
        <v>2492</v>
      </c>
    </row>
    <row r="427" spans="1:5" x14ac:dyDescent="0.2">
      <c r="A427" s="249">
        <v>42735</v>
      </c>
      <c r="B427" s="90" t="s">
        <v>1045</v>
      </c>
      <c r="C427" s="90" t="s">
        <v>1036</v>
      </c>
      <c r="D427" s="90" t="s">
        <v>1037</v>
      </c>
      <c r="E427" s="90">
        <v>25750</v>
      </c>
    </row>
    <row r="428" spans="1:5" x14ac:dyDescent="0.2">
      <c r="A428" s="249">
        <v>42735</v>
      </c>
      <c r="B428" s="90" t="s">
        <v>1045</v>
      </c>
      <c r="C428" s="90" t="s">
        <v>1038</v>
      </c>
      <c r="D428" s="90" t="s">
        <v>1030</v>
      </c>
      <c r="E428" s="90">
        <v>5521</v>
      </c>
    </row>
    <row r="429" spans="1:5" x14ac:dyDescent="0.2">
      <c r="A429" s="249">
        <v>42735</v>
      </c>
      <c r="B429" s="90" t="s">
        <v>1045</v>
      </c>
      <c r="C429" s="90" t="s">
        <v>1039</v>
      </c>
      <c r="D429" s="90" t="s">
        <v>1032</v>
      </c>
      <c r="E429" s="90">
        <v>15949</v>
      </c>
    </row>
    <row r="430" spans="1:5" x14ac:dyDescent="0.2">
      <c r="A430" s="249">
        <v>42735</v>
      </c>
      <c r="B430" s="90" t="s">
        <v>1045</v>
      </c>
      <c r="C430" s="90" t="s">
        <v>1040</v>
      </c>
      <c r="D430" s="90" t="s">
        <v>1030</v>
      </c>
      <c r="E430" s="90">
        <v>22083</v>
      </c>
    </row>
    <row r="431" spans="1:5" x14ac:dyDescent="0.2">
      <c r="A431" s="249">
        <v>42735</v>
      </c>
      <c r="B431" s="90" t="s">
        <v>1045</v>
      </c>
      <c r="C431" s="90" t="s">
        <v>1041</v>
      </c>
      <c r="D431" s="90" t="s">
        <v>1037</v>
      </c>
      <c r="E431" s="90">
        <v>17167</v>
      </c>
    </row>
    <row r="432" spans="1:5" x14ac:dyDescent="0.2">
      <c r="A432" s="249">
        <v>42735</v>
      </c>
      <c r="B432" s="90" t="s">
        <v>1045</v>
      </c>
      <c r="C432" s="90" t="s">
        <v>1042</v>
      </c>
      <c r="D432" s="90" t="s">
        <v>1037</v>
      </c>
      <c r="E432" s="90">
        <v>34334</v>
      </c>
    </row>
    <row r="433" spans="1:5" x14ac:dyDescent="0.2">
      <c r="A433" s="249">
        <v>42735</v>
      </c>
      <c r="B433" s="90" t="s">
        <v>1045</v>
      </c>
      <c r="C433" s="90" t="s">
        <v>1043</v>
      </c>
      <c r="D433" s="90" t="s">
        <v>1032</v>
      </c>
      <c r="E433" s="90">
        <v>13955</v>
      </c>
    </row>
  </sheetData>
  <pageMargins left="0.7" right="0.7" top="0.75" bottom="0.75" header="0.3" footer="0.3"/>
  <pageSetup orientation="portrait" horizontalDpi="4294967293" verticalDpi="0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EC50-73A2-4811-AB67-D4BAE36B2E47}">
  <dimension ref="A1:AD433"/>
  <sheetViews>
    <sheetView workbookViewId="0"/>
  </sheetViews>
  <sheetFormatPr defaultRowHeight="12.75" x14ac:dyDescent="0.2"/>
  <cols>
    <col min="1" max="1" width="8.5703125" style="90" bestFit="1" customWidth="1"/>
    <col min="2" max="2" width="10.42578125" style="90" bestFit="1" customWidth="1"/>
    <col min="3" max="3" width="11.42578125" style="90" bestFit="1" customWidth="1"/>
    <col min="4" max="4" width="15.5703125" style="90" bestFit="1" customWidth="1"/>
    <col min="5" max="5" width="9.140625" style="90"/>
    <col min="6" max="6" width="4.7109375" style="90" customWidth="1"/>
    <col min="7" max="7" width="14.5703125" style="90" bestFit="1" customWidth="1"/>
    <col min="8" max="8" width="14.28515625" style="90" bestFit="1" customWidth="1"/>
    <col min="9" max="10" width="8" style="90" bestFit="1" customWidth="1"/>
    <col min="11" max="11" width="10" style="90" bestFit="1" customWidth="1"/>
    <col min="12" max="12" width="4.7109375" style="90" customWidth="1"/>
    <col min="13" max="13" width="14.5703125" style="90" bestFit="1" customWidth="1"/>
    <col min="14" max="16" width="18.5703125" style="90" bestFit="1" customWidth="1"/>
    <col min="17" max="17" width="11.42578125" style="90" bestFit="1" customWidth="1"/>
    <col min="18" max="18" width="4.7109375" style="90" customWidth="1"/>
    <col min="19" max="19" width="18.5703125" style="90" bestFit="1" customWidth="1"/>
    <col min="20" max="20" width="12.5703125" style="90" bestFit="1" customWidth="1"/>
    <col min="21" max="24" width="11.42578125" style="90" bestFit="1" customWidth="1"/>
    <col min="25" max="25" width="9.140625" style="90"/>
    <col min="26" max="26" width="12.5703125" style="90" bestFit="1" customWidth="1"/>
    <col min="27" max="27" width="14.5703125" style="90" bestFit="1" customWidth="1"/>
    <col min="28" max="29" width="18.5703125" style="90" bestFit="1" customWidth="1"/>
    <col min="30" max="30" width="11.42578125" style="90" bestFit="1" customWidth="1"/>
    <col min="31" max="247" width="9.140625" style="90"/>
    <col min="248" max="248" width="10.140625" style="90" bestFit="1" customWidth="1"/>
    <col min="249" max="249" width="9.28515625" style="90" bestFit="1" customWidth="1"/>
    <col min="250" max="250" width="7.85546875" style="90" bestFit="1" customWidth="1"/>
    <col min="251" max="251" width="12.140625" style="90" bestFit="1" customWidth="1"/>
    <col min="252" max="252" width="10.85546875" style="90" bestFit="1" customWidth="1"/>
    <col min="253" max="503" width="9.140625" style="90"/>
    <col min="504" max="504" width="10.140625" style="90" bestFit="1" customWidth="1"/>
    <col min="505" max="505" width="9.28515625" style="90" bestFit="1" customWidth="1"/>
    <col min="506" max="506" width="7.85546875" style="90" bestFit="1" customWidth="1"/>
    <col min="507" max="507" width="12.140625" style="90" bestFit="1" customWidth="1"/>
    <col min="508" max="508" width="10.85546875" style="90" bestFit="1" customWidth="1"/>
    <col min="509" max="759" width="9.140625" style="90"/>
    <col min="760" max="760" width="10.140625" style="90" bestFit="1" customWidth="1"/>
    <col min="761" max="761" width="9.28515625" style="90" bestFit="1" customWidth="1"/>
    <col min="762" max="762" width="7.85546875" style="90" bestFit="1" customWidth="1"/>
    <col min="763" max="763" width="12.140625" style="90" bestFit="1" customWidth="1"/>
    <col min="764" max="764" width="10.85546875" style="90" bestFit="1" customWidth="1"/>
    <col min="765" max="1015" width="9.140625" style="90"/>
    <col min="1016" max="1016" width="10.140625" style="90" bestFit="1" customWidth="1"/>
    <col min="1017" max="1017" width="9.28515625" style="90" bestFit="1" customWidth="1"/>
    <col min="1018" max="1018" width="7.85546875" style="90" bestFit="1" customWidth="1"/>
    <col min="1019" max="1019" width="12.140625" style="90" bestFit="1" customWidth="1"/>
    <col min="1020" max="1020" width="10.85546875" style="90" bestFit="1" customWidth="1"/>
    <col min="1021" max="1271" width="9.140625" style="90"/>
    <col min="1272" max="1272" width="10.140625" style="90" bestFit="1" customWidth="1"/>
    <col min="1273" max="1273" width="9.28515625" style="90" bestFit="1" customWidth="1"/>
    <col min="1274" max="1274" width="7.85546875" style="90" bestFit="1" customWidth="1"/>
    <col min="1275" max="1275" width="12.140625" style="90" bestFit="1" customWidth="1"/>
    <col min="1276" max="1276" width="10.85546875" style="90" bestFit="1" customWidth="1"/>
    <col min="1277" max="1527" width="9.140625" style="90"/>
    <col min="1528" max="1528" width="10.140625" style="90" bestFit="1" customWidth="1"/>
    <col min="1529" max="1529" width="9.28515625" style="90" bestFit="1" customWidth="1"/>
    <col min="1530" max="1530" width="7.85546875" style="90" bestFit="1" customWidth="1"/>
    <col min="1531" max="1531" width="12.140625" style="90" bestFit="1" customWidth="1"/>
    <col min="1532" max="1532" width="10.85546875" style="90" bestFit="1" customWidth="1"/>
    <col min="1533" max="1783" width="9.140625" style="90"/>
    <col min="1784" max="1784" width="10.140625" style="90" bestFit="1" customWidth="1"/>
    <col min="1785" max="1785" width="9.28515625" style="90" bestFit="1" customWidth="1"/>
    <col min="1786" max="1786" width="7.85546875" style="90" bestFit="1" customWidth="1"/>
    <col min="1787" max="1787" width="12.140625" style="90" bestFit="1" customWidth="1"/>
    <col min="1788" max="1788" width="10.85546875" style="90" bestFit="1" customWidth="1"/>
    <col min="1789" max="2039" width="9.140625" style="90"/>
    <col min="2040" max="2040" width="10.140625" style="90" bestFit="1" customWidth="1"/>
    <col min="2041" max="2041" width="9.28515625" style="90" bestFit="1" customWidth="1"/>
    <col min="2042" max="2042" width="7.85546875" style="90" bestFit="1" customWidth="1"/>
    <col min="2043" max="2043" width="12.140625" style="90" bestFit="1" customWidth="1"/>
    <col min="2044" max="2044" width="10.85546875" style="90" bestFit="1" customWidth="1"/>
    <col min="2045" max="2295" width="9.140625" style="90"/>
    <col min="2296" max="2296" width="10.140625" style="90" bestFit="1" customWidth="1"/>
    <col min="2297" max="2297" width="9.28515625" style="90" bestFit="1" customWidth="1"/>
    <col min="2298" max="2298" width="7.85546875" style="90" bestFit="1" customWidth="1"/>
    <col min="2299" max="2299" width="12.140625" style="90" bestFit="1" customWidth="1"/>
    <col min="2300" max="2300" width="10.85546875" style="90" bestFit="1" customWidth="1"/>
    <col min="2301" max="2551" width="9.140625" style="90"/>
    <col min="2552" max="2552" width="10.140625" style="90" bestFit="1" customWidth="1"/>
    <col min="2553" max="2553" width="9.28515625" style="90" bestFit="1" customWidth="1"/>
    <col min="2554" max="2554" width="7.85546875" style="90" bestFit="1" customWidth="1"/>
    <col min="2555" max="2555" width="12.140625" style="90" bestFit="1" customWidth="1"/>
    <col min="2556" max="2556" width="10.85546875" style="90" bestFit="1" customWidth="1"/>
    <col min="2557" max="2807" width="9.140625" style="90"/>
    <col min="2808" max="2808" width="10.140625" style="90" bestFit="1" customWidth="1"/>
    <col min="2809" max="2809" width="9.28515625" style="90" bestFit="1" customWidth="1"/>
    <col min="2810" max="2810" width="7.85546875" style="90" bestFit="1" customWidth="1"/>
    <col min="2811" max="2811" width="12.140625" style="90" bestFit="1" customWidth="1"/>
    <col min="2812" max="2812" width="10.85546875" style="90" bestFit="1" customWidth="1"/>
    <col min="2813" max="3063" width="9.140625" style="90"/>
    <col min="3064" max="3064" width="10.140625" style="90" bestFit="1" customWidth="1"/>
    <col min="3065" max="3065" width="9.28515625" style="90" bestFit="1" customWidth="1"/>
    <col min="3066" max="3066" width="7.85546875" style="90" bestFit="1" customWidth="1"/>
    <col min="3067" max="3067" width="12.140625" style="90" bestFit="1" customWidth="1"/>
    <col min="3068" max="3068" width="10.85546875" style="90" bestFit="1" customWidth="1"/>
    <col min="3069" max="3319" width="9.140625" style="90"/>
    <col min="3320" max="3320" width="10.140625" style="90" bestFit="1" customWidth="1"/>
    <col min="3321" max="3321" width="9.28515625" style="90" bestFit="1" customWidth="1"/>
    <col min="3322" max="3322" width="7.85546875" style="90" bestFit="1" customWidth="1"/>
    <col min="3323" max="3323" width="12.140625" style="90" bestFit="1" customWidth="1"/>
    <col min="3324" max="3324" width="10.85546875" style="90" bestFit="1" customWidth="1"/>
    <col min="3325" max="3575" width="9.140625" style="90"/>
    <col min="3576" max="3576" width="10.140625" style="90" bestFit="1" customWidth="1"/>
    <col min="3577" max="3577" width="9.28515625" style="90" bestFit="1" customWidth="1"/>
    <col min="3578" max="3578" width="7.85546875" style="90" bestFit="1" customWidth="1"/>
    <col min="3579" max="3579" width="12.140625" style="90" bestFit="1" customWidth="1"/>
    <col min="3580" max="3580" width="10.85546875" style="90" bestFit="1" customWidth="1"/>
    <col min="3581" max="3831" width="9.140625" style="90"/>
    <col min="3832" max="3832" width="10.140625" style="90" bestFit="1" customWidth="1"/>
    <col min="3833" max="3833" width="9.28515625" style="90" bestFit="1" customWidth="1"/>
    <col min="3834" max="3834" width="7.85546875" style="90" bestFit="1" customWidth="1"/>
    <col min="3835" max="3835" width="12.140625" style="90" bestFit="1" customWidth="1"/>
    <col min="3836" max="3836" width="10.85546875" style="90" bestFit="1" customWidth="1"/>
    <col min="3837" max="4087" width="9.140625" style="90"/>
    <col min="4088" max="4088" width="10.140625" style="90" bestFit="1" customWidth="1"/>
    <col min="4089" max="4089" width="9.28515625" style="90" bestFit="1" customWidth="1"/>
    <col min="4090" max="4090" width="7.85546875" style="90" bestFit="1" customWidth="1"/>
    <col min="4091" max="4091" width="12.140625" style="90" bestFit="1" customWidth="1"/>
    <col min="4092" max="4092" width="10.85546875" style="90" bestFit="1" customWidth="1"/>
    <col min="4093" max="4343" width="9.140625" style="90"/>
    <col min="4344" max="4344" width="10.140625" style="90" bestFit="1" customWidth="1"/>
    <col min="4345" max="4345" width="9.28515625" style="90" bestFit="1" customWidth="1"/>
    <col min="4346" max="4346" width="7.85546875" style="90" bestFit="1" customWidth="1"/>
    <col min="4347" max="4347" width="12.140625" style="90" bestFit="1" customWidth="1"/>
    <col min="4348" max="4348" width="10.85546875" style="90" bestFit="1" customWidth="1"/>
    <col min="4349" max="4599" width="9.140625" style="90"/>
    <col min="4600" max="4600" width="10.140625" style="90" bestFit="1" customWidth="1"/>
    <col min="4601" max="4601" width="9.28515625" style="90" bestFit="1" customWidth="1"/>
    <col min="4602" max="4602" width="7.85546875" style="90" bestFit="1" customWidth="1"/>
    <col min="4603" max="4603" width="12.140625" style="90" bestFit="1" customWidth="1"/>
    <col min="4604" max="4604" width="10.85546875" style="90" bestFit="1" customWidth="1"/>
    <col min="4605" max="4855" width="9.140625" style="90"/>
    <col min="4856" max="4856" width="10.140625" style="90" bestFit="1" customWidth="1"/>
    <col min="4857" max="4857" width="9.28515625" style="90" bestFit="1" customWidth="1"/>
    <col min="4858" max="4858" width="7.85546875" style="90" bestFit="1" customWidth="1"/>
    <col min="4859" max="4859" width="12.140625" style="90" bestFit="1" customWidth="1"/>
    <col min="4860" max="4860" width="10.85546875" style="90" bestFit="1" customWidth="1"/>
    <col min="4861" max="5111" width="9.140625" style="90"/>
    <col min="5112" max="5112" width="10.140625" style="90" bestFit="1" customWidth="1"/>
    <col min="5113" max="5113" width="9.28515625" style="90" bestFit="1" customWidth="1"/>
    <col min="5114" max="5114" width="7.85546875" style="90" bestFit="1" customWidth="1"/>
    <col min="5115" max="5115" width="12.140625" style="90" bestFit="1" customWidth="1"/>
    <col min="5116" max="5116" width="10.85546875" style="90" bestFit="1" customWidth="1"/>
    <col min="5117" max="5367" width="9.140625" style="90"/>
    <col min="5368" max="5368" width="10.140625" style="90" bestFit="1" customWidth="1"/>
    <col min="5369" max="5369" width="9.28515625" style="90" bestFit="1" customWidth="1"/>
    <col min="5370" max="5370" width="7.85546875" style="90" bestFit="1" customWidth="1"/>
    <col min="5371" max="5371" width="12.140625" style="90" bestFit="1" customWidth="1"/>
    <col min="5372" max="5372" width="10.85546875" style="90" bestFit="1" customWidth="1"/>
    <col min="5373" max="5623" width="9.140625" style="90"/>
    <col min="5624" max="5624" width="10.140625" style="90" bestFit="1" customWidth="1"/>
    <col min="5625" max="5625" width="9.28515625" style="90" bestFit="1" customWidth="1"/>
    <col min="5626" max="5626" width="7.85546875" style="90" bestFit="1" customWidth="1"/>
    <col min="5627" max="5627" width="12.140625" style="90" bestFit="1" customWidth="1"/>
    <col min="5628" max="5628" width="10.85546875" style="90" bestFit="1" customWidth="1"/>
    <col min="5629" max="5879" width="9.140625" style="90"/>
    <col min="5880" max="5880" width="10.140625" style="90" bestFit="1" customWidth="1"/>
    <col min="5881" max="5881" width="9.28515625" style="90" bestFit="1" customWidth="1"/>
    <col min="5882" max="5882" width="7.85546875" style="90" bestFit="1" customWidth="1"/>
    <col min="5883" max="5883" width="12.140625" style="90" bestFit="1" customWidth="1"/>
    <col min="5884" max="5884" width="10.85546875" style="90" bestFit="1" customWidth="1"/>
    <col min="5885" max="6135" width="9.140625" style="90"/>
    <col min="6136" max="6136" width="10.140625" style="90" bestFit="1" customWidth="1"/>
    <col min="6137" max="6137" width="9.28515625" style="90" bestFit="1" customWidth="1"/>
    <col min="6138" max="6138" width="7.85546875" style="90" bestFit="1" customWidth="1"/>
    <col min="6139" max="6139" width="12.140625" style="90" bestFit="1" customWidth="1"/>
    <col min="6140" max="6140" width="10.85546875" style="90" bestFit="1" customWidth="1"/>
    <col min="6141" max="6391" width="9.140625" style="90"/>
    <col min="6392" max="6392" width="10.140625" style="90" bestFit="1" customWidth="1"/>
    <col min="6393" max="6393" width="9.28515625" style="90" bestFit="1" customWidth="1"/>
    <col min="6394" max="6394" width="7.85546875" style="90" bestFit="1" customWidth="1"/>
    <col min="6395" max="6395" width="12.140625" style="90" bestFit="1" customWidth="1"/>
    <col min="6396" max="6396" width="10.85546875" style="90" bestFit="1" customWidth="1"/>
    <col min="6397" max="6647" width="9.140625" style="90"/>
    <col min="6648" max="6648" width="10.140625" style="90" bestFit="1" customWidth="1"/>
    <col min="6649" max="6649" width="9.28515625" style="90" bestFit="1" customWidth="1"/>
    <col min="6650" max="6650" width="7.85546875" style="90" bestFit="1" customWidth="1"/>
    <col min="6651" max="6651" width="12.140625" style="90" bestFit="1" customWidth="1"/>
    <col min="6652" max="6652" width="10.85546875" style="90" bestFit="1" customWidth="1"/>
    <col min="6653" max="6903" width="9.140625" style="90"/>
    <col min="6904" max="6904" width="10.140625" style="90" bestFit="1" customWidth="1"/>
    <col min="6905" max="6905" width="9.28515625" style="90" bestFit="1" customWidth="1"/>
    <col min="6906" max="6906" width="7.85546875" style="90" bestFit="1" customWidth="1"/>
    <col min="6907" max="6907" width="12.140625" style="90" bestFit="1" customWidth="1"/>
    <col min="6908" max="6908" width="10.85546875" style="90" bestFit="1" customWidth="1"/>
    <col min="6909" max="7159" width="9.140625" style="90"/>
    <col min="7160" max="7160" width="10.140625" style="90" bestFit="1" customWidth="1"/>
    <col min="7161" max="7161" width="9.28515625" style="90" bestFit="1" customWidth="1"/>
    <col min="7162" max="7162" width="7.85546875" style="90" bestFit="1" customWidth="1"/>
    <col min="7163" max="7163" width="12.140625" style="90" bestFit="1" customWidth="1"/>
    <col min="7164" max="7164" width="10.85546875" style="90" bestFit="1" customWidth="1"/>
    <col min="7165" max="7415" width="9.140625" style="90"/>
    <col min="7416" max="7416" width="10.140625" style="90" bestFit="1" customWidth="1"/>
    <col min="7417" max="7417" width="9.28515625" style="90" bestFit="1" customWidth="1"/>
    <col min="7418" max="7418" width="7.85546875" style="90" bestFit="1" customWidth="1"/>
    <col min="7419" max="7419" width="12.140625" style="90" bestFit="1" customWidth="1"/>
    <col min="7420" max="7420" width="10.85546875" style="90" bestFit="1" customWidth="1"/>
    <col min="7421" max="7671" width="9.140625" style="90"/>
    <col min="7672" max="7672" width="10.140625" style="90" bestFit="1" customWidth="1"/>
    <col min="7673" max="7673" width="9.28515625" style="90" bestFit="1" customWidth="1"/>
    <col min="7674" max="7674" width="7.85546875" style="90" bestFit="1" customWidth="1"/>
    <col min="7675" max="7675" width="12.140625" style="90" bestFit="1" customWidth="1"/>
    <col min="7676" max="7676" width="10.85546875" style="90" bestFit="1" customWidth="1"/>
    <col min="7677" max="7927" width="9.140625" style="90"/>
    <col min="7928" max="7928" width="10.140625" style="90" bestFit="1" customWidth="1"/>
    <col min="7929" max="7929" width="9.28515625" style="90" bestFit="1" customWidth="1"/>
    <col min="7930" max="7930" width="7.85546875" style="90" bestFit="1" customWidth="1"/>
    <col min="7931" max="7931" width="12.140625" style="90" bestFit="1" customWidth="1"/>
    <col min="7932" max="7932" width="10.85546875" style="90" bestFit="1" customWidth="1"/>
    <col min="7933" max="8183" width="9.140625" style="90"/>
    <col min="8184" max="8184" width="10.140625" style="90" bestFit="1" customWidth="1"/>
    <col min="8185" max="8185" width="9.28515625" style="90" bestFit="1" customWidth="1"/>
    <col min="8186" max="8186" width="7.85546875" style="90" bestFit="1" customWidth="1"/>
    <col min="8187" max="8187" width="12.140625" style="90" bestFit="1" customWidth="1"/>
    <col min="8188" max="8188" width="10.85546875" style="90" bestFit="1" customWidth="1"/>
    <col min="8189" max="8439" width="9.140625" style="90"/>
    <col min="8440" max="8440" width="10.140625" style="90" bestFit="1" customWidth="1"/>
    <col min="8441" max="8441" width="9.28515625" style="90" bestFit="1" customWidth="1"/>
    <col min="8442" max="8442" width="7.85546875" style="90" bestFit="1" customWidth="1"/>
    <col min="8443" max="8443" width="12.140625" style="90" bestFit="1" customWidth="1"/>
    <col min="8444" max="8444" width="10.85546875" style="90" bestFit="1" customWidth="1"/>
    <col min="8445" max="8695" width="9.140625" style="90"/>
    <col min="8696" max="8696" width="10.140625" style="90" bestFit="1" customWidth="1"/>
    <col min="8697" max="8697" width="9.28515625" style="90" bestFit="1" customWidth="1"/>
    <col min="8698" max="8698" width="7.85546875" style="90" bestFit="1" customWidth="1"/>
    <col min="8699" max="8699" width="12.140625" style="90" bestFit="1" customWidth="1"/>
    <col min="8700" max="8700" width="10.85546875" style="90" bestFit="1" customWidth="1"/>
    <col min="8701" max="8951" width="9.140625" style="90"/>
    <col min="8952" max="8952" width="10.140625" style="90" bestFit="1" customWidth="1"/>
    <col min="8953" max="8953" width="9.28515625" style="90" bestFit="1" customWidth="1"/>
    <col min="8954" max="8954" width="7.85546875" style="90" bestFit="1" customWidth="1"/>
    <col min="8955" max="8955" width="12.140625" style="90" bestFit="1" customWidth="1"/>
    <col min="8956" max="8956" width="10.85546875" style="90" bestFit="1" customWidth="1"/>
    <col min="8957" max="9207" width="9.140625" style="90"/>
    <col min="9208" max="9208" width="10.140625" style="90" bestFit="1" customWidth="1"/>
    <col min="9209" max="9209" width="9.28515625" style="90" bestFit="1" customWidth="1"/>
    <col min="9210" max="9210" width="7.85546875" style="90" bestFit="1" customWidth="1"/>
    <col min="9211" max="9211" width="12.140625" style="90" bestFit="1" customWidth="1"/>
    <col min="9212" max="9212" width="10.85546875" style="90" bestFit="1" customWidth="1"/>
    <col min="9213" max="9463" width="9.140625" style="90"/>
    <col min="9464" max="9464" width="10.140625" style="90" bestFit="1" customWidth="1"/>
    <col min="9465" max="9465" width="9.28515625" style="90" bestFit="1" customWidth="1"/>
    <col min="9466" max="9466" width="7.85546875" style="90" bestFit="1" customWidth="1"/>
    <col min="9467" max="9467" width="12.140625" style="90" bestFit="1" customWidth="1"/>
    <col min="9468" max="9468" width="10.85546875" style="90" bestFit="1" customWidth="1"/>
    <col min="9469" max="9719" width="9.140625" style="90"/>
    <col min="9720" max="9720" width="10.140625" style="90" bestFit="1" customWidth="1"/>
    <col min="9721" max="9721" width="9.28515625" style="90" bestFit="1" customWidth="1"/>
    <col min="9722" max="9722" width="7.85546875" style="90" bestFit="1" customWidth="1"/>
    <col min="9723" max="9723" width="12.140625" style="90" bestFit="1" customWidth="1"/>
    <col min="9724" max="9724" width="10.85546875" style="90" bestFit="1" customWidth="1"/>
    <col min="9725" max="9975" width="9.140625" style="90"/>
    <col min="9976" max="9976" width="10.140625" style="90" bestFit="1" customWidth="1"/>
    <col min="9977" max="9977" width="9.28515625" style="90" bestFit="1" customWidth="1"/>
    <col min="9978" max="9978" width="7.85546875" style="90" bestFit="1" customWidth="1"/>
    <col min="9979" max="9979" width="12.140625" style="90" bestFit="1" customWidth="1"/>
    <col min="9980" max="9980" width="10.85546875" style="90" bestFit="1" customWidth="1"/>
    <col min="9981" max="10231" width="9.140625" style="90"/>
    <col min="10232" max="10232" width="10.140625" style="90" bestFit="1" customWidth="1"/>
    <col min="10233" max="10233" width="9.28515625" style="90" bestFit="1" customWidth="1"/>
    <col min="10234" max="10234" width="7.85546875" style="90" bestFit="1" customWidth="1"/>
    <col min="10235" max="10235" width="12.140625" style="90" bestFit="1" customWidth="1"/>
    <col min="10236" max="10236" width="10.85546875" style="90" bestFit="1" customWidth="1"/>
    <col min="10237" max="10487" width="9.140625" style="90"/>
    <col min="10488" max="10488" width="10.140625" style="90" bestFit="1" customWidth="1"/>
    <col min="10489" max="10489" width="9.28515625" style="90" bestFit="1" customWidth="1"/>
    <col min="10490" max="10490" width="7.85546875" style="90" bestFit="1" customWidth="1"/>
    <col min="10491" max="10491" width="12.140625" style="90" bestFit="1" customWidth="1"/>
    <col min="10492" max="10492" width="10.85546875" style="90" bestFit="1" customWidth="1"/>
    <col min="10493" max="10743" width="9.140625" style="90"/>
    <col min="10744" max="10744" width="10.140625" style="90" bestFit="1" customWidth="1"/>
    <col min="10745" max="10745" width="9.28515625" style="90" bestFit="1" customWidth="1"/>
    <col min="10746" max="10746" width="7.85546875" style="90" bestFit="1" customWidth="1"/>
    <col min="10747" max="10747" width="12.140625" style="90" bestFit="1" customWidth="1"/>
    <col min="10748" max="10748" width="10.85546875" style="90" bestFit="1" customWidth="1"/>
    <col min="10749" max="10999" width="9.140625" style="90"/>
    <col min="11000" max="11000" width="10.140625" style="90" bestFit="1" customWidth="1"/>
    <col min="11001" max="11001" width="9.28515625" style="90" bestFit="1" customWidth="1"/>
    <col min="11002" max="11002" width="7.85546875" style="90" bestFit="1" customWidth="1"/>
    <col min="11003" max="11003" width="12.140625" style="90" bestFit="1" customWidth="1"/>
    <col min="11004" max="11004" width="10.85546875" style="90" bestFit="1" customWidth="1"/>
    <col min="11005" max="11255" width="9.140625" style="90"/>
    <col min="11256" max="11256" width="10.140625" style="90" bestFit="1" customWidth="1"/>
    <col min="11257" max="11257" width="9.28515625" style="90" bestFit="1" customWidth="1"/>
    <col min="11258" max="11258" width="7.85546875" style="90" bestFit="1" customWidth="1"/>
    <col min="11259" max="11259" width="12.140625" style="90" bestFit="1" customWidth="1"/>
    <col min="11260" max="11260" width="10.85546875" style="90" bestFit="1" customWidth="1"/>
    <col min="11261" max="11511" width="9.140625" style="90"/>
    <col min="11512" max="11512" width="10.140625" style="90" bestFit="1" customWidth="1"/>
    <col min="11513" max="11513" width="9.28515625" style="90" bestFit="1" customWidth="1"/>
    <col min="11514" max="11514" width="7.85546875" style="90" bestFit="1" customWidth="1"/>
    <col min="11515" max="11515" width="12.140625" style="90" bestFit="1" customWidth="1"/>
    <col min="11516" max="11516" width="10.85546875" style="90" bestFit="1" customWidth="1"/>
    <col min="11517" max="11767" width="9.140625" style="90"/>
    <col min="11768" max="11768" width="10.140625" style="90" bestFit="1" customWidth="1"/>
    <col min="11769" max="11769" width="9.28515625" style="90" bestFit="1" customWidth="1"/>
    <col min="11770" max="11770" width="7.85546875" style="90" bestFit="1" customWidth="1"/>
    <col min="11771" max="11771" width="12.140625" style="90" bestFit="1" customWidth="1"/>
    <col min="11772" max="11772" width="10.85546875" style="90" bestFit="1" customWidth="1"/>
    <col min="11773" max="12023" width="9.140625" style="90"/>
    <col min="12024" max="12024" width="10.140625" style="90" bestFit="1" customWidth="1"/>
    <col min="12025" max="12025" width="9.28515625" style="90" bestFit="1" customWidth="1"/>
    <col min="12026" max="12026" width="7.85546875" style="90" bestFit="1" customWidth="1"/>
    <col min="12027" max="12027" width="12.140625" style="90" bestFit="1" customWidth="1"/>
    <col min="12028" max="12028" width="10.85546875" style="90" bestFit="1" customWidth="1"/>
    <col min="12029" max="12279" width="9.140625" style="90"/>
    <col min="12280" max="12280" width="10.140625" style="90" bestFit="1" customWidth="1"/>
    <col min="12281" max="12281" width="9.28515625" style="90" bestFit="1" customWidth="1"/>
    <col min="12282" max="12282" width="7.85546875" style="90" bestFit="1" customWidth="1"/>
    <col min="12283" max="12283" width="12.140625" style="90" bestFit="1" customWidth="1"/>
    <col min="12284" max="12284" width="10.85546875" style="90" bestFit="1" customWidth="1"/>
    <col min="12285" max="12535" width="9.140625" style="90"/>
    <col min="12536" max="12536" width="10.140625" style="90" bestFit="1" customWidth="1"/>
    <col min="12537" max="12537" width="9.28515625" style="90" bestFit="1" customWidth="1"/>
    <col min="12538" max="12538" width="7.85546875" style="90" bestFit="1" customWidth="1"/>
    <col min="12539" max="12539" width="12.140625" style="90" bestFit="1" customWidth="1"/>
    <col min="12540" max="12540" width="10.85546875" style="90" bestFit="1" customWidth="1"/>
    <col min="12541" max="12791" width="9.140625" style="90"/>
    <col min="12792" max="12792" width="10.140625" style="90" bestFit="1" customWidth="1"/>
    <col min="12793" max="12793" width="9.28515625" style="90" bestFit="1" customWidth="1"/>
    <col min="12794" max="12794" width="7.85546875" style="90" bestFit="1" customWidth="1"/>
    <col min="12795" max="12795" width="12.140625" style="90" bestFit="1" customWidth="1"/>
    <col min="12796" max="12796" width="10.85546875" style="90" bestFit="1" customWidth="1"/>
    <col min="12797" max="13047" width="9.140625" style="90"/>
    <col min="13048" max="13048" width="10.140625" style="90" bestFit="1" customWidth="1"/>
    <col min="13049" max="13049" width="9.28515625" style="90" bestFit="1" customWidth="1"/>
    <col min="13050" max="13050" width="7.85546875" style="90" bestFit="1" customWidth="1"/>
    <col min="13051" max="13051" width="12.140625" style="90" bestFit="1" customWidth="1"/>
    <col min="13052" max="13052" width="10.85546875" style="90" bestFit="1" customWidth="1"/>
    <col min="13053" max="13303" width="9.140625" style="90"/>
    <col min="13304" max="13304" width="10.140625" style="90" bestFit="1" customWidth="1"/>
    <col min="13305" max="13305" width="9.28515625" style="90" bestFit="1" customWidth="1"/>
    <col min="13306" max="13306" width="7.85546875" style="90" bestFit="1" customWidth="1"/>
    <col min="13307" max="13307" width="12.140625" style="90" bestFit="1" customWidth="1"/>
    <col min="13308" max="13308" width="10.85546875" style="90" bestFit="1" customWidth="1"/>
    <col min="13309" max="13559" width="9.140625" style="90"/>
    <col min="13560" max="13560" width="10.140625" style="90" bestFit="1" customWidth="1"/>
    <col min="13561" max="13561" width="9.28515625" style="90" bestFit="1" customWidth="1"/>
    <col min="13562" max="13562" width="7.85546875" style="90" bestFit="1" customWidth="1"/>
    <col min="13563" max="13563" width="12.140625" style="90" bestFit="1" customWidth="1"/>
    <col min="13564" max="13564" width="10.85546875" style="90" bestFit="1" customWidth="1"/>
    <col min="13565" max="13815" width="9.140625" style="90"/>
    <col min="13816" max="13816" width="10.140625" style="90" bestFit="1" customWidth="1"/>
    <col min="13817" max="13817" width="9.28515625" style="90" bestFit="1" customWidth="1"/>
    <col min="13818" max="13818" width="7.85546875" style="90" bestFit="1" customWidth="1"/>
    <col min="13819" max="13819" width="12.140625" style="90" bestFit="1" customWidth="1"/>
    <col min="13820" max="13820" width="10.85546875" style="90" bestFit="1" customWidth="1"/>
    <col min="13821" max="14071" width="9.140625" style="90"/>
    <col min="14072" max="14072" width="10.140625" style="90" bestFit="1" customWidth="1"/>
    <col min="14073" max="14073" width="9.28515625" style="90" bestFit="1" customWidth="1"/>
    <col min="14074" max="14074" width="7.85546875" style="90" bestFit="1" customWidth="1"/>
    <col min="14075" max="14075" width="12.140625" style="90" bestFit="1" customWidth="1"/>
    <col min="14076" max="14076" width="10.85546875" style="90" bestFit="1" customWidth="1"/>
    <col min="14077" max="14327" width="9.140625" style="90"/>
    <col min="14328" max="14328" width="10.140625" style="90" bestFit="1" customWidth="1"/>
    <col min="14329" max="14329" width="9.28515625" style="90" bestFit="1" customWidth="1"/>
    <col min="14330" max="14330" width="7.85546875" style="90" bestFit="1" customWidth="1"/>
    <col min="14331" max="14331" width="12.140625" style="90" bestFit="1" customWidth="1"/>
    <col min="14332" max="14332" width="10.85546875" style="90" bestFit="1" customWidth="1"/>
    <col min="14333" max="14583" width="9.140625" style="90"/>
    <col min="14584" max="14584" width="10.140625" style="90" bestFit="1" customWidth="1"/>
    <col min="14585" max="14585" width="9.28515625" style="90" bestFit="1" customWidth="1"/>
    <col min="14586" max="14586" width="7.85546875" style="90" bestFit="1" customWidth="1"/>
    <col min="14587" max="14587" width="12.140625" style="90" bestFit="1" customWidth="1"/>
    <col min="14588" max="14588" width="10.85546875" style="90" bestFit="1" customWidth="1"/>
    <col min="14589" max="14839" width="9.140625" style="90"/>
    <col min="14840" max="14840" width="10.140625" style="90" bestFit="1" customWidth="1"/>
    <col min="14841" max="14841" width="9.28515625" style="90" bestFit="1" customWidth="1"/>
    <col min="14842" max="14842" width="7.85546875" style="90" bestFit="1" customWidth="1"/>
    <col min="14843" max="14843" width="12.140625" style="90" bestFit="1" customWidth="1"/>
    <col min="14844" max="14844" width="10.85546875" style="90" bestFit="1" customWidth="1"/>
    <col min="14845" max="15095" width="9.140625" style="90"/>
    <col min="15096" max="15096" width="10.140625" style="90" bestFit="1" customWidth="1"/>
    <col min="15097" max="15097" width="9.28515625" style="90" bestFit="1" customWidth="1"/>
    <col min="15098" max="15098" width="7.85546875" style="90" bestFit="1" customWidth="1"/>
    <col min="15099" max="15099" width="12.140625" style="90" bestFit="1" customWidth="1"/>
    <col min="15100" max="15100" width="10.85546875" style="90" bestFit="1" customWidth="1"/>
    <col min="15101" max="15351" width="9.140625" style="90"/>
    <col min="15352" max="15352" width="10.140625" style="90" bestFit="1" customWidth="1"/>
    <col min="15353" max="15353" width="9.28515625" style="90" bestFit="1" customWidth="1"/>
    <col min="15354" max="15354" width="7.85546875" style="90" bestFit="1" customWidth="1"/>
    <col min="15355" max="15355" width="12.140625" style="90" bestFit="1" customWidth="1"/>
    <col min="15356" max="15356" width="10.85546875" style="90" bestFit="1" customWidth="1"/>
    <col min="15357" max="15607" width="9.140625" style="90"/>
    <col min="15608" max="15608" width="10.140625" style="90" bestFit="1" customWidth="1"/>
    <col min="15609" max="15609" width="9.28515625" style="90" bestFit="1" customWidth="1"/>
    <col min="15610" max="15610" width="7.85546875" style="90" bestFit="1" customWidth="1"/>
    <col min="15611" max="15611" width="12.140625" style="90" bestFit="1" customWidth="1"/>
    <col min="15612" max="15612" width="10.85546875" style="90" bestFit="1" customWidth="1"/>
    <col min="15613" max="15863" width="9.140625" style="90"/>
    <col min="15864" max="15864" width="10.140625" style="90" bestFit="1" customWidth="1"/>
    <col min="15865" max="15865" width="9.28515625" style="90" bestFit="1" customWidth="1"/>
    <col min="15866" max="15866" width="7.85546875" style="90" bestFit="1" customWidth="1"/>
    <col min="15867" max="15867" width="12.140625" style="90" bestFit="1" customWidth="1"/>
    <col min="15868" max="15868" width="10.85546875" style="90" bestFit="1" customWidth="1"/>
    <col min="15869" max="16119" width="9.140625" style="90"/>
    <col min="16120" max="16120" width="10.140625" style="90" bestFit="1" customWidth="1"/>
    <col min="16121" max="16121" width="9.28515625" style="90" bestFit="1" customWidth="1"/>
    <col min="16122" max="16122" width="7.85546875" style="90" bestFit="1" customWidth="1"/>
    <col min="16123" max="16123" width="12.140625" style="90" bestFit="1" customWidth="1"/>
    <col min="16124" max="16124" width="10.85546875" style="90" bestFit="1" customWidth="1"/>
    <col min="16125" max="16384" width="9.140625" style="90"/>
  </cols>
  <sheetData>
    <row r="1" spans="1:17" ht="15" x14ac:dyDescent="0.25">
      <c r="A1" s="233" t="s">
        <v>235</v>
      </c>
      <c r="B1" s="233" t="s">
        <v>1025</v>
      </c>
      <c r="C1" s="233" t="s">
        <v>1026</v>
      </c>
      <c r="D1" s="233" t="s">
        <v>1027</v>
      </c>
      <c r="E1" s="233" t="s">
        <v>1008</v>
      </c>
    </row>
    <row r="2" spans="1:17" x14ac:dyDescent="0.2">
      <c r="A2" s="249">
        <v>42400</v>
      </c>
      <c r="B2" s="90" t="s">
        <v>1028</v>
      </c>
      <c r="C2" s="90" t="s">
        <v>1029</v>
      </c>
      <c r="D2" s="90" t="s">
        <v>1030</v>
      </c>
      <c r="E2" s="90">
        <v>12511</v>
      </c>
    </row>
    <row r="3" spans="1:17" ht="15" x14ac:dyDescent="0.25">
      <c r="A3" s="249">
        <v>42400</v>
      </c>
      <c r="B3" s="90" t="s">
        <v>1028</v>
      </c>
      <c r="C3" s="90" t="s">
        <v>1031</v>
      </c>
      <c r="D3" s="90" t="s">
        <v>1032</v>
      </c>
      <c r="E3" s="90">
        <v>7261</v>
      </c>
      <c r="G3" s="11" t="s">
        <v>1046</v>
      </c>
      <c r="H3" s="11" t="s">
        <v>98</v>
      </c>
      <c r="I3"/>
      <c r="J3"/>
      <c r="K3"/>
    </row>
    <row r="4" spans="1:17" ht="15" x14ac:dyDescent="0.25">
      <c r="A4" s="249">
        <v>42400</v>
      </c>
      <c r="B4" s="90" t="s">
        <v>1028</v>
      </c>
      <c r="C4" s="90" t="s">
        <v>1033</v>
      </c>
      <c r="D4" s="90" t="s">
        <v>1032</v>
      </c>
      <c r="E4" s="90">
        <v>9681</v>
      </c>
      <c r="G4" s="11" t="s">
        <v>86</v>
      </c>
      <c r="H4" t="s">
        <v>1037</v>
      </c>
      <c r="I4" t="s">
        <v>1030</v>
      </c>
      <c r="J4" t="s">
        <v>1032</v>
      </c>
      <c r="K4" t="s">
        <v>8</v>
      </c>
    </row>
    <row r="5" spans="1:17" ht="15" x14ac:dyDescent="0.25">
      <c r="A5" s="249">
        <v>42400</v>
      </c>
      <c r="B5" s="90" t="s">
        <v>1028</v>
      </c>
      <c r="C5" s="90" t="s">
        <v>1034</v>
      </c>
      <c r="D5" s="90" t="s">
        <v>1030</v>
      </c>
      <c r="E5" s="90">
        <v>18766</v>
      </c>
      <c r="G5" s="3" t="s">
        <v>1028</v>
      </c>
      <c r="H5">
        <v>961404</v>
      </c>
      <c r="I5">
        <v>744313</v>
      </c>
      <c r="J5">
        <v>620261</v>
      </c>
      <c r="K5">
        <v>2325978</v>
      </c>
    </row>
    <row r="6" spans="1:17" ht="15" x14ac:dyDescent="0.25">
      <c r="A6" s="249">
        <v>42400</v>
      </c>
      <c r="B6" s="90" t="s">
        <v>1028</v>
      </c>
      <c r="C6" s="90" t="s">
        <v>1035</v>
      </c>
      <c r="D6" s="90" t="s">
        <v>1032</v>
      </c>
      <c r="E6" s="90">
        <v>2420</v>
      </c>
      <c r="G6" s="3" t="s">
        <v>1044</v>
      </c>
      <c r="H6">
        <v>1047169</v>
      </c>
      <c r="I6">
        <v>810709</v>
      </c>
      <c r="J6">
        <v>675593</v>
      </c>
      <c r="K6">
        <v>2533471</v>
      </c>
    </row>
    <row r="7" spans="1:17" ht="15" x14ac:dyDescent="0.25">
      <c r="A7" s="249">
        <v>42400</v>
      </c>
      <c r="B7" s="90" t="s">
        <v>1028</v>
      </c>
      <c r="C7" s="90" t="s">
        <v>1036</v>
      </c>
      <c r="D7" s="90" t="s">
        <v>1037</v>
      </c>
      <c r="E7" s="90">
        <v>25009</v>
      </c>
      <c r="G7" s="3" t="s">
        <v>1045</v>
      </c>
      <c r="H7">
        <v>881029</v>
      </c>
      <c r="I7">
        <v>682090</v>
      </c>
      <c r="J7">
        <v>568407</v>
      </c>
      <c r="K7">
        <v>2131526</v>
      </c>
    </row>
    <row r="8" spans="1:17" ht="15" x14ac:dyDescent="0.25">
      <c r="A8" s="249">
        <v>42400</v>
      </c>
      <c r="B8" s="90" t="s">
        <v>1028</v>
      </c>
      <c r="C8" s="90" t="s">
        <v>1038</v>
      </c>
      <c r="D8" s="90" t="s">
        <v>1030</v>
      </c>
      <c r="E8" s="90">
        <v>5362</v>
      </c>
      <c r="G8" s="3" t="s">
        <v>8</v>
      </c>
      <c r="H8">
        <v>2889602</v>
      </c>
      <c r="I8">
        <v>2237112</v>
      </c>
      <c r="J8">
        <v>1864261</v>
      </c>
      <c r="K8">
        <v>6990975</v>
      </c>
    </row>
    <row r="9" spans="1:17" ht="15" x14ac:dyDescent="0.25">
      <c r="A9" s="249">
        <v>42400</v>
      </c>
      <c r="B9" s="90" t="s">
        <v>1028</v>
      </c>
      <c r="C9" s="90" t="s">
        <v>1039</v>
      </c>
      <c r="D9" s="90" t="s">
        <v>1032</v>
      </c>
      <c r="E9" s="90">
        <v>15490</v>
      </c>
      <c r="G9"/>
      <c r="H9"/>
      <c r="I9"/>
    </row>
    <row r="10" spans="1:17" ht="15" x14ac:dyDescent="0.25">
      <c r="A10" s="249">
        <v>42400</v>
      </c>
      <c r="B10" s="90" t="s">
        <v>1028</v>
      </c>
      <c r="C10" s="90" t="s">
        <v>1040</v>
      </c>
      <c r="D10" s="90" t="s">
        <v>1030</v>
      </c>
      <c r="E10" s="90">
        <v>21447</v>
      </c>
      <c r="G10"/>
      <c r="H10"/>
      <c r="I10"/>
    </row>
    <row r="11" spans="1:17" ht="15" x14ac:dyDescent="0.25">
      <c r="A11" s="249">
        <v>42400</v>
      </c>
      <c r="B11" s="90" t="s">
        <v>1028</v>
      </c>
      <c r="C11" s="90" t="s">
        <v>1041</v>
      </c>
      <c r="D11" s="90" t="s">
        <v>1037</v>
      </c>
      <c r="E11" s="90">
        <v>16673</v>
      </c>
      <c r="G11"/>
      <c r="H11"/>
      <c r="I11"/>
    </row>
    <row r="12" spans="1:17" ht="15" x14ac:dyDescent="0.25">
      <c r="A12" s="249">
        <v>42400</v>
      </c>
      <c r="B12" s="90" t="s">
        <v>1028</v>
      </c>
      <c r="C12" s="90" t="s">
        <v>1042</v>
      </c>
      <c r="D12" s="90" t="s">
        <v>1037</v>
      </c>
      <c r="E12" s="90">
        <v>33346</v>
      </c>
      <c r="G12"/>
      <c r="H12"/>
      <c r="I12"/>
    </row>
    <row r="13" spans="1:17" ht="15" x14ac:dyDescent="0.25">
      <c r="A13" s="249">
        <v>42400</v>
      </c>
      <c r="B13" s="90" t="s">
        <v>1028</v>
      </c>
      <c r="C13" s="90" t="s">
        <v>1043</v>
      </c>
      <c r="D13" s="90" t="s">
        <v>1032</v>
      </c>
      <c r="E13" s="90">
        <v>13553</v>
      </c>
      <c r="G13"/>
      <c r="H13"/>
      <c r="I13"/>
      <c r="M13" s="11" t="s">
        <v>1046</v>
      </c>
      <c r="N13" s="11" t="s">
        <v>1027</v>
      </c>
      <c r="O13"/>
      <c r="P13"/>
      <c r="Q13"/>
    </row>
    <row r="14" spans="1:17" ht="15" x14ac:dyDescent="0.25">
      <c r="A14" s="249">
        <v>42400</v>
      </c>
      <c r="B14" s="90" t="s">
        <v>1044</v>
      </c>
      <c r="C14" s="90" t="s">
        <v>1029</v>
      </c>
      <c r="D14" s="90" t="s">
        <v>1030</v>
      </c>
      <c r="E14" s="90">
        <v>13616</v>
      </c>
      <c r="G14"/>
      <c r="H14"/>
      <c r="I14"/>
      <c r="M14" s="11" t="s">
        <v>1025</v>
      </c>
      <c r="N14" t="s">
        <v>1037</v>
      </c>
      <c r="O14" t="s">
        <v>1030</v>
      </c>
      <c r="P14" t="s">
        <v>1032</v>
      </c>
      <c r="Q14" t="s">
        <v>8</v>
      </c>
    </row>
    <row r="15" spans="1:17" ht="15" x14ac:dyDescent="0.25">
      <c r="A15" s="249">
        <v>42400</v>
      </c>
      <c r="B15" s="90" t="s">
        <v>1044</v>
      </c>
      <c r="C15" s="90" t="s">
        <v>1031</v>
      </c>
      <c r="D15" s="90" t="s">
        <v>1032</v>
      </c>
      <c r="E15" s="90">
        <v>7902</v>
      </c>
      <c r="G15"/>
      <c r="H15"/>
      <c r="I15"/>
      <c r="M15" t="s">
        <v>1028</v>
      </c>
      <c r="N15" s="12">
        <v>961404</v>
      </c>
      <c r="O15" s="12">
        <v>744313</v>
      </c>
      <c r="P15" s="12">
        <v>620261</v>
      </c>
      <c r="Q15" s="12">
        <v>2325978</v>
      </c>
    </row>
    <row r="16" spans="1:17" ht="15" x14ac:dyDescent="0.25">
      <c r="A16" s="249">
        <v>42400</v>
      </c>
      <c r="B16" s="90" t="s">
        <v>1044</v>
      </c>
      <c r="C16" s="90" t="s">
        <v>1033</v>
      </c>
      <c r="D16" s="90" t="s">
        <v>1032</v>
      </c>
      <c r="E16" s="90">
        <v>10536</v>
      </c>
      <c r="G16"/>
      <c r="H16"/>
      <c r="I16"/>
      <c r="M16" t="s">
        <v>1044</v>
      </c>
      <c r="N16" s="12">
        <v>1047169</v>
      </c>
      <c r="O16" s="12">
        <v>810709</v>
      </c>
      <c r="P16" s="12">
        <v>675593</v>
      </c>
      <c r="Q16" s="12">
        <v>2533471</v>
      </c>
    </row>
    <row r="17" spans="1:24" ht="15" x14ac:dyDescent="0.25">
      <c r="A17" s="249">
        <v>42400</v>
      </c>
      <c r="B17" s="90" t="s">
        <v>1044</v>
      </c>
      <c r="C17" s="90" t="s">
        <v>1034</v>
      </c>
      <c r="D17" s="90" t="s">
        <v>1030</v>
      </c>
      <c r="E17" s="90">
        <v>20424</v>
      </c>
      <c r="G17"/>
      <c r="H17"/>
      <c r="I17"/>
      <c r="M17" t="s">
        <v>1045</v>
      </c>
      <c r="N17" s="12">
        <v>881029</v>
      </c>
      <c r="O17" s="12">
        <v>682090</v>
      </c>
      <c r="P17" s="12">
        <v>568407</v>
      </c>
      <c r="Q17" s="12">
        <v>2131526</v>
      </c>
    </row>
    <row r="18" spans="1:24" ht="15" x14ac:dyDescent="0.25">
      <c r="A18" s="249">
        <v>42400</v>
      </c>
      <c r="B18" s="90" t="s">
        <v>1044</v>
      </c>
      <c r="C18" s="90" t="s">
        <v>1035</v>
      </c>
      <c r="D18" s="90" t="s">
        <v>1032</v>
      </c>
      <c r="E18" s="90">
        <v>2634</v>
      </c>
      <c r="G18"/>
      <c r="H18"/>
      <c r="I18"/>
      <c r="M18" t="s">
        <v>8</v>
      </c>
      <c r="N18" s="12">
        <v>2889602</v>
      </c>
      <c r="O18" s="12">
        <v>2237112</v>
      </c>
      <c r="P18" s="12">
        <v>1864261</v>
      </c>
      <c r="Q18" s="12">
        <v>6990975</v>
      </c>
    </row>
    <row r="19" spans="1:24" ht="15" x14ac:dyDescent="0.25">
      <c r="A19" s="249">
        <v>42400</v>
      </c>
      <c r="B19" s="90" t="s">
        <v>1044</v>
      </c>
      <c r="C19" s="90" t="s">
        <v>1036</v>
      </c>
      <c r="D19" s="90" t="s">
        <v>1037</v>
      </c>
      <c r="E19" s="90">
        <v>27218</v>
      </c>
      <c r="G19"/>
      <c r="H19"/>
      <c r="I19"/>
      <c r="M19"/>
      <c r="N19"/>
      <c r="O19"/>
    </row>
    <row r="20" spans="1:24" ht="15" x14ac:dyDescent="0.25">
      <c r="A20" s="249">
        <v>42400</v>
      </c>
      <c r="B20" s="90" t="s">
        <v>1044</v>
      </c>
      <c r="C20" s="90" t="s">
        <v>1038</v>
      </c>
      <c r="D20" s="90" t="s">
        <v>1030</v>
      </c>
      <c r="E20" s="90">
        <v>5835</v>
      </c>
      <c r="G20"/>
      <c r="H20"/>
      <c r="I20"/>
      <c r="M20"/>
      <c r="N20"/>
      <c r="O20"/>
    </row>
    <row r="21" spans="1:24" ht="15" x14ac:dyDescent="0.25">
      <c r="A21" s="249">
        <v>42400</v>
      </c>
      <c r="B21" s="90" t="s">
        <v>1044</v>
      </c>
      <c r="C21" s="90" t="s">
        <v>1039</v>
      </c>
      <c r="D21" s="90" t="s">
        <v>1032</v>
      </c>
      <c r="E21" s="90">
        <v>16858</v>
      </c>
      <c r="M21"/>
      <c r="N21"/>
      <c r="O21"/>
    </row>
    <row r="22" spans="1:24" ht="15" x14ac:dyDescent="0.25">
      <c r="A22" s="249">
        <v>42400</v>
      </c>
      <c r="B22" s="90" t="s">
        <v>1044</v>
      </c>
      <c r="C22" s="90" t="s">
        <v>1040</v>
      </c>
      <c r="D22" s="90" t="s">
        <v>1030</v>
      </c>
      <c r="E22" s="90">
        <v>23342</v>
      </c>
      <c r="M22"/>
      <c r="N22"/>
      <c r="O22"/>
      <c r="S22" s="11" t="s">
        <v>1046</v>
      </c>
      <c r="T22"/>
      <c r="U22" s="11" t="s">
        <v>1025</v>
      </c>
      <c r="V22"/>
      <c r="W22"/>
      <c r="X22"/>
    </row>
    <row r="23" spans="1:24" ht="15" x14ac:dyDescent="0.25">
      <c r="A23" s="249">
        <v>42400</v>
      </c>
      <c r="B23" s="90" t="s">
        <v>1044</v>
      </c>
      <c r="C23" s="90" t="s">
        <v>1041</v>
      </c>
      <c r="D23" s="90" t="s">
        <v>1037</v>
      </c>
      <c r="E23" s="90">
        <v>18146</v>
      </c>
      <c r="M23"/>
      <c r="N23"/>
      <c r="O23"/>
      <c r="S23" s="11" t="s">
        <v>1027</v>
      </c>
      <c r="T23" s="11" t="s">
        <v>1026</v>
      </c>
      <c r="U23" t="s">
        <v>1028</v>
      </c>
      <c r="V23" t="s">
        <v>1044</v>
      </c>
      <c r="W23" t="s">
        <v>1045</v>
      </c>
      <c r="X23" t="s">
        <v>8</v>
      </c>
    </row>
    <row r="24" spans="1:24" ht="15" x14ac:dyDescent="0.25">
      <c r="A24" s="249">
        <v>42400</v>
      </c>
      <c r="B24" s="90" t="s">
        <v>1044</v>
      </c>
      <c r="C24" s="90" t="s">
        <v>1042</v>
      </c>
      <c r="D24" s="90" t="s">
        <v>1037</v>
      </c>
      <c r="E24" s="90">
        <v>36291</v>
      </c>
      <c r="M24"/>
      <c r="N24"/>
      <c r="O24"/>
      <c r="S24" t="s">
        <v>1037</v>
      </c>
      <c r="T24"/>
      <c r="U24" s="12">
        <v>961404</v>
      </c>
      <c r="V24" s="12">
        <v>1047169</v>
      </c>
      <c r="W24" s="12">
        <v>881029</v>
      </c>
      <c r="X24" s="12">
        <v>2889602</v>
      </c>
    </row>
    <row r="25" spans="1:24" ht="15" x14ac:dyDescent="0.25">
      <c r="A25" s="249">
        <v>42400</v>
      </c>
      <c r="B25" s="90" t="s">
        <v>1044</v>
      </c>
      <c r="C25" s="90" t="s">
        <v>1043</v>
      </c>
      <c r="D25" s="90" t="s">
        <v>1032</v>
      </c>
      <c r="E25" s="90">
        <v>14751</v>
      </c>
      <c r="M25"/>
      <c r="N25"/>
      <c r="O25"/>
      <c r="S25"/>
      <c r="T25" t="s">
        <v>1041</v>
      </c>
      <c r="U25" s="12">
        <v>213646</v>
      </c>
      <c r="V25" s="12">
        <v>232705</v>
      </c>
      <c r="W25" s="12">
        <v>195784</v>
      </c>
      <c r="X25" s="12">
        <v>642135</v>
      </c>
    </row>
    <row r="26" spans="1:24" ht="15" x14ac:dyDescent="0.25">
      <c r="A26" s="249">
        <v>42400</v>
      </c>
      <c r="B26" s="90" t="s">
        <v>1045</v>
      </c>
      <c r="C26" s="90" t="s">
        <v>1029</v>
      </c>
      <c r="D26" s="90" t="s">
        <v>1030</v>
      </c>
      <c r="E26" s="90">
        <v>10399</v>
      </c>
      <c r="M26"/>
      <c r="N26"/>
      <c r="O26"/>
      <c r="S26"/>
      <c r="T26" t="s">
        <v>1036</v>
      </c>
      <c r="U26" s="12">
        <v>320469</v>
      </c>
      <c r="V26" s="12">
        <v>349056</v>
      </c>
      <c r="W26" s="12">
        <v>293676</v>
      </c>
      <c r="X26" s="12">
        <v>963201</v>
      </c>
    </row>
    <row r="27" spans="1:24" ht="15" x14ac:dyDescent="0.25">
      <c r="A27" s="249">
        <v>42400</v>
      </c>
      <c r="B27" s="90" t="s">
        <v>1045</v>
      </c>
      <c r="C27" s="90" t="s">
        <v>1031</v>
      </c>
      <c r="D27" s="90" t="s">
        <v>1032</v>
      </c>
      <c r="E27" s="90">
        <v>6035</v>
      </c>
      <c r="M27"/>
      <c r="N27"/>
      <c r="O27"/>
      <c r="S27"/>
      <c r="T27" t="s">
        <v>1042</v>
      </c>
      <c r="U27" s="12">
        <v>427289</v>
      </c>
      <c r="V27" s="12">
        <v>465408</v>
      </c>
      <c r="W27" s="12">
        <v>391569</v>
      </c>
      <c r="X27" s="12">
        <v>1284266</v>
      </c>
    </row>
    <row r="28" spans="1:24" ht="15" x14ac:dyDescent="0.25">
      <c r="A28" s="249">
        <v>42400</v>
      </c>
      <c r="B28" s="90" t="s">
        <v>1045</v>
      </c>
      <c r="C28" s="90" t="s">
        <v>1033</v>
      </c>
      <c r="D28" s="90" t="s">
        <v>1032</v>
      </c>
      <c r="E28" s="90">
        <v>8047</v>
      </c>
      <c r="M28"/>
      <c r="N28"/>
      <c r="O28"/>
      <c r="S28" t="s">
        <v>1030</v>
      </c>
      <c r="T28"/>
      <c r="U28" s="12">
        <v>744313</v>
      </c>
      <c r="V28" s="12">
        <v>810709</v>
      </c>
      <c r="W28" s="12">
        <v>682090</v>
      </c>
      <c r="X28" s="12">
        <v>2237112</v>
      </c>
    </row>
    <row r="29" spans="1:24" ht="15" x14ac:dyDescent="0.25">
      <c r="A29" s="249">
        <v>42400</v>
      </c>
      <c r="B29" s="90" t="s">
        <v>1045</v>
      </c>
      <c r="C29" s="90" t="s">
        <v>1034</v>
      </c>
      <c r="D29" s="90" t="s">
        <v>1030</v>
      </c>
      <c r="E29" s="90">
        <v>15599</v>
      </c>
      <c r="M29"/>
      <c r="N29"/>
      <c r="O29"/>
      <c r="S29"/>
      <c r="T29" t="s">
        <v>1034</v>
      </c>
      <c r="U29" s="12">
        <v>240469</v>
      </c>
      <c r="V29" s="12">
        <v>261922</v>
      </c>
      <c r="W29" s="12">
        <v>220366</v>
      </c>
      <c r="X29" s="12">
        <v>722757</v>
      </c>
    </row>
    <row r="30" spans="1:24" ht="15" x14ac:dyDescent="0.25">
      <c r="A30" s="249">
        <v>42400</v>
      </c>
      <c r="B30" s="90" t="s">
        <v>1045</v>
      </c>
      <c r="C30" s="90" t="s">
        <v>1035</v>
      </c>
      <c r="D30" s="90" t="s">
        <v>1032</v>
      </c>
      <c r="E30" s="90">
        <v>2012</v>
      </c>
      <c r="M30"/>
      <c r="N30"/>
      <c r="O30"/>
      <c r="S30"/>
      <c r="T30" t="s">
        <v>1038</v>
      </c>
      <c r="U30" s="12">
        <v>68706</v>
      </c>
      <c r="V30" s="12">
        <v>74835</v>
      </c>
      <c r="W30" s="12">
        <v>62963</v>
      </c>
      <c r="X30" s="12">
        <v>206504</v>
      </c>
    </row>
    <row r="31" spans="1:24" ht="15" x14ac:dyDescent="0.25">
      <c r="A31" s="249">
        <v>42400</v>
      </c>
      <c r="B31" s="90" t="s">
        <v>1045</v>
      </c>
      <c r="C31" s="90" t="s">
        <v>1036</v>
      </c>
      <c r="D31" s="90" t="s">
        <v>1037</v>
      </c>
      <c r="E31" s="90">
        <v>20788</v>
      </c>
      <c r="S31"/>
      <c r="T31" t="s">
        <v>1029</v>
      </c>
      <c r="U31" s="12">
        <v>160316</v>
      </c>
      <c r="V31" s="12">
        <v>174614</v>
      </c>
      <c r="W31" s="12">
        <v>146912</v>
      </c>
      <c r="X31" s="12">
        <v>481842</v>
      </c>
    </row>
    <row r="32" spans="1:24" ht="15" x14ac:dyDescent="0.25">
      <c r="A32" s="249">
        <v>42400</v>
      </c>
      <c r="B32" s="90" t="s">
        <v>1045</v>
      </c>
      <c r="C32" s="90" t="s">
        <v>1038</v>
      </c>
      <c r="D32" s="90" t="s">
        <v>1030</v>
      </c>
      <c r="E32" s="90">
        <v>4457</v>
      </c>
      <c r="S32"/>
      <c r="T32" t="s">
        <v>1040</v>
      </c>
      <c r="U32" s="12">
        <v>274822</v>
      </c>
      <c r="V32" s="12">
        <v>299338</v>
      </c>
      <c r="W32" s="12">
        <v>251849</v>
      </c>
      <c r="X32" s="12">
        <v>826009</v>
      </c>
    </row>
    <row r="33" spans="1:30" ht="15" x14ac:dyDescent="0.25">
      <c r="A33" s="249">
        <v>42400</v>
      </c>
      <c r="B33" s="90" t="s">
        <v>1045</v>
      </c>
      <c r="C33" s="90" t="s">
        <v>1039</v>
      </c>
      <c r="D33" s="90" t="s">
        <v>1032</v>
      </c>
      <c r="E33" s="90">
        <v>12875</v>
      </c>
      <c r="S33" t="s">
        <v>1032</v>
      </c>
      <c r="T33"/>
      <c r="U33" s="12">
        <v>620261</v>
      </c>
      <c r="V33" s="12">
        <v>675593</v>
      </c>
      <c r="W33" s="12">
        <v>568407</v>
      </c>
      <c r="X33" s="12">
        <v>1864261</v>
      </c>
    </row>
    <row r="34" spans="1:30" ht="15" x14ac:dyDescent="0.25">
      <c r="A34" s="249">
        <v>42400</v>
      </c>
      <c r="B34" s="90" t="s">
        <v>1045</v>
      </c>
      <c r="C34" s="90" t="s">
        <v>1040</v>
      </c>
      <c r="D34" s="90" t="s">
        <v>1030</v>
      </c>
      <c r="E34" s="90">
        <v>17827</v>
      </c>
      <c r="S34"/>
      <c r="T34" t="s">
        <v>1031</v>
      </c>
      <c r="U34" s="12">
        <v>93039</v>
      </c>
      <c r="V34" s="12">
        <v>101338</v>
      </c>
      <c r="W34" s="12">
        <v>85260</v>
      </c>
      <c r="X34" s="12">
        <v>279637</v>
      </c>
    </row>
    <row r="35" spans="1:30" ht="15" x14ac:dyDescent="0.25">
      <c r="A35" s="249">
        <v>42400</v>
      </c>
      <c r="B35" s="90" t="s">
        <v>1045</v>
      </c>
      <c r="C35" s="90" t="s">
        <v>1041</v>
      </c>
      <c r="D35" s="90" t="s">
        <v>1037</v>
      </c>
      <c r="E35" s="90">
        <v>13859</v>
      </c>
      <c r="S35"/>
      <c r="T35" t="s">
        <v>1033</v>
      </c>
      <c r="U35" s="12">
        <v>124051</v>
      </c>
      <c r="V35" s="12">
        <v>135118</v>
      </c>
      <c r="W35" s="12">
        <v>113682</v>
      </c>
      <c r="X35" s="12">
        <v>372851</v>
      </c>
    </row>
    <row r="36" spans="1:30" ht="15" x14ac:dyDescent="0.25">
      <c r="A36" s="249">
        <v>42400</v>
      </c>
      <c r="B36" s="90" t="s">
        <v>1045</v>
      </c>
      <c r="C36" s="90" t="s">
        <v>1042</v>
      </c>
      <c r="D36" s="90" t="s">
        <v>1037</v>
      </c>
      <c r="E36" s="90">
        <v>27717</v>
      </c>
      <c r="S36"/>
      <c r="T36" t="s">
        <v>1035</v>
      </c>
      <c r="U36" s="12">
        <v>31014</v>
      </c>
      <c r="V36" s="12">
        <v>33780</v>
      </c>
      <c r="W36" s="12">
        <v>28420</v>
      </c>
      <c r="X36" s="12">
        <v>93214</v>
      </c>
    </row>
    <row r="37" spans="1:30" ht="15" x14ac:dyDescent="0.25">
      <c r="A37" s="249">
        <v>42400</v>
      </c>
      <c r="B37" s="90" t="s">
        <v>1045</v>
      </c>
      <c r="C37" s="90" t="s">
        <v>1043</v>
      </c>
      <c r="D37" s="90" t="s">
        <v>1032</v>
      </c>
      <c r="E37" s="90">
        <v>11266</v>
      </c>
      <c r="S37"/>
      <c r="T37" t="s">
        <v>1039</v>
      </c>
      <c r="U37" s="12">
        <v>198484</v>
      </c>
      <c r="V37" s="12">
        <v>216190</v>
      </c>
      <c r="W37" s="12">
        <v>181891</v>
      </c>
      <c r="X37" s="12">
        <v>596565</v>
      </c>
    </row>
    <row r="38" spans="1:30" ht="15" x14ac:dyDescent="0.25">
      <c r="A38" s="249">
        <v>42429</v>
      </c>
      <c r="B38" s="90" t="s">
        <v>1028</v>
      </c>
      <c r="C38" s="90" t="s">
        <v>1029</v>
      </c>
      <c r="D38" s="90" t="s">
        <v>1030</v>
      </c>
      <c r="E38" s="90">
        <v>13128</v>
      </c>
      <c r="S38"/>
      <c r="T38" t="s">
        <v>1043</v>
      </c>
      <c r="U38" s="12">
        <v>173673</v>
      </c>
      <c r="V38" s="12">
        <v>189167</v>
      </c>
      <c r="W38" s="12">
        <v>159154</v>
      </c>
      <c r="X38" s="12">
        <v>521994</v>
      </c>
    </row>
    <row r="39" spans="1:30" ht="15" x14ac:dyDescent="0.25">
      <c r="A39" s="249">
        <v>42429</v>
      </c>
      <c r="B39" s="90" t="s">
        <v>1028</v>
      </c>
      <c r="C39" s="90" t="s">
        <v>1031</v>
      </c>
      <c r="D39" s="90" t="s">
        <v>1032</v>
      </c>
      <c r="E39" s="90">
        <v>7619</v>
      </c>
      <c r="S39" t="s">
        <v>8</v>
      </c>
      <c r="T39"/>
      <c r="U39" s="12">
        <v>2325978</v>
      </c>
      <c r="V39" s="12">
        <v>2533471</v>
      </c>
      <c r="W39" s="12">
        <v>2131526</v>
      </c>
      <c r="X39" s="12">
        <v>6990975</v>
      </c>
    </row>
    <row r="40" spans="1:30" x14ac:dyDescent="0.2">
      <c r="A40" s="249">
        <v>42429</v>
      </c>
      <c r="B40" s="90" t="s">
        <v>1028</v>
      </c>
      <c r="C40" s="90" t="s">
        <v>1033</v>
      </c>
      <c r="D40" s="90" t="s">
        <v>1032</v>
      </c>
      <c r="E40" s="90">
        <v>10158</v>
      </c>
    </row>
    <row r="41" spans="1:30" x14ac:dyDescent="0.2">
      <c r="A41" s="249">
        <v>42429</v>
      </c>
      <c r="B41" s="90" t="s">
        <v>1028</v>
      </c>
      <c r="C41" s="90" t="s">
        <v>1034</v>
      </c>
      <c r="D41" s="90" t="s">
        <v>1030</v>
      </c>
      <c r="E41" s="90">
        <v>19691</v>
      </c>
    </row>
    <row r="42" spans="1:30" ht="15" x14ac:dyDescent="0.25">
      <c r="A42" s="249">
        <v>42429</v>
      </c>
      <c r="B42" s="90" t="s">
        <v>1028</v>
      </c>
      <c r="C42" s="90" t="s">
        <v>1035</v>
      </c>
      <c r="D42" s="90" t="s">
        <v>1032</v>
      </c>
      <c r="E42" s="90">
        <v>2540</v>
      </c>
      <c r="Z42" s="11" t="s">
        <v>1026</v>
      </c>
      <c r="AA42" t="s">
        <v>1046</v>
      </c>
      <c r="AB42"/>
      <c r="AC42"/>
      <c r="AD42"/>
    </row>
    <row r="43" spans="1:30" ht="15" x14ac:dyDescent="0.25">
      <c r="A43" s="249">
        <v>42429</v>
      </c>
      <c r="B43" s="90" t="s">
        <v>1028</v>
      </c>
      <c r="C43" s="90" t="s">
        <v>1036</v>
      </c>
      <c r="D43" s="90" t="s">
        <v>1037</v>
      </c>
      <c r="E43" s="90">
        <v>26242</v>
      </c>
      <c r="Z43" t="s">
        <v>1042</v>
      </c>
      <c r="AA43" s="12">
        <v>1284266</v>
      </c>
      <c r="AB43"/>
      <c r="AC43"/>
      <c r="AD43"/>
    </row>
    <row r="44" spans="1:30" ht="15" x14ac:dyDescent="0.25">
      <c r="A44" s="249">
        <v>42429</v>
      </c>
      <c r="B44" s="90" t="s">
        <v>1028</v>
      </c>
      <c r="C44" s="90" t="s">
        <v>1038</v>
      </c>
      <c r="D44" s="90" t="s">
        <v>1030</v>
      </c>
      <c r="E44" s="90">
        <v>5626</v>
      </c>
      <c r="Z44" t="s">
        <v>1036</v>
      </c>
      <c r="AA44" s="12">
        <v>963201</v>
      </c>
      <c r="AB44"/>
      <c r="AC44"/>
      <c r="AD44"/>
    </row>
    <row r="45" spans="1:30" ht="15" x14ac:dyDescent="0.25">
      <c r="A45" s="249">
        <v>42429</v>
      </c>
      <c r="B45" s="90" t="s">
        <v>1028</v>
      </c>
      <c r="C45" s="90" t="s">
        <v>1039</v>
      </c>
      <c r="D45" s="90" t="s">
        <v>1032</v>
      </c>
      <c r="E45" s="90">
        <v>16253</v>
      </c>
      <c r="Z45" t="s">
        <v>1040</v>
      </c>
      <c r="AA45" s="12">
        <v>826009</v>
      </c>
      <c r="AB45"/>
      <c r="AC45"/>
      <c r="AD45"/>
    </row>
    <row r="46" spans="1:30" ht="15" x14ac:dyDescent="0.25">
      <c r="A46" s="249">
        <v>42429</v>
      </c>
      <c r="B46" s="90" t="s">
        <v>1028</v>
      </c>
      <c r="C46" s="90" t="s">
        <v>1040</v>
      </c>
      <c r="D46" s="90" t="s">
        <v>1030</v>
      </c>
      <c r="E46" s="90">
        <v>22504</v>
      </c>
      <c r="Z46" t="s">
        <v>1034</v>
      </c>
      <c r="AA46" s="12">
        <v>722757</v>
      </c>
      <c r="AB46"/>
      <c r="AC46"/>
      <c r="AD46"/>
    </row>
    <row r="47" spans="1:30" ht="15" x14ac:dyDescent="0.25">
      <c r="A47" s="249">
        <v>42429</v>
      </c>
      <c r="B47" s="90" t="s">
        <v>1028</v>
      </c>
      <c r="C47" s="90" t="s">
        <v>1041</v>
      </c>
      <c r="D47" s="90" t="s">
        <v>1037</v>
      </c>
      <c r="E47" s="90">
        <v>17495</v>
      </c>
      <c r="Z47" t="s">
        <v>1041</v>
      </c>
      <c r="AA47" s="12">
        <v>642135</v>
      </c>
      <c r="AB47"/>
      <c r="AC47"/>
      <c r="AD47"/>
    </row>
    <row r="48" spans="1:30" ht="15" x14ac:dyDescent="0.25">
      <c r="A48" s="249">
        <v>42429</v>
      </c>
      <c r="B48" s="90" t="s">
        <v>1028</v>
      </c>
      <c r="C48" s="90" t="s">
        <v>1042</v>
      </c>
      <c r="D48" s="90" t="s">
        <v>1037</v>
      </c>
      <c r="E48" s="90">
        <v>34989</v>
      </c>
      <c r="Z48" t="s">
        <v>1039</v>
      </c>
      <c r="AA48" s="12">
        <v>596565</v>
      </c>
      <c r="AB48"/>
    </row>
    <row r="49" spans="1:27" ht="15" x14ac:dyDescent="0.25">
      <c r="A49" s="249">
        <v>42429</v>
      </c>
      <c r="B49" s="90" t="s">
        <v>1028</v>
      </c>
      <c r="C49" s="90" t="s">
        <v>1043</v>
      </c>
      <c r="D49" s="90" t="s">
        <v>1032</v>
      </c>
      <c r="E49" s="90">
        <v>14221</v>
      </c>
      <c r="Z49" t="s">
        <v>1043</v>
      </c>
      <c r="AA49" s="12">
        <v>521994</v>
      </c>
    </row>
    <row r="50" spans="1:27" ht="15" x14ac:dyDescent="0.25">
      <c r="A50" s="249">
        <v>42429</v>
      </c>
      <c r="B50" s="90" t="s">
        <v>1044</v>
      </c>
      <c r="C50" s="90" t="s">
        <v>1029</v>
      </c>
      <c r="D50" s="90" t="s">
        <v>1030</v>
      </c>
      <c r="E50" s="90">
        <v>15077</v>
      </c>
      <c r="Z50" t="s">
        <v>1029</v>
      </c>
      <c r="AA50" s="12">
        <v>481842</v>
      </c>
    </row>
    <row r="51" spans="1:27" ht="15" x14ac:dyDescent="0.25">
      <c r="A51" s="249">
        <v>42429</v>
      </c>
      <c r="B51" s="90" t="s">
        <v>1044</v>
      </c>
      <c r="C51" s="90" t="s">
        <v>1031</v>
      </c>
      <c r="D51" s="90" t="s">
        <v>1032</v>
      </c>
      <c r="E51" s="90">
        <v>8750</v>
      </c>
      <c r="Z51" t="s">
        <v>1033</v>
      </c>
      <c r="AA51" s="12">
        <v>372851</v>
      </c>
    </row>
    <row r="52" spans="1:27" ht="15" x14ac:dyDescent="0.25">
      <c r="A52" s="249">
        <v>42429</v>
      </c>
      <c r="B52" s="90" t="s">
        <v>1044</v>
      </c>
      <c r="C52" s="90" t="s">
        <v>1033</v>
      </c>
      <c r="D52" s="90" t="s">
        <v>1032</v>
      </c>
      <c r="E52" s="90">
        <v>11667</v>
      </c>
      <c r="Z52" t="s">
        <v>1031</v>
      </c>
      <c r="AA52" s="12">
        <v>279637</v>
      </c>
    </row>
    <row r="53" spans="1:27" ht="15" x14ac:dyDescent="0.25">
      <c r="A53" s="249">
        <v>42429</v>
      </c>
      <c r="B53" s="90" t="s">
        <v>1044</v>
      </c>
      <c r="C53" s="90" t="s">
        <v>1034</v>
      </c>
      <c r="D53" s="90" t="s">
        <v>1030</v>
      </c>
      <c r="E53" s="90">
        <v>22616</v>
      </c>
      <c r="Z53" t="s">
        <v>1038</v>
      </c>
      <c r="AA53" s="12">
        <v>206504</v>
      </c>
    </row>
    <row r="54" spans="1:27" ht="15" x14ac:dyDescent="0.25">
      <c r="A54" s="249">
        <v>42429</v>
      </c>
      <c r="B54" s="90" t="s">
        <v>1044</v>
      </c>
      <c r="C54" s="90" t="s">
        <v>1035</v>
      </c>
      <c r="D54" s="90" t="s">
        <v>1032</v>
      </c>
      <c r="E54" s="90">
        <v>2917</v>
      </c>
      <c r="Z54" t="s">
        <v>1035</v>
      </c>
      <c r="AA54" s="12">
        <v>93214</v>
      </c>
    </row>
    <row r="55" spans="1:27" ht="15" x14ac:dyDescent="0.25">
      <c r="A55" s="249">
        <v>42429</v>
      </c>
      <c r="B55" s="90" t="s">
        <v>1044</v>
      </c>
      <c r="C55" s="90" t="s">
        <v>1036</v>
      </c>
      <c r="D55" s="90" t="s">
        <v>1037</v>
      </c>
      <c r="E55" s="90">
        <v>30140</v>
      </c>
      <c r="Z55" t="s">
        <v>8</v>
      </c>
      <c r="AA55" s="12">
        <v>6990975</v>
      </c>
    </row>
    <row r="56" spans="1:27" x14ac:dyDescent="0.2">
      <c r="A56" s="249">
        <v>42429</v>
      </c>
      <c r="B56" s="90" t="s">
        <v>1044</v>
      </c>
      <c r="C56" s="90" t="s">
        <v>1038</v>
      </c>
      <c r="D56" s="90" t="s">
        <v>1030</v>
      </c>
      <c r="E56" s="90">
        <v>6462</v>
      </c>
    </row>
    <row r="57" spans="1:27" x14ac:dyDescent="0.2">
      <c r="A57" s="249">
        <v>42429</v>
      </c>
      <c r="B57" s="90" t="s">
        <v>1044</v>
      </c>
      <c r="C57" s="90" t="s">
        <v>1039</v>
      </c>
      <c r="D57" s="90" t="s">
        <v>1032</v>
      </c>
      <c r="E57" s="90">
        <v>18667</v>
      </c>
    </row>
    <row r="58" spans="1:27" x14ac:dyDescent="0.2">
      <c r="A58" s="249">
        <v>42429</v>
      </c>
      <c r="B58" s="90" t="s">
        <v>1044</v>
      </c>
      <c r="C58" s="90" t="s">
        <v>1040</v>
      </c>
      <c r="D58" s="90" t="s">
        <v>1030</v>
      </c>
      <c r="E58" s="90">
        <v>25847</v>
      </c>
    </row>
    <row r="59" spans="1:27" x14ac:dyDescent="0.2">
      <c r="A59" s="249">
        <v>42429</v>
      </c>
      <c r="B59" s="90" t="s">
        <v>1044</v>
      </c>
      <c r="C59" s="90" t="s">
        <v>1041</v>
      </c>
      <c r="D59" s="90" t="s">
        <v>1037</v>
      </c>
      <c r="E59" s="90">
        <v>20093</v>
      </c>
    </row>
    <row r="60" spans="1:27" x14ac:dyDescent="0.2">
      <c r="A60" s="249">
        <v>42429</v>
      </c>
      <c r="B60" s="90" t="s">
        <v>1044</v>
      </c>
      <c r="C60" s="90" t="s">
        <v>1042</v>
      </c>
      <c r="D60" s="90" t="s">
        <v>1037</v>
      </c>
      <c r="E60" s="90">
        <v>40186</v>
      </c>
    </row>
    <row r="61" spans="1:27" x14ac:dyDescent="0.2">
      <c r="A61" s="249">
        <v>42429</v>
      </c>
      <c r="B61" s="90" t="s">
        <v>1044</v>
      </c>
      <c r="C61" s="90" t="s">
        <v>1043</v>
      </c>
      <c r="D61" s="90" t="s">
        <v>1032</v>
      </c>
      <c r="E61" s="90">
        <v>16334</v>
      </c>
    </row>
    <row r="62" spans="1:27" x14ac:dyDescent="0.2">
      <c r="A62" s="249">
        <v>42429</v>
      </c>
      <c r="B62" s="90" t="s">
        <v>1045</v>
      </c>
      <c r="C62" s="90" t="s">
        <v>1029</v>
      </c>
      <c r="D62" s="90" t="s">
        <v>1030</v>
      </c>
      <c r="E62" s="90">
        <v>13657</v>
      </c>
    </row>
    <row r="63" spans="1:27" x14ac:dyDescent="0.2">
      <c r="A63" s="249">
        <v>42429</v>
      </c>
      <c r="B63" s="90" t="s">
        <v>1045</v>
      </c>
      <c r="C63" s="90" t="s">
        <v>1031</v>
      </c>
      <c r="D63" s="90" t="s">
        <v>1032</v>
      </c>
      <c r="E63" s="90">
        <v>7926</v>
      </c>
    </row>
    <row r="64" spans="1:27" x14ac:dyDescent="0.2">
      <c r="A64" s="249">
        <v>42429</v>
      </c>
      <c r="B64" s="90" t="s">
        <v>1045</v>
      </c>
      <c r="C64" s="90" t="s">
        <v>1033</v>
      </c>
      <c r="D64" s="90" t="s">
        <v>1032</v>
      </c>
      <c r="E64" s="90">
        <v>10568</v>
      </c>
    </row>
    <row r="65" spans="1:5" x14ac:dyDescent="0.2">
      <c r="A65" s="249">
        <v>42429</v>
      </c>
      <c r="B65" s="90" t="s">
        <v>1045</v>
      </c>
      <c r="C65" s="90" t="s">
        <v>1034</v>
      </c>
      <c r="D65" s="90" t="s">
        <v>1030</v>
      </c>
      <c r="E65" s="90">
        <v>20486</v>
      </c>
    </row>
    <row r="66" spans="1:5" x14ac:dyDescent="0.2">
      <c r="A66" s="249">
        <v>42429</v>
      </c>
      <c r="B66" s="90" t="s">
        <v>1045</v>
      </c>
      <c r="C66" s="90" t="s">
        <v>1035</v>
      </c>
      <c r="D66" s="90" t="s">
        <v>1032</v>
      </c>
      <c r="E66" s="90">
        <v>2642</v>
      </c>
    </row>
    <row r="67" spans="1:5" x14ac:dyDescent="0.2">
      <c r="A67" s="249">
        <v>42429</v>
      </c>
      <c r="B67" s="90" t="s">
        <v>1045</v>
      </c>
      <c r="C67" s="90" t="s">
        <v>1036</v>
      </c>
      <c r="D67" s="90" t="s">
        <v>1037</v>
      </c>
      <c r="E67" s="90">
        <v>27301</v>
      </c>
    </row>
    <row r="68" spans="1:5" x14ac:dyDescent="0.2">
      <c r="A68" s="249">
        <v>42429</v>
      </c>
      <c r="B68" s="90" t="s">
        <v>1045</v>
      </c>
      <c r="C68" s="90" t="s">
        <v>1038</v>
      </c>
      <c r="D68" s="90" t="s">
        <v>1030</v>
      </c>
      <c r="E68" s="90">
        <v>5853</v>
      </c>
    </row>
    <row r="69" spans="1:5" x14ac:dyDescent="0.2">
      <c r="A69" s="249">
        <v>42429</v>
      </c>
      <c r="B69" s="90" t="s">
        <v>1045</v>
      </c>
      <c r="C69" s="90" t="s">
        <v>1039</v>
      </c>
      <c r="D69" s="90" t="s">
        <v>1032</v>
      </c>
      <c r="E69" s="90">
        <v>16909</v>
      </c>
    </row>
    <row r="70" spans="1:5" x14ac:dyDescent="0.2">
      <c r="A70" s="249">
        <v>42429</v>
      </c>
      <c r="B70" s="90" t="s">
        <v>1045</v>
      </c>
      <c r="C70" s="90" t="s">
        <v>1040</v>
      </c>
      <c r="D70" s="90" t="s">
        <v>1030</v>
      </c>
      <c r="E70" s="90">
        <v>23413</v>
      </c>
    </row>
    <row r="71" spans="1:5" x14ac:dyDescent="0.2">
      <c r="A71" s="249">
        <v>42429</v>
      </c>
      <c r="B71" s="90" t="s">
        <v>1045</v>
      </c>
      <c r="C71" s="90" t="s">
        <v>1041</v>
      </c>
      <c r="D71" s="90" t="s">
        <v>1037</v>
      </c>
      <c r="E71" s="90">
        <v>18201</v>
      </c>
    </row>
    <row r="72" spans="1:5" x14ac:dyDescent="0.2">
      <c r="A72" s="249">
        <v>42429</v>
      </c>
      <c r="B72" s="90" t="s">
        <v>1045</v>
      </c>
      <c r="C72" s="90" t="s">
        <v>1042</v>
      </c>
      <c r="D72" s="90" t="s">
        <v>1037</v>
      </c>
      <c r="E72" s="90">
        <v>36402</v>
      </c>
    </row>
    <row r="73" spans="1:5" x14ac:dyDescent="0.2">
      <c r="A73" s="249">
        <v>42429</v>
      </c>
      <c r="B73" s="90" t="s">
        <v>1045</v>
      </c>
      <c r="C73" s="90" t="s">
        <v>1043</v>
      </c>
      <c r="D73" s="90" t="s">
        <v>1032</v>
      </c>
      <c r="E73" s="90">
        <v>14796</v>
      </c>
    </row>
    <row r="74" spans="1:5" x14ac:dyDescent="0.2">
      <c r="A74" s="249">
        <v>42460</v>
      </c>
      <c r="B74" s="90" t="s">
        <v>1028</v>
      </c>
      <c r="C74" s="90" t="s">
        <v>1029</v>
      </c>
      <c r="D74" s="90" t="s">
        <v>1030</v>
      </c>
      <c r="E74" s="90">
        <v>11276</v>
      </c>
    </row>
    <row r="75" spans="1:5" x14ac:dyDescent="0.2">
      <c r="A75" s="249">
        <v>42460</v>
      </c>
      <c r="B75" s="90" t="s">
        <v>1028</v>
      </c>
      <c r="C75" s="90" t="s">
        <v>1031</v>
      </c>
      <c r="D75" s="90" t="s">
        <v>1032</v>
      </c>
      <c r="E75" s="90">
        <v>6544</v>
      </c>
    </row>
    <row r="76" spans="1:5" x14ac:dyDescent="0.2">
      <c r="A76" s="249">
        <v>42460</v>
      </c>
      <c r="B76" s="90" t="s">
        <v>1028</v>
      </c>
      <c r="C76" s="90" t="s">
        <v>1033</v>
      </c>
      <c r="D76" s="90" t="s">
        <v>1032</v>
      </c>
      <c r="E76" s="90">
        <v>8725</v>
      </c>
    </row>
    <row r="77" spans="1:5" x14ac:dyDescent="0.2">
      <c r="A77" s="249">
        <v>42460</v>
      </c>
      <c r="B77" s="90" t="s">
        <v>1028</v>
      </c>
      <c r="C77" s="90" t="s">
        <v>1034</v>
      </c>
      <c r="D77" s="90" t="s">
        <v>1030</v>
      </c>
      <c r="E77" s="90">
        <v>16914</v>
      </c>
    </row>
    <row r="78" spans="1:5" x14ac:dyDescent="0.2">
      <c r="A78" s="249">
        <v>42460</v>
      </c>
      <c r="B78" s="90" t="s">
        <v>1028</v>
      </c>
      <c r="C78" s="90" t="s">
        <v>1035</v>
      </c>
      <c r="D78" s="90" t="s">
        <v>1032</v>
      </c>
      <c r="E78" s="90">
        <v>2181</v>
      </c>
    </row>
    <row r="79" spans="1:5" x14ac:dyDescent="0.2">
      <c r="A79" s="249">
        <v>42460</v>
      </c>
      <c r="B79" s="90" t="s">
        <v>1028</v>
      </c>
      <c r="C79" s="90" t="s">
        <v>1036</v>
      </c>
      <c r="D79" s="90" t="s">
        <v>1037</v>
      </c>
      <c r="E79" s="90">
        <v>22541</v>
      </c>
    </row>
    <row r="80" spans="1:5" x14ac:dyDescent="0.2">
      <c r="A80" s="249">
        <v>42460</v>
      </c>
      <c r="B80" s="90" t="s">
        <v>1028</v>
      </c>
      <c r="C80" s="90" t="s">
        <v>1038</v>
      </c>
      <c r="D80" s="90" t="s">
        <v>1030</v>
      </c>
      <c r="E80" s="90">
        <v>4833</v>
      </c>
    </row>
    <row r="81" spans="1:5" x14ac:dyDescent="0.2">
      <c r="A81" s="249">
        <v>42460</v>
      </c>
      <c r="B81" s="90" t="s">
        <v>1028</v>
      </c>
      <c r="C81" s="90" t="s">
        <v>1039</v>
      </c>
      <c r="D81" s="90" t="s">
        <v>1032</v>
      </c>
      <c r="E81" s="90">
        <v>13961</v>
      </c>
    </row>
    <row r="82" spans="1:5" x14ac:dyDescent="0.2">
      <c r="A82" s="249">
        <v>42460</v>
      </c>
      <c r="B82" s="90" t="s">
        <v>1028</v>
      </c>
      <c r="C82" s="90" t="s">
        <v>1040</v>
      </c>
      <c r="D82" s="90" t="s">
        <v>1030</v>
      </c>
      <c r="E82" s="90">
        <v>19330</v>
      </c>
    </row>
    <row r="83" spans="1:5" x14ac:dyDescent="0.2">
      <c r="A83" s="249">
        <v>42460</v>
      </c>
      <c r="B83" s="90" t="s">
        <v>1028</v>
      </c>
      <c r="C83" s="90" t="s">
        <v>1041</v>
      </c>
      <c r="D83" s="90" t="s">
        <v>1037</v>
      </c>
      <c r="E83" s="90">
        <v>15027</v>
      </c>
    </row>
    <row r="84" spans="1:5" x14ac:dyDescent="0.2">
      <c r="A84" s="249">
        <v>42460</v>
      </c>
      <c r="B84" s="90" t="s">
        <v>1028</v>
      </c>
      <c r="C84" s="90" t="s">
        <v>1042</v>
      </c>
      <c r="D84" s="90" t="s">
        <v>1037</v>
      </c>
      <c r="E84" s="90">
        <v>30054</v>
      </c>
    </row>
    <row r="85" spans="1:5" x14ac:dyDescent="0.2">
      <c r="A85" s="249">
        <v>42460</v>
      </c>
      <c r="B85" s="90" t="s">
        <v>1028</v>
      </c>
      <c r="C85" s="90" t="s">
        <v>1043</v>
      </c>
      <c r="D85" s="90" t="s">
        <v>1032</v>
      </c>
      <c r="E85" s="90">
        <v>12216</v>
      </c>
    </row>
    <row r="86" spans="1:5" x14ac:dyDescent="0.2">
      <c r="A86" s="249">
        <v>42460</v>
      </c>
      <c r="B86" s="90" t="s">
        <v>1044</v>
      </c>
      <c r="C86" s="90" t="s">
        <v>1029</v>
      </c>
      <c r="D86" s="90" t="s">
        <v>1030</v>
      </c>
      <c r="E86" s="90">
        <v>16354</v>
      </c>
    </row>
    <row r="87" spans="1:5" x14ac:dyDescent="0.2">
      <c r="A87" s="249">
        <v>42460</v>
      </c>
      <c r="B87" s="90" t="s">
        <v>1044</v>
      </c>
      <c r="C87" s="90" t="s">
        <v>1031</v>
      </c>
      <c r="D87" s="90" t="s">
        <v>1032</v>
      </c>
      <c r="E87" s="90">
        <v>9491</v>
      </c>
    </row>
    <row r="88" spans="1:5" x14ac:dyDescent="0.2">
      <c r="A88" s="249">
        <v>42460</v>
      </c>
      <c r="B88" s="90" t="s">
        <v>1044</v>
      </c>
      <c r="C88" s="90" t="s">
        <v>1033</v>
      </c>
      <c r="D88" s="90" t="s">
        <v>1032</v>
      </c>
      <c r="E88" s="90">
        <v>12655</v>
      </c>
    </row>
    <row r="89" spans="1:5" x14ac:dyDescent="0.2">
      <c r="A89" s="249">
        <v>42460</v>
      </c>
      <c r="B89" s="90" t="s">
        <v>1044</v>
      </c>
      <c r="C89" s="90" t="s">
        <v>1034</v>
      </c>
      <c r="D89" s="90" t="s">
        <v>1030</v>
      </c>
      <c r="E89" s="90">
        <v>24532</v>
      </c>
    </row>
    <row r="90" spans="1:5" x14ac:dyDescent="0.2">
      <c r="A90" s="249">
        <v>42460</v>
      </c>
      <c r="B90" s="90" t="s">
        <v>1044</v>
      </c>
      <c r="C90" s="90" t="s">
        <v>1035</v>
      </c>
      <c r="D90" s="90" t="s">
        <v>1032</v>
      </c>
      <c r="E90" s="90">
        <v>3164</v>
      </c>
    </row>
    <row r="91" spans="1:5" x14ac:dyDescent="0.2">
      <c r="A91" s="249">
        <v>42460</v>
      </c>
      <c r="B91" s="90" t="s">
        <v>1044</v>
      </c>
      <c r="C91" s="90" t="s">
        <v>1036</v>
      </c>
      <c r="D91" s="90" t="s">
        <v>1037</v>
      </c>
      <c r="E91" s="90">
        <v>32692</v>
      </c>
    </row>
    <row r="92" spans="1:5" x14ac:dyDescent="0.2">
      <c r="A92" s="249">
        <v>42460</v>
      </c>
      <c r="B92" s="90" t="s">
        <v>1044</v>
      </c>
      <c r="C92" s="90" t="s">
        <v>1038</v>
      </c>
      <c r="D92" s="90" t="s">
        <v>1030</v>
      </c>
      <c r="E92" s="90">
        <v>7009</v>
      </c>
    </row>
    <row r="93" spans="1:5" x14ac:dyDescent="0.2">
      <c r="A93" s="249">
        <v>42460</v>
      </c>
      <c r="B93" s="90" t="s">
        <v>1044</v>
      </c>
      <c r="C93" s="90" t="s">
        <v>1039</v>
      </c>
      <c r="D93" s="90" t="s">
        <v>1032</v>
      </c>
      <c r="E93" s="90">
        <v>20248</v>
      </c>
    </row>
    <row r="94" spans="1:5" x14ac:dyDescent="0.2">
      <c r="A94" s="249">
        <v>42460</v>
      </c>
      <c r="B94" s="90" t="s">
        <v>1044</v>
      </c>
      <c r="C94" s="90" t="s">
        <v>1040</v>
      </c>
      <c r="D94" s="90" t="s">
        <v>1030</v>
      </c>
      <c r="E94" s="90">
        <v>28036</v>
      </c>
    </row>
    <row r="95" spans="1:5" x14ac:dyDescent="0.2">
      <c r="A95" s="249">
        <v>42460</v>
      </c>
      <c r="B95" s="90" t="s">
        <v>1044</v>
      </c>
      <c r="C95" s="90" t="s">
        <v>1041</v>
      </c>
      <c r="D95" s="90" t="s">
        <v>1037</v>
      </c>
      <c r="E95" s="90">
        <v>21795</v>
      </c>
    </row>
    <row r="96" spans="1:5" x14ac:dyDescent="0.2">
      <c r="A96" s="249">
        <v>42460</v>
      </c>
      <c r="B96" s="90" t="s">
        <v>1044</v>
      </c>
      <c r="C96" s="90" t="s">
        <v>1042</v>
      </c>
      <c r="D96" s="90" t="s">
        <v>1037</v>
      </c>
      <c r="E96" s="90">
        <v>43590</v>
      </c>
    </row>
    <row r="97" spans="1:5" x14ac:dyDescent="0.2">
      <c r="A97" s="249">
        <v>42460</v>
      </c>
      <c r="B97" s="90" t="s">
        <v>1044</v>
      </c>
      <c r="C97" s="90" t="s">
        <v>1043</v>
      </c>
      <c r="D97" s="90" t="s">
        <v>1032</v>
      </c>
      <c r="E97" s="90">
        <v>17717</v>
      </c>
    </row>
    <row r="98" spans="1:5" x14ac:dyDescent="0.2">
      <c r="A98" s="249">
        <v>42460</v>
      </c>
      <c r="B98" s="90" t="s">
        <v>1045</v>
      </c>
      <c r="C98" s="90" t="s">
        <v>1029</v>
      </c>
      <c r="D98" s="90" t="s">
        <v>1030</v>
      </c>
      <c r="E98" s="90">
        <v>13382</v>
      </c>
    </row>
    <row r="99" spans="1:5" x14ac:dyDescent="0.2">
      <c r="A99" s="249">
        <v>42460</v>
      </c>
      <c r="B99" s="90" t="s">
        <v>1045</v>
      </c>
      <c r="C99" s="90" t="s">
        <v>1031</v>
      </c>
      <c r="D99" s="90" t="s">
        <v>1032</v>
      </c>
      <c r="E99" s="90">
        <v>7766</v>
      </c>
    </row>
    <row r="100" spans="1:5" x14ac:dyDescent="0.2">
      <c r="A100" s="249">
        <v>42460</v>
      </c>
      <c r="B100" s="90" t="s">
        <v>1045</v>
      </c>
      <c r="C100" s="90" t="s">
        <v>1033</v>
      </c>
      <c r="D100" s="90" t="s">
        <v>1032</v>
      </c>
      <c r="E100" s="90">
        <v>10355</v>
      </c>
    </row>
    <row r="101" spans="1:5" x14ac:dyDescent="0.2">
      <c r="A101" s="249">
        <v>42460</v>
      </c>
      <c r="B101" s="90" t="s">
        <v>1045</v>
      </c>
      <c r="C101" s="90" t="s">
        <v>1034</v>
      </c>
      <c r="D101" s="90" t="s">
        <v>1030</v>
      </c>
      <c r="E101" s="90">
        <v>20073</v>
      </c>
    </row>
    <row r="102" spans="1:5" x14ac:dyDescent="0.2">
      <c r="A102" s="249">
        <v>42460</v>
      </c>
      <c r="B102" s="90" t="s">
        <v>1045</v>
      </c>
      <c r="C102" s="90" t="s">
        <v>1035</v>
      </c>
      <c r="D102" s="90" t="s">
        <v>1032</v>
      </c>
      <c r="E102" s="90">
        <v>2589</v>
      </c>
    </row>
    <row r="103" spans="1:5" x14ac:dyDescent="0.2">
      <c r="A103" s="249">
        <v>42460</v>
      </c>
      <c r="B103" s="90" t="s">
        <v>1045</v>
      </c>
      <c r="C103" s="90" t="s">
        <v>1036</v>
      </c>
      <c r="D103" s="90" t="s">
        <v>1037</v>
      </c>
      <c r="E103" s="90">
        <v>26751</v>
      </c>
    </row>
    <row r="104" spans="1:5" x14ac:dyDescent="0.2">
      <c r="A104" s="249">
        <v>42460</v>
      </c>
      <c r="B104" s="90" t="s">
        <v>1045</v>
      </c>
      <c r="C104" s="90" t="s">
        <v>1038</v>
      </c>
      <c r="D104" s="90" t="s">
        <v>1030</v>
      </c>
      <c r="E104" s="90">
        <v>5735</v>
      </c>
    </row>
    <row r="105" spans="1:5" x14ac:dyDescent="0.2">
      <c r="A105" s="249">
        <v>42460</v>
      </c>
      <c r="B105" s="90" t="s">
        <v>1045</v>
      </c>
      <c r="C105" s="90" t="s">
        <v>1039</v>
      </c>
      <c r="D105" s="90" t="s">
        <v>1032</v>
      </c>
      <c r="E105" s="90">
        <v>16568</v>
      </c>
    </row>
    <row r="106" spans="1:5" x14ac:dyDescent="0.2">
      <c r="A106" s="249">
        <v>42460</v>
      </c>
      <c r="B106" s="90" t="s">
        <v>1045</v>
      </c>
      <c r="C106" s="90" t="s">
        <v>1040</v>
      </c>
      <c r="D106" s="90" t="s">
        <v>1030</v>
      </c>
      <c r="E106" s="90">
        <v>22940</v>
      </c>
    </row>
    <row r="107" spans="1:5" x14ac:dyDescent="0.2">
      <c r="A107" s="249">
        <v>42460</v>
      </c>
      <c r="B107" s="90" t="s">
        <v>1045</v>
      </c>
      <c r="C107" s="90" t="s">
        <v>1041</v>
      </c>
      <c r="D107" s="90" t="s">
        <v>1037</v>
      </c>
      <c r="E107" s="90">
        <v>17834</v>
      </c>
    </row>
    <row r="108" spans="1:5" x14ac:dyDescent="0.2">
      <c r="A108" s="249">
        <v>42460</v>
      </c>
      <c r="B108" s="90" t="s">
        <v>1045</v>
      </c>
      <c r="C108" s="90" t="s">
        <v>1042</v>
      </c>
      <c r="D108" s="90" t="s">
        <v>1037</v>
      </c>
      <c r="E108" s="90">
        <v>35667</v>
      </c>
    </row>
    <row r="109" spans="1:5" x14ac:dyDescent="0.2">
      <c r="A109" s="249">
        <v>42460</v>
      </c>
      <c r="B109" s="90" t="s">
        <v>1045</v>
      </c>
      <c r="C109" s="90" t="s">
        <v>1043</v>
      </c>
      <c r="D109" s="90" t="s">
        <v>1032</v>
      </c>
      <c r="E109" s="90">
        <v>14497</v>
      </c>
    </row>
    <row r="110" spans="1:5" x14ac:dyDescent="0.2">
      <c r="A110" s="249">
        <v>42490</v>
      </c>
      <c r="B110" s="90" t="s">
        <v>1028</v>
      </c>
      <c r="C110" s="90" t="s">
        <v>1029</v>
      </c>
      <c r="D110" s="90" t="s">
        <v>1030</v>
      </c>
      <c r="E110" s="90">
        <v>12306</v>
      </c>
    </row>
    <row r="111" spans="1:5" x14ac:dyDescent="0.2">
      <c r="A111" s="249">
        <v>42490</v>
      </c>
      <c r="B111" s="90" t="s">
        <v>1028</v>
      </c>
      <c r="C111" s="90" t="s">
        <v>1031</v>
      </c>
      <c r="D111" s="90" t="s">
        <v>1032</v>
      </c>
      <c r="E111" s="90">
        <v>7142</v>
      </c>
    </row>
    <row r="112" spans="1:5" x14ac:dyDescent="0.2">
      <c r="A112" s="249">
        <v>42490</v>
      </c>
      <c r="B112" s="90" t="s">
        <v>1028</v>
      </c>
      <c r="C112" s="90" t="s">
        <v>1033</v>
      </c>
      <c r="D112" s="90" t="s">
        <v>1032</v>
      </c>
      <c r="E112" s="90">
        <v>9523</v>
      </c>
    </row>
    <row r="113" spans="1:5" x14ac:dyDescent="0.2">
      <c r="A113" s="249">
        <v>42490</v>
      </c>
      <c r="B113" s="90" t="s">
        <v>1028</v>
      </c>
      <c r="C113" s="90" t="s">
        <v>1034</v>
      </c>
      <c r="D113" s="90" t="s">
        <v>1030</v>
      </c>
      <c r="E113" s="90">
        <v>18459</v>
      </c>
    </row>
    <row r="114" spans="1:5" x14ac:dyDescent="0.2">
      <c r="A114" s="249">
        <v>42490</v>
      </c>
      <c r="B114" s="90" t="s">
        <v>1028</v>
      </c>
      <c r="C114" s="90" t="s">
        <v>1035</v>
      </c>
      <c r="D114" s="90" t="s">
        <v>1032</v>
      </c>
      <c r="E114" s="90">
        <v>2381</v>
      </c>
    </row>
    <row r="115" spans="1:5" x14ac:dyDescent="0.2">
      <c r="A115" s="249">
        <v>42490</v>
      </c>
      <c r="B115" s="90" t="s">
        <v>1028</v>
      </c>
      <c r="C115" s="90" t="s">
        <v>1036</v>
      </c>
      <c r="D115" s="90" t="s">
        <v>1037</v>
      </c>
      <c r="E115" s="90">
        <v>24600</v>
      </c>
    </row>
    <row r="116" spans="1:5" x14ac:dyDescent="0.2">
      <c r="A116" s="249">
        <v>42490</v>
      </c>
      <c r="B116" s="90" t="s">
        <v>1028</v>
      </c>
      <c r="C116" s="90" t="s">
        <v>1038</v>
      </c>
      <c r="D116" s="90" t="s">
        <v>1030</v>
      </c>
      <c r="E116" s="90">
        <v>5274</v>
      </c>
    </row>
    <row r="117" spans="1:5" x14ac:dyDescent="0.2">
      <c r="A117" s="249">
        <v>42490</v>
      </c>
      <c r="B117" s="90" t="s">
        <v>1028</v>
      </c>
      <c r="C117" s="90" t="s">
        <v>1039</v>
      </c>
      <c r="D117" s="90" t="s">
        <v>1032</v>
      </c>
      <c r="E117" s="90">
        <v>15236</v>
      </c>
    </row>
    <row r="118" spans="1:5" x14ac:dyDescent="0.2">
      <c r="A118" s="249">
        <v>42490</v>
      </c>
      <c r="B118" s="90" t="s">
        <v>1028</v>
      </c>
      <c r="C118" s="90" t="s">
        <v>1040</v>
      </c>
      <c r="D118" s="90" t="s">
        <v>1030</v>
      </c>
      <c r="E118" s="90">
        <v>21096</v>
      </c>
    </row>
    <row r="119" spans="1:5" x14ac:dyDescent="0.2">
      <c r="A119" s="249">
        <v>42490</v>
      </c>
      <c r="B119" s="90" t="s">
        <v>1028</v>
      </c>
      <c r="C119" s="90" t="s">
        <v>1041</v>
      </c>
      <c r="D119" s="90" t="s">
        <v>1037</v>
      </c>
      <c r="E119" s="90">
        <v>16400</v>
      </c>
    </row>
    <row r="120" spans="1:5" x14ac:dyDescent="0.2">
      <c r="A120" s="249">
        <v>42490</v>
      </c>
      <c r="B120" s="90" t="s">
        <v>1028</v>
      </c>
      <c r="C120" s="90" t="s">
        <v>1042</v>
      </c>
      <c r="D120" s="90" t="s">
        <v>1037</v>
      </c>
      <c r="E120" s="90">
        <v>32800</v>
      </c>
    </row>
    <row r="121" spans="1:5" x14ac:dyDescent="0.2">
      <c r="A121" s="249">
        <v>42490</v>
      </c>
      <c r="B121" s="90" t="s">
        <v>1028</v>
      </c>
      <c r="C121" s="90" t="s">
        <v>1043</v>
      </c>
      <c r="D121" s="90" t="s">
        <v>1032</v>
      </c>
      <c r="E121" s="90">
        <v>13332</v>
      </c>
    </row>
    <row r="122" spans="1:5" x14ac:dyDescent="0.2">
      <c r="A122" s="249">
        <v>42490</v>
      </c>
      <c r="B122" s="90" t="s">
        <v>1044</v>
      </c>
      <c r="C122" s="90" t="s">
        <v>1029</v>
      </c>
      <c r="D122" s="90" t="s">
        <v>1030</v>
      </c>
      <c r="E122" s="90">
        <v>13300</v>
      </c>
    </row>
    <row r="123" spans="1:5" x14ac:dyDescent="0.2">
      <c r="A123" s="249">
        <v>42490</v>
      </c>
      <c r="B123" s="90" t="s">
        <v>1044</v>
      </c>
      <c r="C123" s="90" t="s">
        <v>1031</v>
      </c>
      <c r="D123" s="90" t="s">
        <v>1032</v>
      </c>
      <c r="E123" s="90">
        <v>7719</v>
      </c>
    </row>
    <row r="124" spans="1:5" x14ac:dyDescent="0.2">
      <c r="A124" s="249">
        <v>42490</v>
      </c>
      <c r="B124" s="90" t="s">
        <v>1044</v>
      </c>
      <c r="C124" s="90" t="s">
        <v>1033</v>
      </c>
      <c r="D124" s="90" t="s">
        <v>1032</v>
      </c>
      <c r="E124" s="90">
        <v>10292</v>
      </c>
    </row>
    <row r="125" spans="1:5" x14ac:dyDescent="0.2">
      <c r="A125" s="249">
        <v>42490</v>
      </c>
      <c r="B125" s="90" t="s">
        <v>1044</v>
      </c>
      <c r="C125" s="90" t="s">
        <v>1034</v>
      </c>
      <c r="D125" s="90" t="s">
        <v>1030</v>
      </c>
      <c r="E125" s="90">
        <v>19950</v>
      </c>
    </row>
    <row r="126" spans="1:5" x14ac:dyDescent="0.2">
      <c r="A126" s="249">
        <v>42490</v>
      </c>
      <c r="B126" s="90" t="s">
        <v>1044</v>
      </c>
      <c r="C126" s="90" t="s">
        <v>1035</v>
      </c>
      <c r="D126" s="90" t="s">
        <v>1032</v>
      </c>
      <c r="E126" s="90">
        <v>2573</v>
      </c>
    </row>
    <row r="127" spans="1:5" x14ac:dyDescent="0.2">
      <c r="A127" s="249">
        <v>42490</v>
      </c>
      <c r="B127" s="90" t="s">
        <v>1044</v>
      </c>
      <c r="C127" s="90" t="s">
        <v>1036</v>
      </c>
      <c r="D127" s="90" t="s">
        <v>1037</v>
      </c>
      <c r="E127" s="90">
        <v>26587</v>
      </c>
    </row>
    <row r="128" spans="1:5" x14ac:dyDescent="0.2">
      <c r="A128" s="249">
        <v>42490</v>
      </c>
      <c r="B128" s="90" t="s">
        <v>1044</v>
      </c>
      <c r="C128" s="90" t="s">
        <v>1038</v>
      </c>
      <c r="D128" s="90" t="s">
        <v>1030</v>
      </c>
      <c r="E128" s="90">
        <v>5700</v>
      </c>
    </row>
    <row r="129" spans="1:5" x14ac:dyDescent="0.2">
      <c r="A129" s="249">
        <v>42490</v>
      </c>
      <c r="B129" s="90" t="s">
        <v>1044</v>
      </c>
      <c r="C129" s="90" t="s">
        <v>1039</v>
      </c>
      <c r="D129" s="90" t="s">
        <v>1032</v>
      </c>
      <c r="E129" s="90">
        <v>16467</v>
      </c>
    </row>
    <row r="130" spans="1:5" x14ac:dyDescent="0.2">
      <c r="A130" s="249">
        <v>42490</v>
      </c>
      <c r="B130" s="90" t="s">
        <v>1044</v>
      </c>
      <c r="C130" s="90" t="s">
        <v>1040</v>
      </c>
      <c r="D130" s="90" t="s">
        <v>1030</v>
      </c>
      <c r="E130" s="90">
        <v>22800</v>
      </c>
    </row>
    <row r="131" spans="1:5" x14ac:dyDescent="0.2">
      <c r="A131" s="249">
        <v>42490</v>
      </c>
      <c r="B131" s="90" t="s">
        <v>1044</v>
      </c>
      <c r="C131" s="90" t="s">
        <v>1041</v>
      </c>
      <c r="D131" s="90" t="s">
        <v>1037</v>
      </c>
      <c r="E131" s="90">
        <v>17725</v>
      </c>
    </row>
    <row r="132" spans="1:5" x14ac:dyDescent="0.2">
      <c r="A132" s="249">
        <v>42490</v>
      </c>
      <c r="B132" s="90" t="s">
        <v>1044</v>
      </c>
      <c r="C132" s="90" t="s">
        <v>1042</v>
      </c>
      <c r="D132" s="90" t="s">
        <v>1037</v>
      </c>
      <c r="E132" s="90">
        <v>35450</v>
      </c>
    </row>
    <row r="133" spans="1:5" x14ac:dyDescent="0.2">
      <c r="A133" s="249">
        <v>42490</v>
      </c>
      <c r="B133" s="90" t="s">
        <v>1044</v>
      </c>
      <c r="C133" s="90" t="s">
        <v>1043</v>
      </c>
      <c r="D133" s="90" t="s">
        <v>1032</v>
      </c>
      <c r="E133" s="90">
        <v>14409</v>
      </c>
    </row>
    <row r="134" spans="1:5" x14ac:dyDescent="0.2">
      <c r="A134" s="249">
        <v>42490</v>
      </c>
      <c r="B134" s="90" t="s">
        <v>1045</v>
      </c>
      <c r="C134" s="90" t="s">
        <v>1029</v>
      </c>
      <c r="D134" s="90" t="s">
        <v>1030</v>
      </c>
      <c r="E134" s="90">
        <v>13569</v>
      </c>
    </row>
    <row r="135" spans="1:5" x14ac:dyDescent="0.2">
      <c r="A135" s="249">
        <v>42490</v>
      </c>
      <c r="B135" s="90" t="s">
        <v>1045</v>
      </c>
      <c r="C135" s="90" t="s">
        <v>1031</v>
      </c>
      <c r="D135" s="90" t="s">
        <v>1032</v>
      </c>
      <c r="E135" s="90">
        <v>7875</v>
      </c>
    </row>
    <row r="136" spans="1:5" x14ac:dyDescent="0.2">
      <c r="A136" s="249">
        <v>42490</v>
      </c>
      <c r="B136" s="90" t="s">
        <v>1045</v>
      </c>
      <c r="C136" s="90" t="s">
        <v>1033</v>
      </c>
      <c r="D136" s="90" t="s">
        <v>1032</v>
      </c>
      <c r="E136" s="90">
        <v>10500</v>
      </c>
    </row>
    <row r="137" spans="1:5" x14ac:dyDescent="0.2">
      <c r="A137" s="249">
        <v>42490</v>
      </c>
      <c r="B137" s="90" t="s">
        <v>1045</v>
      </c>
      <c r="C137" s="90" t="s">
        <v>1034</v>
      </c>
      <c r="D137" s="90" t="s">
        <v>1030</v>
      </c>
      <c r="E137" s="90">
        <v>20354</v>
      </c>
    </row>
    <row r="138" spans="1:5" x14ac:dyDescent="0.2">
      <c r="A138" s="249">
        <v>42490</v>
      </c>
      <c r="B138" s="90" t="s">
        <v>1045</v>
      </c>
      <c r="C138" s="90" t="s">
        <v>1035</v>
      </c>
      <c r="D138" s="90" t="s">
        <v>1032</v>
      </c>
      <c r="E138" s="90">
        <v>2625</v>
      </c>
    </row>
    <row r="139" spans="1:5" x14ac:dyDescent="0.2">
      <c r="A139" s="249">
        <v>42490</v>
      </c>
      <c r="B139" s="90" t="s">
        <v>1045</v>
      </c>
      <c r="C139" s="90" t="s">
        <v>1036</v>
      </c>
      <c r="D139" s="90" t="s">
        <v>1037</v>
      </c>
      <c r="E139" s="90">
        <v>27125</v>
      </c>
    </row>
    <row r="140" spans="1:5" x14ac:dyDescent="0.2">
      <c r="A140" s="249">
        <v>42490</v>
      </c>
      <c r="B140" s="90" t="s">
        <v>1045</v>
      </c>
      <c r="C140" s="90" t="s">
        <v>1038</v>
      </c>
      <c r="D140" s="90" t="s">
        <v>1030</v>
      </c>
      <c r="E140" s="90">
        <v>5815</v>
      </c>
    </row>
    <row r="141" spans="1:5" x14ac:dyDescent="0.2">
      <c r="A141" s="249">
        <v>42490</v>
      </c>
      <c r="B141" s="90" t="s">
        <v>1045</v>
      </c>
      <c r="C141" s="90" t="s">
        <v>1039</v>
      </c>
      <c r="D141" s="90" t="s">
        <v>1032</v>
      </c>
      <c r="E141" s="90">
        <v>16800</v>
      </c>
    </row>
    <row r="142" spans="1:5" x14ac:dyDescent="0.2">
      <c r="A142" s="249">
        <v>42490</v>
      </c>
      <c r="B142" s="90" t="s">
        <v>1045</v>
      </c>
      <c r="C142" s="90" t="s">
        <v>1040</v>
      </c>
      <c r="D142" s="90" t="s">
        <v>1030</v>
      </c>
      <c r="E142" s="90">
        <v>23262</v>
      </c>
    </row>
    <row r="143" spans="1:5" x14ac:dyDescent="0.2">
      <c r="A143" s="249">
        <v>42490</v>
      </c>
      <c r="B143" s="90" t="s">
        <v>1045</v>
      </c>
      <c r="C143" s="90" t="s">
        <v>1041</v>
      </c>
      <c r="D143" s="90" t="s">
        <v>1037</v>
      </c>
      <c r="E143" s="90">
        <v>18083</v>
      </c>
    </row>
    <row r="144" spans="1:5" x14ac:dyDescent="0.2">
      <c r="A144" s="249">
        <v>42490</v>
      </c>
      <c r="B144" s="90" t="s">
        <v>1045</v>
      </c>
      <c r="C144" s="90" t="s">
        <v>1042</v>
      </c>
      <c r="D144" s="90" t="s">
        <v>1037</v>
      </c>
      <c r="E144" s="90">
        <v>36167</v>
      </c>
    </row>
    <row r="145" spans="1:5" x14ac:dyDescent="0.2">
      <c r="A145" s="249">
        <v>42490</v>
      </c>
      <c r="B145" s="90" t="s">
        <v>1045</v>
      </c>
      <c r="C145" s="90" t="s">
        <v>1043</v>
      </c>
      <c r="D145" s="90" t="s">
        <v>1032</v>
      </c>
      <c r="E145" s="90">
        <v>14700</v>
      </c>
    </row>
    <row r="146" spans="1:5" x14ac:dyDescent="0.2">
      <c r="A146" s="249">
        <v>42521</v>
      </c>
      <c r="B146" s="90" t="s">
        <v>1028</v>
      </c>
      <c r="C146" s="90" t="s">
        <v>1029</v>
      </c>
      <c r="D146" s="90" t="s">
        <v>1030</v>
      </c>
      <c r="E146" s="90">
        <v>13093</v>
      </c>
    </row>
    <row r="147" spans="1:5" x14ac:dyDescent="0.2">
      <c r="A147" s="249">
        <v>42521</v>
      </c>
      <c r="B147" s="90" t="s">
        <v>1028</v>
      </c>
      <c r="C147" s="90" t="s">
        <v>1031</v>
      </c>
      <c r="D147" s="90" t="s">
        <v>1032</v>
      </c>
      <c r="E147" s="90">
        <v>7599</v>
      </c>
    </row>
    <row r="148" spans="1:5" x14ac:dyDescent="0.2">
      <c r="A148" s="249">
        <v>42521</v>
      </c>
      <c r="B148" s="90" t="s">
        <v>1028</v>
      </c>
      <c r="C148" s="90" t="s">
        <v>1033</v>
      </c>
      <c r="D148" s="90" t="s">
        <v>1032</v>
      </c>
      <c r="E148" s="90">
        <v>10131</v>
      </c>
    </row>
    <row r="149" spans="1:5" x14ac:dyDescent="0.2">
      <c r="A149" s="249">
        <v>42521</v>
      </c>
      <c r="B149" s="90" t="s">
        <v>1028</v>
      </c>
      <c r="C149" s="90" t="s">
        <v>1034</v>
      </c>
      <c r="D149" s="90" t="s">
        <v>1030</v>
      </c>
      <c r="E149" s="90">
        <v>19639</v>
      </c>
    </row>
    <row r="150" spans="1:5" x14ac:dyDescent="0.2">
      <c r="A150" s="249">
        <v>42521</v>
      </c>
      <c r="B150" s="90" t="s">
        <v>1028</v>
      </c>
      <c r="C150" s="90" t="s">
        <v>1035</v>
      </c>
      <c r="D150" s="90" t="s">
        <v>1032</v>
      </c>
      <c r="E150" s="90">
        <v>2533</v>
      </c>
    </row>
    <row r="151" spans="1:5" x14ac:dyDescent="0.2">
      <c r="A151" s="249">
        <v>42521</v>
      </c>
      <c r="B151" s="90" t="s">
        <v>1028</v>
      </c>
      <c r="C151" s="90" t="s">
        <v>1036</v>
      </c>
      <c r="D151" s="90" t="s">
        <v>1037</v>
      </c>
      <c r="E151" s="90">
        <v>26173</v>
      </c>
    </row>
    <row r="152" spans="1:5" x14ac:dyDescent="0.2">
      <c r="A152" s="249">
        <v>42521</v>
      </c>
      <c r="B152" s="90" t="s">
        <v>1028</v>
      </c>
      <c r="C152" s="90" t="s">
        <v>1038</v>
      </c>
      <c r="D152" s="90" t="s">
        <v>1030</v>
      </c>
      <c r="E152" s="90">
        <v>5611</v>
      </c>
    </row>
    <row r="153" spans="1:5" x14ac:dyDescent="0.2">
      <c r="A153" s="249">
        <v>42521</v>
      </c>
      <c r="B153" s="90" t="s">
        <v>1028</v>
      </c>
      <c r="C153" s="90" t="s">
        <v>1039</v>
      </c>
      <c r="D153" s="90" t="s">
        <v>1032</v>
      </c>
      <c r="E153" s="90">
        <v>16210</v>
      </c>
    </row>
    <row r="154" spans="1:5" x14ac:dyDescent="0.2">
      <c r="A154" s="249">
        <v>42521</v>
      </c>
      <c r="B154" s="90" t="s">
        <v>1028</v>
      </c>
      <c r="C154" s="90" t="s">
        <v>1040</v>
      </c>
      <c r="D154" s="90" t="s">
        <v>1030</v>
      </c>
      <c r="E154" s="90">
        <v>22445</v>
      </c>
    </row>
    <row r="155" spans="1:5" x14ac:dyDescent="0.2">
      <c r="A155" s="249">
        <v>42521</v>
      </c>
      <c r="B155" s="90" t="s">
        <v>1028</v>
      </c>
      <c r="C155" s="90" t="s">
        <v>1041</v>
      </c>
      <c r="D155" s="90" t="s">
        <v>1037</v>
      </c>
      <c r="E155" s="90">
        <v>17449</v>
      </c>
    </row>
    <row r="156" spans="1:5" x14ac:dyDescent="0.2">
      <c r="A156" s="249">
        <v>42521</v>
      </c>
      <c r="B156" s="90" t="s">
        <v>1028</v>
      </c>
      <c r="C156" s="90" t="s">
        <v>1042</v>
      </c>
      <c r="D156" s="90" t="s">
        <v>1037</v>
      </c>
      <c r="E156" s="90">
        <v>34897</v>
      </c>
    </row>
    <row r="157" spans="1:5" x14ac:dyDescent="0.2">
      <c r="A157" s="249">
        <v>42521</v>
      </c>
      <c r="B157" s="90" t="s">
        <v>1028</v>
      </c>
      <c r="C157" s="90" t="s">
        <v>1043</v>
      </c>
      <c r="D157" s="90" t="s">
        <v>1032</v>
      </c>
      <c r="E157" s="90">
        <v>14184</v>
      </c>
    </row>
    <row r="158" spans="1:5" x14ac:dyDescent="0.2">
      <c r="A158" s="249">
        <v>42521</v>
      </c>
      <c r="B158" s="90" t="s">
        <v>1044</v>
      </c>
      <c r="C158" s="90" t="s">
        <v>1029</v>
      </c>
      <c r="D158" s="90" t="s">
        <v>1030</v>
      </c>
      <c r="E158" s="90">
        <v>16217</v>
      </c>
    </row>
    <row r="159" spans="1:5" x14ac:dyDescent="0.2">
      <c r="A159" s="249">
        <v>42521</v>
      </c>
      <c r="B159" s="90" t="s">
        <v>1044</v>
      </c>
      <c r="C159" s="90" t="s">
        <v>1031</v>
      </c>
      <c r="D159" s="90" t="s">
        <v>1032</v>
      </c>
      <c r="E159" s="90">
        <v>9411</v>
      </c>
    </row>
    <row r="160" spans="1:5" x14ac:dyDescent="0.2">
      <c r="A160" s="249">
        <v>42521</v>
      </c>
      <c r="B160" s="90" t="s">
        <v>1044</v>
      </c>
      <c r="C160" s="90" t="s">
        <v>1033</v>
      </c>
      <c r="D160" s="90" t="s">
        <v>1032</v>
      </c>
      <c r="E160" s="90">
        <v>12549</v>
      </c>
    </row>
    <row r="161" spans="1:5" x14ac:dyDescent="0.2">
      <c r="A161" s="249">
        <v>42521</v>
      </c>
      <c r="B161" s="90" t="s">
        <v>1044</v>
      </c>
      <c r="C161" s="90" t="s">
        <v>1034</v>
      </c>
      <c r="D161" s="90" t="s">
        <v>1030</v>
      </c>
      <c r="E161" s="90">
        <v>24325</v>
      </c>
    </row>
    <row r="162" spans="1:5" x14ac:dyDescent="0.2">
      <c r="A162" s="249">
        <v>42521</v>
      </c>
      <c r="B162" s="90" t="s">
        <v>1044</v>
      </c>
      <c r="C162" s="90" t="s">
        <v>1035</v>
      </c>
      <c r="D162" s="90" t="s">
        <v>1032</v>
      </c>
      <c r="E162" s="90">
        <v>3137</v>
      </c>
    </row>
    <row r="163" spans="1:5" x14ac:dyDescent="0.2">
      <c r="A163" s="249">
        <v>42521</v>
      </c>
      <c r="B163" s="90" t="s">
        <v>1044</v>
      </c>
      <c r="C163" s="90" t="s">
        <v>1036</v>
      </c>
      <c r="D163" s="90" t="s">
        <v>1037</v>
      </c>
      <c r="E163" s="90">
        <v>32417</v>
      </c>
    </row>
    <row r="164" spans="1:5" x14ac:dyDescent="0.2">
      <c r="A164" s="249">
        <v>42521</v>
      </c>
      <c r="B164" s="90" t="s">
        <v>1044</v>
      </c>
      <c r="C164" s="90" t="s">
        <v>1038</v>
      </c>
      <c r="D164" s="90" t="s">
        <v>1030</v>
      </c>
      <c r="E164" s="90">
        <v>6950</v>
      </c>
    </row>
    <row r="165" spans="1:5" x14ac:dyDescent="0.2">
      <c r="A165" s="249">
        <v>42521</v>
      </c>
      <c r="B165" s="90" t="s">
        <v>1044</v>
      </c>
      <c r="C165" s="90" t="s">
        <v>1039</v>
      </c>
      <c r="D165" s="90" t="s">
        <v>1032</v>
      </c>
      <c r="E165" s="90">
        <v>20078</v>
      </c>
    </row>
    <row r="166" spans="1:5" x14ac:dyDescent="0.2">
      <c r="A166" s="249">
        <v>42521</v>
      </c>
      <c r="B166" s="90" t="s">
        <v>1044</v>
      </c>
      <c r="C166" s="90" t="s">
        <v>1040</v>
      </c>
      <c r="D166" s="90" t="s">
        <v>1030</v>
      </c>
      <c r="E166" s="90">
        <v>27800</v>
      </c>
    </row>
    <row r="167" spans="1:5" x14ac:dyDescent="0.2">
      <c r="A167" s="249">
        <v>42521</v>
      </c>
      <c r="B167" s="90" t="s">
        <v>1044</v>
      </c>
      <c r="C167" s="90" t="s">
        <v>1041</v>
      </c>
      <c r="D167" s="90" t="s">
        <v>1037</v>
      </c>
      <c r="E167" s="90">
        <v>21612</v>
      </c>
    </row>
    <row r="168" spans="1:5" x14ac:dyDescent="0.2">
      <c r="A168" s="249">
        <v>42521</v>
      </c>
      <c r="B168" s="90" t="s">
        <v>1044</v>
      </c>
      <c r="C168" s="90" t="s">
        <v>1042</v>
      </c>
      <c r="D168" s="90" t="s">
        <v>1037</v>
      </c>
      <c r="E168" s="90">
        <v>43223</v>
      </c>
    </row>
    <row r="169" spans="1:5" x14ac:dyDescent="0.2">
      <c r="A169" s="249">
        <v>42521</v>
      </c>
      <c r="B169" s="90" t="s">
        <v>1044</v>
      </c>
      <c r="C169" s="90" t="s">
        <v>1043</v>
      </c>
      <c r="D169" s="90" t="s">
        <v>1032</v>
      </c>
      <c r="E169" s="90">
        <v>17568</v>
      </c>
    </row>
    <row r="170" spans="1:5" x14ac:dyDescent="0.2">
      <c r="A170" s="249">
        <v>42521</v>
      </c>
      <c r="B170" s="90" t="s">
        <v>1045</v>
      </c>
      <c r="C170" s="90" t="s">
        <v>1029</v>
      </c>
      <c r="D170" s="90" t="s">
        <v>1030</v>
      </c>
      <c r="E170" s="90">
        <v>10605</v>
      </c>
    </row>
    <row r="171" spans="1:5" x14ac:dyDescent="0.2">
      <c r="A171" s="249">
        <v>42521</v>
      </c>
      <c r="B171" s="90" t="s">
        <v>1045</v>
      </c>
      <c r="C171" s="90" t="s">
        <v>1031</v>
      </c>
      <c r="D171" s="90" t="s">
        <v>1032</v>
      </c>
      <c r="E171" s="90">
        <v>6155</v>
      </c>
    </row>
    <row r="172" spans="1:5" x14ac:dyDescent="0.2">
      <c r="A172" s="249">
        <v>42521</v>
      </c>
      <c r="B172" s="90" t="s">
        <v>1045</v>
      </c>
      <c r="C172" s="90" t="s">
        <v>1033</v>
      </c>
      <c r="D172" s="90" t="s">
        <v>1032</v>
      </c>
      <c r="E172" s="90">
        <v>8206</v>
      </c>
    </row>
    <row r="173" spans="1:5" x14ac:dyDescent="0.2">
      <c r="A173" s="249">
        <v>42521</v>
      </c>
      <c r="B173" s="90" t="s">
        <v>1045</v>
      </c>
      <c r="C173" s="90" t="s">
        <v>1034</v>
      </c>
      <c r="D173" s="90" t="s">
        <v>1030</v>
      </c>
      <c r="E173" s="90">
        <v>15907</v>
      </c>
    </row>
    <row r="174" spans="1:5" x14ac:dyDescent="0.2">
      <c r="A174" s="249">
        <v>42521</v>
      </c>
      <c r="B174" s="90" t="s">
        <v>1045</v>
      </c>
      <c r="C174" s="90" t="s">
        <v>1035</v>
      </c>
      <c r="D174" s="90" t="s">
        <v>1032</v>
      </c>
      <c r="E174" s="90">
        <v>2052</v>
      </c>
    </row>
    <row r="175" spans="1:5" x14ac:dyDescent="0.2">
      <c r="A175" s="249">
        <v>42521</v>
      </c>
      <c r="B175" s="90" t="s">
        <v>1045</v>
      </c>
      <c r="C175" s="90" t="s">
        <v>1036</v>
      </c>
      <c r="D175" s="90" t="s">
        <v>1037</v>
      </c>
      <c r="E175" s="90">
        <v>21199</v>
      </c>
    </row>
    <row r="176" spans="1:5" x14ac:dyDescent="0.2">
      <c r="A176" s="249">
        <v>42521</v>
      </c>
      <c r="B176" s="90" t="s">
        <v>1045</v>
      </c>
      <c r="C176" s="90" t="s">
        <v>1038</v>
      </c>
      <c r="D176" s="90" t="s">
        <v>1030</v>
      </c>
      <c r="E176" s="90">
        <v>4545</v>
      </c>
    </row>
    <row r="177" spans="1:5" x14ac:dyDescent="0.2">
      <c r="A177" s="249">
        <v>42521</v>
      </c>
      <c r="B177" s="90" t="s">
        <v>1045</v>
      </c>
      <c r="C177" s="90" t="s">
        <v>1039</v>
      </c>
      <c r="D177" s="90" t="s">
        <v>1032</v>
      </c>
      <c r="E177" s="90">
        <v>13130</v>
      </c>
    </row>
    <row r="178" spans="1:5" x14ac:dyDescent="0.2">
      <c r="A178" s="249">
        <v>42521</v>
      </c>
      <c r="B178" s="90" t="s">
        <v>1045</v>
      </c>
      <c r="C178" s="90" t="s">
        <v>1040</v>
      </c>
      <c r="D178" s="90" t="s">
        <v>1030</v>
      </c>
      <c r="E178" s="90">
        <v>18180</v>
      </c>
    </row>
    <row r="179" spans="1:5" x14ac:dyDescent="0.2">
      <c r="A179" s="249">
        <v>42521</v>
      </c>
      <c r="B179" s="90" t="s">
        <v>1045</v>
      </c>
      <c r="C179" s="90" t="s">
        <v>1041</v>
      </c>
      <c r="D179" s="90" t="s">
        <v>1037</v>
      </c>
      <c r="E179" s="90">
        <v>14133</v>
      </c>
    </row>
    <row r="180" spans="1:5" x14ac:dyDescent="0.2">
      <c r="A180" s="249">
        <v>42521</v>
      </c>
      <c r="B180" s="90" t="s">
        <v>1045</v>
      </c>
      <c r="C180" s="90" t="s">
        <v>1042</v>
      </c>
      <c r="D180" s="90" t="s">
        <v>1037</v>
      </c>
      <c r="E180" s="90">
        <v>28266</v>
      </c>
    </row>
    <row r="181" spans="1:5" x14ac:dyDescent="0.2">
      <c r="A181" s="249">
        <v>42521</v>
      </c>
      <c r="B181" s="90" t="s">
        <v>1045</v>
      </c>
      <c r="C181" s="90" t="s">
        <v>1043</v>
      </c>
      <c r="D181" s="90" t="s">
        <v>1032</v>
      </c>
      <c r="E181" s="90">
        <v>11489</v>
      </c>
    </row>
    <row r="182" spans="1:5" x14ac:dyDescent="0.2">
      <c r="A182" s="249">
        <v>42551</v>
      </c>
      <c r="B182" s="90" t="s">
        <v>1028</v>
      </c>
      <c r="C182" s="90" t="s">
        <v>1029</v>
      </c>
      <c r="D182" s="90" t="s">
        <v>1030</v>
      </c>
      <c r="E182" s="90">
        <v>14911</v>
      </c>
    </row>
    <row r="183" spans="1:5" x14ac:dyDescent="0.2">
      <c r="A183" s="249">
        <v>42551</v>
      </c>
      <c r="B183" s="90" t="s">
        <v>1028</v>
      </c>
      <c r="C183" s="90" t="s">
        <v>1031</v>
      </c>
      <c r="D183" s="90" t="s">
        <v>1032</v>
      </c>
      <c r="E183" s="90">
        <v>8654</v>
      </c>
    </row>
    <row r="184" spans="1:5" x14ac:dyDescent="0.2">
      <c r="A184" s="249">
        <v>42551</v>
      </c>
      <c r="B184" s="90" t="s">
        <v>1028</v>
      </c>
      <c r="C184" s="90" t="s">
        <v>1033</v>
      </c>
      <c r="D184" s="90" t="s">
        <v>1032</v>
      </c>
      <c r="E184" s="90">
        <v>11538</v>
      </c>
    </row>
    <row r="185" spans="1:5" x14ac:dyDescent="0.2">
      <c r="A185" s="249">
        <v>42551</v>
      </c>
      <c r="B185" s="90" t="s">
        <v>1028</v>
      </c>
      <c r="C185" s="90" t="s">
        <v>1034</v>
      </c>
      <c r="D185" s="90" t="s">
        <v>1030</v>
      </c>
      <c r="E185" s="90">
        <v>22366</v>
      </c>
    </row>
    <row r="186" spans="1:5" x14ac:dyDescent="0.2">
      <c r="A186" s="249">
        <v>42551</v>
      </c>
      <c r="B186" s="90" t="s">
        <v>1028</v>
      </c>
      <c r="C186" s="90" t="s">
        <v>1035</v>
      </c>
      <c r="D186" s="90" t="s">
        <v>1032</v>
      </c>
      <c r="E186" s="90">
        <v>2885</v>
      </c>
    </row>
    <row r="187" spans="1:5" x14ac:dyDescent="0.2">
      <c r="A187" s="249">
        <v>42551</v>
      </c>
      <c r="B187" s="90" t="s">
        <v>1028</v>
      </c>
      <c r="C187" s="90" t="s">
        <v>1036</v>
      </c>
      <c r="D187" s="90" t="s">
        <v>1037</v>
      </c>
      <c r="E187" s="90">
        <v>29807</v>
      </c>
    </row>
    <row r="188" spans="1:5" x14ac:dyDescent="0.2">
      <c r="A188" s="249">
        <v>42551</v>
      </c>
      <c r="B188" s="90" t="s">
        <v>1028</v>
      </c>
      <c r="C188" s="90" t="s">
        <v>1038</v>
      </c>
      <c r="D188" s="90" t="s">
        <v>1030</v>
      </c>
      <c r="E188" s="90">
        <v>6390</v>
      </c>
    </row>
    <row r="189" spans="1:5" x14ac:dyDescent="0.2">
      <c r="A189" s="249">
        <v>42551</v>
      </c>
      <c r="B189" s="90" t="s">
        <v>1028</v>
      </c>
      <c r="C189" s="90" t="s">
        <v>1039</v>
      </c>
      <c r="D189" s="90" t="s">
        <v>1032</v>
      </c>
      <c r="E189" s="90">
        <v>18461</v>
      </c>
    </row>
    <row r="190" spans="1:5" x14ac:dyDescent="0.2">
      <c r="A190" s="249">
        <v>42551</v>
      </c>
      <c r="B190" s="90" t="s">
        <v>1028</v>
      </c>
      <c r="C190" s="90" t="s">
        <v>1040</v>
      </c>
      <c r="D190" s="90" t="s">
        <v>1030</v>
      </c>
      <c r="E190" s="90">
        <v>25561</v>
      </c>
    </row>
    <row r="191" spans="1:5" x14ac:dyDescent="0.2">
      <c r="A191" s="249">
        <v>42551</v>
      </c>
      <c r="B191" s="90" t="s">
        <v>1028</v>
      </c>
      <c r="C191" s="90" t="s">
        <v>1041</v>
      </c>
      <c r="D191" s="90" t="s">
        <v>1037</v>
      </c>
      <c r="E191" s="90">
        <v>19871</v>
      </c>
    </row>
    <row r="192" spans="1:5" x14ac:dyDescent="0.2">
      <c r="A192" s="249">
        <v>42551</v>
      </c>
      <c r="B192" s="90" t="s">
        <v>1028</v>
      </c>
      <c r="C192" s="90" t="s">
        <v>1042</v>
      </c>
      <c r="D192" s="90" t="s">
        <v>1037</v>
      </c>
      <c r="E192" s="90">
        <v>39742</v>
      </c>
    </row>
    <row r="193" spans="1:5" x14ac:dyDescent="0.2">
      <c r="A193" s="249">
        <v>42551</v>
      </c>
      <c r="B193" s="90" t="s">
        <v>1028</v>
      </c>
      <c r="C193" s="90" t="s">
        <v>1043</v>
      </c>
      <c r="D193" s="90" t="s">
        <v>1032</v>
      </c>
      <c r="E193" s="90">
        <v>16153</v>
      </c>
    </row>
    <row r="194" spans="1:5" x14ac:dyDescent="0.2">
      <c r="A194" s="249">
        <v>42551</v>
      </c>
      <c r="B194" s="90" t="s">
        <v>1044</v>
      </c>
      <c r="C194" s="90" t="s">
        <v>1029</v>
      </c>
      <c r="D194" s="90" t="s">
        <v>1030</v>
      </c>
      <c r="E194" s="90">
        <v>15526</v>
      </c>
    </row>
    <row r="195" spans="1:5" x14ac:dyDescent="0.2">
      <c r="A195" s="249">
        <v>42551</v>
      </c>
      <c r="B195" s="90" t="s">
        <v>1044</v>
      </c>
      <c r="C195" s="90" t="s">
        <v>1031</v>
      </c>
      <c r="D195" s="90" t="s">
        <v>1032</v>
      </c>
      <c r="E195" s="90">
        <v>9010</v>
      </c>
    </row>
    <row r="196" spans="1:5" x14ac:dyDescent="0.2">
      <c r="A196" s="249">
        <v>42551</v>
      </c>
      <c r="B196" s="90" t="s">
        <v>1044</v>
      </c>
      <c r="C196" s="90" t="s">
        <v>1033</v>
      </c>
      <c r="D196" s="90" t="s">
        <v>1032</v>
      </c>
      <c r="E196" s="90">
        <v>12014</v>
      </c>
    </row>
    <row r="197" spans="1:5" x14ac:dyDescent="0.2">
      <c r="A197" s="249">
        <v>42551</v>
      </c>
      <c r="B197" s="90" t="s">
        <v>1044</v>
      </c>
      <c r="C197" s="90" t="s">
        <v>1034</v>
      </c>
      <c r="D197" s="90" t="s">
        <v>1030</v>
      </c>
      <c r="E197" s="90">
        <v>23288</v>
      </c>
    </row>
    <row r="198" spans="1:5" x14ac:dyDescent="0.2">
      <c r="A198" s="249">
        <v>42551</v>
      </c>
      <c r="B198" s="90" t="s">
        <v>1044</v>
      </c>
      <c r="C198" s="90" t="s">
        <v>1035</v>
      </c>
      <c r="D198" s="90" t="s">
        <v>1032</v>
      </c>
      <c r="E198" s="90">
        <v>3003</v>
      </c>
    </row>
    <row r="199" spans="1:5" x14ac:dyDescent="0.2">
      <c r="A199" s="249">
        <v>42551</v>
      </c>
      <c r="B199" s="90" t="s">
        <v>1044</v>
      </c>
      <c r="C199" s="90" t="s">
        <v>1036</v>
      </c>
      <c r="D199" s="90" t="s">
        <v>1037</v>
      </c>
      <c r="E199" s="90">
        <v>31036</v>
      </c>
    </row>
    <row r="200" spans="1:5" x14ac:dyDescent="0.2">
      <c r="A200" s="249">
        <v>42551</v>
      </c>
      <c r="B200" s="90" t="s">
        <v>1044</v>
      </c>
      <c r="C200" s="90" t="s">
        <v>1038</v>
      </c>
      <c r="D200" s="90" t="s">
        <v>1030</v>
      </c>
      <c r="E200" s="90">
        <v>6654</v>
      </c>
    </row>
    <row r="201" spans="1:5" x14ac:dyDescent="0.2">
      <c r="A201" s="249">
        <v>42551</v>
      </c>
      <c r="B201" s="90" t="s">
        <v>1044</v>
      </c>
      <c r="C201" s="90" t="s">
        <v>1039</v>
      </c>
      <c r="D201" s="90" t="s">
        <v>1032</v>
      </c>
      <c r="E201" s="90">
        <v>19222</v>
      </c>
    </row>
    <row r="202" spans="1:5" x14ac:dyDescent="0.2">
      <c r="A202" s="249">
        <v>42551</v>
      </c>
      <c r="B202" s="90" t="s">
        <v>1044</v>
      </c>
      <c r="C202" s="90" t="s">
        <v>1040</v>
      </c>
      <c r="D202" s="90" t="s">
        <v>1030</v>
      </c>
      <c r="E202" s="90">
        <v>26615</v>
      </c>
    </row>
    <row r="203" spans="1:5" x14ac:dyDescent="0.2">
      <c r="A203" s="249">
        <v>42551</v>
      </c>
      <c r="B203" s="90" t="s">
        <v>1044</v>
      </c>
      <c r="C203" s="90" t="s">
        <v>1041</v>
      </c>
      <c r="D203" s="90" t="s">
        <v>1037</v>
      </c>
      <c r="E203" s="90">
        <v>20691</v>
      </c>
    </row>
    <row r="204" spans="1:5" x14ac:dyDescent="0.2">
      <c r="A204" s="249">
        <v>42551</v>
      </c>
      <c r="B204" s="90" t="s">
        <v>1044</v>
      </c>
      <c r="C204" s="90" t="s">
        <v>1042</v>
      </c>
      <c r="D204" s="90" t="s">
        <v>1037</v>
      </c>
      <c r="E204" s="90">
        <v>41381</v>
      </c>
    </row>
    <row r="205" spans="1:5" x14ac:dyDescent="0.2">
      <c r="A205" s="249">
        <v>42551</v>
      </c>
      <c r="B205" s="90" t="s">
        <v>1044</v>
      </c>
      <c r="C205" s="90" t="s">
        <v>1043</v>
      </c>
      <c r="D205" s="90" t="s">
        <v>1032</v>
      </c>
      <c r="E205" s="90">
        <v>16819</v>
      </c>
    </row>
    <row r="206" spans="1:5" x14ac:dyDescent="0.2">
      <c r="A206" s="249">
        <v>42551</v>
      </c>
      <c r="B206" s="90" t="s">
        <v>1045</v>
      </c>
      <c r="C206" s="90" t="s">
        <v>1029</v>
      </c>
      <c r="D206" s="90" t="s">
        <v>1030</v>
      </c>
      <c r="E206" s="90">
        <v>12388</v>
      </c>
    </row>
    <row r="207" spans="1:5" x14ac:dyDescent="0.2">
      <c r="A207" s="249">
        <v>42551</v>
      </c>
      <c r="B207" s="90" t="s">
        <v>1045</v>
      </c>
      <c r="C207" s="90" t="s">
        <v>1031</v>
      </c>
      <c r="D207" s="90" t="s">
        <v>1032</v>
      </c>
      <c r="E207" s="90">
        <v>7189</v>
      </c>
    </row>
    <row r="208" spans="1:5" x14ac:dyDescent="0.2">
      <c r="A208" s="249">
        <v>42551</v>
      </c>
      <c r="B208" s="90" t="s">
        <v>1045</v>
      </c>
      <c r="C208" s="90" t="s">
        <v>1033</v>
      </c>
      <c r="D208" s="90" t="s">
        <v>1032</v>
      </c>
      <c r="E208" s="90">
        <v>9586</v>
      </c>
    </row>
    <row r="209" spans="1:5" x14ac:dyDescent="0.2">
      <c r="A209" s="249">
        <v>42551</v>
      </c>
      <c r="B209" s="90" t="s">
        <v>1045</v>
      </c>
      <c r="C209" s="90" t="s">
        <v>1034</v>
      </c>
      <c r="D209" s="90" t="s">
        <v>1030</v>
      </c>
      <c r="E209" s="90">
        <v>18582</v>
      </c>
    </row>
    <row r="210" spans="1:5" x14ac:dyDescent="0.2">
      <c r="A210" s="249">
        <v>42551</v>
      </c>
      <c r="B210" s="90" t="s">
        <v>1045</v>
      </c>
      <c r="C210" s="90" t="s">
        <v>1035</v>
      </c>
      <c r="D210" s="90" t="s">
        <v>1032</v>
      </c>
      <c r="E210" s="90">
        <v>2396</v>
      </c>
    </row>
    <row r="211" spans="1:5" x14ac:dyDescent="0.2">
      <c r="A211" s="249">
        <v>42551</v>
      </c>
      <c r="B211" s="90" t="s">
        <v>1045</v>
      </c>
      <c r="C211" s="90" t="s">
        <v>1036</v>
      </c>
      <c r="D211" s="90" t="s">
        <v>1037</v>
      </c>
      <c r="E211" s="90">
        <v>24763</v>
      </c>
    </row>
    <row r="212" spans="1:5" x14ac:dyDescent="0.2">
      <c r="A212" s="249">
        <v>42551</v>
      </c>
      <c r="B212" s="90" t="s">
        <v>1045</v>
      </c>
      <c r="C212" s="90" t="s">
        <v>1038</v>
      </c>
      <c r="D212" s="90" t="s">
        <v>1030</v>
      </c>
      <c r="E212" s="90">
        <v>5309</v>
      </c>
    </row>
    <row r="213" spans="1:5" x14ac:dyDescent="0.2">
      <c r="A213" s="249">
        <v>42551</v>
      </c>
      <c r="B213" s="90" t="s">
        <v>1045</v>
      </c>
      <c r="C213" s="90" t="s">
        <v>1039</v>
      </c>
      <c r="D213" s="90" t="s">
        <v>1032</v>
      </c>
      <c r="E213" s="90">
        <v>15337</v>
      </c>
    </row>
    <row r="214" spans="1:5" x14ac:dyDescent="0.2">
      <c r="A214" s="249">
        <v>42551</v>
      </c>
      <c r="B214" s="90" t="s">
        <v>1045</v>
      </c>
      <c r="C214" s="90" t="s">
        <v>1040</v>
      </c>
      <c r="D214" s="90" t="s">
        <v>1030</v>
      </c>
      <c r="E214" s="90">
        <v>21236</v>
      </c>
    </row>
    <row r="215" spans="1:5" x14ac:dyDescent="0.2">
      <c r="A215" s="249">
        <v>42551</v>
      </c>
      <c r="B215" s="90" t="s">
        <v>1045</v>
      </c>
      <c r="C215" s="90" t="s">
        <v>1041</v>
      </c>
      <c r="D215" s="90" t="s">
        <v>1037</v>
      </c>
      <c r="E215" s="90">
        <v>16509</v>
      </c>
    </row>
    <row r="216" spans="1:5" x14ac:dyDescent="0.2">
      <c r="A216" s="249">
        <v>42551</v>
      </c>
      <c r="B216" s="90" t="s">
        <v>1045</v>
      </c>
      <c r="C216" s="90" t="s">
        <v>1042</v>
      </c>
      <c r="D216" s="90" t="s">
        <v>1037</v>
      </c>
      <c r="E216" s="90">
        <v>33017</v>
      </c>
    </row>
    <row r="217" spans="1:5" x14ac:dyDescent="0.2">
      <c r="A217" s="249">
        <v>42551</v>
      </c>
      <c r="B217" s="90" t="s">
        <v>1045</v>
      </c>
      <c r="C217" s="90" t="s">
        <v>1043</v>
      </c>
      <c r="D217" s="90" t="s">
        <v>1032</v>
      </c>
      <c r="E217" s="90">
        <v>13420</v>
      </c>
    </row>
    <row r="218" spans="1:5" x14ac:dyDescent="0.2">
      <c r="A218" s="249">
        <v>42582</v>
      </c>
      <c r="B218" s="90" t="s">
        <v>1028</v>
      </c>
      <c r="C218" s="90" t="s">
        <v>1029</v>
      </c>
      <c r="D218" s="90" t="s">
        <v>1030</v>
      </c>
      <c r="E218" s="90">
        <v>12550</v>
      </c>
    </row>
    <row r="219" spans="1:5" x14ac:dyDescent="0.2">
      <c r="A219" s="249">
        <v>42582</v>
      </c>
      <c r="B219" s="90" t="s">
        <v>1028</v>
      </c>
      <c r="C219" s="90" t="s">
        <v>1031</v>
      </c>
      <c r="D219" s="90" t="s">
        <v>1032</v>
      </c>
      <c r="E219" s="90">
        <v>7283</v>
      </c>
    </row>
    <row r="220" spans="1:5" x14ac:dyDescent="0.2">
      <c r="A220" s="249">
        <v>42582</v>
      </c>
      <c r="B220" s="90" t="s">
        <v>1028</v>
      </c>
      <c r="C220" s="90" t="s">
        <v>1033</v>
      </c>
      <c r="D220" s="90" t="s">
        <v>1032</v>
      </c>
      <c r="E220" s="90">
        <v>9711</v>
      </c>
    </row>
    <row r="221" spans="1:5" x14ac:dyDescent="0.2">
      <c r="A221" s="249">
        <v>42582</v>
      </c>
      <c r="B221" s="90" t="s">
        <v>1028</v>
      </c>
      <c r="C221" s="90" t="s">
        <v>1034</v>
      </c>
      <c r="D221" s="90" t="s">
        <v>1030</v>
      </c>
      <c r="E221" s="90">
        <v>18825</v>
      </c>
    </row>
    <row r="222" spans="1:5" x14ac:dyDescent="0.2">
      <c r="A222" s="249">
        <v>42582</v>
      </c>
      <c r="B222" s="90" t="s">
        <v>1028</v>
      </c>
      <c r="C222" s="90" t="s">
        <v>1035</v>
      </c>
      <c r="D222" s="90" t="s">
        <v>1032</v>
      </c>
      <c r="E222" s="90">
        <v>2428</v>
      </c>
    </row>
    <row r="223" spans="1:5" x14ac:dyDescent="0.2">
      <c r="A223" s="249">
        <v>42582</v>
      </c>
      <c r="B223" s="90" t="s">
        <v>1028</v>
      </c>
      <c r="C223" s="90" t="s">
        <v>1036</v>
      </c>
      <c r="D223" s="90" t="s">
        <v>1037</v>
      </c>
      <c r="E223" s="90">
        <v>25087</v>
      </c>
    </row>
    <row r="224" spans="1:5" x14ac:dyDescent="0.2">
      <c r="A224" s="249">
        <v>42582</v>
      </c>
      <c r="B224" s="90" t="s">
        <v>1028</v>
      </c>
      <c r="C224" s="90" t="s">
        <v>1038</v>
      </c>
      <c r="D224" s="90" t="s">
        <v>1030</v>
      </c>
      <c r="E224" s="90">
        <v>5379</v>
      </c>
    </row>
    <row r="225" spans="1:5" x14ac:dyDescent="0.2">
      <c r="A225" s="249">
        <v>42582</v>
      </c>
      <c r="B225" s="90" t="s">
        <v>1028</v>
      </c>
      <c r="C225" s="90" t="s">
        <v>1039</v>
      </c>
      <c r="D225" s="90" t="s">
        <v>1032</v>
      </c>
      <c r="E225" s="90">
        <v>15538</v>
      </c>
    </row>
    <row r="226" spans="1:5" x14ac:dyDescent="0.2">
      <c r="A226" s="249">
        <v>42582</v>
      </c>
      <c r="B226" s="90" t="s">
        <v>1028</v>
      </c>
      <c r="C226" s="90" t="s">
        <v>1040</v>
      </c>
      <c r="D226" s="90" t="s">
        <v>1030</v>
      </c>
      <c r="E226" s="90">
        <v>21514</v>
      </c>
    </row>
    <row r="227" spans="1:5" x14ac:dyDescent="0.2">
      <c r="A227" s="249">
        <v>42582</v>
      </c>
      <c r="B227" s="90" t="s">
        <v>1028</v>
      </c>
      <c r="C227" s="90" t="s">
        <v>1041</v>
      </c>
      <c r="D227" s="90" t="s">
        <v>1037</v>
      </c>
      <c r="E227" s="90">
        <v>16725</v>
      </c>
    </row>
    <row r="228" spans="1:5" x14ac:dyDescent="0.2">
      <c r="A228" s="249">
        <v>42582</v>
      </c>
      <c r="B228" s="90" t="s">
        <v>1028</v>
      </c>
      <c r="C228" s="90" t="s">
        <v>1042</v>
      </c>
      <c r="D228" s="90" t="s">
        <v>1037</v>
      </c>
      <c r="E228" s="90">
        <v>33450</v>
      </c>
    </row>
    <row r="229" spans="1:5" x14ac:dyDescent="0.2">
      <c r="A229" s="249">
        <v>42582</v>
      </c>
      <c r="B229" s="90" t="s">
        <v>1028</v>
      </c>
      <c r="C229" s="90" t="s">
        <v>1043</v>
      </c>
      <c r="D229" s="90" t="s">
        <v>1032</v>
      </c>
      <c r="E229" s="90">
        <v>13596</v>
      </c>
    </row>
    <row r="230" spans="1:5" x14ac:dyDescent="0.2">
      <c r="A230" s="249">
        <v>42582</v>
      </c>
      <c r="B230" s="90" t="s">
        <v>1044</v>
      </c>
      <c r="C230" s="90" t="s">
        <v>1029</v>
      </c>
      <c r="D230" s="90" t="s">
        <v>1030</v>
      </c>
      <c r="E230" s="90">
        <v>15269</v>
      </c>
    </row>
    <row r="231" spans="1:5" x14ac:dyDescent="0.2">
      <c r="A231" s="249">
        <v>42582</v>
      </c>
      <c r="B231" s="90" t="s">
        <v>1044</v>
      </c>
      <c r="C231" s="90" t="s">
        <v>1031</v>
      </c>
      <c r="D231" s="90" t="s">
        <v>1032</v>
      </c>
      <c r="E231" s="90">
        <v>8862</v>
      </c>
    </row>
    <row r="232" spans="1:5" x14ac:dyDescent="0.2">
      <c r="A232" s="249">
        <v>42582</v>
      </c>
      <c r="B232" s="90" t="s">
        <v>1044</v>
      </c>
      <c r="C232" s="90" t="s">
        <v>1033</v>
      </c>
      <c r="D232" s="90" t="s">
        <v>1032</v>
      </c>
      <c r="E232" s="90">
        <v>11816</v>
      </c>
    </row>
    <row r="233" spans="1:5" x14ac:dyDescent="0.2">
      <c r="A233" s="249">
        <v>42582</v>
      </c>
      <c r="B233" s="90" t="s">
        <v>1044</v>
      </c>
      <c r="C233" s="90" t="s">
        <v>1034</v>
      </c>
      <c r="D233" s="90" t="s">
        <v>1030</v>
      </c>
      <c r="E233" s="90">
        <v>22904</v>
      </c>
    </row>
    <row r="234" spans="1:5" x14ac:dyDescent="0.2">
      <c r="A234" s="249">
        <v>42582</v>
      </c>
      <c r="B234" s="90" t="s">
        <v>1044</v>
      </c>
      <c r="C234" s="90" t="s">
        <v>1035</v>
      </c>
      <c r="D234" s="90" t="s">
        <v>1032</v>
      </c>
      <c r="E234" s="90">
        <v>2954</v>
      </c>
    </row>
    <row r="235" spans="1:5" x14ac:dyDescent="0.2">
      <c r="A235" s="249">
        <v>42582</v>
      </c>
      <c r="B235" s="90" t="s">
        <v>1044</v>
      </c>
      <c r="C235" s="90" t="s">
        <v>1036</v>
      </c>
      <c r="D235" s="90" t="s">
        <v>1037</v>
      </c>
      <c r="E235" s="90">
        <v>30524</v>
      </c>
    </row>
    <row r="236" spans="1:5" x14ac:dyDescent="0.2">
      <c r="A236" s="249">
        <v>42582</v>
      </c>
      <c r="B236" s="90" t="s">
        <v>1044</v>
      </c>
      <c r="C236" s="90" t="s">
        <v>1038</v>
      </c>
      <c r="D236" s="90" t="s">
        <v>1030</v>
      </c>
      <c r="E236" s="90">
        <v>6544</v>
      </c>
    </row>
    <row r="237" spans="1:5" x14ac:dyDescent="0.2">
      <c r="A237" s="249">
        <v>42582</v>
      </c>
      <c r="B237" s="90" t="s">
        <v>1044</v>
      </c>
      <c r="C237" s="90" t="s">
        <v>1039</v>
      </c>
      <c r="D237" s="90" t="s">
        <v>1032</v>
      </c>
      <c r="E237" s="90">
        <v>18905</v>
      </c>
    </row>
    <row r="238" spans="1:5" x14ac:dyDescent="0.2">
      <c r="A238" s="249">
        <v>42582</v>
      </c>
      <c r="B238" s="90" t="s">
        <v>1044</v>
      </c>
      <c r="C238" s="90" t="s">
        <v>1040</v>
      </c>
      <c r="D238" s="90" t="s">
        <v>1030</v>
      </c>
      <c r="E238" s="90">
        <v>26176</v>
      </c>
    </row>
    <row r="239" spans="1:5" x14ac:dyDescent="0.2">
      <c r="A239" s="249">
        <v>42582</v>
      </c>
      <c r="B239" s="90" t="s">
        <v>1044</v>
      </c>
      <c r="C239" s="90" t="s">
        <v>1041</v>
      </c>
      <c r="D239" s="90" t="s">
        <v>1037</v>
      </c>
      <c r="E239" s="90">
        <v>20349</v>
      </c>
    </row>
    <row r="240" spans="1:5" x14ac:dyDescent="0.2">
      <c r="A240" s="249">
        <v>42582</v>
      </c>
      <c r="B240" s="90" t="s">
        <v>1044</v>
      </c>
      <c r="C240" s="90" t="s">
        <v>1042</v>
      </c>
      <c r="D240" s="90" t="s">
        <v>1037</v>
      </c>
      <c r="E240" s="90">
        <v>40698</v>
      </c>
    </row>
    <row r="241" spans="1:5" x14ac:dyDescent="0.2">
      <c r="A241" s="249">
        <v>42582</v>
      </c>
      <c r="B241" s="90" t="s">
        <v>1044</v>
      </c>
      <c r="C241" s="90" t="s">
        <v>1043</v>
      </c>
      <c r="D241" s="90" t="s">
        <v>1032</v>
      </c>
      <c r="E241" s="90">
        <v>16542</v>
      </c>
    </row>
    <row r="242" spans="1:5" x14ac:dyDescent="0.2">
      <c r="A242" s="249">
        <v>42582</v>
      </c>
      <c r="B242" s="90" t="s">
        <v>1045</v>
      </c>
      <c r="C242" s="90" t="s">
        <v>1029</v>
      </c>
      <c r="D242" s="90" t="s">
        <v>1030</v>
      </c>
      <c r="E242" s="90">
        <v>13680</v>
      </c>
    </row>
    <row r="243" spans="1:5" x14ac:dyDescent="0.2">
      <c r="A243" s="249">
        <v>42582</v>
      </c>
      <c r="B243" s="90" t="s">
        <v>1045</v>
      </c>
      <c r="C243" s="90" t="s">
        <v>1031</v>
      </c>
      <c r="D243" s="90" t="s">
        <v>1032</v>
      </c>
      <c r="E243" s="90">
        <v>7939</v>
      </c>
    </row>
    <row r="244" spans="1:5" x14ac:dyDescent="0.2">
      <c r="A244" s="249">
        <v>42582</v>
      </c>
      <c r="B244" s="90" t="s">
        <v>1045</v>
      </c>
      <c r="C244" s="90" t="s">
        <v>1033</v>
      </c>
      <c r="D244" s="90" t="s">
        <v>1032</v>
      </c>
      <c r="E244" s="90">
        <v>10585</v>
      </c>
    </row>
    <row r="245" spans="1:5" x14ac:dyDescent="0.2">
      <c r="A245" s="249">
        <v>42582</v>
      </c>
      <c r="B245" s="90" t="s">
        <v>1045</v>
      </c>
      <c r="C245" s="90" t="s">
        <v>1034</v>
      </c>
      <c r="D245" s="90" t="s">
        <v>1030</v>
      </c>
      <c r="E245" s="90">
        <v>20519</v>
      </c>
    </row>
    <row r="246" spans="1:5" x14ac:dyDescent="0.2">
      <c r="A246" s="249">
        <v>42582</v>
      </c>
      <c r="B246" s="90" t="s">
        <v>1045</v>
      </c>
      <c r="C246" s="90" t="s">
        <v>1035</v>
      </c>
      <c r="D246" s="90" t="s">
        <v>1032</v>
      </c>
      <c r="E246" s="90">
        <v>2646</v>
      </c>
    </row>
    <row r="247" spans="1:5" x14ac:dyDescent="0.2">
      <c r="A247" s="249">
        <v>42582</v>
      </c>
      <c r="B247" s="90" t="s">
        <v>1045</v>
      </c>
      <c r="C247" s="90" t="s">
        <v>1036</v>
      </c>
      <c r="D247" s="90" t="s">
        <v>1037</v>
      </c>
      <c r="E247" s="90">
        <v>27345</v>
      </c>
    </row>
    <row r="248" spans="1:5" x14ac:dyDescent="0.2">
      <c r="A248" s="249">
        <v>42582</v>
      </c>
      <c r="B248" s="90" t="s">
        <v>1045</v>
      </c>
      <c r="C248" s="90" t="s">
        <v>1038</v>
      </c>
      <c r="D248" s="90" t="s">
        <v>1030</v>
      </c>
      <c r="E248" s="90">
        <v>5863</v>
      </c>
    </row>
    <row r="249" spans="1:5" x14ac:dyDescent="0.2">
      <c r="A249" s="249">
        <v>42582</v>
      </c>
      <c r="B249" s="90" t="s">
        <v>1045</v>
      </c>
      <c r="C249" s="90" t="s">
        <v>1039</v>
      </c>
      <c r="D249" s="90" t="s">
        <v>1032</v>
      </c>
      <c r="E249" s="90">
        <v>16937</v>
      </c>
    </row>
    <row r="250" spans="1:5" x14ac:dyDescent="0.2">
      <c r="A250" s="249">
        <v>42582</v>
      </c>
      <c r="B250" s="90" t="s">
        <v>1045</v>
      </c>
      <c r="C250" s="90" t="s">
        <v>1040</v>
      </c>
      <c r="D250" s="90" t="s">
        <v>1030</v>
      </c>
      <c r="E250" s="90">
        <v>23451</v>
      </c>
    </row>
    <row r="251" spans="1:5" x14ac:dyDescent="0.2">
      <c r="A251" s="249">
        <v>42582</v>
      </c>
      <c r="B251" s="90" t="s">
        <v>1045</v>
      </c>
      <c r="C251" s="90" t="s">
        <v>1041</v>
      </c>
      <c r="D251" s="90" t="s">
        <v>1037</v>
      </c>
      <c r="E251" s="90">
        <v>18230</v>
      </c>
    </row>
    <row r="252" spans="1:5" x14ac:dyDescent="0.2">
      <c r="A252" s="249">
        <v>42582</v>
      </c>
      <c r="B252" s="90" t="s">
        <v>1045</v>
      </c>
      <c r="C252" s="90" t="s">
        <v>1042</v>
      </c>
      <c r="D252" s="90" t="s">
        <v>1037</v>
      </c>
      <c r="E252" s="90">
        <v>36461</v>
      </c>
    </row>
    <row r="253" spans="1:5" x14ac:dyDescent="0.2">
      <c r="A253" s="249">
        <v>42582</v>
      </c>
      <c r="B253" s="90" t="s">
        <v>1045</v>
      </c>
      <c r="C253" s="90" t="s">
        <v>1043</v>
      </c>
      <c r="D253" s="90" t="s">
        <v>1032</v>
      </c>
      <c r="E253" s="90">
        <v>14819</v>
      </c>
    </row>
    <row r="254" spans="1:5" x14ac:dyDescent="0.2">
      <c r="A254" s="249">
        <v>42613</v>
      </c>
      <c r="B254" s="90" t="s">
        <v>1028</v>
      </c>
      <c r="C254" s="90" t="s">
        <v>1029</v>
      </c>
      <c r="D254" s="90" t="s">
        <v>1030</v>
      </c>
      <c r="E254" s="90">
        <v>13873</v>
      </c>
    </row>
    <row r="255" spans="1:5" x14ac:dyDescent="0.2">
      <c r="A255" s="249">
        <v>42613</v>
      </c>
      <c r="B255" s="90" t="s">
        <v>1028</v>
      </c>
      <c r="C255" s="90" t="s">
        <v>1031</v>
      </c>
      <c r="D255" s="90" t="s">
        <v>1032</v>
      </c>
      <c r="E255" s="90">
        <v>8051</v>
      </c>
    </row>
    <row r="256" spans="1:5" x14ac:dyDescent="0.2">
      <c r="A256" s="249">
        <v>42613</v>
      </c>
      <c r="B256" s="90" t="s">
        <v>1028</v>
      </c>
      <c r="C256" s="90" t="s">
        <v>1033</v>
      </c>
      <c r="D256" s="90" t="s">
        <v>1032</v>
      </c>
      <c r="E256" s="90">
        <v>10735</v>
      </c>
    </row>
    <row r="257" spans="1:5" x14ac:dyDescent="0.2">
      <c r="A257" s="249">
        <v>42613</v>
      </c>
      <c r="B257" s="90" t="s">
        <v>1028</v>
      </c>
      <c r="C257" s="90" t="s">
        <v>1034</v>
      </c>
      <c r="D257" s="90" t="s">
        <v>1030</v>
      </c>
      <c r="E257" s="90">
        <v>20809</v>
      </c>
    </row>
    <row r="258" spans="1:5" x14ac:dyDescent="0.2">
      <c r="A258" s="249">
        <v>42613</v>
      </c>
      <c r="B258" s="90" t="s">
        <v>1028</v>
      </c>
      <c r="C258" s="90" t="s">
        <v>1035</v>
      </c>
      <c r="D258" s="90" t="s">
        <v>1032</v>
      </c>
      <c r="E258" s="90">
        <v>2684</v>
      </c>
    </row>
    <row r="259" spans="1:5" x14ac:dyDescent="0.2">
      <c r="A259" s="249">
        <v>42613</v>
      </c>
      <c r="B259" s="90" t="s">
        <v>1028</v>
      </c>
      <c r="C259" s="90" t="s">
        <v>1036</v>
      </c>
      <c r="D259" s="90" t="s">
        <v>1037</v>
      </c>
      <c r="E259" s="90">
        <v>27732</v>
      </c>
    </row>
    <row r="260" spans="1:5" x14ac:dyDescent="0.2">
      <c r="A260" s="249">
        <v>42613</v>
      </c>
      <c r="B260" s="90" t="s">
        <v>1028</v>
      </c>
      <c r="C260" s="90" t="s">
        <v>1038</v>
      </c>
      <c r="D260" s="90" t="s">
        <v>1030</v>
      </c>
      <c r="E260" s="90">
        <v>5946</v>
      </c>
    </row>
    <row r="261" spans="1:5" x14ac:dyDescent="0.2">
      <c r="A261" s="249">
        <v>42613</v>
      </c>
      <c r="B261" s="90" t="s">
        <v>1028</v>
      </c>
      <c r="C261" s="90" t="s">
        <v>1039</v>
      </c>
      <c r="D261" s="90" t="s">
        <v>1032</v>
      </c>
      <c r="E261" s="90">
        <v>17176</v>
      </c>
    </row>
    <row r="262" spans="1:5" x14ac:dyDescent="0.2">
      <c r="A262" s="249">
        <v>42613</v>
      </c>
      <c r="B262" s="90" t="s">
        <v>1028</v>
      </c>
      <c r="C262" s="90" t="s">
        <v>1040</v>
      </c>
      <c r="D262" s="90" t="s">
        <v>1030</v>
      </c>
      <c r="E262" s="90">
        <v>23782</v>
      </c>
    </row>
    <row r="263" spans="1:5" x14ac:dyDescent="0.2">
      <c r="A263" s="249">
        <v>42613</v>
      </c>
      <c r="B263" s="90" t="s">
        <v>1028</v>
      </c>
      <c r="C263" s="90" t="s">
        <v>1041</v>
      </c>
      <c r="D263" s="90" t="s">
        <v>1037</v>
      </c>
      <c r="E263" s="90">
        <v>18488</v>
      </c>
    </row>
    <row r="264" spans="1:5" x14ac:dyDescent="0.2">
      <c r="A264" s="249">
        <v>42613</v>
      </c>
      <c r="B264" s="90" t="s">
        <v>1028</v>
      </c>
      <c r="C264" s="90" t="s">
        <v>1042</v>
      </c>
      <c r="D264" s="90" t="s">
        <v>1037</v>
      </c>
      <c r="E264" s="90">
        <v>36976</v>
      </c>
    </row>
    <row r="265" spans="1:5" x14ac:dyDescent="0.2">
      <c r="A265" s="249">
        <v>42613</v>
      </c>
      <c r="B265" s="90" t="s">
        <v>1028</v>
      </c>
      <c r="C265" s="90" t="s">
        <v>1043</v>
      </c>
      <c r="D265" s="90" t="s">
        <v>1032</v>
      </c>
      <c r="E265" s="90">
        <v>15029</v>
      </c>
    </row>
    <row r="266" spans="1:5" x14ac:dyDescent="0.2">
      <c r="A266" s="249">
        <v>42613</v>
      </c>
      <c r="B266" s="90" t="s">
        <v>1044</v>
      </c>
      <c r="C266" s="90" t="s">
        <v>1029</v>
      </c>
      <c r="D266" s="90" t="s">
        <v>1030</v>
      </c>
      <c r="E266" s="90">
        <v>16476</v>
      </c>
    </row>
    <row r="267" spans="1:5" x14ac:dyDescent="0.2">
      <c r="A267" s="249">
        <v>42613</v>
      </c>
      <c r="B267" s="90" t="s">
        <v>1044</v>
      </c>
      <c r="C267" s="90" t="s">
        <v>1031</v>
      </c>
      <c r="D267" s="90" t="s">
        <v>1032</v>
      </c>
      <c r="E267" s="90">
        <v>9562</v>
      </c>
    </row>
    <row r="268" spans="1:5" x14ac:dyDescent="0.2">
      <c r="A268" s="249">
        <v>42613</v>
      </c>
      <c r="B268" s="90" t="s">
        <v>1044</v>
      </c>
      <c r="C268" s="90" t="s">
        <v>1033</v>
      </c>
      <c r="D268" s="90" t="s">
        <v>1032</v>
      </c>
      <c r="E268" s="90">
        <v>12749</v>
      </c>
    </row>
    <row r="269" spans="1:5" x14ac:dyDescent="0.2">
      <c r="A269" s="249">
        <v>42613</v>
      </c>
      <c r="B269" s="90" t="s">
        <v>1044</v>
      </c>
      <c r="C269" s="90" t="s">
        <v>1034</v>
      </c>
      <c r="D269" s="90" t="s">
        <v>1030</v>
      </c>
      <c r="E269" s="90">
        <v>24713</v>
      </c>
    </row>
    <row r="270" spans="1:5" x14ac:dyDescent="0.2">
      <c r="A270" s="249">
        <v>42613</v>
      </c>
      <c r="B270" s="90" t="s">
        <v>1044</v>
      </c>
      <c r="C270" s="90" t="s">
        <v>1035</v>
      </c>
      <c r="D270" s="90" t="s">
        <v>1032</v>
      </c>
      <c r="E270" s="90">
        <v>3187</v>
      </c>
    </row>
    <row r="271" spans="1:5" x14ac:dyDescent="0.2">
      <c r="A271" s="249">
        <v>42613</v>
      </c>
      <c r="B271" s="90" t="s">
        <v>1044</v>
      </c>
      <c r="C271" s="90" t="s">
        <v>1036</v>
      </c>
      <c r="D271" s="90" t="s">
        <v>1037</v>
      </c>
      <c r="E271" s="90">
        <v>32935</v>
      </c>
    </row>
    <row r="272" spans="1:5" x14ac:dyDescent="0.2">
      <c r="A272" s="249">
        <v>42613</v>
      </c>
      <c r="B272" s="90" t="s">
        <v>1044</v>
      </c>
      <c r="C272" s="90" t="s">
        <v>1038</v>
      </c>
      <c r="D272" s="90" t="s">
        <v>1030</v>
      </c>
      <c r="E272" s="90">
        <v>7061</v>
      </c>
    </row>
    <row r="273" spans="1:5" x14ac:dyDescent="0.2">
      <c r="A273" s="249">
        <v>42613</v>
      </c>
      <c r="B273" s="90" t="s">
        <v>1044</v>
      </c>
      <c r="C273" s="90" t="s">
        <v>1039</v>
      </c>
      <c r="D273" s="90" t="s">
        <v>1032</v>
      </c>
      <c r="E273" s="90">
        <v>20398</v>
      </c>
    </row>
    <row r="274" spans="1:5" x14ac:dyDescent="0.2">
      <c r="A274" s="249">
        <v>42613</v>
      </c>
      <c r="B274" s="90" t="s">
        <v>1044</v>
      </c>
      <c r="C274" s="90" t="s">
        <v>1040</v>
      </c>
      <c r="D274" s="90" t="s">
        <v>1030</v>
      </c>
      <c r="E274" s="90">
        <v>28244</v>
      </c>
    </row>
    <row r="275" spans="1:5" x14ac:dyDescent="0.2">
      <c r="A275" s="249">
        <v>42613</v>
      </c>
      <c r="B275" s="90" t="s">
        <v>1044</v>
      </c>
      <c r="C275" s="90" t="s">
        <v>1041</v>
      </c>
      <c r="D275" s="90" t="s">
        <v>1037</v>
      </c>
      <c r="E275" s="90">
        <v>21957</v>
      </c>
    </row>
    <row r="276" spans="1:5" x14ac:dyDescent="0.2">
      <c r="A276" s="249">
        <v>42613</v>
      </c>
      <c r="B276" s="90" t="s">
        <v>1044</v>
      </c>
      <c r="C276" s="90" t="s">
        <v>1042</v>
      </c>
      <c r="D276" s="90" t="s">
        <v>1037</v>
      </c>
      <c r="E276" s="90">
        <v>43913</v>
      </c>
    </row>
    <row r="277" spans="1:5" x14ac:dyDescent="0.2">
      <c r="A277" s="249">
        <v>42613</v>
      </c>
      <c r="B277" s="90" t="s">
        <v>1044</v>
      </c>
      <c r="C277" s="90" t="s">
        <v>1043</v>
      </c>
      <c r="D277" s="90" t="s">
        <v>1032</v>
      </c>
      <c r="E277" s="90">
        <v>17849</v>
      </c>
    </row>
    <row r="278" spans="1:5" x14ac:dyDescent="0.2">
      <c r="A278" s="249">
        <v>42613</v>
      </c>
      <c r="B278" s="90" t="s">
        <v>1045</v>
      </c>
      <c r="C278" s="90" t="s">
        <v>1029</v>
      </c>
      <c r="D278" s="90" t="s">
        <v>1030</v>
      </c>
      <c r="E278" s="90">
        <v>11707</v>
      </c>
    </row>
    <row r="279" spans="1:5" x14ac:dyDescent="0.2">
      <c r="A279" s="249">
        <v>42613</v>
      </c>
      <c r="B279" s="90" t="s">
        <v>1045</v>
      </c>
      <c r="C279" s="90" t="s">
        <v>1031</v>
      </c>
      <c r="D279" s="90" t="s">
        <v>1032</v>
      </c>
      <c r="E279" s="90">
        <v>6794</v>
      </c>
    </row>
    <row r="280" spans="1:5" x14ac:dyDescent="0.2">
      <c r="A280" s="249">
        <v>42613</v>
      </c>
      <c r="B280" s="90" t="s">
        <v>1045</v>
      </c>
      <c r="C280" s="90" t="s">
        <v>1033</v>
      </c>
      <c r="D280" s="90" t="s">
        <v>1032</v>
      </c>
      <c r="E280" s="90">
        <v>9059</v>
      </c>
    </row>
    <row r="281" spans="1:5" x14ac:dyDescent="0.2">
      <c r="A281" s="249">
        <v>42613</v>
      </c>
      <c r="B281" s="90" t="s">
        <v>1045</v>
      </c>
      <c r="C281" s="90" t="s">
        <v>1034</v>
      </c>
      <c r="D281" s="90" t="s">
        <v>1030</v>
      </c>
      <c r="E281" s="90">
        <v>17560</v>
      </c>
    </row>
    <row r="282" spans="1:5" x14ac:dyDescent="0.2">
      <c r="A282" s="249">
        <v>42613</v>
      </c>
      <c r="B282" s="90" t="s">
        <v>1045</v>
      </c>
      <c r="C282" s="90" t="s">
        <v>1035</v>
      </c>
      <c r="D282" s="90" t="s">
        <v>1032</v>
      </c>
      <c r="E282" s="90">
        <v>2265</v>
      </c>
    </row>
    <row r="283" spans="1:5" x14ac:dyDescent="0.2">
      <c r="A283" s="249">
        <v>42613</v>
      </c>
      <c r="B283" s="90" t="s">
        <v>1045</v>
      </c>
      <c r="C283" s="90" t="s">
        <v>1036</v>
      </c>
      <c r="D283" s="90" t="s">
        <v>1037</v>
      </c>
      <c r="E283" s="90">
        <v>23402</v>
      </c>
    </row>
    <row r="284" spans="1:5" x14ac:dyDescent="0.2">
      <c r="A284" s="249">
        <v>42613</v>
      </c>
      <c r="B284" s="90" t="s">
        <v>1045</v>
      </c>
      <c r="C284" s="90" t="s">
        <v>1038</v>
      </c>
      <c r="D284" s="90" t="s">
        <v>1030</v>
      </c>
      <c r="E284" s="90">
        <v>5017</v>
      </c>
    </row>
    <row r="285" spans="1:5" x14ac:dyDescent="0.2">
      <c r="A285" s="249">
        <v>42613</v>
      </c>
      <c r="B285" s="90" t="s">
        <v>1045</v>
      </c>
      <c r="C285" s="90" t="s">
        <v>1039</v>
      </c>
      <c r="D285" s="90" t="s">
        <v>1032</v>
      </c>
      <c r="E285" s="90">
        <v>14494</v>
      </c>
    </row>
    <row r="286" spans="1:5" x14ac:dyDescent="0.2">
      <c r="A286" s="249">
        <v>42613</v>
      </c>
      <c r="B286" s="90" t="s">
        <v>1045</v>
      </c>
      <c r="C286" s="90" t="s">
        <v>1040</v>
      </c>
      <c r="D286" s="90" t="s">
        <v>1030</v>
      </c>
      <c r="E286" s="90">
        <v>20069</v>
      </c>
    </row>
    <row r="287" spans="1:5" x14ac:dyDescent="0.2">
      <c r="A287" s="249">
        <v>42613</v>
      </c>
      <c r="B287" s="90" t="s">
        <v>1045</v>
      </c>
      <c r="C287" s="90" t="s">
        <v>1041</v>
      </c>
      <c r="D287" s="90" t="s">
        <v>1037</v>
      </c>
      <c r="E287" s="90">
        <v>15601</v>
      </c>
    </row>
    <row r="288" spans="1:5" x14ac:dyDescent="0.2">
      <c r="A288" s="249">
        <v>42613</v>
      </c>
      <c r="B288" s="90" t="s">
        <v>1045</v>
      </c>
      <c r="C288" s="90" t="s">
        <v>1042</v>
      </c>
      <c r="D288" s="90" t="s">
        <v>1037</v>
      </c>
      <c r="E288" s="90">
        <v>31202</v>
      </c>
    </row>
    <row r="289" spans="1:5" x14ac:dyDescent="0.2">
      <c r="A289" s="249">
        <v>42613</v>
      </c>
      <c r="B289" s="90" t="s">
        <v>1045</v>
      </c>
      <c r="C289" s="90" t="s">
        <v>1043</v>
      </c>
      <c r="D289" s="90" t="s">
        <v>1032</v>
      </c>
      <c r="E289" s="90">
        <v>12682</v>
      </c>
    </row>
    <row r="290" spans="1:5" x14ac:dyDescent="0.2">
      <c r="A290" s="249">
        <v>42643</v>
      </c>
      <c r="B290" s="90" t="s">
        <v>1028</v>
      </c>
      <c r="C290" s="90" t="s">
        <v>1029</v>
      </c>
      <c r="D290" s="90" t="s">
        <v>1030</v>
      </c>
      <c r="E290" s="90">
        <v>13920</v>
      </c>
    </row>
    <row r="291" spans="1:5" x14ac:dyDescent="0.2">
      <c r="A291" s="249">
        <v>42643</v>
      </c>
      <c r="B291" s="90" t="s">
        <v>1028</v>
      </c>
      <c r="C291" s="90" t="s">
        <v>1031</v>
      </c>
      <c r="D291" s="90" t="s">
        <v>1032</v>
      </c>
      <c r="E291" s="90">
        <v>8078</v>
      </c>
    </row>
    <row r="292" spans="1:5" x14ac:dyDescent="0.2">
      <c r="A292" s="249">
        <v>42643</v>
      </c>
      <c r="B292" s="90" t="s">
        <v>1028</v>
      </c>
      <c r="C292" s="90" t="s">
        <v>1033</v>
      </c>
      <c r="D292" s="90" t="s">
        <v>1032</v>
      </c>
      <c r="E292" s="90">
        <v>10771</v>
      </c>
    </row>
    <row r="293" spans="1:5" x14ac:dyDescent="0.2">
      <c r="A293" s="249">
        <v>42643</v>
      </c>
      <c r="B293" s="90" t="s">
        <v>1028</v>
      </c>
      <c r="C293" s="90" t="s">
        <v>1034</v>
      </c>
      <c r="D293" s="90" t="s">
        <v>1030</v>
      </c>
      <c r="E293" s="90">
        <v>20880</v>
      </c>
    </row>
    <row r="294" spans="1:5" x14ac:dyDescent="0.2">
      <c r="A294" s="249">
        <v>42643</v>
      </c>
      <c r="B294" s="90" t="s">
        <v>1028</v>
      </c>
      <c r="C294" s="90" t="s">
        <v>1035</v>
      </c>
      <c r="D294" s="90" t="s">
        <v>1032</v>
      </c>
      <c r="E294" s="90">
        <v>2693</v>
      </c>
    </row>
    <row r="295" spans="1:5" x14ac:dyDescent="0.2">
      <c r="A295" s="249">
        <v>42643</v>
      </c>
      <c r="B295" s="90" t="s">
        <v>1028</v>
      </c>
      <c r="C295" s="90" t="s">
        <v>1036</v>
      </c>
      <c r="D295" s="90" t="s">
        <v>1037</v>
      </c>
      <c r="E295" s="90">
        <v>27826</v>
      </c>
    </row>
    <row r="296" spans="1:5" x14ac:dyDescent="0.2">
      <c r="A296" s="249">
        <v>42643</v>
      </c>
      <c r="B296" s="90" t="s">
        <v>1028</v>
      </c>
      <c r="C296" s="90" t="s">
        <v>1038</v>
      </c>
      <c r="D296" s="90" t="s">
        <v>1030</v>
      </c>
      <c r="E296" s="90">
        <v>5966</v>
      </c>
    </row>
    <row r="297" spans="1:5" x14ac:dyDescent="0.2">
      <c r="A297" s="249">
        <v>42643</v>
      </c>
      <c r="B297" s="90" t="s">
        <v>1028</v>
      </c>
      <c r="C297" s="90" t="s">
        <v>1039</v>
      </c>
      <c r="D297" s="90" t="s">
        <v>1032</v>
      </c>
      <c r="E297" s="90">
        <v>17234</v>
      </c>
    </row>
    <row r="298" spans="1:5" x14ac:dyDescent="0.2">
      <c r="A298" s="249">
        <v>42643</v>
      </c>
      <c r="B298" s="90" t="s">
        <v>1028</v>
      </c>
      <c r="C298" s="90" t="s">
        <v>1040</v>
      </c>
      <c r="D298" s="90" t="s">
        <v>1030</v>
      </c>
      <c r="E298" s="90">
        <v>23862</v>
      </c>
    </row>
    <row r="299" spans="1:5" x14ac:dyDescent="0.2">
      <c r="A299" s="249">
        <v>42643</v>
      </c>
      <c r="B299" s="90" t="s">
        <v>1028</v>
      </c>
      <c r="C299" s="90" t="s">
        <v>1041</v>
      </c>
      <c r="D299" s="90" t="s">
        <v>1037</v>
      </c>
      <c r="E299" s="90">
        <v>18550</v>
      </c>
    </row>
    <row r="300" spans="1:5" x14ac:dyDescent="0.2">
      <c r="A300" s="249">
        <v>42643</v>
      </c>
      <c r="B300" s="90" t="s">
        <v>1028</v>
      </c>
      <c r="C300" s="90" t="s">
        <v>1042</v>
      </c>
      <c r="D300" s="90" t="s">
        <v>1037</v>
      </c>
      <c r="E300" s="90">
        <v>37101</v>
      </c>
    </row>
    <row r="301" spans="1:5" x14ac:dyDescent="0.2">
      <c r="A301" s="249">
        <v>42643</v>
      </c>
      <c r="B301" s="90" t="s">
        <v>1028</v>
      </c>
      <c r="C301" s="90" t="s">
        <v>1043</v>
      </c>
      <c r="D301" s="90" t="s">
        <v>1032</v>
      </c>
      <c r="E301" s="90">
        <v>15080</v>
      </c>
    </row>
    <row r="302" spans="1:5" x14ac:dyDescent="0.2">
      <c r="A302" s="249">
        <v>42643</v>
      </c>
      <c r="B302" s="90" t="s">
        <v>1044</v>
      </c>
      <c r="C302" s="90" t="s">
        <v>1029</v>
      </c>
      <c r="D302" s="90" t="s">
        <v>1030</v>
      </c>
      <c r="E302" s="90">
        <v>12119</v>
      </c>
    </row>
    <row r="303" spans="1:5" x14ac:dyDescent="0.2">
      <c r="A303" s="249">
        <v>42643</v>
      </c>
      <c r="B303" s="90" t="s">
        <v>1044</v>
      </c>
      <c r="C303" s="90" t="s">
        <v>1031</v>
      </c>
      <c r="D303" s="90" t="s">
        <v>1032</v>
      </c>
      <c r="E303" s="90">
        <v>7034</v>
      </c>
    </row>
    <row r="304" spans="1:5" x14ac:dyDescent="0.2">
      <c r="A304" s="249">
        <v>42643</v>
      </c>
      <c r="B304" s="90" t="s">
        <v>1044</v>
      </c>
      <c r="C304" s="90" t="s">
        <v>1033</v>
      </c>
      <c r="D304" s="90" t="s">
        <v>1032</v>
      </c>
      <c r="E304" s="90">
        <v>9378</v>
      </c>
    </row>
    <row r="305" spans="1:5" x14ac:dyDescent="0.2">
      <c r="A305" s="249">
        <v>42643</v>
      </c>
      <c r="B305" s="90" t="s">
        <v>1044</v>
      </c>
      <c r="C305" s="90" t="s">
        <v>1034</v>
      </c>
      <c r="D305" s="90" t="s">
        <v>1030</v>
      </c>
      <c r="E305" s="90">
        <v>18179</v>
      </c>
    </row>
    <row r="306" spans="1:5" x14ac:dyDescent="0.2">
      <c r="A306" s="249">
        <v>42643</v>
      </c>
      <c r="B306" s="90" t="s">
        <v>1044</v>
      </c>
      <c r="C306" s="90" t="s">
        <v>1035</v>
      </c>
      <c r="D306" s="90" t="s">
        <v>1032</v>
      </c>
      <c r="E306" s="90">
        <v>2345</v>
      </c>
    </row>
    <row r="307" spans="1:5" x14ac:dyDescent="0.2">
      <c r="A307" s="249">
        <v>42643</v>
      </c>
      <c r="B307" s="90" t="s">
        <v>1044</v>
      </c>
      <c r="C307" s="90" t="s">
        <v>1036</v>
      </c>
      <c r="D307" s="90" t="s">
        <v>1037</v>
      </c>
      <c r="E307" s="90">
        <v>24227</v>
      </c>
    </row>
    <row r="308" spans="1:5" x14ac:dyDescent="0.2">
      <c r="A308" s="249">
        <v>42643</v>
      </c>
      <c r="B308" s="90" t="s">
        <v>1044</v>
      </c>
      <c r="C308" s="90" t="s">
        <v>1038</v>
      </c>
      <c r="D308" s="90" t="s">
        <v>1030</v>
      </c>
      <c r="E308" s="90">
        <v>5194</v>
      </c>
    </row>
    <row r="309" spans="1:5" x14ac:dyDescent="0.2">
      <c r="A309" s="249">
        <v>42643</v>
      </c>
      <c r="B309" s="90" t="s">
        <v>1044</v>
      </c>
      <c r="C309" s="90" t="s">
        <v>1039</v>
      </c>
      <c r="D309" s="90" t="s">
        <v>1032</v>
      </c>
      <c r="E309" s="90">
        <v>15005</v>
      </c>
    </row>
    <row r="310" spans="1:5" x14ac:dyDescent="0.2">
      <c r="A310" s="249">
        <v>42643</v>
      </c>
      <c r="B310" s="90" t="s">
        <v>1044</v>
      </c>
      <c r="C310" s="90" t="s">
        <v>1040</v>
      </c>
      <c r="D310" s="90" t="s">
        <v>1030</v>
      </c>
      <c r="E310" s="90">
        <v>20776</v>
      </c>
    </row>
    <row r="311" spans="1:5" x14ac:dyDescent="0.2">
      <c r="A311" s="249">
        <v>42643</v>
      </c>
      <c r="B311" s="90" t="s">
        <v>1044</v>
      </c>
      <c r="C311" s="90" t="s">
        <v>1041</v>
      </c>
      <c r="D311" s="90" t="s">
        <v>1037</v>
      </c>
      <c r="E311" s="90">
        <v>16151</v>
      </c>
    </row>
    <row r="312" spans="1:5" x14ac:dyDescent="0.2">
      <c r="A312" s="249">
        <v>42643</v>
      </c>
      <c r="B312" s="90" t="s">
        <v>1044</v>
      </c>
      <c r="C312" s="90" t="s">
        <v>1042</v>
      </c>
      <c r="D312" s="90" t="s">
        <v>1037</v>
      </c>
      <c r="E312" s="90">
        <v>32302</v>
      </c>
    </row>
    <row r="313" spans="1:5" x14ac:dyDescent="0.2">
      <c r="A313" s="249">
        <v>42643</v>
      </c>
      <c r="B313" s="90" t="s">
        <v>1044</v>
      </c>
      <c r="C313" s="90" t="s">
        <v>1043</v>
      </c>
      <c r="D313" s="90" t="s">
        <v>1032</v>
      </c>
      <c r="E313" s="90">
        <v>13129</v>
      </c>
    </row>
    <row r="314" spans="1:5" x14ac:dyDescent="0.2">
      <c r="A314" s="249">
        <v>42643</v>
      </c>
      <c r="B314" s="90" t="s">
        <v>1045</v>
      </c>
      <c r="C314" s="90" t="s">
        <v>1029</v>
      </c>
      <c r="D314" s="90" t="s">
        <v>1030</v>
      </c>
      <c r="E314" s="90">
        <v>10546</v>
      </c>
    </row>
    <row r="315" spans="1:5" x14ac:dyDescent="0.2">
      <c r="A315" s="249">
        <v>42643</v>
      </c>
      <c r="B315" s="90" t="s">
        <v>1045</v>
      </c>
      <c r="C315" s="90" t="s">
        <v>1031</v>
      </c>
      <c r="D315" s="90" t="s">
        <v>1032</v>
      </c>
      <c r="E315" s="90">
        <v>6120</v>
      </c>
    </row>
    <row r="316" spans="1:5" x14ac:dyDescent="0.2">
      <c r="A316" s="249">
        <v>42643</v>
      </c>
      <c r="B316" s="90" t="s">
        <v>1045</v>
      </c>
      <c r="C316" s="90" t="s">
        <v>1033</v>
      </c>
      <c r="D316" s="90" t="s">
        <v>1032</v>
      </c>
      <c r="E316" s="90">
        <v>8161</v>
      </c>
    </row>
    <row r="317" spans="1:5" x14ac:dyDescent="0.2">
      <c r="A317" s="249">
        <v>42643</v>
      </c>
      <c r="B317" s="90" t="s">
        <v>1045</v>
      </c>
      <c r="C317" s="90" t="s">
        <v>1034</v>
      </c>
      <c r="D317" s="90" t="s">
        <v>1030</v>
      </c>
      <c r="E317" s="90">
        <v>15819</v>
      </c>
    </row>
    <row r="318" spans="1:5" x14ac:dyDescent="0.2">
      <c r="A318" s="249">
        <v>42643</v>
      </c>
      <c r="B318" s="90" t="s">
        <v>1045</v>
      </c>
      <c r="C318" s="90" t="s">
        <v>1035</v>
      </c>
      <c r="D318" s="90" t="s">
        <v>1032</v>
      </c>
      <c r="E318" s="90">
        <v>2040</v>
      </c>
    </row>
    <row r="319" spans="1:5" x14ac:dyDescent="0.2">
      <c r="A319" s="249">
        <v>42643</v>
      </c>
      <c r="B319" s="90" t="s">
        <v>1045</v>
      </c>
      <c r="C319" s="90" t="s">
        <v>1036</v>
      </c>
      <c r="D319" s="90" t="s">
        <v>1037</v>
      </c>
      <c r="E319" s="90">
        <v>21082</v>
      </c>
    </row>
    <row r="320" spans="1:5" x14ac:dyDescent="0.2">
      <c r="A320" s="249">
        <v>42643</v>
      </c>
      <c r="B320" s="90" t="s">
        <v>1045</v>
      </c>
      <c r="C320" s="90" t="s">
        <v>1038</v>
      </c>
      <c r="D320" s="90" t="s">
        <v>1030</v>
      </c>
      <c r="E320" s="90">
        <v>4520</v>
      </c>
    </row>
    <row r="321" spans="1:5" x14ac:dyDescent="0.2">
      <c r="A321" s="249">
        <v>42643</v>
      </c>
      <c r="B321" s="90" t="s">
        <v>1045</v>
      </c>
      <c r="C321" s="90" t="s">
        <v>1039</v>
      </c>
      <c r="D321" s="90" t="s">
        <v>1032</v>
      </c>
      <c r="E321" s="90">
        <v>13057</v>
      </c>
    </row>
    <row r="322" spans="1:5" x14ac:dyDescent="0.2">
      <c r="A322" s="249">
        <v>42643</v>
      </c>
      <c r="B322" s="90" t="s">
        <v>1045</v>
      </c>
      <c r="C322" s="90" t="s">
        <v>1040</v>
      </c>
      <c r="D322" s="90" t="s">
        <v>1030</v>
      </c>
      <c r="E322" s="90">
        <v>18079</v>
      </c>
    </row>
    <row r="323" spans="1:5" x14ac:dyDescent="0.2">
      <c r="A323" s="249">
        <v>42643</v>
      </c>
      <c r="B323" s="90" t="s">
        <v>1045</v>
      </c>
      <c r="C323" s="90" t="s">
        <v>1041</v>
      </c>
      <c r="D323" s="90" t="s">
        <v>1037</v>
      </c>
      <c r="E323" s="90">
        <v>14054</v>
      </c>
    </row>
    <row r="324" spans="1:5" x14ac:dyDescent="0.2">
      <c r="A324" s="249">
        <v>42643</v>
      </c>
      <c r="B324" s="90" t="s">
        <v>1045</v>
      </c>
      <c r="C324" s="90" t="s">
        <v>1042</v>
      </c>
      <c r="D324" s="90" t="s">
        <v>1037</v>
      </c>
      <c r="E324" s="90">
        <v>28109</v>
      </c>
    </row>
    <row r="325" spans="1:5" x14ac:dyDescent="0.2">
      <c r="A325" s="249">
        <v>42643</v>
      </c>
      <c r="B325" s="90" t="s">
        <v>1045</v>
      </c>
      <c r="C325" s="90" t="s">
        <v>1043</v>
      </c>
      <c r="D325" s="90" t="s">
        <v>1032</v>
      </c>
      <c r="E325" s="90">
        <v>11425</v>
      </c>
    </row>
    <row r="326" spans="1:5" x14ac:dyDescent="0.2">
      <c r="A326" s="249">
        <v>42674</v>
      </c>
      <c r="B326" s="90" t="s">
        <v>1028</v>
      </c>
      <c r="C326" s="90" t="s">
        <v>1029</v>
      </c>
      <c r="D326" s="90" t="s">
        <v>1030</v>
      </c>
      <c r="E326" s="90">
        <v>12662</v>
      </c>
    </row>
    <row r="327" spans="1:5" x14ac:dyDescent="0.2">
      <c r="A327" s="249">
        <v>42674</v>
      </c>
      <c r="B327" s="90" t="s">
        <v>1028</v>
      </c>
      <c r="C327" s="90" t="s">
        <v>1031</v>
      </c>
      <c r="D327" s="90" t="s">
        <v>1032</v>
      </c>
      <c r="E327" s="90">
        <v>7348</v>
      </c>
    </row>
    <row r="328" spans="1:5" x14ac:dyDescent="0.2">
      <c r="A328" s="249">
        <v>42674</v>
      </c>
      <c r="B328" s="90" t="s">
        <v>1028</v>
      </c>
      <c r="C328" s="90" t="s">
        <v>1033</v>
      </c>
      <c r="D328" s="90" t="s">
        <v>1032</v>
      </c>
      <c r="E328" s="90">
        <v>9798</v>
      </c>
    </row>
    <row r="329" spans="1:5" x14ac:dyDescent="0.2">
      <c r="A329" s="249">
        <v>42674</v>
      </c>
      <c r="B329" s="90" t="s">
        <v>1028</v>
      </c>
      <c r="C329" s="90" t="s">
        <v>1034</v>
      </c>
      <c r="D329" s="90" t="s">
        <v>1030</v>
      </c>
      <c r="E329" s="90">
        <v>18992</v>
      </c>
    </row>
    <row r="330" spans="1:5" x14ac:dyDescent="0.2">
      <c r="A330" s="249">
        <v>42674</v>
      </c>
      <c r="B330" s="90" t="s">
        <v>1028</v>
      </c>
      <c r="C330" s="90" t="s">
        <v>1035</v>
      </c>
      <c r="D330" s="90" t="s">
        <v>1032</v>
      </c>
      <c r="E330" s="90">
        <v>2449</v>
      </c>
    </row>
    <row r="331" spans="1:5" x14ac:dyDescent="0.2">
      <c r="A331" s="249">
        <v>42674</v>
      </c>
      <c r="B331" s="90" t="s">
        <v>1028</v>
      </c>
      <c r="C331" s="90" t="s">
        <v>1036</v>
      </c>
      <c r="D331" s="90" t="s">
        <v>1037</v>
      </c>
      <c r="E331" s="90">
        <v>25311</v>
      </c>
    </row>
    <row r="332" spans="1:5" x14ac:dyDescent="0.2">
      <c r="A332" s="249">
        <v>42674</v>
      </c>
      <c r="B332" s="90" t="s">
        <v>1028</v>
      </c>
      <c r="C332" s="90" t="s">
        <v>1038</v>
      </c>
      <c r="D332" s="90" t="s">
        <v>1030</v>
      </c>
      <c r="E332" s="90">
        <v>5426</v>
      </c>
    </row>
    <row r="333" spans="1:5" x14ac:dyDescent="0.2">
      <c r="A333" s="249">
        <v>42674</v>
      </c>
      <c r="B333" s="90" t="s">
        <v>1028</v>
      </c>
      <c r="C333" s="90" t="s">
        <v>1039</v>
      </c>
      <c r="D333" s="90" t="s">
        <v>1032</v>
      </c>
      <c r="E333" s="90">
        <v>15676</v>
      </c>
    </row>
    <row r="334" spans="1:5" x14ac:dyDescent="0.2">
      <c r="A334" s="249">
        <v>42674</v>
      </c>
      <c r="B334" s="90" t="s">
        <v>1028</v>
      </c>
      <c r="C334" s="90" t="s">
        <v>1040</v>
      </c>
      <c r="D334" s="90" t="s">
        <v>1030</v>
      </c>
      <c r="E334" s="90">
        <v>21706</v>
      </c>
    </row>
    <row r="335" spans="1:5" x14ac:dyDescent="0.2">
      <c r="A335" s="249">
        <v>42674</v>
      </c>
      <c r="B335" s="90" t="s">
        <v>1028</v>
      </c>
      <c r="C335" s="90" t="s">
        <v>1041</v>
      </c>
      <c r="D335" s="90" t="s">
        <v>1037</v>
      </c>
      <c r="E335" s="90">
        <v>16874</v>
      </c>
    </row>
    <row r="336" spans="1:5" x14ac:dyDescent="0.2">
      <c r="A336" s="249">
        <v>42674</v>
      </c>
      <c r="B336" s="90" t="s">
        <v>1028</v>
      </c>
      <c r="C336" s="90" t="s">
        <v>1042</v>
      </c>
      <c r="D336" s="90" t="s">
        <v>1037</v>
      </c>
      <c r="E336" s="90">
        <v>33747</v>
      </c>
    </row>
    <row r="337" spans="1:5" x14ac:dyDescent="0.2">
      <c r="A337" s="249">
        <v>42674</v>
      </c>
      <c r="B337" s="90" t="s">
        <v>1028</v>
      </c>
      <c r="C337" s="90" t="s">
        <v>1043</v>
      </c>
      <c r="D337" s="90" t="s">
        <v>1032</v>
      </c>
      <c r="E337" s="90">
        <v>13717</v>
      </c>
    </row>
    <row r="338" spans="1:5" x14ac:dyDescent="0.2">
      <c r="A338" s="249">
        <v>42674</v>
      </c>
      <c r="B338" s="90" t="s">
        <v>1044</v>
      </c>
      <c r="C338" s="90" t="s">
        <v>1029</v>
      </c>
      <c r="D338" s="90" t="s">
        <v>1030</v>
      </c>
      <c r="E338" s="90">
        <v>16437</v>
      </c>
    </row>
    <row r="339" spans="1:5" x14ac:dyDescent="0.2">
      <c r="A339" s="249">
        <v>42674</v>
      </c>
      <c r="B339" s="90" t="s">
        <v>1044</v>
      </c>
      <c r="C339" s="90" t="s">
        <v>1031</v>
      </c>
      <c r="D339" s="90" t="s">
        <v>1032</v>
      </c>
      <c r="E339" s="90">
        <v>9539</v>
      </c>
    </row>
    <row r="340" spans="1:5" x14ac:dyDescent="0.2">
      <c r="A340" s="249">
        <v>42674</v>
      </c>
      <c r="B340" s="90" t="s">
        <v>1044</v>
      </c>
      <c r="C340" s="90" t="s">
        <v>1033</v>
      </c>
      <c r="D340" s="90" t="s">
        <v>1032</v>
      </c>
      <c r="E340" s="90">
        <v>12719</v>
      </c>
    </row>
    <row r="341" spans="1:5" x14ac:dyDescent="0.2">
      <c r="A341" s="249">
        <v>42674</v>
      </c>
      <c r="B341" s="90" t="s">
        <v>1044</v>
      </c>
      <c r="C341" s="90" t="s">
        <v>1034</v>
      </c>
      <c r="D341" s="90" t="s">
        <v>1030</v>
      </c>
      <c r="E341" s="90">
        <v>24656</v>
      </c>
    </row>
    <row r="342" spans="1:5" x14ac:dyDescent="0.2">
      <c r="A342" s="249">
        <v>42674</v>
      </c>
      <c r="B342" s="90" t="s">
        <v>1044</v>
      </c>
      <c r="C342" s="90" t="s">
        <v>1035</v>
      </c>
      <c r="D342" s="90" t="s">
        <v>1032</v>
      </c>
      <c r="E342" s="90">
        <v>3180</v>
      </c>
    </row>
    <row r="343" spans="1:5" x14ac:dyDescent="0.2">
      <c r="A343" s="249">
        <v>42674</v>
      </c>
      <c r="B343" s="90" t="s">
        <v>1044</v>
      </c>
      <c r="C343" s="90" t="s">
        <v>1036</v>
      </c>
      <c r="D343" s="90" t="s">
        <v>1037</v>
      </c>
      <c r="E343" s="90">
        <v>32858</v>
      </c>
    </row>
    <row r="344" spans="1:5" x14ac:dyDescent="0.2">
      <c r="A344" s="249">
        <v>42674</v>
      </c>
      <c r="B344" s="90" t="s">
        <v>1044</v>
      </c>
      <c r="C344" s="90" t="s">
        <v>1038</v>
      </c>
      <c r="D344" s="90" t="s">
        <v>1030</v>
      </c>
      <c r="E344" s="90">
        <v>7044</v>
      </c>
    </row>
    <row r="345" spans="1:5" x14ac:dyDescent="0.2">
      <c r="A345" s="249">
        <v>42674</v>
      </c>
      <c r="B345" s="90" t="s">
        <v>1044</v>
      </c>
      <c r="C345" s="90" t="s">
        <v>1039</v>
      </c>
      <c r="D345" s="90" t="s">
        <v>1032</v>
      </c>
      <c r="E345" s="90">
        <v>20351</v>
      </c>
    </row>
    <row r="346" spans="1:5" x14ac:dyDescent="0.2">
      <c r="A346" s="249">
        <v>42674</v>
      </c>
      <c r="B346" s="90" t="s">
        <v>1044</v>
      </c>
      <c r="C346" s="90" t="s">
        <v>1040</v>
      </c>
      <c r="D346" s="90" t="s">
        <v>1030</v>
      </c>
      <c r="E346" s="90">
        <v>28178</v>
      </c>
    </row>
    <row r="347" spans="1:5" x14ac:dyDescent="0.2">
      <c r="A347" s="249">
        <v>42674</v>
      </c>
      <c r="B347" s="90" t="s">
        <v>1044</v>
      </c>
      <c r="C347" s="90" t="s">
        <v>1041</v>
      </c>
      <c r="D347" s="90" t="s">
        <v>1037</v>
      </c>
      <c r="E347" s="90">
        <v>21905</v>
      </c>
    </row>
    <row r="348" spans="1:5" x14ac:dyDescent="0.2">
      <c r="A348" s="249">
        <v>42674</v>
      </c>
      <c r="B348" s="90" t="s">
        <v>1044</v>
      </c>
      <c r="C348" s="90" t="s">
        <v>1042</v>
      </c>
      <c r="D348" s="90" t="s">
        <v>1037</v>
      </c>
      <c r="E348" s="90">
        <v>43811</v>
      </c>
    </row>
    <row r="349" spans="1:5" x14ac:dyDescent="0.2">
      <c r="A349" s="249">
        <v>42674</v>
      </c>
      <c r="B349" s="90" t="s">
        <v>1044</v>
      </c>
      <c r="C349" s="90" t="s">
        <v>1043</v>
      </c>
      <c r="D349" s="90" t="s">
        <v>1032</v>
      </c>
      <c r="E349" s="90">
        <v>17807</v>
      </c>
    </row>
    <row r="350" spans="1:5" x14ac:dyDescent="0.2">
      <c r="A350" s="249">
        <v>42674</v>
      </c>
      <c r="B350" s="90" t="s">
        <v>1045</v>
      </c>
      <c r="C350" s="90" t="s">
        <v>1029</v>
      </c>
      <c r="D350" s="90" t="s">
        <v>1030</v>
      </c>
      <c r="E350" s="90">
        <v>12331</v>
      </c>
    </row>
    <row r="351" spans="1:5" x14ac:dyDescent="0.2">
      <c r="A351" s="249">
        <v>42674</v>
      </c>
      <c r="B351" s="90" t="s">
        <v>1045</v>
      </c>
      <c r="C351" s="90" t="s">
        <v>1031</v>
      </c>
      <c r="D351" s="90" t="s">
        <v>1032</v>
      </c>
      <c r="E351" s="90">
        <v>7156</v>
      </c>
    </row>
    <row r="352" spans="1:5" x14ac:dyDescent="0.2">
      <c r="A352" s="249">
        <v>42674</v>
      </c>
      <c r="B352" s="90" t="s">
        <v>1045</v>
      </c>
      <c r="C352" s="90" t="s">
        <v>1033</v>
      </c>
      <c r="D352" s="90" t="s">
        <v>1032</v>
      </c>
      <c r="E352" s="90">
        <v>9542</v>
      </c>
    </row>
    <row r="353" spans="1:5" x14ac:dyDescent="0.2">
      <c r="A353" s="249">
        <v>42674</v>
      </c>
      <c r="B353" s="90" t="s">
        <v>1045</v>
      </c>
      <c r="C353" s="90" t="s">
        <v>1034</v>
      </c>
      <c r="D353" s="90" t="s">
        <v>1030</v>
      </c>
      <c r="E353" s="90">
        <v>18496</v>
      </c>
    </row>
    <row r="354" spans="1:5" x14ac:dyDescent="0.2">
      <c r="A354" s="249">
        <v>42674</v>
      </c>
      <c r="B354" s="90" t="s">
        <v>1045</v>
      </c>
      <c r="C354" s="90" t="s">
        <v>1035</v>
      </c>
      <c r="D354" s="90" t="s">
        <v>1032</v>
      </c>
      <c r="E354" s="90">
        <v>2385</v>
      </c>
    </row>
    <row r="355" spans="1:5" x14ac:dyDescent="0.2">
      <c r="A355" s="249">
        <v>42674</v>
      </c>
      <c r="B355" s="90" t="s">
        <v>1045</v>
      </c>
      <c r="C355" s="90" t="s">
        <v>1036</v>
      </c>
      <c r="D355" s="90" t="s">
        <v>1037</v>
      </c>
      <c r="E355" s="90">
        <v>24649</v>
      </c>
    </row>
    <row r="356" spans="1:5" x14ac:dyDescent="0.2">
      <c r="A356" s="249">
        <v>42674</v>
      </c>
      <c r="B356" s="90" t="s">
        <v>1045</v>
      </c>
      <c r="C356" s="90" t="s">
        <v>1038</v>
      </c>
      <c r="D356" s="90" t="s">
        <v>1030</v>
      </c>
      <c r="E356" s="90">
        <v>5285</v>
      </c>
    </row>
    <row r="357" spans="1:5" x14ac:dyDescent="0.2">
      <c r="A357" s="249">
        <v>42674</v>
      </c>
      <c r="B357" s="90" t="s">
        <v>1045</v>
      </c>
      <c r="C357" s="90" t="s">
        <v>1039</v>
      </c>
      <c r="D357" s="90" t="s">
        <v>1032</v>
      </c>
      <c r="E357" s="90">
        <v>15267</v>
      </c>
    </row>
    <row r="358" spans="1:5" x14ac:dyDescent="0.2">
      <c r="A358" s="249">
        <v>42674</v>
      </c>
      <c r="B358" s="90" t="s">
        <v>1045</v>
      </c>
      <c r="C358" s="90" t="s">
        <v>1040</v>
      </c>
      <c r="D358" s="90" t="s">
        <v>1030</v>
      </c>
      <c r="E358" s="90">
        <v>21138</v>
      </c>
    </row>
    <row r="359" spans="1:5" x14ac:dyDescent="0.2">
      <c r="A359" s="249">
        <v>42674</v>
      </c>
      <c r="B359" s="90" t="s">
        <v>1045</v>
      </c>
      <c r="C359" s="90" t="s">
        <v>1041</v>
      </c>
      <c r="D359" s="90" t="s">
        <v>1037</v>
      </c>
      <c r="E359" s="90">
        <v>16433</v>
      </c>
    </row>
    <row r="360" spans="1:5" x14ac:dyDescent="0.2">
      <c r="A360" s="249">
        <v>42674</v>
      </c>
      <c r="B360" s="90" t="s">
        <v>1045</v>
      </c>
      <c r="C360" s="90" t="s">
        <v>1042</v>
      </c>
      <c r="D360" s="90" t="s">
        <v>1037</v>
      </c>
      <c r="E360" s="90">
        <v>32866</v>
      </c>
    </row>
    <row r="361" spans="1:5" x14ac:dyDescent="0.2">
      <c r="A361" s="249">
        <v>42674</v>
      </c>
      <c r="B361" s="90" t="s">
        <v>1045</v>
      </c>
      <c r="C361" s="90" t="s">
        <v>1043</v>
      </c>
      <c r="D361" s="90" t="s">
        <v>1032</v>
      </c>
      <c r="E361" s="90">
        <v>13358</v>
      </c>
    </row>
    <row r="362" spans="1:5" x14ac:dyDescent="0.2">
      <c r="A362" s="249">
        <v>42704</v>
      </c>
      <c r="B362" s="90" t="s">
        <v>1028</v>
      </c>
      <c r="C362" s="90" t="s">
        <v>1029</v>
      </c>
      <c r="D362" s="90" t="s">
        <v>1030</v>
      </c>
      <c r="E362" s="90">
        <v>14622</v>
      </c>
    </row>
    <row r="363" spans="1:5" x14ac:dyDescent="0.2">
      <c r="A363" s="249">
        <v>42704</v>
      </c>
      <c r="B363" s="90" t="s">
        <v>1028</v>
      </c>
      <c r="C363" s="90" t="s">
        <v>1031</v>
      </c>
      <c r="D363" s="90" t="s">
        <v>1032</v>
      </c>
      <c r="E363" s="90">
        <v>8486</v>
      </c>
    </row>
    <row r="364" spans="1:5" x14ac:dyDescent="0.2">
      <c r="A364" s="249">
        <v>42704</v>
      </c>
      <c r="B364" s="90" t="s">
        <v>1028</v>
      </c>
      <c r="C364" s="90" t="s">
        <v>1033</v>
      </c>
      <c r="D364" s="90" t="s">
        <v>1032</v>
      </c>
      <c r="E364" s="90">
        <v>11314</v>
      </c>
    </row>
    <row r="365" spans="1:5" x14ac:dyDescent="0.2">
      <c r="A365" s="249">
        <v>42704</v>
      </c>
      <c r="B365" s="90" t="s">
        <v>1028</v>
      </c>
      <c r="C365" s="90" t="s">
        <v>1034</v>
      </c>
      <c r="D365" s="90" t="s">
        <v>1030</v>
      </c>
      <c r="E365" s="90">
        <v>21932</v>
      </c>
    </row>
    <row r="366" spans="1:5" x14ac:dyDescent="0.2">
      <c r="A366" s="249">
        <v>42704</v>
      </c>
      <c r="B366" s="90" t="s">
        <v>1028</v>
      </c>
      <c r="C366" s="90" t="s">
        <v>1035</v>
      </c>
      <c r="D366" s="90" t="s">
        <v>1032</v>
      </c>
      <c r="E366" s="90">
        <v>2829</v>
      </c>
    </row>
    <row r="367" spans="1:5" x14ac:dyDescent="0.2">
      <c r="A367" s="249">
        <v>42704</v>
      </c>
      <c r="B367" s="90" t="s">
        <v>1028</v>
      </c>
      <c r="C367" s="90" t="s">
        <v>1036</v>
      </c>
      <c r="D367" s="90" t="s">
        <v>1037</v>
      </c>
      <c r="E367" s="90">
        <v>29229</v>
      </c>
    </row>
    <row r="368" spans="1:5" x14ac:dyDescent="0.2">
      <c r="A368" s="249">
        <v>42704</v>
      </c>
      <c r="B368" s="90" t="s">
        <v>1028</v>
      </c>
      <c r="C368" s="90" t="s">
        <v>1038</v>
      </c>
      <c r="D368" s="90" t="s">
        <v>1030</v>
      </c>
      <c r="E368" s="90">
        <v>6266</v>
      </c>
    </row>
    <row r="369" spans="1:5" x14ac:dyDescent="0.2">
      <c r="A369" s="249">
        <v>42704</v>
      </c>
      <c r="B369" s="90" t="s">
        <v>1028</v>
      </c>
      <c r="C369" s="90" t="s">
        <v>1039</v>
      </c>
      <c r="D369" s="90" t="s">
        <v>1032</v>
      </c>
      <c r="E369" s="90">
        <v>18103</v>
      </c>
    </row>
    <row r="370" spans="1:5" x14ac:dyDescent="0.2">
      <c r="A370" s="249">
        <v>42704</v>
      </c>
      <c r="B370" s="90" t="s">
        <v>1028</v>
      </c>
      <c r="C370" s="90" t="s">
        <v>1040</v>
      </c>
      <c r="D370" s="90" t="s">
        <v>1030</v>
      </c>
      <c r="E370" s="90">
        <v>25066</v>
      </c>
    </row>
    <row r="371" spans="1:5" x14ac:dyDescent="0.2">
      <c r="A371" s="249">
        <v>42704</v>
      </c>
      <c r="B371" s="90" t="s">
        <v>1028</v>
      </c>
      <c r="C371" s="90" t="s">
        <v>1041</v>
      </c>
      <c r="D371" s="90" t="s">
        <v>1037</v>
      </c>
      <c r="E371" s="90">
        <v>19486</v>
      </c>
    </row>
    <row r="372" spans="1:5" x14ac:dyDescent="0.2">
      <c r="A372" s="249">
        <v>42704</v>
      </c>
      <c r="B372" s="90" t="s">
        <v>1028</v>
      </c>
      <c r="C372" s="90" t="s">
        <v>1042</v>
      </c>
      <c r="D372" s="90" t="s">
        <v>1037</v>
      </c>
      <c r="E372" s="90">
        <v>38971</v>
      </c>
    </row>
    <row r="373" spans="1:5" x14ac:dyDescent="0.2">
      <c r="A373" s="249">
        <v>42704</v>
      </c>
      <c r="B373" s="90" t="s">
        <v>1028</v>
      </c>
      <c r="C373" s="90" t="s">
        <v>1043</v>
      </c>
      <c r="D373" s="90" t="s">
        <v>1032</v>
      </c>
      <c r="E373" s="90">
        <v>15840</v>
      </c>
    </row>
    <row r="374" spans="1:5" x14ac:dyDescent="0.2">
      <c r="A374" s="249">
        <v>42704</v>
      </c>
      <c r="B374" s="90" t="s">
        <v>1044</v>
      </c>
      <c r="C374" s="90" t="s">
        <v>1029</v>
      </c>
      <c r="D374" s="90" t="s">
        <v>1030</v>
      </c>
      <c r="E374" s="90">
        <v>11745</v>
      </c>
    </row>
    <row r="375" spans="1:5" x14ac:dyDescent="0.2">
      <c r="A375" s="249">
        <v>42704</v>
      </c>
      <c r="B375" s="90" t="s">
        <v>1044</v>
      </c>
      <c r="C375" s="90" t="s">
        <v>1031</v>
      </c>
      <c r="D375" s="90" t="s">
        <v>1032</v>
      </c>
      <c r="E375" s="90">
        <v>6816</v>
      </c>
    </row>
    <row r="376" spans="1:5" x14ac:dyDescent="0.2">
      <c r="A376" s="249">
        <v>42704</v>
      </c>
      <c r="B376" s="90" t="s">
        <v>1044</v>
      </c>
      <c r="C376" s="90" t="s">
        <v>1033</v>
      </c>
      <c r="D376" s="90" t="s">
        <v>1032</v>
      </c>
      <c r="E376" s="90">
        <v>9088</v>
      </c>
    </row>
    <row r="377" spans="1:5" x14ac:dyDescent="0.2">
      <c r="A377" s="249">
        <v>42704</v>
      </c>
      <c r="B377" s="90" t="s">
        <v>1044</v>
      </c>
      <c r="C377" s="90" t="s">
        <v>1034</v>
      </c>
      <c r="D377" s="90" t="s">
        <v>1030</v>
      </c>
      <c r="E377" s="90">
        <v>17618</v>
      </c>
    </row>
    <row r="378" spans="1:5" x14ac:dyDescent="0.2">
      <c r="A378" s="249">
        <v>42704</v>
      </c>
      <c r="B378" s="90" t="s">
        <v>1044</v>
      </c>
      <c r="C378" s="90" t="s">
        <v>1035</v>
      </c>
      <c r="D378" s="90" t="s">
        <v>1032</v>
      </c>
      <c r="E378" s="90">
        <v>2272</v>
      </c>
    </row>
    <row r="379" spans="1:5" x14ac:dyDescent="0.2">
      <c r="A379" s="249">
        <v>42704</v>
      </c>
      <c r="B379" s="90" t="s">
        <v>1044</v>
      </c>
      <c r="C379" s="90" t="s">
        <v>1036</v>
      </c>
      <c r="D379" s="90" t="s">
        <v>1037</v>
      </c>
      <c r="E379" s="90">
        <v>23479</v>
      </c>
    </row>
    <row r="380" spans="1:5" x14ac:dyDescent="0.2">
      <c r="A380" s="249">
        <v>42704</v>
      </c>
      <c r="B380" s="90" t="s">
        <v>1044</v>
      </c>
      <c r="C380" s="90" t="s">
        <v>1038</v>
      </c>
      <c r="D380" s="90" t="s">
        <v>1030</v>
      </c>
      <c r="E380" s="90">
        <v>5034</v>
      </c>
    </row>
    <row r="381" spans="1:5" x14ac:dyDescent="0.2">
      <c r="A381" s="249">
        <v>42704</v>
      </c>
      <c r="B381" s="90" t="s">
        <v>1044</v>
      </c>
      <c r="C381" s="90" t="s">
        <v>1039</v>
      </c>
      <c r="D381" s="90" t="s">
        <v>1032</v>
      </c>
      <c r="E381" s="90">
        <v>14542</v>
      </c>
    </row>
    <row r="382" spans="1:5" x14ac:dyDescent="0.2">
      <c r="A382" s="249">
        <v>42704</v>
      </c>
      <c r="B382" s="90" t="s">
        <v>1044</v>
      </c>
      <c r="C382" s="90" t="s">
        <v>1040</v>
      </c>
      <c r="D382" s="90" t="s">
        <v>1030</v>
      </c>
      <c r="E382" s="90">
        <v>20134</v>
      </c>
    </row>
    <row r="383" spans="1:5" x14ac:dyDescent="0.2">
      <c r="A383" s="249">
        <v>42704</v>
      </c>
      <c r="B383" s="90" t="s">
        <v>1044</v>
      </c>
      <c r="C383" s="90" t="s">
        <v>1041</v>
      </c>
      <c r="D383" s="90" t="s">
        <v>1037</v>
      </c>
      <c r="E383" s="90">
        <v>15652</v>
      </c>
    </row>
    <row r="384" spans="1:5" x14ac:dyDescent="0.2">
      <c r="A384" s="249">
        <v>42704</v>
      </c>
      <c r="B384" s="90" t="s">
        <v>1044</v>
      </c>
      <c r="C384" s="90" t="s">
        <v>1042</v>
      </c>
      <c r="D384" s="90" t="s">
        <v>1037</v>
      </c>
      <c r="E384" s="90">
        <v>31305</v>
      </c>
    </row>
    <row r="385" spans="1:5" x14ac:dyDescent="0.2">
      <c r="A385" s="249">
        <v>42704</v>
      </c>
      <c r="B385" s="90" t="s">
        <v>1044</v>
      </c>
      <c r="C385" s="90" t="s">
        <v>1043</v>
      </c>
      <c r="D385" s="90" t="s">
        <v>1032</v>
      </c>
      <c r="E385" s="90">
        <v>12724</v>
      </c>
    </row>
    <row r="386" spans="1:5" x14ac:dyDescent="0.2">
      <c r="A386" s="249">
        <v>42704</v>
      </c>
      <c r="B386" s="90" t="s">
        <v>1045</v>
      </c>
      <c r="C386" s="90" t="s">
        <v>1029</v>
      </c>
      <c r="D386" s="90" t="s">
        <v>1030</v>
      </c>
      <c r="E386" s="90">
        <v>11766</v>
      </c>
    </row>
    <row r="387" spans="1:5" x14ac:dyDescent="0.2">
      <c r="A387" s="249">
        <v>42704</v>
      </c>
      <c r="B387" s="90" t="s">
        <v>1045</v>
      </c>
      <c r="C387" s="90" t="s">
        <v>1031</v>
      </c>
      <c r="D387" s="90" t="s">
        <v>1032</v>
      </c>
      <c r="E387" s="90">
        <v>6829</v>
      </c>
    </row>
    <row r="388" spans="1:5" x14ac:dyDescent="0.2">
      <c r="A388" s="249">
        <v>42704</v>
      </c>
      <c r="B388" s="90" t="s">
        <v>1045</v>
      </c>
      <c r="C388" s="90" t="s">
        <v>1033</v>
      </c>
      <c r="D388" s="90" t="s">
        <v>1032</v>
      </c>
      <c r="E388" s="90">
        <v>9105</v>
      </c>
    </row>
    <row r="389" spans="1:5" x14ac:dyDescent="0.2">
      <c r="A389" s="249">
        <v>42704</v>
      </c>
      <c r="B389" s="90" t="s">
        <v>1045</v>
      </c>
      <c r="C389" s="90" t="s">
        <v>1034</v>
      </c>
      <c r="D389" s="90" t="s">
        <v>1030</v>
      </c>
      <c r="E389" s="90">
        <v>17649</v>
      </c>
    </row>
    <row r="390" spans="1:5" x14ac:dyDescent="0.2">
      <c r="A390" s="249">
        <v>42704</v>
      </c>
      <c r="B390" s="90" t="s">
        <v>1045</v>
      </c>
      <c r="C390" s="90" t="s">
        <v>1035</v>
      </c>
      <c r="D390" s="90" t="s">
        <v>1032</v>
      </c>
      <c r="E390" s="90">
        <v>2276</v>
      </c>
    </row>
    <row r="391" spans="1:5" x14ac:dyDescent="0.2">
      <c r="A391" s="249">
        <v>42704</v>
      </c>
      <c r="B391" s="90" t="s">
        <v>1045</v>
      </c>
      <c r="C391" s="90" t="s">
        <v>1036</v>
      </c>
      <c r="D391" s="90" t="s">
        <v>1037</v>
      </c>
      <c r="E391" s="90">
        <v>23521</v>
      </c>
    </row>
    <row r="392" spans="1:5" x14ac:dyDescent="0.2">
      <c r="A392" s="249">
        <v>42704</v>
      </c>
      <c r="B392" s="90" t="s">
        <v>1045</v>
      </c>
      <c r="C392" s="90" t="s">
        <v>1038</v>
      </c>
      <c r="D392" s="90" t="s">
        <v>1030</v>
      </c>
      <c r="E392" s="90">
        <v>5043</v>
      </c>
    </row>
    <row r="393" spans="1:5" x14ac:dyDescent="0.2">
      <c r="A393" s="249">
        <v>42704</v>
      </c>
      <c r="B393" s="90" t="s">
        <v>1045</v>
      </c>
      <c r="C393" s="90" t="s">
        <v>1039</v>
      </c>
      <c r="D393" s="90" t="s">
        <v>1032</v>
      </c>
      <c r="E393" s="90">
        <v>14568</v>
      </c>
    </row>
    <row r="394" spans="1:5" x14ac:dyDescent="0.2">
      <c r="A394" s="249">
        <v>42704</v>
      </c>
      <c r="B394" s="90" t="s">
        <v>1045</v>
      </c>
      <c r="C394" s="90" t="s">
        <v>1040</v>
      </c>
      <c r="D394" s="90" t="s">
        <v>1030</v>
      </c>
      <c r="E394" s="90">
        <v>20171</v>
      </c>
    </row>
    <row r="395" spans="1:5" x14ac:dyDescent="0.2">
      <c r="A395" s="249">
        <v>42704</v>
      </c>
      <c r="B395" s="90" t="s">
        <v>1045</v>
      </c>
      <c r="C395" s="90" t="s">
        <v>1041</v>
      </c>
      <c r="D395" s="90" t="s">
        <v>1037</v>
      </c>
      <c r="E395" s="90">
        <v>15680</v>
      </c>
    </row>
    <row r="396" spans="1:5" x14ac:dyDescent="0.2">
      <c r="A396" s="249">
        <v>42704</v>
      </c>
      <c r="B396" s="90" t="s">
        <v>1045</v>
      </c>
      <c r="C396" s="90" t="s">
        <v>1042</v>
      </c>
      <c r="D396" s="90" t="s">
        <v>1037</v>
      </c>
      <c r="E396" s="90">
        <v>31361</v>
      </c>
    </row>
    <row r="397" spans="1:5" x14ac:dyDescent="0.2">
      <c r="A397" s="249">
        <v>42704</v>
      </c>
      <c r="B397" s="90" t="s">
        <v>1045</v>
      </c>
      <c r="C397" s="90" t="s">
        <v>1043</v>
      </c>
      <c r="D397" s="90" t="s">
        <v>1032</v>
      </c>
      <c r="E397" s="90">
        <v>12747</v>
      </c>
    </row>
    <row r="398" spans="1:5" x14ac:dyDescent="0.2">
      <c r="A398" s="249">
        <v>42735</v>
      </c>
      <c r="B398" s="90" t="s">
        <v>1028</v>
      </c>
      <c r="C398" s="90" t="s">
        <v>1029</v>
      </c>
      <c r="D398" s="90" t="s">
        <v>1030</v>
      </c>
      <c r="E398" s="90">
        <v>15464</v>
      </c>
    </row>
    <row r="399" spans="1:5" x14ac:dyDescent="0.2">
      <c r="A399" s="249">
        <v>42735</v>
      </c>
      <c r="B399" s="90" t="s">
        <v>1028</v>
      </c>
      <c r="C399" s="90" t="s">
        <v>1031</v>
      </c>
      <c r="D399" s="90" t="s">
        <v>1032</v>
      </c>
      <c r="E399" s="90">
        <v>8974</v>
      </c>
    </row>
    <row r="400" spans="1:5" x14ac:dyDescent="0.2">
      <c r="A400" s="249">
        <v>42735</v>
      </c>
      <c r="B400" s="90" t="s">
        <v>1028</v>
      </c>
      <c r="C400" s="90" t="s">
        <v>1033</v>
      </c>
      <c r="D400" s="90" t="s">
        <v>1032</v>
      </c>
      <c r="E400" s="90">
        <v>11966</v>
      </c>
    </row>
    <row r="401" spans="1:5" x14ac:dyDescent="0.2">
      <c r="A401" s="249">
        <v>42735</v>
      </c>
      <c r="B401" s="90" t="s">
        <v>1028</v>
      </c>
      <c r="C401" s="90" t="s">
        <v>1034</v>
      </c>
      <c r="D401" s="90" t="s">
        <v>1030</v>
      </c>
      <c r="E401" s="90">
        <v>23196</v>
      </c>
    </row>
    <row r="402" spans="1:5" x14ac:dyDescent="0.2">
      <c r="A402" s="249">
        <v>42735</v>
      </c>
      <c r="B402" s="90" t="s">
        <v>1028</v>
      </c>
      <c r="C402" s="90" t="s">
        <v>1035</v>
      </c>
      <c r="D402" s="90" t="s">
        <v>1032</v>
      </c>
      <c r="E402" s="90">
        <v>2991</v>
      </c>
    </row>
    <row r="403" spans="1:5" x14ac:dyDescent="0.2">
      <c r="A403" s="249">
        <v>42735</v>
      </c>
      <c r="B403" s="90" t="s">
        <v>1028</v>
      </c>
      <c r="C403" s="90" t="s">
        <v>1036</v>
      </c>
      <c r="D403" s="90" t="s">
        <v>1037</v>
      </c>
      <c r="E403" s="90">
        <v>30912</v>
      </c>
    </row>
    <row r="404" spans="1:5" x14ac:dyDescent="0.2">
      <c r="A404" s="249">
        <v>42735</v>
      </c>
      <c r="B404" s="90" t="s">
        <v>1028</v>
      </c>
      <c r="C404" s="90" t="s">
        <v>1038</v>
      </c>
      <c r="D404" s="90" t="s">
        <v>1030</v>
      </c>
      <c r="E404" s="90">
        <v>6627</v>
      </c>
    </row>
    <row r="405" spans="1:5" x14ac:dyDescent="0.2">
      <c r="A405" s="249">
        <v>42735</v>
      </c>
      <c r="B405" s="90" t="s">
        <v>1028</v>
      </c>
      <c r="C405" s="90" t="s">
        <v>1039</v>
      </c>
      <c r="D405" s="90" t="s">
        <v>1032</v>
      </c>
      <c r="E405" s="90">
        <v>19146</v>
      </c>
    </row>
    <row r="406" spans="1:5" x14ac:dyDescent="0.2">
      <c r="A406" s="249">
        <v>42735</v>
      </c>
      <c r="B406" s="90" t="s">
        <v>1028</v>
      </c>
      <c r="C406" s="90" t="s">
        <v>1040</v>
      </c>
      <c r="D406" s="90" t="s">
        <v>1030</v>
      </c>
      <c r="E406" s="90">
        <v>26509</v>
      </c>
    </row>
    <row r="407" spans="1:5" x14ac:dyDescent="0.2">
      <c r="A407" s="249">
        <v>42735</v>
      </c>
      <c r="B407" s="90" t="s">
        <v>1028</v>
      </c>
      <c r="C407" s="90" t="s">
        <v>1041</v>
      </c>
      <c r="D407" s="90" t="s">
        <v>1037</v>
      </c>
      <c r="E407" s="90">
        <v>20608</v>
      </c>
    </row>
    <row r="408" spans="1:5" x14ac:dyDescent="0.2">
      <c r="A408" s="249">
        <v>42735</v>
      </c>
      <c r="B408" s="90" t="s">
        <v>1028</v>
      </c>
      <c r="C408" s="90" t="s">
        <v>1042</v>
      </c>
      <c r="D408" s="90" t="s">
        <v>1037</v>
      </c>
      <c r="E408" s="90">
        <v>41216</v>
      </c>
    </row>
    <row r="409" spans="1:5" x14ac:dyDescent="0.2">
      <c r="A409" s="249">
        <v>42735</v>
      </c>
      <c r="B409" s="90" t="s">
        <v>1028</v>
      </c>
      <c r="C409" s="90" t="s">
        <v>1043</v>
      </c>
      <c r="D409" s="90" t="s">
        <v>1032</v>
      </c>
      <c r="E409" s="90">
        <v>16752</v>
      </c>
    </row>
    <row r="410" spans="1:5" x14ac:dyDescent="0.2">
      <c r="A410" s="249">
        <v>42735</v>
      </c>
      <c r="B410" s="90" t="s">
        <v>1044</v>
      </c>
      <c r="C410" s="90" t="s">
        <v>1029</v>
      </c>
      <c r="D410" s="90" t="s">
        <v>1030</v>
      </c>
      <c r="E410" s="90">
        <v>12478</v>
      </c>
    </row>
    <row r="411" spans="1:5" x14ac:dyDescent="0.2">
      <c r="A411" s="249">
        <v>42735</v>
      </c>
      <c r="B411" s="90" t="s">
        <v>1044</v>
      </c>
      <c r="C411" s="90" t="s">
        <v>1031</v>
      </c>
      <c r="D411" s="90" t="s">
        <v>1032</v>
      </c>
      <c r="E411" s="90">
        <v>7242</v>
      </c>
    </row>
    <row r="412" spans="1:5" x14ac:dyDescent="0.2">
      <c r="A412" s="249">
        <v>42735</v>
      </c>
      <c r="B412" s="90" t="s">
        <v>1044</v>
      </c>
      <c r="C412" s="90" t="s">
        <v>1033</v>
      </c>
      <c r="D412" s="90" t="s">
        <v>1032</v>
      </c>
      <c r="E412" s="90">
        <v>9655</v>
      </c>
    </row>
    <row r="413" spans="1:5" x14ac:dyDescent="0.2">
      <c r="A413" s="249">
        <v>42735</v>
      </c>
      <c r="B413" s="90" t="s">
        <v>1044</v>
      </c>
      <c r="C413" s="90" t="s">
        <v>1034</v>
      </c>
      <c r="D413" s="90" t="s">
        <v>1030</v>
      </c>
      <c r="E413" s="90">
        <v>18717</v>
      </c>
    </row>
    <row r="414" spans="1:5" x14ac:dyDescent="0.2">
      <c r="A414" s="249">
        <v>42735</v>
      </c>
      <c r="B414" s="90" t="s">
        <v>1044</v>
      </c>
      <c r="C414" s="90" t="s">
        <v>1035</v>
      </c>
      <c r="D414" s="90" t="s">
        <v>1032</v>
      </c>
      <c r="E414" s="90">
        <v>2414</v>
      </c>
    </row>
    <row r="415" spans="1:5" x14ac:dyDescent="0.2">
      <c r="A415" s="249">
        <v>42735</v>
      </c>
      <c r="B415" s="90" t="s">
        <v>1044</v>
      </c>
      <c r="C415" s="90" t="s">
        <v>1036</v>
      </c>
      <c r="D415" s="90" t="s">
        <v>1037</v>
      </c>
      <c r="E415" s="90">
        <v>24943</v>
      </c>
    </row>
    <row r="416" spans="1:5" x14ac:dyDescent="0.2">
      <c r="A416" s="249">
        <v>42735</v>
      </c>
      <c r="B416" s="90" t="s">
        <v>1044</v>
      </c>
      <c r="C416" s="90" t="s">
        <v>1038</v>
      </c>
      <c r="D416" s="90" t="s">
        <v>1030</v>
      </c>
      <c r="E416" s="90">
        <v>5348</v>
      </c>
    </row>
    <row r="417" spans="1:5" x14ac:dyDescent="0.2">
      <c r="A417" s="249">
        <v>42735</v>
      </c>
      <c r="B417" s="90" t="s">
        <v>1044</v>
      </c>
      <c r="C417" s="90" t="s">
        <v>1039</v>
      </c>
      <c r="D417" s="90" t="s">
        <v>1032</v>
      </c>
      <c r="E417" s="90">
        <v>15449</v>
      </c>
    </row>
    <row r="418" spans="1:5" x14ac:dyDescent="0.2">
      <c r="A418" s="249">
        <v>42735</v>
      </c>
      <c r="B418" s="90" t="s">
        <v>1044</v>
      </c>
      <c r="C418" s="90" t="s">
        <v>1040</v>
      </c>
      <c r="D418" s="90" t="s">
        <v>1030</v>
      </c>
      <c r="E418" s="90">
        <v>21390</v>
      </c>
    </row>
    <row r="419" spans="1:5" x14ac:dyDescent="0.2">
      <c r="A419" s="249">
        <v>42735</v>
      </c>
      <c r="B419" s="90" t="s">
        <v>1044</v>
      </c>
      <c r="C419" s="90" t="s">
        <v>1041</v>
      </c>
      <c r="D419" s="90" t="s">
        <v>1037</v>
      </c>
      <c r="E419" s="90">
        <v>16629</v>
      </c>
    </row>
    <row r="420" spans="1:5" x14ac:dyDescent="0.2">
      <c r="A420" s="249">
        <v>42735</v>
      </c>
      <c r="B420" s="90" t="s">
        <v>1044</v>
      </c>
      <c r="C420" s="90" t="s">
        <v>1042</v>
      </c>
      <c r="D420" s="90" t="s">
        <v>1037</v>
      </c>
      <c r="E420" s="90">
        <v>33258</v>
      </c>
    </row>
    <row r="421" spans="1:5" x14ac:dyDescent="0.2">
      <c r="A421" s="249">
        <v>42735</v>
      </c>
      <c r="B421" s="90" t="s">
        <v>1044</v>
      </c>
      <c r="C421" s="90" t="s">
        <v>1043</v>
      </c>
      <c r="D421" s="90" t="s">
        <v>1032</v>
      </c>
      <c r="E421" s="90">
        <v>13518</v>
      </c>
    </row>
    <row r="422" spans="1:5" x14ac:dyDescent="0.2">
      <c r="A422" s="249">
        <v>42735</v>
      </c>
      <c r="B422" s="90" t="s">
        <v>1045</v>
      </c>
      <c r="C422" s="90" t="s">
        <v>1029</v>
      </c>
      <c r="D422" s="90" t="s">
        <v>1030</v>
      </c>
      <c r="E422" s="90">
        <v>12882</v>
      </c>
    </row>
    <row r="423" spans="1:5" x14ac:dyDescent="0.2">
      <c r="A423" s="249">
        <v>42735</v>
      </c>
      <c r="B423" s="90" t="s">
        <v>1045</v>
      </c>
      <c r="C423" s="90" t="s">
        <v>1031</v>
      </c>
      <c r="D423" s="90" t="s">
        <v>1032</v>
      </c>
      <c r="E423" s="90">
        <v>7476</v>
      </c>
    </row>
    <row r="424" spans="1:5" x14ac:dyDescent="0.2">
      <c r="A424" s="249">
        <v>42735</v>
      </c>
      <c r="B424" s="90" t="s">
        <v>1045</v>
      </c>
      <c r="C424" s="90" t="s">
        <v>1033</v>
      </c>
      <c r="D424" s="90" t="s">
        <v>1032</v>
      </c>
      <c r="E424" s="90">
        <v>9968</v>
      </c>
    </row>
    <row r="425" spans="1:5" x14ac:dyDescent="0.2">
      <c r="A425" s="249">
        <v>42735</v>
      </c>
      <c r="B425" s="90" t="s">
        <v>1045</v>
      </c>
      <c r="C425" s="90" t="s">
        <v>1034</v>
      </c>
      <c r="D425" s="90" t="s">
        <v>1030</v>
      </c>
      <c r="E425" s="90">
        <v>19322</v>
      </c>
    </row>
    <row r="426" spans="1:5" x14ac:dyDescent="0.2">
      <c r="A426" s="249">
        <v>42735</v>
      </c>
      <c r="B426" s="90" t="s">
        <v>1045</v>
      </c>
      <c r="C426" s="90" t="s">
        <v>1035</v>
      </c>
      <c r="D426" s="90" t="s">
        <v>1032</v>
      </c>
      <c r="E426" s="90">
        <v>2492</v>
      </c>
    </row>
    <row r="427" spans="1:5" x14ac:dyDescent="0.2">
      <c r="A427" s="249">
        <v>42735</v>
      </c>
      <c r="B427" s="90" t="s">
        <v>1045</v>
      </c>
      <c r="C427" s="90" t="s">
        <v>1036</v>
      </c>
      <c r="D427" s="90" t="s">
        <v>1037</v>
      </c>
      <c r="E427" s="90">
        <v>25750</v>
      </c>
    </row>
    <row r="428" spans="1:5" x14ac:dyDescent="0.2">
      <c r="A428" s="249">
        <v>42735</v>
      </c>
      <c r="B428" s="90" t="s">
        <v>1045</v>
      </c>
      <c r="C428" s="90" t="s">
        <v>1038</v>
      </c>
      <c r="D428" s="90" t="s">
        <v>1030</v>
      </c>
      <c r="E428" s="90">
        <v>5521</v>
      </c>
    </row>
    <row r="429" spans="1:5" x14ac:dyDescent="0.2">
      <c r="A429" s="249">
        <v>42735</v>
      </c>
      <c r="B429" s="90" t="s">
        <v>1045</v>
      </c>
      <c r="C429" s="90" t="s">
        <v>1039</v>
      </c>
      <c r="D429" s="90" t="s">
        <v>1032</v>
      </c>
      <c r="E429" s="90">
        <v>15949</v>
      </c>
    </row>
    <row r="430" spans="1:5" x14ac:dyDescent="0.2">
      <c r="A430" s="249">
        <v>42735</v>
      </c>
      <c r="B430" s="90" t="s">
        <v>1045</v>
      </c>
      <c r="C430" s="90" t="s">
        <v>1040</v>
      </c>
      <c r="D430" s="90" t="s">
        <v>1030</v>
      </c>
      <c r="E430" s="90">
        <v>22083</v>
      </c>
    </row>
    <row r="431" spans="1:5" x14ac:dyDescent="0.2">
      <c r="A431" s="249">
        <v>42735</v>
      </c>
      <c r="B431" s="90" t="s">
        <v>1045</v>
      </c>
      <c r="C431" s="90" t="s">
        <v>1041</v>
      </c>
      <c r="D431" s="90" t="s">
        <v>1037</v>
      </c>
      <c r="E431" s="90">
        <v>17167</v>
      </c>
    </row>
    <row r="432" spans="1:5" x14ac:dyDescent="0.2">
      <c r="A432" s="249">
        <v>42735</v>
      </c>
      <c r="B432" s="90" t="s">
        <v>1045</v>
      </c>
      <c r="C432" s="90" t="s">
        <v>1042</v>
      </c>
      <c r="D432" s="90" t="s">
        <v>1037</v>
      </c>
      <c r="E432" s="90">
        <v>34334</v>
      </c>
    </row>
    <row r="433" spans="1:5" x14ac:dyDescent="0.2">
      <c r="A433" s="249">
        <v>42735</v>
      </c>
      <c r="B433" s="90" t="s">
        <v>1045</v>
      </c>
      <c r="C433" s="90" t="s">
        <v>1043</v>
      </c>
      <c r="D433" s="90" t="s">
        <v>1032</v>
      </c>
      <c r="E433" s="90">
        <v>13955</v>
      </c>
    </row>
  </sheetData>
  <pageMargins left="0.7" right="0.7" top="0.75" bottom="0.75" header="0.3" footer="0.3"/>
  <pageSetup orientation="portrait" horizontalDpi="4294967293" r:id="rId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20D6-C492-42F5-A152-78D9403CA703}">
  <dimension ref="A1:H115"/>
  <sheetViews>
    <sheetView workbookViewId="0">
      <selection activeCell="B26" sqref="B26"/>
    </sheetView>
  </sheetViews>
  <sheetFormatPr defaultRowHeight="10.5" x14ac:dyDescent="0.15"/>
  <cols>
    <col min="1" max="1" width="8.42578125" style="207" customWidth="1"/>
    <col min="2" max="2" width="13.140625" style="207" customWidth="1"/>
    <col min="3" max="3" width="11.42578125" style="207" customWidth="1"/>
    <col min="4" max="4" width="20.5703125" style="207" bestFit="1" customWidth="1"/>
    <col min="5" max="5" width="13.5703125" style="207" bestFit="1" customWidth="1"/>
    <col min="6" max="6" width="9.28515625" style="207" bestFit="1" customWidth="1"/>
    <col min="7" max="7" width="11.140625" style="210" bestFit="1" customWidth="1"/>
    <col min="8" max="8" width="12.85546875" style="209" customWidth="1"/>
    <col min="9" max="16384" width="9.140625" style="118"/>
  </cols>
  <sheetData>
    <row r="1" spans="1:8" x14ac:dyDescent="0.15">
      <c r="A1" s="204" t="s">
        <v>489</v>
      </c>
      <c r="B1" s="204" t="s">
        <v>490</v>
      </c>
      <c r="C1" s="204" t="s">
        <v>491</v>
      </c>
      <c r="D1" s="204" t="s">
        <v>492</v>
      </c>
      <c r="E1" s="204" t="s">
        <v>493</v>
      </c>
      <c r="F1" s="204" t="s">
        <v>494</v>
      </c>
      <c r="G1" s="205" t="s">
        <v>495</v>
      </c>
      <c r="H1" s="206" t="s">
        <v>168</v>
      </c>
    </row>
    <row r="2" spans="1:8" ht="15" x14ac:dyDescent="0.25">
      <c r="A2" s="207">
        <v>1975</v>
      </c>
      <c r="B2" s="207" t="s">
        <v>496</v>
      </c>
      <c r="C2" s="207" t="s">
        <v>497</v>
      </c>
      <c r="D2" s="207" t="s">
        <v>498</v>
      </c>
      <c r="E2" s="207" t="s">
        <v>499</v>
      </c>
      <c r="F2" s="207" t="s">
        <v>500</v>
      </c>
      <c r="G2" s="208">
        <v>21887.95</v>
      </c>
      <c r="H2" s="209">
        <v>33365</v>
      </c>
    </row>
    <row r="3" spans="1:8" ht="15" x14ac:dyDescent="0.25">
      <c r="A3" s="207">
        <v>1976</v>
      </c>
      <c r="B3" s="207" t="s">
        <v>503</v>
      </c>
      <c r="C3" s="207" t="s">
        <v>504</v>
      </c>
      <c r="D3" s="207" t="s">
        <v>505</v>
      </c>
      <c r="E3" s="207" t="s">
        <v>506</v>
      </c>
      <c r="F3" s="207" t="s">
        <v>507</v>
      </c>
      <c r="G3" s="208">
        <v>23035.88</v>
      </c>
      <c r="H3" s="209">
        <v>33357</v>
      </c>
    </row>
    <row r="4" spans="1:8" ht="15" x14ac:dyDescent="0.25">
      <c r="A4" s="207">
        <v>1168</v>
      </c>
      <c r="B4" s="207" t="s">
        <v>508</v>
      </c>
      <c r="C4" s="207" t="s">
        <v>509</v>
      </c>
      <c r="D4" s="207" t="s">
        <v>505</v>
      </c>
      <c r="E4" s="207" t="s">
        <v>506</v>
      </c>
      <c r="F4" s="207" t="s">
        <v>510</v>
      </c>
      <c r="G4" s="208">
        <v>23035.88</v>
      </c>
      <c r="H4" s="209">
        <v>33338</v>
      </c>
    </row>
    <row r="5" spans="1:8" ht="15" x14ac:dyDescent="0.25">
      <c r="A5" s="207">
        <v>1169</v>
      </c>
      <c r="B5" s="207" t="s">
        <v>511</v>
      </c>
      <c r="C5" s="207" t="s">
        <v>485</v>
      </c>
      <c r="D5" s="207" t="s">
        <v>512</v>
      </c>
      <c r="E5" s="207" t="s">
        <v>506</v>
      </c>
      <c r="F5" s="207" t="s">
        <v>500</v>
      </c>
      <c r="G5" s="208">
        <v>34002.050000000003</v>
      </c>
      <c r="H5" s="209">
        <v>33890</v>
      </c>
    </row>
    <row r="6" spans="1:8" ht="15" x14ac:dyDescent="0.25">
      <c r="A6" s="207">
        <v>1167</v>
      </c>
      <c r="B6" s="207" t="s">
        <v>513</v>
      </c>
      <c r="C6" s="207" t="s">
        <v>514</v>
      </c>
      <c r="D6" s="207" t="s">
        <v>515</v>
      </c>
      <c r="E6" s="207" t="s">
        <v>516</v>
      </c>
      <c r="F6" s="207" t="s">
        <v>500</v>
      </c>
      <c r="G6" s="208">
        <v>31913.88</v>
      </c>
      <c r="H6" s="209">
        <v>33346</v>
      </c>
    </row>
    <row r="7" spans="1:8" ht="15" x14ac:dyDescent="0.25">
      <c r="A7" s="207">
        <v>1931</v>
      </c>
      <c r="B7" s="207" t="s">
        <v>517</v>
      </c>
      <c r="C7" s="207" t="s">
        <v>518</v>
      </c>
      <c r="D7" s="207" t="s">
        <v>519</v>
      </c>
      <c r="E7" s="207" t="s">
        <v>499</v>
      </c>
      <c r="F7" s="207" t="s">
        <v>500</v>
      </c>
      <c r="G7" s="208">
        <v>26101.439999999999</v>
      </c>
      <c r="H7" s="209">
        <v>32679</v>
      </c>
    </row>
    <row r="8" spans="1:8" ht="15" x14ac:dyDescent="0.25">
      <c r="A8" s="207">
        <v>1967</v>
      </c>
      <c r="B8" s="207" t="s">
        <v>520</v>
      </c>
      <c r="C8" s="207" t="s">
        <v>521</v>
      </c>
      <c r="D8" s="207" t="s">
        <v>522</v>
      </c>
      <c r="E8" s="207" t="s">
        <v>523</v>
      </c>
      <c r="F8" s="207" t="s">
        <v>500</v>
      </c>
      <c r="G8" s="208">
        <v>23212.32</v>
      </c>
      <c r="H8" s="209">
        <v>33551</v>
      </c>
    </row>
    <row r="9" spans="1:8" ht="15" x14ac:dyDescent="0.25">
      <c r="A9" s="207">
        <v>1676</v>
      </c>
      <c r="B9" s="207" t="s">
        <v>524</v>
      </c>
      <c r="C9" s="207" t="s">
        <v>525</v>
      </c>
      <c r="D9" s="207" t="s">
        <v>522</v>
      </c>
      <c r="E9" s="207" t="s">
        <v>523</v>
      </c>
      <c r="F9" s="207" t="s">
        <v>500</v>
      </c>
      <c r="G9" s="208">
        <v>23212.32</v>
      </c>
      <c r="H9" s="209">
        <v>29877</v>
      </c>
    </row>
    <row r="10" spans="1:8" ht="15" x14ac:dyDescent="0.25">
      <c r="A10" s="207">
        <v>1075</v>
      </c>
      <c r="B10" s="207" t="s">
        <v>526</v>
      </c>
      <c r="C10" s="207" t="s">
        <v>527</v>
      </c>
      <c r="D10" s="207" t="s">
        <v>528</v>
      </c>
      <c r="E10" s="207" t="s">
        <v>529</v>
      </c>
      <c r="F10" s="207" t="s">
        <v>507</v>
      </c>
      <c r="G10" s="208">
        <v>23239.439999999999</v>
      </c>
      <c r="H10" s="209">
        <v>33823</v>
      </c>
    </row>
    <row r="11" spans="1:8" ht="15" x14ac:dyDescent="0.25">
      <c r="A11" s="207">
        <v>1966</v>
      </c>
      <c r="B11" s="207" t="s">
        <v>530</v>
      </c>
      <c r="C11" s="207" t="s">
        <v>531</v>
      </c>
      <c r="D11" s="207" t="s">
        <v>528</v>
      </c>
      <c r="E11" s="207" t="s">
        <v>529</v>
      </c>
      <c r="F11" s="207" t="s">
        <v>510</v>
      </c>
      <c r="G11" s="208">
        <v>23239.439999999999</v>
      </c>
      <c r="H11" s="209">
        <v>33559</v>
      </c>
    </row>
    <row r="12" spans="1:8" ht="15" x14ac:dyDescent="0.25">
      <c r="A12" s="207">
        <v>1816</v>
      </c>
      <c r="B12" s="207" t="s">
        <v>532</v>
      </c>
      <c r="C12" s="207" t="s">
        <v>533</v>
      </c>
      <c r="D12" s="207" t="s">
        <v>512</v>
      </c>
      <c r="E12" s="207" t="s">
        <v>506</v>
      </c>
      <c r="F12" s="207" t="s">
        <v>510</v>
      </c>
      <c r="G12" s="208">
        <v>35480.400000000001</v>
      </c>
      <c r="H12" s="209">
        <v>33062</v>
      </c>
    </row>
    <row r="13" spans="1:8" ht="15" x14ac:dyDescent="0.25">
      <c r="A13" s="207">
        <v>1814</v>
      </c>
      <c r="B13" s="207" t="s">
        <v>534</v>
      </c>
      <c r="C13" s="207" t="s">
        <v>535</v>
      </c>
      <c r="D13" s="207" t="s">
        <v>536</v>
      </c>
      <c r="E13" s="207" t="s">
        <v>506</v>
      </c>
      <c r="F13" s="207" t="s">
        <v>510</v>
      </c>
      <c r="G13" s="208">
        <v>21303.599999999999</v>
      </c>
      <c r="H13" s="209">
        <v>32571</v>
      </c>
    </row>
    <row r="14" spans="1:8" ht="15" x14ac:dyDescent="0.25">
      <c r="A14" s="207">
        <v>1968</v>
      </c>
      <c r="B14" s="207" t="s">
        <v>537</v>
      </c>
      <c r="C14" s="207" t="s">
        <v>538</v>
      </c>
      <c r="D14" s="207" t="s">
        <v>539</v>
      </c>
      <c r="E14" s="207" t="s">
        <v>516</v>
      </c>
      <c r="F14" s="207" t="s">
        <v>500</v>
      </c>
      <c r="G14" s="208">
        <v>35989.199999999997</v>
      </c>
      <c r="H14" s="209">
        <v>33970</v>
      </c>
    </row>
    <row r="15" spans="1:8" ht="15" x14ac:dyDescent="0.25">
      <c r="A15" s="207">
        <v>1675</v>
      </c>
      <c r="B15" s="207" t="s">
        <v>540</v>
      </c>
      <c r="C15" s="207" t="s">
        <v>541</v>
      </c>
      <c r="D15" s="207" t="s">
        <v>515</v>
      </c>
      <c r="E15" s="207" t="s">
        <v>516</v>
      </c>
      <c r="F15" s="207" t="s">
        <v>500</v>
      </c>
      <c r="G15" s="208">
        <v>33301.440000000002</v>
      </c>
      <c r="H15" s="209">
        <v>29885</v>
      </c>
    </row>
    <row r="16" spans="1:8" ht="15" x14ac:dyDescent="0.25">
      <c r="A16" s="207">
        <v>1677</v>
      </c>
      <c r="B16" s="207" t="s">
        <v>542</v>
      </c>
      <c r="C16" s="207" t="s">
        <v>543</v>
      </c>
      <c r="D16" s="207" t="s">
        <v>544</v>
      </c>
      <c r="E16" s="207" t="s">
        <v>545</v>
      </c>
      <c r="F16" s="207" t="s">
        <v>510</v>
      </c>
      <c r="G16" s="208">
        <v>37895.519999999997</v>
      </c>
      <c r="H16" s="209">
        <v>32087</v>
      </c>
    </row>
    <row r="17" spans="1:8" ht="15" x14ac:dyDescent="0.25">
      <c r="A17" s="207">
        <v>1793</v>
      </c>
      <c r="B17" s="207" t="s">
        <v>546</v>
      </c>
      <c r="C17" s="207" t="s">
        <v>547</v>
      </c>
      <c r="D17" s="207" t="s">
        <v>522</v>
      </c>
      <c r="E17" s="207" t="s">
        <v>523</v>
      </c>
      <c r="F17" s="207" t="s">
        <v>510</v>
      </c>
      <c r="G17" s="208">
        <v>24179.5</v>
      </c>
      <c r="H17" s="209">
        <v>33223</v>
      </c>
    </row>
    <row r="18" spans="1:8" ht="15" x14ac:dyDescent="0.25">
      <c r="A18" s="207">
        <v>1792</v>
      </c>
      <c r="B18" s="207" t="s">
        <v>548</v>
      </c>
      <c r="C18" s="207" t="s">
        <v>549</v>
      </c>
      <c r="D18" s="207" t="s">
        <v>550</v>
      </c>
      <c r="E18" s="207" t="s">
        <v>529</v>
      </c>
      <c r="F18" s="207" t="s">
        <v>500</v>
      </c>
      <c r="G18" s="208">
        <v>28859.25</v>
      </c>
      <c r="H18" s="209">
        <v>33231</v>
      </c>
    </row>
    <row r="19" spans="1:8" ht="15" x14ac:dyDescent="0.25">
      <c r="A19" s="207">
        <v>1794</v>
      </c>
      <c r="B19" s="207" t="s">
        <v>551</v>
      </c>
      <c r="C19" s="207" t="s">
        <v>552</v>
      </c>
      <c r="D19" s="207" t="s">
        <v>539</v>
      </c>
      <c r="E19" s="207" t="s">
        <v>516</v>
      </c>
      <c r="F19" s="207" t="s">
        <v>510</v>
      </c>
      <c r="G19" s="208">
        <v>37488.75</v>
      </c>
      <c r="H19" s="209">
        <v>31034</v>
      </c>
    </row>
    <row r="20" spans="1:8" ht="15" x14ac:dyDescent="0.25">
      <c r="A20" s="207">
        <v>1426</v>
      </c>
      <c r="B20" s="207" t="s">
        <v>553</v>
      </c>
      <c r="C20" s="207" t="s">
        <v>485</v>
      </c>
      <c r="D20" s="207" t="s">
        <v>515</v>
      </c>
      <c r="E20" s="207" t="s">
        <v>516</v>
      </c>
      <c r="F20" s="207" t="s">
        <v>510</v>
      </c>
      <c r="G20" s="208">
        <v>34689</v>
      </c>
      <c r="H20" s="209">
        <v>28376</v>
      </c>
    </row>
    <row r="21" spans="1:8" ht="15" x14ac:dyDescent="0.25">
      <c r="A21" s="207">
        <v>1530</v>
      </c>
      <c r="B21" s="207" t="s">
        <v>554</v>
      </c>
      <c r="C21" s="207" t="s">
        <v>555</v>
      </c>
      <c r="D21" s="207" t="s">
        <v>522</v>
      </c>
      <c r="E21" s="207" t="s">
        <v>523</v>
      </c>
      <c r="F21" s="207" t="s">
        <v>507</v>
      </c>
      <c r="G21" s="208">
        <v>25146.68</v>
      </c>
      <c r="H21" s="209">
        <v>33258</v>
      </c>
    </row>
    <row r="22" spans="1:8" ht="15" x14ac:dyDescent="0.25">
      <c r="A22" s="207">
        <v>1054</v>
      </c>
      <c r="B22" s="207" t="s">
        <v>556</v>
      </c>
      <c r="C22" s="207" t="s">
        <v>557</v>
      </c>
      <c r="D22" s="207" t="s">
        <v>528</v>
      </c>
      <c r="E22" s="207" t="s">
        <v>529</v>
      </c>
      <c r="F22" s="207" t="s">
        <v>500</v>
      </c>
      <c r="G22" s="208">
        <v>25176.06</v>
      </c>
      <c r="H22" s="209">
        <v>33344</v>
      </c>
    </row>
    <row r="23" spans="1:8" ht="15" x14ac:dyDescent="0.25">
      <c r="A23" s="207">
        <v>1977</v>
      </c>
      <c r="B23" s="207" t="s">
        <v>558</v>
      </c>
      <c r="C23" s="207" t="s">
        <v>559</v>
      </c>
      <c r="D23" s="207" t="s">
        <v>550</v>
      </c>
      <c r="E23" s="207" t="s">
        <v>529</v>
      </c>
      <c r="F23" s="207" t="s">
        <v>500</v>
      </c>
      <c r="G23" s="208">
        <v>30013.62</v>
      </c>
      <c r="H23" s="209">
        <v>29385</v>
      </c>
    </row>
    <row r="24" spans="1:8" ht="15" x14ac:dyDescent="0.25">
      <c r="A24" s="207">
        <v>1529</v>
      </c>
      <c r="B24" s="207" t="s">
        <v>560</v>
      </c>
      <c r="C24" s="207" t="s">
        <v>561</v>
      </c>
      <c r="D24" s="207" t="s">
        <v>522</v>
      </c>
      <c r="E24" s="207" t="s">
        <v>506</v>
      </c>
      <c r="F24" s="207" t="s">
        <v>507</v>
      </c>
      <c r="G24" s="208">
        <v>25146.68</v>
      </c>
      <c r="H24" s="209">
        <v>31805</v>
      </c>
    </row>
    <row r="25" spans="1:8" ht="15" x14ac:dyDescent="0.25">
      <c r="A25" s="207">
        <v>1978</v>
      </c>
      <c r="B25" s="207" t="s">
        <v>562</v>
      </c>
      <c r="C25" s="207" t="s">
        <v>280</v>
      </c>
      <c r="D25" s="207" t="s">
        <v>563</v>
      </c>
      <c r="E25" s="207" t="s">
        <v>506</v>
      </c>
      <c r="F25" s="207" t="s">
        <v>510</v>
      </c>
      <c r="G25" s="208">
        <v>51878.84</v>
      </c>
      <c r="H25" s="209">
        <v>29377</v>
      </c>
    </row>
    <row r="26" spans="1:8" ht="15" x14ac:dyDescent="0.25">
      <c r="A26" s="207">
        <v>1055</v>
      </c>
      <c r="B26" s="207" t="s">
        <v>564</v>
      </c>
      <c r="C26" s="207" t="s">
        <v>565</v>
      </c>
      <c r="D26" s="207" t="s">
        <v>505</v>
      </c>
      <c r="E26" s="207" t="s">
        <v>516</v>
      </c>
      <c r="F26" s="207" t="s">
        <v>500</v>
      </c>
      <c r="G26" s="208">
        <v>26040.560000000001</v>
      </c>
      <c r="H26" s="209">
        <v>33336</v>
      </c>
    </row>
    <row r="27" spans="1:8" ht="15" x14ac:dyDescent="0.25">
      <c r="A27" s="207">
        <v>1531</v>
      </c>
      <c r="B27" s="207" t="s">
        <v>566</v>
      </c>
      <c r="C27" s="207" t="s">
        <v>567</v>
      </c>
      <c r="D27" s="207" t="s">
        <v>544</v>
      </c>
      <c r="E27" s="207" t="s">
        <v>545</v>
      </c>
      <c r="F27" s="207" t="s">
        <v>500</v>
      </c>
      <c r="G27" s="208">
        <v>41053.480000000003</v>
      </c>
      <c r="H27" s="209">
        <v>31543</v>
      </c>
    </row>
    <row r="28" spans="1:8" ht="15" x14ac:dyDescent="0.25">
      <c r="A28" s="207">
        <v>1290</v>
      </c>
      <c r="B28" s="207" t="s">
        <v>568</v>
      </c>
      <c r="C28" s="207" t="s">
        <v>569</v>
      </c>
      <c r="D28" s="207" t="s">
        <v>522</v>
      </c>
      <c r="E28" s="207" t="s">
        <v>523</v>
      </c>
      <c r="F28" s="207" t="s">
        <v>510</v>
      </c>
      <c r="G28" s="208">
        <v>26113.86</v>
      </c>
      <c r="H28" s="209">
        <v>31050</v>
      </c>
    </row>
    <row r="29" spans="1:8" ht="15" x14ac:dyDescent="0.25">
      <c r="A29" s="207">
        <v>1300</v>
      </c>
      <c r="B29" s="207" t="s">
        <v>570</v>
      </c>
      <c r="C29" s="207" t="s">
        <v>571</v>
      </c>
      <c r="D29" s="207" t="s">
        <v>519</v>
      </c>
      <c r="E29" s="207" t="s">
        <v>499</v>
      </c>
      <c r="F29" s="207" t="s">
        <v>507</v>
      </c>
      <c r="G29" s="208">
        <v>30451.68</v>
      </c>
      <c r="H29" s="209">
        <v>32855</v>
      </c>
    </row>
    <row r="30" spans="1:8" ht="15" x14ac:dyDescent="0.25">
      <c r="A30" s="207">
        <v>1152</v>
      </c>
      <c r="B30" s="207" t="s">
        <v>572</v>
      </c>
      <c r="C30" s="207" t="s">
        <v>573</v>
      </c>
      <c r="D30" s="207" t="s">
        <v>498</v>
      </c>
      <c r="E30" s="207" t="s">
        <v>499</v>
      </c>
      <c r="F30" s="207" t="s">
        <v>507</v>
      </c>
      <c r="G30" s="208">
        <v>26646.2</v>
      </c>
      <c r="H30" s="209">
        <v>32894</v>
      </c>
    </row>
    <row r="31" spans="1:8" ht="15" x14ac:dyDescent="0.25">
      <c r="A31" s="207">
        <v>1960</v>
      </c>
      <c r="B31" s="207" t="s">
        <v>574</v>
      </c>
      <c r="C31" s="207" t="s">
        <v>575</v>
      </c>
      <c r="D31" s="207" t="s">
        <v>505</v>
      </c>
      <c r="E31" s="207" t="s">
        <v>499</v>
      </c>
      <c r="F31" s="207" t="s">
        <v>500</v>
      </c>
      <c r="G31" s="208">
        <v>28043.68</v>
      </c>
      <c r="H31" s="209">
        <v>31729</v>
      </c>
    </row>
    <row r="32" spans="1:8" ht="15" x14ac:dyDescent="0.25">
      <c r="A32" s="207">
        <v>1153</v>
      </c>
      <c r="B32" s="207" t="s">
        <v>576</v>
      </c>
      <c r="C32" s="207" t="s">
        <v>577</v>
      </c>
      <c r="D32" s="207" t="s">
        <v>505</v>
      </c>
      <c r="E32" s="207" t="s">
        <v>499</v>
      </c>
      <c r="F32" s="207" t="s">
        <v>507</v>
      </c>
      <c r="G32" s="208">
        <v>28043.68</v>
      </c>
      <c r="H32" s="209">
        <v>32886</v>
      </c>
    </row>
    <row r="33" spans="1:8" ht="15" x14ac:dyDescent="0.25">
      <c r="A33" s="207">
        <v>1961</v>
      </c>
      <c r="B33" s="207" t="s">
        <v>520</v>
      </c>
      <c r="C33" s="207" t="s">
        <v>481</v>
      </c>
      <c r="D33" s="207" t="s">
        <v>522</v>
      </c>
      <c r="E33" s="207" t="s">
        <v>523</v>
      </c>
      <c r="F33" s="207" t="s">
        <v>510</v>
      </c>
      <c r="G33" s="208">
        <v>27081.040000000001</v>
      </c>
      <c r="H33" s="209">
        <v>31721</v>
      </c>
    </row>
    <row r="34" spans="1:8" ht="15" x14ac:dyDescent="0.25">
      <c r="A34" s="207">
        <v>1557</v>
      </c>
      <c r="B34" s="207" t="s">
        <v>578</v>
      </c>
      <c r="C34" s="207" t="s">
        <v>579</v>
      </c>
      <c r="D34" s="207" t="s">
        <v>522</v>
      </c>
      <c r="E34" s="207" t="s">
        <v>523</v>
      </c>
      <c r="F34" s="207" t="s">
        <v>500</v>
      </c>
      <c r="G34" s="208">
        <v>27081.040000000001</v>
      </c>
      <c r="H34" s="209">
        <v>29908</v>
      </c>
    </row>
    <row r="35" spans="1:8" ht="15" x14ac:dyDescent="0.25">
      <c r="A35" s="207">
        <v>1723</v>
      </c>
      <c r="B35" s="207" t="s">
        <v>580</v>
      </c>
      <c r="C35" s="207" t="s">
        <v>581</v>
      </c>
      <c r="D35" s="207" t="s">
        <v>582</v>
      </c>
      <c r="E35" s="207" t="s">
        <v>506</v>
      </c>
      <c r="F35" s="207" t="s">
        <v>510</v>
      </c>
      <c r="G35" s="208">
        <v>29362.2</v>
      </c>
      <c r="H35" s="209">
        <v>33091</v>
      </c>
    </row>
    <row r="36" spans="1:8" ht="15" x14ac:dyDescent="0.25">
      <c r="A36" s="207">
        <v>1556</v>
      </c>
      <c r="B36" s="207" t="s">
        <v>583</v>
      </c>
      <c r="C36" s="207" t="s">
        <v>584</v>
      </c>
      <c r="D36" s="207" t="s">
        <v>582</v>
      </c>
      <c r="E36" s="207" t="s">
        <v>506</v>
      </c>
      <c r="F36" s="207" t="s">
        <v>507</v>
      </c>
      <c r="G36" s="208">
        <v>29362.2</v>
      </c>
      <c r="H36" s="209">
        <v>29916</v>
      </c>
    </row>
    <row r="37" spans="1:8" ht="15" x14ac:dyDescent="0.25">
      <c r="A37" s="207">
        <v>1333</v>
      </c>
      <c r="B37" s="207" t="s">
        <v>585</v>
      </c>
      <c r="C37" s="207" t="s">
        <v>484</v>
      </c>
      <c r="D37" s="207" t="s">
        <v>582</v>
      </c>
      <c r="E37" s="207" t="s">
        <v>506</v>
      </c>
      <c r="F37" s="207" t="s">
        <v>500</v>
      </c>
      <c r="G37" s="208">
        <v>29362.2</v>
      </c>
      <c r="H37" s="209">
        <v>32979</v>
      </c>
    </row>
    <row r="38" spans="1:8" ht="15" x14ac:dyDescent="0.25">
      <c r="A38" s="207">
        <v>1299</v>
      </c>
      <c r="B38" s="207" t="s">
        <v>586</v>
      </c>
      <c r="C38" s="207" t="s">
        <v>587</v>
      </c>
      <c r="D38" s="207" t="s">
        <v>536</v>
      </c>
      <c r="E38" s="207" t="s">
        <v>506</v>
      </c>
      <c r="F38" s="207" t="s">
        <v>500</v>
      </c>
      <c r="G38" s="208">
        <v>24854.2</v>
      </c>
      <c r="H38" s="209">
        <v>32863</v>
      </c>
    </row>
    <row r="39" spans="1:8" ht="15" x14ac:dyDescent="0.25">
      <c r="A39" s="207">
        <v>1301</v>
      </c>
      <c r="B39" s="207" t="s">
        <v>588</v>
      </c>
      <c r="C39" s="207" t="s">
        <v>589</v>
      </c>
      <c r="D39" s="207" t="s">
        <v>522</v>
      </c>
      <c r="E39" s="207" t="s">
        <v>516</v>
      </c>
      <c r="F39" s="207" t="s">
        <v>510</v>
      </c>
      <c r="G39" s="208">
        <v>27081.040000000001</v>
      </c>
      <c r="H39" s="209">
        <v>30900</v>
      </c>
    </row>
    <row r="40" spans="1:8" ht="15" x14ac:dyDescent="0.25">
      <c r="A40" s="207">
        <v>1724</v>
      </c>
      <c r="B40" s="207" t="s">
        <v>590</v>
      </c>
      <c r="C40" s="207" t="s">
        <v>591</v>
      </c>
      <c r="D40" s="207" t="s">
        <v>505</v>
      </c>
      <c r="E40" s="207" t="s">
        <v>516</v>
      </c>
      <c r="F40" s="207" t="s">
        <v>507</v>
      </c>
      <c r="G40" s="208">
        <v>28043.68</v>
      </c>
      <c r="H40" s="209">
        <v>33083</v>
      </c>
    </row>
    <row r="41" spans="1:8" ht="15" x14ac:dyDescent="0.25">
      <c r="A41" s="207">
        <v>1558</v>
      </c>
      <c r="B41" s="207" t="s">
        <v>592</v>
      </c>
      <c r="C41" s="207" t="s">
        <v>593</v>
      </c>
      <c r="D41" s="207" t="s">
        <v>539</v>
      </c>
      <c r="E41" s="207" t="s">
        <v>516</v>
      </c>
      <c r="F41" s="207" t="s">
        <v>500</v>
      </c>
      <c r="G41" s="208">
        <v>41987.4</v>
      </c>
      <c r="H41" s="209">
        <v>30240</v>
      </c>
    </row>
    <row r="42" spans="1:8" ht="15" x14ac:dyDescent="0.25">
      <c r="A42" s="207">
        <v>1041</v>
      </c>
      <c r="B42" s="207" t="s">
        <v>594</v>
      </c>
      <c r="C42" s="207" t="s">
        <v>595</v>
      </c>
      <c r="D42" s="207" t="s">
        <v>505</v>
      </c>
      <c r="E42" s="207" t="s">
        <v>545</v>
      </c>
      <c r="F42" s="207" t="s">
        <v>507</v>
      </c>
      <c r="G42" s="208">
        <v>28043.68</v>
      </c>
      <c r="H42" s="209">
        <v>33710</v>
      </c>
    </row>
    <row r="43" spans="1:8" ht="15" x14ac:dyDescent="0.25">
      <c r="A43" s="207">
        <v>1334</v>
      </c>
      <c r="B43" s="207" t="s">
        <v>596</v>
      </c>
      <c r="C43" s="207" t="s">
        <v>597</v>
      </c>
      <c r="D43" s="207" t="s">
        <v>505</v>
      </c>
      <c r="E43" s="207" t="s">
        <v>545</v>
      </c>
      <c r="F43" s="207" t="s">
        <v>510</v>
      </c>
      <c r="G43" s="208">
        <v>28043.68</v>
      </c>
      <c r="H43" s="209">
        <v>32971</v>
      </c>
    </row>
    <row r="44" spans="1:8" ht="15" x14ac:dyDescent="0.25">
      <c r="A44" s="207">
        <v>1330</v>
      </c>
      <c r="B44" s="207" t="s">
        <v>598</v>
      </c>
      <c r="C44" s="207" t="s">
        <v>599</v>
      </c>
      <c r="D44" s="207" t="s">
        <v>519</v>
      </c>
      <c r="E44" s="207" t="s">
        <v>499</v>
      </c>
      <c r="F44" s="207" t="s">
        <v>500</v>
      </c>
      <c r="G44" s="208">
        <v>31539.24</v>
      </c>
      <c r="H44" s="209">
        <v>32553</v>
      </c>
    </row>
    <row r="45" spans="1:8" ht="15" x14ac:dyDescent="0.25">
      <c r="A45" s="207">
        <v>1674</v>
      </c>
      <c r="B45" s="207" t="s">
        <v>600</v>
      </c>
      <c r="C45" s="207" t="s">
        <v>601</v>
      </c>
      <c r="D45" s="207" t="s">
        <v>498</v>
      </c>
      <c r="E45" s="207" t="s">
        <v>499</v>
      </c>
      <c r="F45" s="207" t="s">
        <v>510</v>
      </c>
      <c r="G45" s="208">
        <v>27597.85</v>
      </c>
      <c r="H45" s="209">
        <v>33688</v>
      </c>
    </row>
    <row r="46" spans="1:8" ht="15" x14ac:dyDescent="0.25">
      <c r="A46" s="207">
        <v>1011</v>
      </c>
      <c r="B46" s="207" t="s">
        <v>602</v>
      </c>
      <c r="C46" s="207" t="s">
        <v>603</v>
      </c>
      <c r="D46" s="207" t="s">
        <v>498</v>
      </c>
      <c r="E46" s="207" t="s">
        <v>499</v>
      </c>
      <c r="F46" s="207" t="s">
        <v>500</v>
      </c>
      <c r="G46" s="208">
        <v>27597.85</v>
      </c>
      <c r="H46" s="209">
        <v>31446</v>
      </c>
    </row>
    <row r="47" spans="1:8" ht="15" x14ac:dyDescent="0.25">
      <c r="A47" s="207">
        <v>1675</v>
      </c>
      <c r="B47" s="207" t="s">
        <v>604</v>
      </c>
      <c r="C47" s="207" t="s">
        <v>605</v>
      </c>
      <c r="D47" s="207" t="s">
        <v>505</v>
      </c>
      <c r="E47" s="207" t="s">
        <v>499</v>
      </c>
      <c r="F47" s="207" t="s">
        <v>510</v>
      </c>
      <c r="G47" s="208">
        <v>29045.24</v>
      </c>
      <c r="H47" s="209">
        <v>33680</v>
      </c>
    </row>
    <row r="48" spans="1:8" ht="15" x14ac:dyDescent="0.25">
      <c r="A48" s="207">
        <v>1012</v>
      </c>
      <c r="B48" s="207" t="s">
        <v>606</v>
      </c>
      <c r="C48" s="207" t="s">
        <v>607</v>
      </c>
      <c r="D48" s="207" t="s">
        <v>608</v>
      </c>
      <c r="E48" s="207" t="s">
        <v>506</v>
      </c>
      <c r="F48" s="207" t="s">
        <v>507</v>
      </c>
      <c r="G48" s="208">
        <v>43394.15</v>
      </c>
      <c r="H48" s="209">
        <v>31438</v>
      </c>
    </row>
    <row r="49" spans="1:8" ht="15" x14ac:dyDescent="0.25">
      <c r="A49" s="207">
        <v>1331</v>
      </c>
      <c r="B49" s="207" t="s">
        <v>609</v>
      </c>
      <c r="C49" s="207" t="s">
        <v>610</v>
      </c>
      <c r="D49" s="207" t="s">
        <v>512</v>
      </c>
      <c r="E49" s="207" t="s">
        <v>506</v>
      </c>
      <c r="F49" s="207" t="s">
        <v>507</v>
      </c>
      <c r="G49" s="208">
        <v>42872.15</v>
      </c>
      <c r="H49" s="209">
        <v>32639</v>
      </c>
    </row>
    <row r="50" spans="1:8" ht="15" x14ac:dyDescent="0.25">
      <c r="A50" s="207">
        <v>1310</v>
      </c>
      <c r="B50" s="207" t="s">
        <v>556</v>
      </c>
      <c r="C50" s="207" t="s">
        <v>611</v>
      </c>
      <c r="D50" s="207" t="s">
        <v>582</v>
      </c>
      <c r="E50" s="207" t="s">
        <v>506</v>
      </c>
      <c r="F50" s="207" t="s">
        <v>510</v>
      </c>
      <c r="G50" s="208">
        <v>30410.85</v>
      </c>
      <c r="H50" s="209">
        <v>31689</v>
      </c>
    </row>
    <row r="51" spans="1:8" ht="15" x14ac:dyDescent="0.25">
      <c r="A51" s="207">
        <v>1329</v>
      </c>
      <c r="B51" s="207" t="s">
        <v>612</v>
      </c>
      <c r="C51" s="207" t="s">
        <v>613</v>
      </c>
      <c r="D51" s="207" t="s">
        <v>582</v>
      </c>
      <c r="E51" s="207" t="s">
        <v>506</v>
      </c>
      <c r="F51" s="207" t="s">
        <v>507</v>
      </c>
      <c r="G51" s="208">
        <v>30410.85</v>
      </c>
      <c r="H51" s="209">
        <v>32561</v>
      </c>
    </row>
    <row r="52" spans="1:8" ht="15" x14ac:dyDescent="0.25">
      <c r="A52" s="207">
        <v>1311</v>
      </c>
      <c r="B52" s="207" t="s">
        <v>614</v>
      </c>
      <c r="C52" s="207" t="s">
        <v>615</v>
      </c>
      <c r="D52" s="207" t="s">
        <v>539</v>
      </c>
      <c r="E52" s="207" t="s">
        <v>516</v>
      </c>
      <c r="F52" s="207" t="s">
        <v>507</v>
      </c>
      <c r="G52" s="208">
        <v>43486.95</v>
      </c>
      <c r="H52" s="209">
        <v>31681</v>
      </c>
    </row>
    <row r="53" spans="1:8" ht="15" x14ac:dyDescent="0.25">
      <c r="A53" s="207">
        <v>1657</v>
      </c>
      <c r="B53" s="207" t="s">
        <v>616</v>
      </c>
      <c r="C53" s="207" t="s">
        <v>617</v>
      </c>
      <c r="D53" s="207" t="s">
        <v>519</v>
      </c>
      <c r="E53" s="207" t="s">
        <v>499</v>
      </c>
      <c r="F53" s="207" t="s">
        <v>507</v>
      </c>
      <c r="G53" s="208">
        <v>32626.799999999999</v>
      </c>
      <c r="H53" s="209">
        <v>32117</v>
      </c>
    </row>
    <row r="54" spans="1:8" ht="15" x14ac:dyDescent="0.25">
      <c r="A54" s="207">
        <v>1516</v>
      </c>
      <c r="B54" s="207" t="s">
        <v>618</v>
      </c>
      <c r="C54" s="207" t="s">
        <v>619</v>
      </c>
      <c r="D54" s="207" t="s">
        <v>498</v>
      </c>
      <c r="E54" s="207" t="s">
        <v>499</v>
      </c>
      <c r="F54" s="207" t="s">
        <v>507</v>
      </c>
      <c r="G54" s="208">
        <v>28549.5</v>
      </c>
      <c r="H54" s="209">
        <v>31112</v>
      </c>
    </row>
    <row r="55" spans="1:8" ht="15" x14ac:dyDescent="0.25">
      <c r="A55" s="207">
        <v>1517</v>
      </c>
      <c r="B55" s="207" t="s">
        <v>620</v>
      </c>
      <c r="C55" s="207" t="s">
        <v>584</v>
      </c>
      <c r="D55" s="207" t="s">
        <v>621</v>
      </c>
      <c r="E55" s="207" t="s">
        <v>506</v>
      </c>
      <c r="F55" s="207" t="s">
        <v>507</v>
      </c>
      <c r="G55" s="208">
        <v>62589.599999999999</v>
      </c>
      <c r="H55" s="209">
        <v>31104</v>
      </c>
    </row>
    <row r="56" spans="1:8" ht="15" x14ac:dyDescent="0.25">
      <c r="A56" s="207">
        <v>1658</v>
      </c>
      <c r="B56" s="207" t="s">
        <v>622</v>
      </c>
      <c r="C56" s="207" t="s">
        <v>623</v>
      </c>
      <c r="D56" s="207" t="s">
        <v>512</v>
      </c>
      <c r="E56" s="207" t="s">
        <v>506</v>
      </c>
      <c r="F56" s="207" t="s">
        <v>500</v>
      </c>
      <c r="G56" s="208">
        <v>44350.5</v>
      </c>
      <c r="H56" s="209">
        <v>32300</v>
      </c>
    </row>
    <row r="57" spans="1:8" ht="15" x14ac:dyDescent="0.25">
      <c r="A57" s="207">
        <v>1518</v>
      </c>
      <c r="B57" s="207" t="s">
        <v>624</v>
      </c>
      <c r="C57" s="207" t="s">
        <v>625</v>
      </c>
      <c r="D57" s="207" t="s">
        <v>512</v>
      </c>
      <c r="E57" s="207" t="s">
        <v>506</v>
      </c>
      <c r="F57" s="207" t="s">
        <v>507</v>
      </c>
      <c r="G57" s="208">
        <v>44350.5</v>
      </c>
      <c r="H57" s="209">
        <v>33042</v>
      </c>
    </row>
    <row r="58" spans="1:8" ht="15" x14ac:dyDescent="0.25">
      <c r="A58" s="207">
        <v>1656</v>
      </c>
      <c r="B58" s="207" t="s">
        <v>626</v>
      </c>
      <c r="C58" s="207" t="s">
        <v>597</v>
      </c>
      <c r="D58" s="207" t="s">
        <v>522</v>
      </c>
      <c r="E58" s="207" t="s">
        <v>516</v>
      </c>
      <c r="F58" s="207" t="s">
        <v>500</v>
      </c>
      <c r="G58" s="208">
        <v>29015.4</v>
      </c>
      <c r="H58" s="209">
        <v>32125</v>
      </c>
    </row>
    <row r="59" spans="1:8" ht="15" x14ac:dyDescent="0.25">
      <c r="A59" s="207">
        <v>1079</v>
      </c>
      <c r="B59" s="207" t="s">
        <v>627</v>
      </c>
      <c r="C59" s="207" t="s">
        <v>611</v>
      </c>
      <c r="D59" s="207" t="s">
        <v>522</v>
      </c>
      <c r="E59" s="207" t="s">
        <v>523</v>
      </c>
      <c r="F59" s="207" t="s">
        <v>507</v>
      </c>
      <c r="G59" s="208">
        <v>29982.58</v>
      </c>
      <c r="H59" s="209">
        <v>31495</v>
      </c>
    </row>
    <row r="60" spans="1:8" ht="15" x14ac:dyDescent="0.25">
      <c r="A60" s="207">
        <v>1758</v>
      </c>
      <c r="B60" s="207" t="s">
        <v>628</v>
      </c>
      <c r="C60" s="207" t="s">
        <v>629</v>
      </c>
      <c r="D60" s="207" t="s">
        <v>550</v>
      </c>
      <c r="E60" s="207" t="s">
        <v>529</v>
      </c>
      <c r="F60" s="207" t="s">
        <v>507</v>
      </c>
      <c r="G60" s="208">
        <v>35785.47</v>
      </c>
      <c r="H60" s="209">
        <v>30028</v>
      </c>
    </row>
    <row r="61" spans="1:8" ht="15" x14ac:dyDescent="0.25">
      <c r="A61" s="207">
        <v>1673</v>
      </c>
      <c r="B61" s="207" t="s">
        <v>630</v>
      </c>
      <c r="C61" s="207" t="s">
        <v>569</v>
      </c>
      <c r="D61" s="207" t="s">
        <v>522</v>
      </c>
      <c r="E61" s="207" t="s">
        <v>506</v>
      </c>
      <c r="F61" s="207" t="s">
        <v>500</v>
      </c>
      <c r="G61" s="208">
        <v>29982.58</v>
      </c>
      <c r="H61" s="209">
        <v>32979</v>
      </c>
    </row>
    <row r="62" spans="1:8" ht="15" x14ac:dyDescent="0.25">
      <c r="A62" s="207">
        <v>1509</v>
      </c>
      <c r="B62" s="207" t="s">
        <v>631</v>
      </c>
      <c r="C62" s="207" t="s">
        <v>632</v>
      </c>
      <c r="D62" s="207" t="s">
        <v>522</v>
      </c>
      <c r="E62" s="207" t="s">
        <v>506</v>
      </c>
      <c r="F62" s="207" t="s">
        <v>510</v>
      </c>
      <c r="G62" s="208">
        <v>29982.58</v>
      </c>
      <c r="H62" s="209">
        <v>31217</v>
      </c>
    </row>
    <row r="63" spans="1:8" ht="15" x14ac:dyDescent="0.25">
      <c r="A63" s="207">
        <v>1759</v>
      </c>
      <c r="B63" s="207" t="s">
        <v>633</v>
      </c>
      <c r="C63" s="207" t="s">
        <v>634</v>
      </c>
      <c r="D63" s="207" t="s">
        <v>563</v>
      </c>
      <c r="E63" s="207" t="s">
        <v>506</v>
      </c>
      <c r="F63" s="207" t="s">
        <v>507</v>
      </c>
      <c r="G63" s="208">
        <v>61855.54</v>
      </c>
      <c r="H63" s="209">
        <v>30020</v>
      </c>
    </row>
    <row r="64" spans="1:8" ht="15" x14ac:dyDescent="0.25">
      <c r="A64" s="207">
        <v>1510</v>
      </c>
      <c r="B64" s="207" t="s">
        <v>635</v>
      </c>
      <c r="C64" s="207" t="s">
        <v>636</v>
      </c>
      <c r="D64" s="207" t="s">
        <v>608</v>
      </c>
      <c r="E64" s="207" t="s">
        <v>506</v>
      </c>
      <c r="F64" s="207" t="s">
        <v>500</v>
      </c>
      <c r="G64" s="208">
        <v>46386.85</v>
      </c>
      <c r="H64" s="209">
        <v>31209</v>
      </c>
    </row>
    <row r="65" spans="1:8" ht="15" x14ac:dyDescent="0.25">
      <c r="A65" s="207">
        <v>1078</v>
      </c>
      <c r="B65" s="207" t="s">
        <v>637</v>
      </c>
      <c r="C65" s="207" t="s">
        <v>638</v>
      </c>
      <c r="D65" s="207" t="s">
        <v>522</v>
      </c>
      <c r="E65" s="207" t="s">
        <v>516</v>
      </c>
      <c r="F65" s="207" t="s">
        <v>507</v>
      </c>
      <c r="G65" s="208">
        <v>29982.58</v>
      </c>
      <c r="H65" s="209">
        <v>31503</v>
      </c>
    </row>
    <row r="66" spans="1:8" ht="15" x14ac:dyDescent="0.25">
      <c r="A66" s="207">
        <v>1285</v>
      </c>
      <c r="B66" s="207" t="s">
        <v>639</v>
      </c>
      <c r="C66" s="207" t="s">
        <v>640</v>
      </c>
      <c r="D66" s="207" t="s">
        <v>641</v>
      </c>
      <c r="E66" s="207" t="s">
        <v>516</v>
      </c>
      <c r="F66" s="207" t="s">
        <v>507</v>
      </c>
      <c r="G66" s="208">
        <v>77179.149999999994</v>
      </c>
      <c r="H66" s="209">
        <v>31043</v>
      </c>
    </row>
    <row r="67" spans="1:8" ht="15" x14ac:dyDescent="0.25">
      <c r="A67" s="207">
        <v>1284</v>
      </c>
      <c r="B67" s="207" t="s">
        <v>642</v>
      </c>
      <c r="C67" s="207" t="s">
        <v>601</v>
      </c>
      <c r="D67" s="207" t="s">
        <v>539</v>
      </c>
      <c r="E67" s="207" t="s">
        <v>516</v>
      </c>
      <c r="F67" s="207" t="s">
        <v>510</v>
      </c>
      <c r="G67" s="208">
        <v>46486.05</v>
      </c>
      <c r="H67" s="209">
        <v>31051</v>
      </c>
    </row>
    <row r="68" spans="1:8" ht="15" x14ac:dyDescent="0.25">
      <c r="A68" s="207">
        <v>1674</v>
      </c>
      <c r="B68" s="207" t="s">
        <v>513</v>
      </c>
      <c r="C68" s="207" t="s">
        <v>643</v>
      </c>
      <c r="D68" s="207" t="s">
        <v>505</v>
      </c>
      <c r="E68" s="207" t="s">
        <v>545</v>
      </c>
      <c r="F68" s="207" t="s">
        <v>500</v>
      </c>
      <c r="G68" s="208">
        <v>31048.36</v>
      </c>
      <c r="H68" s="209">
        <v>32971</v>
      </c>
    </row>
    <row r="69" spans="1:8" ht="15" x14ac:dyDescent="0.25">
      <c r="A69" s="207">
        <v>1067</v>
      </c>
      <c r="B69" s="207" t="s">
        <v>644</v>
      </c>
      <c r="C69" s="207" t="s">
        <v>645</v>
      </c>
      <c r="D69" s="207" t="s">
        <v>550</v>
      </c>
      <c r="E69" s="207" t="s">
        <v>529</v>
      </c>
      <c r="F69" s="207" t="s">
        <v>510</v>
      </c>
      <c r="G69" s="208">
        <v>36939.839999999997</v>
      </c>
      <c r="H69" s="209">
        <v>32040</v>
      </c>
    </row>
    <row r="70" spans="1:8" ht="15" x14ac:dyDescent="0.25">
      <c r="A70" s="207">
        <v>1068</v>
      </c>
      <c r="B70" s="207" t="s">
        <v>646</v>
      </c>
      <c r="C70" s="207" t="s">
        <v>647</v>
      </c>
      <c r="D70" s="207" t="s">
        <v>608</v>
      </c>
      <c r="E70" s="207" t="s">
        <v>506</v>
      </c>
      <c r="F70" s="207" t="s">
        <v>507</v>
      </c>
      <c r="G70" s="208">
        <v>47883.199999999997</v>
      </c>
      <c r="H70" s="209">
        <v>32032</v>
      </c>
    </row>
    <row r="71" spans="1:8" ht="15" x14ac:dyDescent="0.25">
      <c r="A71" s="207">
        <v>1922</v>
      </c>
      <c r="B71" s="207" t="s">
        <v>556</v>
      </c>
      <c r="C71" s="207" t="s">
        <v>648</v>
      </c>
      <c r="D71" s="207" t="s">
        <v>536</v>
      </c>
      <c r="E71" s="207" t="s">
        <v>506</v>
      </c>
      <c r="F71" s="207" t="s">
        <v>507</v>
      </c>
      <c r="G71" s="208">
        <v>28404.799999999999</v>
      </c>
      <c r="H71" s="209">
        <v>31751</v>
      </c>
    </row>
    <row r="72" spans="1:8" ht="15" x14ac:dyDescent="0.25">
      <c r="A72" s="207">
        <v>1923</v>
      </c>
      <c r="B72" s="207" t="s">
        <v>62</v>
      </c>
      <c r="C72" s="207" t="s">
        <v>281</v>
      </c>
      <c r="D72" s="207" t="s">
        <v>539</v>
      </c>
      <c r="E72" s="207" t="s">
        <v>516</v>
      </c>
      <c r="F72" s="207" t="s">
        <v>510</v>
      </c>
      <c r="G72" s="208">
        <v>47985.599999999999</v>
      </c>
      <c r="H72" s="209">
        <v>31743</v>
      </c>
    </row>
    <row r="73" spans="1:8" ht="15" x14ac:dyDescent="0.25">
      <c r="A73" s="207">
        <v>1573</v>
      </c>
      <c r="B73" s="207" t="s">
        <v>649</v>
      </c>
      <c r="C73" s="207" t="s">
        <v>650</v>
      </c>
      <c r="D73" s="207" t="s">
        <v>519</v>
      </c>
      <c r="E73" s="207" t="s">
        <v>499</v>
      </c>
      <c r="F73" s="207" t="s">
        <v>510</v>
      </c>
      <c r="G73" s="208">
        <v>35889.480000000003</v>
      </c>
      <c r="H73" s="209">
        <v>32331</v>
      </c>
    </row>
    <row r="74" spans="1:8" ht="15" x14ac:dyDescent="0.25">
      <c r="A74" s="207">
        <v>1695</v>
      </c>
      <c r="B74" s="207" t="s">
        <v>651</v>
      </c>
      <c r="C74" s="207" t="s">
        <v>640</v>
      </c>
      <c r="D74" s="207" t="s">
        <v>550</v>
      </c>
      <c r="E74" s="207" t="s">
        <v>529</v>
      </c>
      <c r="F74" s="207" t="s">
        <v>510</v>
      </c>
      <c r="G74" s="208">
        <v>38094.21</v>
      </c>
      <c r="H74" s="209">
        <v>30975</v>
      </c>
    </row>
    <row r="75" spans="1:8" ht="15" x14ac:dyDescent="0.25">
      <c r="A75" s="207">
        <v>1360</v>
      </c>
      <c r="B75" s="207" t="s">
        <v>652</v>
      </c>
      <c r="C75" s="207" t="s">
        <v>653</v>
      </c>
      <c r="D75" s="207" t="s">
        <v>505</v>
      </c>
      <c r="E75" s="207" t="s">
        <v>506</v>
      </c>
      <c r="F75" s="207" t="s">
        <v>500</v>
      </c>
      <c r="G75" s="208">
        <v>33051.480000000003</v>
      </c>
      <c r="H75" s="209">
        <v>32356</v>
      </c>
    </row>
    <row r="76" spans="1:8" ht="15" x14ac:dyDescent="0.25">
      <c r="A76" s="207">
        <v>1574</v>
      </c>
      <c r="B76" s="207" t="s">
        <v>654</v>
      </c>
      <c r="C76" s="207" t="s">
        <v>655</v>
      </c>
      <c r="D76" s="207" t="s">
        <v>656</v>
      </c>
      <c r="E76" s="207" t="s">
        <v>506</v>
      </c>
      <c r="F76" s="207" t="s">
        <v>510</v>
      </c>
      <c r="G76" s="208">
        <v>50651.37</v>
      </c>
      <c r="H76" s="209">
        <v>31452</v>
      </c>
    </row>
    <row r="77" spans="1:8" ht="15" x14ac:dyDescent="0.25">
      <c r="A77" s="207">
        <v>1977</v>
      </c>
      <c r="B77" s="207" t="s">
        <v>657</v>
      </c>
      <c r="C77" s="207" t="s">
        <v>658</v>
      </c>
      <c r="D77" s="207" t="s">
        <v>512</v>
      </c>
      <c r="E77" s="207" t="s">
        <v>506</v>
      </c>
      <c r="F77" s="207" t="s">
        <v>510</v>
      </c>
      <c r="G77" s="208">
        <v>48785.55</v>
      </c>
      <c r="H77" s="209">
        <v>33490</v>
      </c>
    </row>
    <row r="78" spans="1:8" ht="15" x14ac:dyDescent="0.25">
      <c r="A78" s="207">
        <v>1572</v>
      </c>
      <c r="B78" s="207" t="s">
        <v>659</v>
      </c>
      <c r="C78" s="207" t="s">
        <v>660</v>
      </c>
      <c r="D78" s="207" t="s">
        <v>582</v>
      </c>
      <c r="E78" s="207" t="s">
        <v>506</v>
      </c>
      <c r="F78" s="207" t="s">
        <v>507</v>
      </c>
      <c r="G78" s="208">
        <v>34605.449999999997</v>
      </c>
      <c r="H78" s="209">
        <v>32339</v>
      </c>
    </row>
    <row r="79" spans="1:8" ht="15" x14ac:dyDescent="0.25">
      <c r="A79" s="207">
        <v>1906</v>
      </c>
      <c r="B79" s="207" t="s">
        <v>661</v>
      </c>
      <c r="C79" s="207" t="s">
        <v>662</v>
      </c>
      <c r="D79" s="207" t="s">
        <v>522</v>
      </c>
      <c r="E79" s="207" t="s">
        <v>516</v>
      </c>
      <c r="F79" s="207" t="s">
        <v>507</v>
      </c>
      <c r="G79" s="208">
        <v>31916.94</v>
      </c>
      <c r="H79" s="209">
        <v>32779</v>
      </c>
    </row>
    <row r="80" spans="1:8" ht="15" x14ac:dyDescent="0.25">
      <c r="A80" s="207">
        <v>1907</v>
      </c>
      <c r="B80" s="207" t="s">
        <v>663</v>
      </c>
      <c r="C80" s="207" t="s">
        <v>664</v>
      </c>
      <c r="D80" s="207" t="s">
        <v>505</v>
      </c>
      <c r="E80" s="207" t="s">
        <v>516</v>
      </c>
      <c r="F80" s="207" t="s">
        <v>507</v>
      </c>
      <c r="G80" s="208">
        <v>33051.480000000003</v>
      </c>
      <c r="H80" s="209">
        <v>32771</v>
      </c>
    </row>
    <row r="81" spans="1:8" ht="15" x14ac:dyDescent="0.25">
      <c r="A81" s="207">
        <v>1359</v>
      </c>
      <c r="B81" s="207" t="s">
        <v>665</v>
      </c>
      <c r="C81" s="207" t="s">
        <v>538</v>
      </c>
      <c r="D81" s="207" t="s">
        <v>539</v>
      </c>
      <c r="E81" s="207" t="s">
        <v>516</v>
      </c>
      <c r="F81" s="207" t="s">
        <v>507</v>
      </c>
      <c r="G81" s="208">
        <v>49485.15</v>
      </c>
      <c r="H81" s="209">
        <v>33094</v>
      </c>
    </row>
    <row r="82" spans="1:8" ht="15" x14ac:dyDescent="0.25">
      <c r="A82" s="207">
        <v>1361</v>
      </c>
      <c r="B82" s="207" t="s">
        <v>666</v>
      </c>
      <c r="C82" s="207" t="s">
        <v>667</v>
      </c>
      <c r="D82" s="207" t="s">
        <v>582</v>
      </c>
      <c r="E82" s="207" t="s">
        <v>545</v>
      </c>
      <c r="F82" s="207" t="s">
        <v>507</v>
      </c>
      <c r="G82" s="208">
        <v>34605.449999999997</v>
      </c>
      <c r="H82" s="209">
        <v>32346</v>
      </c>
    </row>
    <row r="83" spans="1:8" ht="15" x14ac:dyDescent="0.25">
      <c r="A83" s="207">
        <v>1368</v>
      </c>
      <c r="B83" s="207" t="s">
        <v>668</v>
      </c>
      <c r="C83" s="207" t="s">
        <v>669</v>
      </c>
      <c r="D83" s="207" t="s">
        <v>522</v>
      </c>
      <c r="E83" s="207" t="s">
        <v>523</v>
      </c>
      <c r="F83" s="207" t="s">
        <v>510</v>
      </c>
      <c r="G83" s="208">
        <v>32884.120000000003</v>
      </c>
      <c r="H83" s="209">
        <v>30386</v>
      </c>
    </row>
    <row r="84" spans="1:8" ht="15" x14ac:dyDescent="0.25">
      <c r="A84" s="207">
        <v>1815</v>
      </c>
      <c r="B84" s="207" t="s">
        <v>670</v>
      </c>
      <c r="C84" s="207" t="s">
        <v>671</v>
      </c>
      <c r="D84" s="207" t="s">
        <v>621</v>
      </c>
      <c r="E84" s="207" t="s">
        <v>506</v>
      </c>
      <c r="F84" s="207" t="s">
        <v>500</v>
      </c>
      <c r="G84" s="208">
        <v>70934.880000000005</v>
      </c>
      <c r="H84" s="209">
        <v>29276</v>
      </c>
    </row>
    <row r="85" spans="1:8" ht="15" x14ac:dyDescent="0.25">
      <c r="A85" s="207">
        <v>1369</v>
      </c>
      <c r="B85" s="207" t="s">
        <v>672</v>
      </c>
      <c r="C85" s="207" t="s">
        <v>587</v>
      </c>
      <c r="D85" s="207" t="s">
        <v>673</v>
      </c>
      <c r="E85" s="207" t="s">
        <v>545</v>
      </c>
      <c r="F85" s="207" t="s">
        <v>510</v>
      </c>
      <c r="G85" s="208">
        <v>57756.480000000003</v>
      </c>
      <c r="H85" s="209">
        <v>30378</v>
      </c>
    </row>
    <row r="86" spans="1:8" ht="15" x14ac:dyDescent="0.25">
      <c r="A86" s="207">
        <v>1370</v>
      </c>
      <c r="B86" s="207" t="s">
        <v>674</v>
      </c>
      <c r="C86" s="207" t="s">
        <v>675</v>
      </c>
      <c r="D86" s="207" t="s">
        <v>544</v>
      </c>
      <c r="E86" s="207" t="s">
        <v>545</v>
      </c>
      <c r="F86" s="207" t="s">
        <v>507</v>
      </c>
      <c r="G86" s="208">
        <v>53685.32</v>
      </c>
      <c r="H86" s="209">
        <v>32108</v>
      </c>
    </row>
    <row r="87" spans="1:8" ht="15" x14ac:dyDescent="0.25">
      <c r="A87" s="207">
        <v>1908</v>
      </c>
      <c r="B87" s="207" t="s">
        <v>676</v>
      </c>
      <c r="C87" s="207" t="s">
        <v>447</v>
      </c>
      <c r="D87" s="207" t="s">
        <v>677</v>
      </c>
      <c r="E87" s="207" t="s">
        <v>523</v>
      </c>
      <c r="F87" s="207" t="s">
        <v>510</v>
      </c>
      <c r="G87" s="208">
        <v>72819.600000000006</v>
      </c>
      <c r="H87" s="209">
        <v>30817</v>
      </c>
    </row>
    <row r="88" spans="1:8" ht="15" x14ac:dyDescent="0.25">
      <c r="A88" s="207">
        <v>1428</v>
      </c>
      <c r="B88" s="207" t="s">
        <v>678</v>
      </c>
      <c r="C88" s="207" t="s">
        <v>679</v>
      </c>
      <c r="D88" s="207" t="s">
        <v>656</v>
      </c>
      <c r="E88" s="207" t="s">
        <v>506</v>
      </c>
      <c r="F88" s="207" t="s">
        <v>507</v>
      </c>
      <c r="G88" s="208">
        <v>53721.15</v>
      </c>
      <c r="H88" s="209">
        <v>31728</v>
      </c>
    </row>
    <row r="89" spans="1:8" ht="15" x14ac:dyDescent="0.25">
      <c r="A89" s="207">
        <v>1352</v>
      </c>
      <c r="B89" s="207" t="s">
        <v>680</v>
      </c>
      <c r="C89" s="207" t="s">
        <v>681</v>
      </c>
      <c r="D89" s="207" t="s">
        <v>536</v>
      </c>
      <c r="E89" s="207" t="s">
        <v>506</v>
      </c>
      <c r="F89" s="207" t="s">
        <v>507</v>
      </c>
      <c r="G89" s="208">
        <v>31067.75</v>
      </c>
      <c r="H89" s="209">
        <v>30212</v>
      </c>
    </row>
    <row r="90" spans="1:8" ht="15" x14ac:dyDescent="0.25">
      <c r="A90" s="207">
        <v>1353</v>
      </c>
      <c r="B90" s="207" t="s">
        <v>682</v>
      </c>
      <c r="C90" s="207" t="s">
        <v>683</v>
      </c>
      <c r="D90" s="207" t="s">
        <v>673</v>
      </c>
      <c r="E90" s="207" t="s">
        <v>545</v>
      </c>
      <c r="F90" s="207" t="s">
        <v>507</v>
      </c>
      <c r="G90" s="208">
        <v>59455.199999999997</v>
      </c>
      <c r="H90" s="209">
        <v>30204</v>
      </c>
    </row>
    <row r="91" spans="1:8" ht="15" x14ac:dyDescent="0.25">
      <c r="A91" s="207">
        <v>1427</v>
      </c>
      <c r="B91" s="207" t="s">
        <v>684</v>
      </c>
      <c r="C91" s="207" t="s">
        <v>685</v>
      </c>
      <c r="D91" s="207" t="s">
        <v>673</v>
      </c>
      <c r="E91" s="207" t="s">
        <v>545</v>
      </c>
      <c r="F91" s="207" t="s">
        <v>500</v>
      </c>
      <c r="G91" s="208">
        <v>59455.199999999997</v>
      </c>
      <c r="H91" s="209">
        <v>28368</v>
      </c>
    </row>
    <row r="92" spans="1:8" ht="15" x14ac:dyDescent="0.25">
      <c r="A92" s="207">
        <v>1291</v>
      </c>
      <c r="B92" s="207" t="s">
        <v>686</v>
      </c>
      <c r="C92" s="207" t="s">
        <v>687</v>
      </c>
      <c r="D92" s="207" t="s">
        <v>522</v>
      </c>
      <c r="E92" s="207" t="s">
        <v>523</v>
      </c>
      <c r="F92" s="207" t="s">
        <v>507</v>
      </c>
      <c r="G92" s="208">
        <v>35785.660000000003</v>
      </c>
      <c r="H92" s="209">
        <v>31042</v>
      </c>
    </row>
    <row r="93" spans="1:8" ht="15" x14ac:dyDescent="0.25">
      <c r="A93" s="207">
        <v>1292</v>
      </c>
      <c r="B93" s="207" t="s">
        <v>688</v>
      </c>
      <c r="C93" s="207" t="s">
        <v>689</v>
      </c>
      <c r="D93" s="207" t="s">
        <v>515</v>
      </c>
      <c r="E93" s="207" t="s">
        <v>516</v>
      </c>
      <c r="F93" s="207" t="s">
        <v>507</v>
      </c>
      <c r="G93" s="208">
        <v>51339.72</v>
      </c>
      <c r="H93" s="209">
        <v>32101</v>
      </c>
    </row>
    <row r="94" spans="1:8" ht="15" x14ac:dyDescent="0.25">
      <c r="A94" s="207">
        <v>1725</v>
      </c>
      <c r="B94" s="207" t="s">
        <v>690</v>
      </c>
      <c r="C94" s="207" t="s">
        <v>577</v>
      </c>
      <c r="D94" s="207" t="s">
        <v>677</v>
      </c>
      <c r="E94" s="207" t="s">
        <v>523</v>
      </c>
      <c r="F94" s="207" t="s">
        <v>507</v>
      </c>
      <c r="G94" s="208">
        <v>79061.279999999999</v>
      </c>
      <c r="H94" s="209">
        <v>28533</v>
      </c>
    </row>
    <row r="95" spans="1:8" ht="15" x14ac:dyDescent="0.25">
      <c r="A95" s="207">
        <v>1302</v>
      </c>
      <c r="B95" s="207" t="s">
        <v>691</v>
      </c>
      <c r="C95" s="207" t="s">
        <v>650</v>
      </c>
      <c r="D95" s="207" t="s">
        <v>621</v>
      </c>
      <c r="E95" s="207" t="s">
        <v>506</v>
      </c>
      <c r="F95" s="207" t="s">
        <v>510</v>
      </c>
      <c r="G95" s="208">
        <v>79280.160000000003</v>
      </c>
      <c r="H95" s="209">
        <v>30892</v>
      </c>
    </row>
    <row r="96" spans="1:8" ht="15" x14ac:dyDescent="0.25">
      <c r="A96" s="207">
        <v>1301</v>
      </c>
      <c r="B96" s="207" t="s">
        <v>692</v>
      </c>
      <c r="C96" s="207" t="s">
        <v>693</v>
      </c>
      <c r="D96" s="207" t="s">
        <v>656</v>
      </c>
      <c r="E96" s="207" t="s">
        <v>506</v>
      </c>
      <c r="F96" s="207" t="s">
        <v>507</v>
      </c>
      <c r="G96" s="208">
        <v>58325.82</v>
      </c>
      <c r="H96" s="209">
        <v>31421</v>
      </c>
    </row>
    <row r="97" spans="1:8" ht="15" x14ac:dyDescent="0.25">
      <c r="A97" s="207">
        <v>1154</v>
      </c>
      <c r="B97" s="207" t="s">
        <v>694</v>
      </c>
      <c r="C97" s="207" t="s">
        <v>695</v>
      </c>
      <c r="D97" s="207" t="s">
        <v>512</v>
      </c>
      <c r="E97" s="207" t="s">
        <v>506</v>
      </c>
      <c r="F97" s="207" t="s">
        <v>500</v>
      </c>
      <c r="G97" s="208">
        <v>56177.3</v>
      </c>
      <c r="H97" s="209">
        <v>31965</v>
      </c>
    </row>
    <row r="98" spans="1:8" ht="15" x14ac:dyDescent="0.25">
      <c r="A98" s="207">
        <v>1303</v>
      </c>
      <c r="B98" s="207" t="s">
        <v>696</v>
      </c>
      <c r="C98" s="207" t="s">
        <v>697</v>
      </c>
      <c r="D98" s="207" t="s">
        <v>512</v>
      </c>
      <c r="E98" s="207" t="s">
        <v>506</v>
      </c>
      <c r="F98" s="207" t="s">
        <v>507</v>
      </c>
      <c r="G98" s="208">
        <v>56177.3</v>
      </c>
      <c r="H98" s="209">
        <v>32205</v>
      </c>
    </row>
    <row r="99" spans="1:8" ht="15" x14ac:dyDescent="0.25">
      <c r="A99" s="207">
        <v>1294</v>
      </c>
      <c r="B99" s="207" t="s">
        <v>22</v>
      </c>
      <c r="C99" s="207" t="s">
        <v>595</v>
      </c>
      <c r="D99" s="207" t="s">
        <v>608</v>
      </c>
      <c r="E99" s="207" t="s">
        <v>506</v>
      </c>
      <c r="F99" s="207" t="s">
        <v>510</v>
      </c>
      <c r="G99" s="208">
        <v>58357.65</v>
      </c>
      <c r="H99" s="209">
        <v>30931</v>
      </c>
    </row>
    <row r="100" spans="1:8" ht="15" x14ac:dyDescent="0.25">
      <c r="A100" s="207">
        <v>1293</v>
      </c>
      <c r="B100" s="207" t="s">
        <v>698</v>
      </c>
      <c r="C100" s="207" t="s">
        <v>699</v>
      </c>
      <c r="D100" s="207" t="s">
        <v>582</v>
      </c>
      <c r="E100" s="207" t="s">
        <v>506</v>
      </c>
      <c r="F100" s="207" t="s">
        <v>507</v>
      </c>
      <c r="G100" s="208">
        <v>40897.35</v>
      </c>
      <c r="H100" s="209">
        <v>30939</v>
      </c>
    </row>
    <row r="101" spans="1:8" ht="15" x14ac:dyDescent="0.25">
      <c r="A101" s="207">
        <v>1725</v>
      </c>
      <c r="B101" s="207" t="s">
        <v>700</v>
      </c>
      <c r="C101" s="207" t="s">
        <v>597</v>
      </c>
      <c r="D101" s="207" t="s">
        <v>641</v>
      </c>
      <c r="E101" s="207" t="s">
        <v>516</v>
      </c>
      <c r="F101" s="207" t="s">
        <v>500</v>
      </c>
      <c r="G101" s="208">
        <v>97096.35</v>
      </c>
      <c r="H101" s="209">
        <v>28523</v>
      </c>
    </row>
    <row r="102" spans="1:8" ht="15" x14ac:dyDescent="0.25">
      <c r="A102" s="207">
        <v>1724</v>
      </c>
      <c r="B102" s="207" t="s">
        <v>701</v>
      </c>
      <c r="C102" s="207" t="s">
        <v>573</v>
      </c>
      <c r="D102" s="207" t="s">
        <v>539</v>
      </c>
      <c r="E102" s="207" t="s">
        <v>516</v>
      </c>
      <c r="F102" s="207" t="s">
        <v>507</v>
      </c>
      <c r="G102" s="208">
        <v>58482.45</v>
      </c>
      <c r="H102" s="209">
        <v>28531</v>
      </c>
    </row>
    <row r="103" spans="1:8" ht="15" x14ac:dyDescent="0.25">
      <c r="A103" s="207">
        <v>1080</v>
      </c>
      <c r="B103" s="207" t="s">
        <v>702</v>
      </c>
      <c r="C103" s="207" t="s">
        <v>703</v>
      </c>
      <c r="D103" s="207" t="s">
        <v>544</v>
      </c>
      <c r="E103" s="207" t="s">
        <v>545</v>
      </c>
      <c r="F103" s="207" t="s">
        <v>507</v>
      </c>
      <c r="G103" s="208">
        <v>64738.18</v>
      </c>
      <c r="H103" s="209">
        <v>32445</v>
      </c>
    </row>
    <row r="104" spans="1:8" ht="15" x14ac:dyDescent="0.25">
      <c r="A104" s="207">
        <v>1968</v>
      </c>
      <c r="B104" s="207" t="s">
        <v>704</v>
      </c>
      <c r="C104" s="207" t="s">
        <v>705</v>
      </c>
      <c r="D104" s="207" t="s">
        <v>706</v>
      </c>
      <c r="E104" s="207" t="s">
        <v>523</v>
      </c>
      <c r="F104" s="207" t="s">
        <v>507</v>
      </c>
      <c r="G104" s="208">
        <v>65821.56</v>
      </c>
      <c r="H104" s="209">
        <v>30046</v>
      </c>
    </row>
    <row r="105" spans="1:8" ht="15" x14ac:dyDescent="0.25">
      <c r="A105" s="207">
        <v>1950</v>
      </c>
      <c r="B105" s="207" t="s">
        <v>707</v>
      </c>
      <c r="C105" s="207" t="s">
        <v>708</v>
      </c>
      <c r="D105" s="207" t="s">
        <v>641</v>
      </c>
      <c r="E105" s="207" t="s">
        <v>516</v>
      </c>
      <c r="F105" s="207" t="s">
        <v>510</v>
      </c>
      <c r="G105" s="208">
        <v>104565.3</v>
      </c>
      <c r="H105" s="209">
        <v>29863</v>
      </c>
    </row>
    <row r="106" spans="1:8" ht="15" x14ac:dyDescent="0.25">
      <c r="A106" s="207">
        <v>1949</v>
      </c>
      <c r="B106" s="207" t="s">
        <v>709</v>
      </c>
      <c r="C106" s="207" t="s">
        <v>710</v>
      </c>
      <c r="D106" s="207" t="s">
        <v>539</v>
      </c>
      <c r="E106" s="207" t="s">
        <v>516</v>
      </c>
      <c r="F106" s="207" t="s">
        <v>500</v>
      </c>
      <c r="G106" s="208">
        <v>62981.1</v>
      </c>
      <c r="H106" s="209">
        <v>29871</v>
      </c>
    </row>
    <row r="107" spans="1:8" ht="15" x14ac:dyDescent="0.25">
      <c r="A107" s="207">
        <v>1967</v>
      </c>
      <c r="B107" s="207" t="s">
        <v>711</v>
      </c>
      <c r="C107" s="207" t="s">
        <v>552</v>
      </c>
      <c r="D107" s="207" t="s">
        <v>515</v>
      </c>
      <c r="E107" s="207" t="s">
        <v>516</v>
      </c>
      <c r="F107" s="207" t="s">
        <v>500</v>
      </c>
      <c r="G107" s="208">
        <v>58277.52</v>
      </c>
      <c r="H107" s="209">
        <v>30054</v>
      </c>
    </row>
    <row r="108" spans="1:8" ht="15" x14ac:dyDescent="0.25">
      <c r="A108" s="207">
        <v>1969</v>
      </c>
      <c r="B108" s="207" t="s">
        <v>16</v>
      </c>
      <c r="C108" s="207" t="s">
        <v>712</v>
      </c>
      <c r="D108" s="207" t="s">
        <v>515</v>
      </c>
      <c r="E108" s="207" t="s">
        <v>516</v>
      </c>
      <c r="F108" s="207" t="s">
        <v>507</v>
      </c>
      <c r="G108" s="208">
        <v>58277.52</v>
      </c>
      <c r="H108" s="209">
        <v>32612</v>
      </c>
    </row>
    <row r="109" spans="1:8" ht="15" x14ac:dyDescent="0.25">
      <c r="A109" s="207">
        <v>1932</v>
      </c>
      <c r="B109" s="207" t="s">
        <v>713</v>
      </c>
      <c r="C109" s="207" t="s">
        <v>611</v>
      </c>
      <c r="D109" s="207" t="s">
        <v>519</v>
      </c>
      <c r="E109" s="207" t="s">
        <v>499</v>
      </c>
      <c r="F109" s="207" t="s">
        <v>510</v>
      </c>
      <c r="G109" s="208">
        <v>47852.639999999999</v>
      </c>
      <c r="H109" s="209">
        <v>32671</v>
      </c>
    </row>
    <row r="110" spans="1:8" ht="15" x14ac:dyDescent="0.25">
      <c r="A110" s="207">
        <v>1933</v>
      </c>
      <c r="B110" s="207" t="s">
        <v>714</v>
      </c>
      <c r="C110" s="207" t="s">
        <v>533</v>
      </c>
      <c r="D110" s="207" t="s">
        <v>656</v>
      </c>
      <c r="E110" s="207" t="s">
        <v>506</v>
      </c>
      <c r="F110" s="207" t="s">
        <v>510</v>
      </c>
      <c r="G110" s="208">
        <v>67535.16</v>
      </c>
      <c r="H110" s="209">
        <v>30689</v>
      </c>
    </row>
    <row r="111" spans="1:8" ht="15" x14ac:dyDescent="0.25">
      <c r="A111" s="207">
        <v>1354</v>
      </c>
      <c r="B111" s="207" t="s">
        <v>715</v>
      </c>
      <c r="C111" s="207" t="s">
        <v>716</v>
      </c>
      <c r="D111" s="207" t="s">
        <v>656</v>
      </c>
      <c r="E111" s="207" t="s">
        <v>506</v>
      </c>
      <c r="F111" s="207" t="s">
        <v>500</v>
      </c>
      <c r="G111" s="208">
        <v>69070.05</v>
      </c>
      <c r="H111" s="209">
        <v>31538</v>
      </c>
    </row>
    <row r="112" spans="1:8" ht="15" x14ac:dyDescent="0.25">
      <c r="A112" s="207">
        <v>1962</v>
      </c>
      <c r="B112" s="207" t="s">
        <v>717</v>
      </c>
      <c r="C112" s="207" t="s">
        <v>718</v>
      </c>
      <c r="D112" s="207" t="s">
        <v>515</v>
      </c>
      <c r="E112" s="207" t="s">
        <v>516</v>
      </c>
      <c r="F112" s="207" t="s">
        <v>507</v>
      </c>
      <c r="G112" s="208">
        <v>66602.880000000005</v>
      </c>
      <c r="H112" s="209">
        <v>32072</v>
      </c>
    </row>
    <row r="113" spans="1:8" ht="15" x14ac:dyDescent="0.25">
      <c r="A113" s="207">
        <v>1076</v>
      </c>
      <c r="B113" s="207" t="s">
        <v>719</v>
      </c>
      <c r="C113" s="207" t="s">
        <v>720</v>
      </c>
      <c r="D113" s="207" t="s">
        <v>563</v>
      </c>
      <c r="E113" s="207" t="s">
        <v>506</v>
      </c>
      <c r="F113" s="207" t="s">
        <v>500</v>
      </c>
      <c r="G113" s="208">
        <v>105753.02</v>
      </c>
      <c r="H113" s="209">
        <v>29066</v>
      </c>
    </row>
    <row r="114" spans="1:8" ht="15" x14ac:dyDescent="0.25">
      <c r="A114" s="207">
        <v>1696</v>
      </c>
      <c r="B114" s="207" t="s">
        <v>511</v>
      </c>
      <c r="C114" s="207" t="s">
        <v>721</v>
      </c>
      <c r="D114" s="207" t="s">
        <v>608</v>
      </c>
      <c r="E114" s="207" t="s">
        <v>506</v>
      </c>
      <c r="F114" s="207" t="s">
        <v>500</v>
      </c>
      <c r="G114" s="208">
        <v>79306.55</v>
      </c>
      <c r="H114" s="209">
        <v>30967</v>
      </c>
    </row>
    <row r="115" spans="1:8" ht="15" x14ac:dyDescent="0.25">
      <c r="A115" s="207">
        <v>1056</v>
      </c>
      <c r="B115" s="207" t="s">
        <v>722</v>
      </c>
      <c r="C115" s="207" t="s">
        <v>723</v>
      </c>
      <c r="D115" s="207" t="s">
        <v>677</v>
      </c>
      <c r="E115" s="207" t="s">
        <v>523</v>
      </c>
      <c r="F115" s="207" t="s">
        <v>500</v>
      </c>
      <c r="G115" s="208">
        <v>116511.36</v>
      </c>
      <c r="H115" s="209">
        <v>29153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153" customWidth="1"/>
    <col min="3" max="12" width="9.140625" style="153"/>
    <col min="13" max="13" width="13.140625" style="153" bestFit="1" customWidth="1"/>
    <col min="14" max="14" width="10.5703125" style="153" bestFit="1" customWidth="1"/>
    <col min="15" max="15" width="9.140625" style="153"/>
    <col min="16" max="16" width="49.140625" style="153" bestFit="1" customWidth="1"/>
    <col min="17" max="16384" width="9.140625" style="153"/>
  </cols>
  <sheetData>
    <row r="1" spans="1:16" x14ac:dyDescent="0.25">
      <c r="A1" s="153" t="s">
        <v>401</v>
      </c>
      <c r="B1" s="153" t="s">
        <v>162</v>
      </c>
    </row>
    <row r="2" spans="1:16" x14ac:dyDescent="0.25">
      <c r="A2" s="153">
        <v>1</v>
      </c>
      <c r="B2" s="153">
        <v>64</v>
      </c>
      <c r="M2" s="162" t="s">
        <v>402</v>
      </c>
      <c r="P2" s="162" t="s">
        <v>364</v>
      </c>
    </row>
    <row r="3" spans="1:16" x14ac:dyDescent="0.25">
      <c r="A3" s="153">
        <v>2</v>
      </c>
      <c r="B3" s="153">
        <v>32</v>
      </c>
      <c r="M3" s="153" t="s">
        <v>366</v>
      </c>
      <c r="N3" s="153">
        <f>EXP(INDEX(LINEST(LN($B$2:$B$7),$A$2:$A$7),1,2))</f>
        <v>127.99999999999997</v>
      </c>
      <c r="P3" s="171" t="s">
        <v>403</v>
      </c>
    </row>
    <row r="4" spans="1:16" x14ac:dyDescent="0.25">
      <c r="A4" s="153">
        <v>3</v>
      </c>
      <c r="B4" s="153">
        <v>16</v>
      </c>
      <c r="M4" s="153" t="s">
        <v>369</v>
      </c>
      <c r="N4" s="170">
        <f>INDEX(LINEST(LN($B$2:$B$7),$A$2:$A$7),1)</f>
        <v>-0.69314718055994529</v>
      </c>
      <c r="P4" s="171" t="s">
        <v>404</v>
      </c>
    </row>
    <row r="5" spans="1:16" x14ac:dyDescent="0.25">
      <c r="A5" s="153">
        <v>4</v>
      </c>
      <c r="B5" s="153">
        <v>8</v>
      </c>
    </row>
    <row r="6" spans="1:16" x14ac:dyDescent="0.25">
      <c r="A6" s="153">
        <v>5</v>
      </c>
      <c r="B6" s="153">
        <v>4</v>
      </c>
    </row>
    <row r="7" spans="1:16" x14ac:dyDescent="0.25">
      <c r="A7" s="153">
        <v>6</v>
      </c>
      <c r="B7" s="153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153" customWidth="1"/>
    <col min="3" max="12" width="9.140625" style="153"/>
    <col min="13" max="13" width="19.42578125" style="153" bestFit="1" customWidth="1"/>
    <col min="14" max="14" width="11.42578125" style="153" bestFit="1" customWidth="1"/>
    <col min="15" max="15" width="11.28515625" style="153" bestFit="1" customWidth="1"/>
    <col min="16" max="16" width="55.42578125" style="153" bestFit="1" customWidth="1"/>
    <col min="17" max="17" width="10.28515625" style="153" bestFit="1" customWidth="1"/>
    <col min="18" max="16384" width="9.140625" style="153"/>
  </cols>
  <sheetData>
    <row r="1" spans="1:17" x14ac:dyDescent="0.25">
      <c r="A1" s="153" t="s">
        <v>342</v>
      </c>
      <c r="B1" s="153" t="s">
        <v>162</v>
      </c>
    </row>
    <row r="2" spans="1:17" x14ac:dyDescent="0.25">
      <c r="A2" s="153">
        <v>2008</v>
      </c>
      <c r="B2" s="153">
        <v>173</v>
      </c>
      <c r="M2" s="162" t="s">
        <v>363</v>
      </c>
      <c r="P2" s="162" t="s">
        <v>364</v>
      </c>
      <c r="Q2" s="162" t="s">
        <v>365</v>
      </c>
    </row>
    <row r="3" spans="1:17" x14ac:dyDescent="0.25">
      <c r="A3" s="153">
        <v>2009</v>
      </c>
      <c r="B3" s="153">
        <v>220</v>
      </c>
      <c r="M3" s="153" t="s">
        <v>366</v>
      </c>
      <c r="N3" s="170">
        <f>SLOPE($B$2:$B$9,$A$2:$A$9)</f>
        <v>52.88095238095238</v>
      </c>
      <c r="P3" s="171" t="s">
        <v>367</v>
      </c>
      <c r="Q3" s="153" t="s">
        <v>368</v>
      </c>
    </row>
    <row r="4" spans="1:17" x14ac:dyDescent="0.25">
      <c r="A4" s="153">
        <v>2010</v>
      </c>
      <c r="B4" s="153">
        <v>315</v>
      </c>
      <c r="M4" s="153" t="s">
        <v>369</v>
      </c>
      <c r="N4" s="170">
        <f>INTERCEPT($B$2:$B$9,$A$2:$A$9)</f>
        <v>-105999.53571428571</v>
      </c>
      <c r="P4" s="171" t="s">
        <v>370</v>
      </c>
      <c r="Q4" s="153" t="s">
        <v>371</v>
      </c>
    </row>
    <row r="5" spans="1:17" x14ac:dyDescent="0.25">
      <c r="A5" s="153">
        <v>2011</v>
      </c>
      <c r="B5" s="153">
        <v>374</v>
      </c>
    </row>
    <row r="6" spans="1:17" x14ac:dyDescent="0.25">
      <c r="A6" s="153">
        <v>2012</v>
      </c>
      <c r="B6" s="153">
        <v>405</v>
      </c>
      <c r="M6" s="153" t="s">
        <v>366</v>
      </c>
      <c r="N6" s="170">
        <f>INDEX(LINEST($B$2:$B$9,$A$2:$A$9),1,1)</f>
        <v>52.88095238095238</v>
      </c>
      <c r="P6" s="171" t="s">
        <v>372</v>
      </c>
    </row>
    <row r="7" spans="1:17" x14ac:dyDescent="0.25">
      <c r="A7" s="153">
        <v>2013</v>
      </c>
      <c r="B7" s="153">
        <v>428</v>
      </c>
      <c r="M7" s="153" t="s">
        <v>369</v>
      </c>
      <c r="N7" s="170">
        <f>INDEX(LINEST($B$2:$B$9,$A$2:$A$9),1,2)</f>
        <v>-105999.53571428571</v>
      </c>
      <c r="P7" s="171" t="s">
        <v>373</v>
      </c>
    </row>
    <row r="8" spans="1:17" x14ac:dyDescent="0.25">
      <c r="A8" s="153">
        <v>2014</v>
      </c>
      <c r="B8" s="153">
        <v>480</v>
      </c>
    </row>
    <row r="9" spans="1:17" x14ac:dyDescent="0.25">
      <c r="A9" s="153">
        <v>2015</v>
      </c>
      <c r="B9" s="153">
        <v>569</v>
      </c>
      <c r="N9" s="172" t="s">
        <v>366</v>
      </c>
      <c r="O9" s="172" t="s">
        <v>369</v>
      </c>
    </row>
    <row r="10" spans="1:17" x14ac:dyDescent="0.25">
      <c r="M10" s="153" t="s">
        <v>374</v>
      </c>
      <c r="N10" s="170">
        <f t="array" ref="N10:O10">LINEST(B2:B9,A2:A9,TRUE,FALSE)</f>
        <v>52.88095238095238</v>
      </c>
      <c r="O10" s="170">
        <v>-105999.53571428571</v>
      </c>
      <c r="P10" s="171" t="s">
        <v>375</v>
      </c>
      <c r="Q10" s="153" t="s">
        <v>376</v>
      </c>
    </row>
    <row r="11" spans="1:17" x14ac:dyDescent="0.25">
      <c r="N11" s="153" t="s">
        <v>377</v>
      </c>
      <c r="O11" s="153" t="s">
        <v>378</v>
      </c>
    </row>
    <row r="12" spans="1:17" x14ac:dyDescent="0.25">
      <c r="M12" s="153" t="s">
        <v>379</v>
      </c>
      <c r="N12" s="153">
        <f>CORREL(B2:B9,A2:A9)</f>
        <v>0.98669254989476463</v>
      </c>
      <c r="O12" s="153">
        <f>N12^2</f>
        <v>0.97356218801783256</v>
      </c>
      <c r="P12" s="153" t="s">
        <v>380</v>
      </c>
    </row>
    <row r="18" spans="14:14" x14ac:dyDescent="0.25">
      <c r="N18" s="170">
        <f>INDEX(LINEST($B$2:$B$9,$A$2:$A$9),1,1)</f>
        <v>52.88095238095238</v>
      </c>
    </row>
  </sheetData>
  <pageMargins left="0.7" right="0.7" top="0.75" bottom="0.75" header="0.3" footer="0.3"/>
  <pageSetup paperSize="9" orientation="portrait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153" customWidth="1"/>
    <col min="3" max="12" width="9.140625" style="153"/>
    <col min="13" max="13" width="13.7109375" style="153" bestFit="1" customWidth="1"/>
    <col min="14" max="14" width="10.5703125" style="153" bestFit="1" customWidth="1"/>
    <col min="15" max="15" width="9.140625" style="153"/>
    <col min="16" max="16" width="43.85546875" style="153" bestFit="1" customWidth="1"/>
    <col min="17" max="16384" width="9.140625" style="153"/>
  </cols>
  <sheetData>
    <row r="1" spans="1:16" x14ac:dyDescent="0.25">
      <c r="A1" s="153" t="s">
        <v>381</v>
      </c>
      <c r="B1" s="153" t="s">
        <v>162</v>
      </c>
    </row>
    <row r="2" spans="1:16" x14ac:dyDescent="0.25">
      <c r="A2" s="153">
        <v>1</v>
      </c>
      <c r="B2" s="153">
        <v>6</v>
      </c>
      <c r="M2" s="162" t="s">
        <v>382</v>
      </c>
      <c r="P2" s="162" t="s">
        <v>364</v>
      </c>
    </row>
    <row r="3" spans="1:16" x14ac:dyDescent="0.25">
      <c r="A3" s="153">
        <v>2</v>
      </c>
      <c r="B3" s="153">
        <v>12</v>
      </c>
      <c r="M3" s="153" t="s">
        <v>366</v>
      </c>
      <c r="N3" s="170">
        <f>INDEX(LINEST($B$2:$B$9,LN($A$2:$A$9)),1,1)</f>
        <v>12.846032835695151</v>
      </c>
      <c r="P3" s="171" t="s">
        <v>383</v>
      </c>
    </row>
    <row r="4" spans="1:16" x14ac:dyDescent="0.25">
      <c r="A4" s="153">
        <v>3</v>
      </c>
      <c r="B4" s="153">
        <v>22</v>
      </c>
      <c r="M4" s="153" t="s">
        <v>369</v>
      </c>
      <c r="N4" s="170">
        <f>INDEX(LINEST($B$2:$B$9,LN($A$2:$A$9)),1,2)</f>
        <v>5.9716153627283006</v>
      </c>
      <c r="P4" s="171" t="s">
        <v>384</v>
      </c>
    </row>
    <row r="5" spans="1:16" x14ac:dyDescent="0.25">
      <c r="A5" s="153">
        <v>4</v>
      </c>
      <c r="B5" s="153">
        <v>26</v>
      </c>
    </row>
    <row r="6" spans="1:16" x14ac:dyDescent="0.25">
      <c r="A6" s="153">
        <v>5</v>
      </c>
      <c r="B6" s="153">
        <v>28</v>
      </c>
    </row>
    <row r="7" spans="1:16" x14ac:dyDescent="0.25">
      <c r="A7" s="153">
        <v>6</v>
      </c>
      <c r="B7" s="153">
        <v>29</v>
      </c>
      <c r="N7" s="170"/>
    </row>
    <row r="8" spans="1:16" x14ac:dyDescent="0.25">
      <c r="A8" s="153">
        <v>7</v>
      </c>
      <c r="B8" s="153">
        <v>30</v>
      </c>
    </row>
    <row r="9" spans="1:16" x14ac:dyDescent="0.25">
      <c r="A9" s="153">
        <v>8</v>
      </c>
      <c r="B9" s="153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153" customWidth="1"/>
    <col min="3" max="13" width="9.140625" style="153"/>
    <col min="14" max="14" width="10.5703125" style="153" bestFit="1" customWidth="1"/>
    <col min="15" max="15" width="9.140625" style="153"/>
    <col min="16" max="16" width="52" style="153" bestFit="1" customWidth="1"/>
    <col min="17" max="16384" width="9.140625" style="153"/>
  </cols>
  <sheetData>
    <row r="1" spans="1:16" x14ac:dyDescent="0.25">
      <c r="A1" s="153" t="s">
        <v>394</v>
      </c>
      <c r="B1" s="153" t="s">
        <v>395</v>
      </c>
    </row>
    <row r="2" spans="1:16" x14ac:dyDescent="0.25">
      <c r="A2" s="153" t="s">
        <v>396</v>
      </c>
      <c r="B2" s="153" t="s">
        <v>397</v>
      </c>
      <c r="M2" s="162" t="s">
        <v>398</v>
      </c>
      <c r="P2" s="162" t="s">
        <v>364</v>
      </c>
    </row>
    <row r="3" spans="1:16" x14ac:dyDescent="0.25">
      <c r="A3" s="153">
        <v>1</v>
      </c>
      <c r="B3" s="153">
        <v>5</v>
      </c>
      <c r="M3" s="153" t="s">
        <v>366</v>
      </c>
      <c r="N3" s="170">
        <f>EXP(INDEX(LINEST(LN($B$3:$B$12),LN($A$3:$A$12)),2))</f>
        <v>5.0256080561355931</v>
      </c>
      <c r="P3" s="171" t="s">
        <v>399</v>
      </c>
    </row>
    <row r="4" spans="1:16" x14ac:dyDescent="0.25">
      <c r="A4" s="153">
        <v>2</v>
      </c>
      <c r="B4" s="153">
        <v>21</v>
      </c>
      <c r="M4" s="153" t="s">
        <v>369</v>
      </c>
      <c r="N4" s="170">
        <f>INDEX(LINEST(LN($B$3:$B$12),LN($A$3:$A$12)),1)</f>
        <v>2.0902097668655144</v>
      </c>
      <c r="P4" s="171" t="s">
        <v>400</v>
      </c>
    </row>
    <row r="5" spans="1:16" x14ac:dyDescent="0.25">
      <c r="A5" s="153">
        <v>3</v>
      </c>
      <c r="B5" s="153">
        <v>54</v>
      </c>
    </row>
    <row r="6" spans="1:16" x14ac:dyDescent="0.25">
      <c r="A6" s="153">
        <v>4</v>
      </c>
      <c r="B6" s="153">
        <v>94</v>
      </c>
    </row>
    <row r="7" spans="1:16" x14ac:dyDescent="0.25">
      <c r="A7" s="153">
        <v>5</v>
      </c>
      <c r="B7" s="153">
        <v>141</v>
      </c>
    </row>
    <row r="8" spans="1:16" x14ac:dyDescent="0.25">
      <c r="A8" s="153">
        <v>6</v>
      </c>
      <c r="B8" s="153">
        <v>200</v>
      </c>
    </row>
    <row r="9" spans="1:16" x14ac:dyDescent="0.25">
      <c r="A9" s="153">
        <v>7</v>
      </c>
      <c r="B9" s="153">
        <v>280</v>
      </c>
    </row>
    <row r="10" spans="1:16" x14ac:dyDescent="0.25">
      <c r="A10" s="153">
        <v>8</v>
      </c>
      <c r="B10" s="153">
        <v>364</v>
      </c>
    </row>
    <row r="11" spans="1:16" x14ac:dyDescent="0.25">
      <c r="A11" s="153">
        <v>9</v>
      </c>
      <c r="B11" s="153">
        <v>509</v>
      </c>
    </row>
    <row r="12" spans="1:16" x14ac:dyDescent="0.25">
      <c r="A12" s="153">
        <v>10</v>
      </c>
      <c r="B12" s="153">
        <v>678</v>
      </c>
    </row>
  </sheetData>
  <pageMargins left="0.7" right="0.7" top="0.75" bottom="0.75" header="0.3" footer="0.3"/>
  <pageSetup paperSize="9" orientation="portrait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153" bestFit="1" customWidth="1"/>
    <col min="2" max="2" width="10.85546875" style="153" bestFit="1" customWidth="1"/>
    <col min="3" max="12" width="9.140625" style="153"/>
    <col min="13" max="13" width="16.7109375" style="153" bestFit="1" customWidth="1"/>
    <col min="14" max="14" width="10.5703125" style="153" bestFit="1" customWidth="1"/>
    <col min="15" max="15" width="9.140625" style="153"/>
    <col min="16" max="16" width="45.85546875" style="153" bestFit="1" customWidth="1"/>
    <col min="17" max="16384" width="9.140625" style="153"/>
  </cols>
  <sheetData>
    <row r="1" spans="1:16" x14ac:dyDescent="0.25">
      <c r="A1" s="153" t="s">
        <v>385</v>
      </c>
      <c r="B1" s="153" t="s">
        <v>386</v>
      </c>
    </row>
    <row r="2" spans="1:16" x14ac:dyDescent="0.25">
      <c r="A2" s="153" t="s">
        <v>387</v>
      </c>
      <c r="B2" s="153" t="s">
        <v>388</v>
      </c>
      <c r="M2" s="162" t="s">
        <v>389</v>
      </c>
      <c r="P2" s="162" t="s">
        <v>364</v>
      </c>
    </row>
    <row r="3" spans="1:16" x14ac:dyDescent="0.25">
      <c r="A3" s="153">
        <v>30</v>
      </c>
      <c r="B3" s="153">
        <v>7.4</v>
      </c>
      <c r="M3" s="153" t="s">
        <v>366</v>
      </c>
      <c r="N3" s="173">
        <f>INDEX(LINEST($B$3:$B$9,$A$3:$A$9^{1,2}),1,1)</f>
        <v>-7.4880952380952407E-3</v>
      </c>
      <c r="P3" s="171" t="s">
        <v>390</v>
      </c>
    </row>
    <row r="4" spans="1:16" x14ac:dyDescent="0.25">
      <c r="A4" s="153">
        <v>40</v>
      </c>
      <c r="B4" s="153">
        <v>11.049999999999999</v>
      </c>
      <c r="M4" s="153" t="s">
        <v>369</v>
      </c>
      <c r="N4" s="173">
        <f>INDEX(LINEST($B$3:$B$9,$A$3:$A$9^{1,2}),1,2)</f>
        <v>1.0662500000000004</v>
      </c>
      <c r="P4" s="171" t="s">
        <v>391</v>
      </c>
    </row>
    <row r="5" spans="1:16" x14ac:dyDescent="0.25">
      <c r="A5" s="153">
        <v>50</v>
      </c>
      <c r="B5" s="153">
        <v>15.1</v>
      </c>
      <c r="M5" s="153" t="s">
        <v>392</v>
      </c>
      <c r="N5" s="173">
        <f>INDEX(LINEST($B$3:$B$9,$A$3:$A$9^{1,2}),1,3)</f>
        <v>-18.661904761904772</v>
      </c>
      <c r="P5" s="171" t="s">
        <v>393</v>
      </c>
    </row>
    <row r="6" spans="1:16" x14ac:dyDescent="0.25">
      <c r="A6" s="153">
        <v>60</v>
      </c>
      <c r="B6" s="153">
        <v>18.7</v>
      </c>
      <c r="N6" s="173"/>
      <c r="P6" s="171"/>
    </row>
    <row r="7" spans="1:16" x14ac:dyDescent="0.25">
      <c r="A7" s="153">
        <v>70</v>
      </c>
      <c r="B7" s="153">
        <v>20.6</v>
      </c>
    </row>
    <row r="8" spans="1:16" x14ac:dyDescent="0.25">
      <c r="A8" s="153">
        <v>80</v>
      </c>
      <c r="B8" s="153">
        <v>18.274999999999999</v>
      </c>
    </row>
    <row r="9" spans="1:16" x14ac:dyDescent="0.25">
      <c r="A9" s="153">
        <v>90</v>
      </c>
      <c r="B9" s="153">
        <v>16.399999999999999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174" customWidth="1"/>
    <col min="3" max="16384" width="9.140625" style="174"/>
  </cols>
  <sheetData>
    <row r="1" spans="1:2" x14ac:dyDescent="0.25">
      <c r="A1" s="174" t="s">
        <v>172</v>
      </c>
      <c r="B1" s="174" t="s">
        <v>405</v>
      </c>
    </row>
    <row r="2" spans="1:2" x14ac:dyDescent="0.25">
      <c r="A2" s="174">
        <v>1</v>
      </c>
      <c r="B2" s="174">
        <v>10</v>
      </c>
    </row>
    <row r="3" spans="1:2" x14ac:dyDescent="0.25">
      <c r="A3" s="174">
        <v>2</v>
      </c>
      <c r="B3" s="174">
        <v>11</v>
      </c>
    </row>
    <row r="4" spans="1:2" x14ac:dyDescent="0.25">
      <c r="A4" s="174">
        <v>3</v>
      </c>
      <c r="B4" s="174">
        <v>15</v>
      </c>
    </row>
    <row r="5" spans="1:2" x14ac:dyDescent="0.25">
      <c r="A5" s="174">
        <v>4</v>
      </c>
      <c r="B5" s="174">
        <v>7</v>
      </c>
    </row>
    <row r="6" spans="1:2" x14ac:dyDescent="0.25">
      <c r="A6" s="174">
        <v>5</v>
      </c>
      <c r="B6" s="174">
        <v>9</v>
      </c>
    </row>
    <row r="7" spans="1:2" x14ac:dyDescent="0.25">
      <c r="A7" s="174">
        <v>6</v>
      </c>
      <c r="B7" s="174">
        <v>6</v>
      </c>
    </row>
    <row r="8" spans="1:2" x14ac:dyDescent="0.25">
      <c r="A8" s="174">
        <v>7</v>
      </c>
      <c r="B8" s="174">
        <v>7</v>
      </c>
    </row>
    <row r="9" spans="1:2" x14ac:dyDescent="0.25">
      <c r="A9" s="174">
        <v>8</v>
      </c>
      <c r="B9" s="174">
        <v>8</v>
      </c>
    </row>
    <row r="10" spans="1:2" x14ac:dyDescent="0.25">
      <c r="A10" s="174">
        <v>9</v>
      </c>
      <c r="B10" s="174">
        <v>17</v>
      </c>
    </row>
    <row r="11" spans="1:2" x14ac:dyDescent="0.25">
      <c r="A11" s="174">
        <v>10</v>
      </c>
      <c r="B11" s="174">
        <v>20</v>
      </c>
    </row>
    <row r="12" spans="1:2" x14ac:dyDescent="0.25">
      <c r="A12" s="174">
        <v>11</v>
      </c>
      <c r="B12" s="174">
        <v>14</v>
      </c>
    </row>
    <row r="13" spans="1:2" x14ac:dyDescent="0.25">
      <c r="A13" s="174">
        <v>12</v>
      </c>
      <c r="B13" s="174">
        <v>12</v>
      </c>
    </row>
    <row r="14" spans="1:2" x14ac:dyDescent="0.25">
      <c r="A14" s="174">
        <v>13</v>
      </c>
      <c r="B14" s="174">
        <v>15</v>
      </c>
    </row>
    <row r="15" spans="1:2" x14ac:dyDescent="0.25">
      <c r="A15" s="174">
        <v>14</v>
      </c>
      <c r="B15" s="174">
        <v>11</v>
      </c>
    </row>
    <row r="16" spans="1:2" x14ac:dyDescent="0.25">
      <c r="A16" s="174">
        <v>15</v>
      </c>
      <c r="B16" s="174">
        <v>10</v>
      </c>
    </row>
    <row r="17" spans="1:2" x14ac:dyDescent="0.25">
      <c r="A17" s="174">
        <v>16</v>
      </c>
      <c r="B17" s="174">
        <v>13</v>
      </c>
    </row>
    <row r="18" spans="1:2" x14ac:dyDescent="0.25">
      <c r="A18" s="174">
        <v>17</v>
      </c>
      <c r="B18" s="174">
        <v>16</v>
      </c>
    </row>
    <row r="19" spans="1:2" x14ac:dyDescent="0.25">
      <c r="A19" s="174">
        <v>18</v>
      </c>
      <c r="B19" s="174">
        <v>18</v>
      </c>
    </row>
    <row r="20" spans="1:2" x14ac:dyDescent="0.25">
      <c r="A20" s="174">
        <v>19</v>
      </c>
      <c r="B20" s="174">
        <v>14</v>
      </c>
    </row>
    <row r="21" spans="1:2" x14ac:dyDescent="0.25">
      <c r="A21" s="174">
        <v>20</v>
      </c>
      <c r="B21" s="174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2" bestFit="1" customWidth="1"/>
    <col min="2" max="2" width="16.7109375" style="72" bestFit="1" customWidth="1"/>
    <col min="3" max="3" width="12.85546875" style="72" bestFit="1" customWidth="1"/>
    <col min="4" max="16384" width="9.140625" style="72"/>
  </cols>
  <sheetData>
    <row r="1" spans="1:3" x14ac:dyDescent="0.2">
      <c r="A1" s="70" t="s">
        <v>11</v>
      </c>
      <c r="B1" s="71" t="s">
        <v>213</v>
      </c>
      <c r="C1" s="71" t="s">
        <v>214</v>
      </c>
    </row>
    <row r="2" spans="1:3" ht="15" x14ac:dyDescent="0.25">
      <c r="A2" s="72" t="s">
        <v>215</v>
      </c>
      <c r="B2" s="73">
        <v>115000</v>
      </c>
      <c r="C2" s="73">
        <v>182598</v>
      </c>
    </row>
    <row r="3" spans="1:3" ht="15" x14ac:dyDescent="0.25">
      <c r="A3" s="72" t="s">
        <v>216</v>
      </c>
      <c r="B3" s="73">
        <v>75000</v>
      </c>
      <c r="C3" s="73">
        <v>108870</v>
      </c>
    </row>
    <row r="4" spans="1:3" ht="15" x14ac:dyDescent="0.25">
      <c r="A4" s="72" t="s">
        <v>217</v>
      </c>
      <c r="B4" s="73">
        <v>145000</v>
      </c>
      <c r="C4" s="73">
        <v>127046</v>
      </c>
    </row>
    <row r="5" spans="1:3" ht="15" x14ac:dyDescent="0.25">
      <c r="A5" s="72" t="s">
        <v>218</v>
      </c>
      <c r="B5" s="73">
        <v>185000</v>
      </c>
      <c r="C5" s="73">
        <v>119017</v>
      </c>
    </row>
    <row r="6" spans="1:3" ht="15" x14ac:dyDescent="0.25">
      <c r="A6" s="72" t="s">
        <v>219</v>
      </c>
      <c r="B6" s="73">
        <v>180000</v>
      </c>
      <c r="C6" s="73">
        <v>81166</v>
      </c>
    </row>
    <row r="7" spans="1:3" ht="15" x14ac:dyDescent="0.25">
      <c r="A7" s="72" t="s">
        <v>220</v>
      </c>
      <c r="B7" s="73">
        <v>195000</v>
      </c>
      <c r="C7" s="73">
        <v>157240</v>
      </c>
    </row>
    <row r="8" spans="1:3" ht="15" x14ac:dyDescent="0.25">
      <c r="A8" s="72" t="s">
        <v>221</v>
      </c>
      <c r="B8" s="73">
        <v>60000</v>
      </c>
      <c r="C8" s="73">
        <v>77744</v>
      </c>
    </row>
    <row r="9" spans="1:3" ht="15" x14ac:dyDescent="0.25">
      <c r="A9" s="72" t="s">
        <v>222</v>
      </c>
      <c r="B9" s="73">
        <v>120000</v>
      </c>
      <c r="C9" s="73">
        <v>66225</v>
      </c>
    </row>
    <row r="10" spans="1:3" ht="15" x14ac:dyDescent="0.25">
      <c r="A10" s="72" t="s">
        <v>223</v>
      </c>
      <c r="B10" s="73">
        <v>180000</v>
      </c>
      <c r="C10" s="73">
        <v>161478</v>
      </c>
    </row>
    <row r="11" spans="1:3" ht="15" x14ac:dyDescent="0.25">
      <c r="A11" s="72" t="s">
        <v>224</v>
      </c>
      <c r="B11" s="73">
        <v>80000</v>
      </c>
      <c r="C11" s="73">
        <v>105217</v>
      </c>
    </row>
    <row r="12" spans="1:3" ht="15" x14ac:dyDescent="0.25">
      <c r="A12" s="72" t="s">
        <v>225</v>
      </c>
      <c r="B12" s="73">
        <v>95000</v>
      </c>
      <c r="C12" s="73">
        <v>147097</v>
      </c>
    </row>
    <row r="13" spans="1:3" ht="15" x14ac:dyDescent="0.25">
      <c r="A13" s="72" t="s">
        <v>226</v>
      </c>
      <c r="B13" s="73">
        <v>75000</v>
      </c>
      <c r="C13" s="73">
        <v>142653</v>
      </c>
    </row>
    <row r="14" spans="1:3" ht="15" x14ac:dyDescent="0.25">
      <c r="A14" s="72" t="s">
        <v>227</v>
      </c>
      <c r="B14" s="73">
        <v>65000</v>
      </c>
      <c r="C14" s="73">
        <v>187439</v>
      </c>
    </row>
    <row r="15" spans="1:3" ht="15" x14ac:dyDescent="0.25">
      <c r="A15" s="72" t="s">
        <v>228</v>
      </c>
      <c r="B15" s="73">
        <v>80000</v>
      </c>
      <c r="C15" s="73">
        <v>75821</v>
      </c>
    </row>
  </sheetData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37" customWidth="1"/>
    <col min="2" max="7" width="4.28515625" style="37" customWidth="1"/>
    <col min="8" max="16384" width="9.140625" style="39"/>
  </cols>
  <sheetData>
    <row r="1" spans="1:7" x14ac:dyDescent="0.2">
      <c r="B1" s="38" t="s">
        <v>121</v>
      </c>
      <c r="C1" s="38" t="s">
        <v>122</v>
      </c>
      <c r="D1" s="38" t="s">
        <v>123</v>
      </c>
      <c r="E1" s="38" t="s">
        <v>124</v>
      </c>
      <c r="F1" s="38" t="s">
        <v>125</v>
      </c>
      <c r="G1" s="38" t="s">
        <v>126</v>
      </c>
    </row>
    <row r="2" spans="1:7" x14ac:dyDescent="0.2">
      <c r="A2" s="37" t="s">
        <v>127</v>
      </c>
      <c r="B2" s="116">
        <v>100</v>
      </c>
      <c r="C2" s="116">
        <v>190</v>
      </c>
      <c r="D2" s="116">
        <v>280</v>
      </c>
      <c r="E2" s="116">
        <v>410</v>
      </c>
      <c r="F2" s="116">
        <v>500</v>
      </c>
      <c r="G2" s="116">
        <v>530</v>
      </c>
    </row>
    <row r="3" spans="1:7" x14ac:dyDescent="0.2">
      <c r="A3" s="37" t="s">
        <v>128</v>
      </c>
      <c r="B3" s="116">
        <v>340</v>
      </c>
      <c r="C3" s="116">
        <v>420</v>
      </c>
      <c r="D3" s="116">
        <v>430</v>
      </c>
      <c r="E3" s="116">
        <v>410</v>
      </c>
      <c r="F3" s="116">
        <v>450</v>
      </c>
      <c r="G3" s="116">
        <v>480</v>
      </c>
    </row>
    <row r="4" spans="1:7" x14ac:dyDescent="0.2">
      <c r="A4" s="37" t="s">
        <v>129</v>
      </c>
      <c r="B4" s="116">
        <v>210</v>
      </c>
      <c r="C4" s="116">
        <v>230</v>
      </c>
      <c r="D4" s="116">
        <v>230</v>
      </c>
      <c r="E4" s="116">
        <v>240</v>
      </c>
      <c r="F4" s="116">
        <v>280</v>
      </c>
      <c r="G4" s="116">
        <v>290</v>
      </c>
    </row>
  </sheetData>
  <pageMargins left="0.7" right="0.7" top="0.75" bottom="0.75" header="0.3" footer="0.3"/>
  <pageSetup paperSize="9" orientation="portrait" r:id="rId1"/>
  <drawing r:id="rId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bestFit="1" customWidth="1"/>
    <col min="4" max="4" width="13.28515625" bestFit="1" customWidth="1"/>
    <col min="5" max="5" width="11.5703125" bestFit="1" customWidth="1"/>
  </cols>
  <sheetData>
    <row r="1" spans="1:5" ht="18.75" x14ac:dyDescent="0.3">
      <c r="A1" s="263" t="s">
        <v>114</v>
      </c>
      <c r="B1" s="264"/>
      <c r="C1" s="264"/>
      <c r="D1" s="264"/>
      <c r="E1" s="264"/>
    </row>
    <row r="3" spans="1:5" x14ac:dyDescent="0.25">
      <c r="A3" s="1" t="s">
        <v>115</v>
      </c>
      <c r="B3" s="150" t="s">
        <v>104</v>
      </c>
      <c r="C3" s="150" t="s">
        <v>105</v>
      </c>
    </row>
    <row r="4" spans="1:5" ht="15.75" thickBot="1" x14ac:dyDescent="0.3">
      <c r="A4" t="s">
        <v>103</v>
      </c>
      <c r="B4" s="117">
        <v>1</v>
      </c>
      <c r="C4" s="117">
        <v>1</v>
      </c>
      <c r="D4" s="150" t="s">
        <v>107</v>
      </c>
    </row>
    <row r="5" spans="1:5" ht="15.75" thickBot="1" x14ac:dyDescent="0.3">
      <c r="A5" t="s">
        <v>106</v>
      </c>
      <c r="B5" s="33">
        <v>90</v>
      </c>
      <c r="C5" s="33">
        <v>144</v>
      </c>
      <c r="D5" s="34">
        <f>B5*B4+C5*C4</f>
        <v>234</v>
      </c>
    </row>
    <row r="6" spans="1:5" x14ac:dyDescent="0.25">
      <c r="B6" s="151"/>
      <c r="C6" s="151"/>
      <c r="D6" s="152"/>
    </row>
    <row r="7" spans="1:5" x14ac:dyDescent="0.25">
      <c r="A7" s="1" t="s">
        <v>113</v>
      </c>
      <c r="D7" s="150" t="s">
        <v>109</v>
      </c>
      <c r="E7" s="150" t="s">
        <v>111</v>
      </c>
    </row>
    <row r="8" spans="1:5" x14ac:dyDescent="0.25">
      <c r="A8" t="s">
        <v>108</v>
      </c>
      <c r="B8" s="111">
        <v>1</v>
      </c>
      <c r="C8" s="111">
        <v>2</v>
      </c>
      <c r="D8" s="111">
        <f>B8*B4+C8*C4</f>
        <v>3</v>
      </c>
      <c r="E8" s="111">
        <v>32</v>
      </c>
    </row>
    <row r="9" spans="1:5" x14ac:dyDescent="0.25">
      <c r="A9" t="s">
        <v>110</v>
      </c>
      <c r="B9" s="111">
        <v>3</v>
      </c>
      <c r="C9" s="111">
        <v>4</v>
      </c>
      <c r="D9" s="111">
        <f>B9*B4+C9*C4</f>
        <v>7</v>
      </c>
      <c r="E9" s="111">
        <v>84</v>
      </c>
    </row>
    <row r="10" spans="1:5" x14ac:dyDescent="0.25">
      <c r="A10" t="s">
        <v>112</v>
      </c>
      <c r="D10" s="111">
        <f>C4</f>
        <v>1</v>
      </c>
      <c r="E10" s="111">
        <v>12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C4AF8-13BC-4992-94EA-B34D83A09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108</vt:i4>
      </vt:variant>
      <vt:variant>
        <vt:lpstr>Benoemde bereiken</vt:lpstr>
      </vt:variant>
      <vt:variant>
        <vt:i4>22</vt:i4>
      </vt:variant>
    </vt:vector>
  </HeadingPairs>
  <TitlesOfParts>
    <vt:vector size="130" baseType="lpstr">
      <vt:lpstr>TOC</vt:lpstr>
      <vt:lpstr>advertising-model</vt:lpstr>
      <vt:lpstr>afschrijvingen</vt:lpstr>
      <vt:lpstr>array-dyn</vt:lpstr>
      <vt:lpstr>array-dyn-filter</vt:lpstr>
      <vt:lpstr>array-dyn-sequence</vt:lpstr>
      <vt:lpstr>array-dyn-sort</vt:lpstr>
      <vt:lpstr>array-dyn-sortby1</vt:lpstr>
      <vt:lpstr>array-dyn-sortby2</vt:lpstr>
      <vt:lpstr>array-dyn-unique</vt:lpstr>
      <vt:lpstr>array-dyn-xlookup</vt:lpstr>
      <vt:lpstr>array-dyn-xmatch</vt:lpstr>
      <vt:lpstr>array-examples</vt:lpstr>
      <vt:lpstr>array-frequency</vt:lpstr>
      <vt:lpstr>array-xlookup-2way</vt:lpstr>
      <vt:lpstr>array-xlookup-multiplevalues</vt:lpstr>
      <vt:lpstr>ausbeer-1</vt:lpstr>
      <vt:lpstr>ausbeer-2</vt:lpstr>
      <vt:lpstr>ausbeer-3</vt:lpstr>
      <vt:lpstr>ausbeer56-73</vt:lpstr>
      <vt:lpstr>bakery</vt:lpstr>
      <vt:lpstr>bakery-2011</vt:lpstr>
      <vt:lpstr>banket</vt:lpstr>
      <vt:lpstr>Benelux</vt:lpstr>
      <vt:lpstr>Benelux-populatie</vt:lpstr>
      <vt:lpstr>Benelux-populatie-oplossing</vt:lpstr>
      <vt:lpstr>candybox-table</vt:lpstr>
      <vt:lpstr>case</vt:lpstr>
      <vt:lpstr>cashflows</vt:lpstr>
      <vt:lpstr>cell-alignment-example</vt:lpstr>
      <vt:lpstr>charttype-area</vt:lpstr>
      <vt:lpstr>charttype-bar</vt:lpstr>
      <vt:lpstr>charttype-bubble</vt:lpstr>
      <vt:lpstr>charttype-column</vt:lpstr>
      <vt:lpstr>charttype-control</vt:lpstr>
      <vt:lpstr>charttype-doughnut</vt:lpstr>
      <vt:lpstr>charttype-line</vt:lpstr>
      <vt:lpstr>charttype-line-scatter</vt:lpstr>
      <vt:lpstr>charttype-pareto</vt:lpstr>
      <vt:lpstr>charttype-pie</vt:lpstr>
      <vt:lpstr>charttype-radar</vt:lpstr>
      <vt:lpstr>charttype-scatter</vt:lpstr>
      <vt:lpstr>coffeebar-model</vt:lpstr>
      <vt:lpstr>coffeebar-scen-summary</vt:lpstr>
      <vt:lpstr>Componenten</vt:lpstr>
      <vt:lpstr>cottage-rental-fixed</vt:lpstr>
      <vt:lpstr>cottage-rental-variable</vt:lpstr>
      <vt:lpstr>data-entry-example</vt:lpstr>
      <vt:lpstr>datatable-formulas4</vt:lpstr>
      <vt:lpstr>datatable-layout</vt:lpstr>
      <vt:lpstr>Doelzoeken</vt:lpstr>
      <vt:lpstr>example-annuity</vt:lpstr>
      <vt:lpstr>example-autosum</vt:lpstr>
      <vt:lpstr>example-boolean</vt:lpstr>
      <vt:lpstr>example-datetime</vt:lpstr>
      <vt:lpstr>example-dim1</vt:lpstr>
      <vt:lpstr>example-dim2</vt:lpstr>
      <vt:lpstr>example-expenses</vt:lpstr>
      <vt:lpstr>example-hlookup</vt:lpstr>
      <vt:lpstr>example-insurance</vt:lpstr>
      <vt:lpstr>example-logical-result</vt:lpstr>
      <vt:lpstr>example-marks</vt:lpstr>
      <vt:lpstr>example-nesting</vt:lpstr>
      <vt:lpstr>example-nper</vt:lpstr>
      <vt:lpstr>example-numbers</vt:lpstr>
      <vt:lpstr>example-prices</vt:lpstr>
      <vt:lpstr>example-rounding</vt:lpstr>
      <vt:lpstr>example-sellings</vt:lpstr>
      <vt:lpstr>example-shares</vt:lpstr>
      <vt:lpstr>example-statistical</vt:lpstr>
      <vt:lpstr>example-studentlength</vt:lpstr>
      <vt:lpstr>example-text-result</vt:lpstr>
      <vt:lpstr>example-vlookup</vt:lpstr>
      <vt:lpstr>example-wages</vt:lpstr>
      <vt:lpstr>facturen-nl</vt:lpstr>
      <vt:lpstr>fcast</vt:lpstr>
      <vt:lpstr>formula-copy</vt:lpstr>
      <vt:lpstr>formula-example</vt:lpstr>
      <vt:lpstr>invoices</vt:lpstr>
      <vt:lpstr>months-names-long</vt:lpstr>
      <vt:lpstr>name-box</vt:lpstr>
      <vt:lpstr>number-format-example</vt:lpstr>
      <vt:lpstr>Personeelstabel</vt:lpstr>
      <vt:lpstr>pivot</vt:lpstr>
      <vt:lpstr>pivot-example</vt:lpstr>
      <vt:lpstr>prodtime-chart</vt:lpstr>
      <vt:lpstr>purchase-record</vt:lpstr>
      <vt:lpstr>rko-1</vt:lpstr>
      <vt:lpstr>rko-2</vt:lpstr>
      <vt:lpstr>scores1</vt:lpstr>
      <vt:lpstr>scores1-oplossing</vt:lpstr>
      <vt:lpstr>scores2</vt:lpstr>
      <vt:lpstr>scores2-oplossing</vt:lpstr>
      <vt:lpstr>scores3</vt:lpstr>
      <vt:lpstr>scores3-oplossing</vt:lpstr>
      <vt:lpstr>stadiumcoffee</vt:lpstr>
      <vt:lpstr>supermarket-filter</vt:lpstr>
      <vt:lpstr>supermarket-pivotreport</vt:lpstr>
      <vt:lpstr>tablestyle-result</vt:lpstr>
      <vt:lpstr>Trendlijn-Exponentieel</vt:lpstr>
      <vt:lpstr>Trendlijn-Lineair</vt:lpstr>
      <vt:lpstr>Trendlijn-Logaritmisch</vt:lpstr>
      <vt:lpstr>Trendlijn-Macht</vt:lpstr>
      <vt:lpstr>Trendlijn-Polynoom</vt:lpstr>
      <vt:lpstr>Trendlijn-ZWG</vt:lpstr>
      <vt:lpstr>verkopen_kw1</vt:lpstr>
      <vt:lpstr>vlak</vt:lpstr>
      <vt:lpstr>WeatherLeather</vt:lpstr>
      <vt:lpstr>Aantal_Orders</vt:lpstr>
      <vt:lpstr>Duur</vt:lpstr>
      <vt:lpstr>Huur</vt:lpstr>
      <vt:lpstr>Inkopen</vt:lpstr>
      <vt:lpstr>inleg</vt:lpstr>
      <vt:lpstr>Inventaris</vt:lpstr>
      <vt:lpstr>Jaarlijkse_Kosten</vt:lpstr>
      <vt:lpstr>Jaarlijkse_Opbrengsten</vt:lpstr>
      <vt:lpstr>Jaarlijkse_Winst</vt:lpstr>
      <vt:lpstr>jaarrente</vt:lpstr>
      <vt:lpstr>Kantoorkosten</vt:lpstr>
      <vt:lpstr>Kosten</vt:lpstr>
      <vt:lpstr>Kosten_per_Order</vt:lpstr>
      <vt:lpstr>Opbrengst_per_Order</vt:lpstr>
      <vt:lpstr>'example-expenses'!Reclame</vt:lpstr>
      <vt:lpstr>Reclame</vt:lpstr>
      <vt:lpstr>Restwaarde</vt:lpstr>
      <vt:lpstr>Salarissen</vt:lpstr>
      <vt:lpstr>Verkopen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2023-06-10T10:38:33Z</dcterms:modified>
</cp:coreProperties>
</file>