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w-10\Downloads\"/>
    </mc:Choice>
  </mc:AlternateContent>
  <bookViews>
    <workbookView xWindow="0" yWindow="0" windowWidth="20490" windowHeight="7755"/>
  </bookViews>
  <sheets>
    <sheet name="StoneSelection" sheetId="1" r:id="rId1"/>
  </sheets>
  <definedNames>
    <definedName name="_xlnm._FilterDatabase" localSheetId="0" hidden="1">StoneSelection!$A$1:$AP$1</definedName>
  </definedNames>
  <calcPr calcId="152511"/>
</workbook>
</file>

<file path=xl/calcChain.xml><?xml version="1.0" encoding="utf-8"?>
<calcChain xmlns="http://schemas.openxmlformats.org/spreadsheetml/2006/main">
  <c r="AP51" i="1" l="1"/>
  <c r="AO51" i="1"/>
  <c r="A51" i="1"/>
  <c r="AP50" i="1"/>
  <c r="AO50" i="1"/>
  <c r="A50" i="1"/>
  <c r="AP49" i="1"/>
  <c r="A49" i="1"/>
  <c r="AP48" i="1"/>
  <c r="AO48" i="1"/>
  <c r="A48" i="1"/>
  <c r="AP47" i="1"/>
  <c r="AO47" i="1"/>
  <c r="A47" i="1"/>
  <c r="A46" i="1"/>
  <c r="A45" i="1"/>
  <c r="AP44" i="1"/>
  <c r="AO44" i="1"/>
  <c r="A44" i="1"/>
  <c r="A43" i="1"/>
  <c r="AP42" i="1"/>
  <c r="AO42" i="1"/>
  <c r="A42" i="1"/>
  <c r="AP41" i="1"/>
  <c r="AO41" i="1"/>
  <c r="A41" i="1"/>
  <c r="AP40" i="1"/>
  <c r="A40" i="1"/>
  <c r="AP39" i="1"/>
  <c r="AO39" i="1"/>
  <c r="A39" i="1"/>
  <c r="AP38" i="1"/>
  <c r="AO38" i="1"/>
  <c r="A38" i="1"/>
  <c r="AP37" i="1"/>
  <c r="AO37" i="1"/>
  <c r="A37" i="1"/>
  <c r="AP36" i="1"/>
  <c r="AO36" i="1"/>
  <c r="A36" i="1"/>
  <c r="AP35" i="1"/>
  <c r="AO35" i="1"/>
  <c r="A35" i="1"/>
  <c r="AP34" i="1"/>
  <c r="AO34" i="1"/>
  <c r="A34" i="1"/>
  <c r="AP33" i="1"/>
  <c r="AO33" i="1"/>
  <c r="A33" i="1"/>
  <c r="AP32" i="1"/>
  <c r="AO32" i="1"/>
  <c r="A32" i="1"/>
  <c r="A31" i="1"/>
  <c r="AP30" i="1"/>
  <c r="AO30" i="1"/>
  <c r="A30" i="1"/>
  <c r="AP29" i="1"/>
  <c r="A29" i="1"/>
  <c r="AP28" i="1"/>
  <c r="AO28" i="1"/>
  <c r="A28" i="1"/>
  <c r="AP27" i="1"/>
  <c r="AO27" i="1"/>
  <c r="A27" i="1"/>
  <c r="AP26" i="1"/>
  <c r="AO26" i="1"/>
  <c r="A26" i="1"/>
  <c r="AP25" i="1"/>
  <c r="AO25" i="1"/>
  <c r="A25" i="1"/>
  <c r="AP24" i="1"/>
  <c r="AO24" i="1"/>
  <c r="A24" i="1"/>
  <c r="AP23" i="1"/>
  <c r="AO23" i="1"/>
  <c r="A23" i="1"/>
  <c r="AP22" i="1"/>
  <c r="AO22" i="1"/>
  <c r="A22" i="1"/>
  <c r="AP21" i="1"/>
  <c r="AO21" i="1"/>
  <c r="A21" i="1"/>
  <c r="AP20" i="1"/>
  <c r="AO20" i="1"/>
  <c r="A20" i="1"/>
  <c r="AP19" i="1"/>
  <c r="AO19" i="1"/>
  <c r="A19" i="1"/>
  <c r="AP18" i="1"/>
  <c r="AO18" i="1"/>
  <c r="A18" i="1"/>
  <c r="AP17" i="1"/>
  <c r="AO17" i="1"/>
  <c r="A17" i="1"/>
  <c r="AP16" i="1"/>
  <c r="AO16" i="1"/>
  <c r="A16" i="1"/>
  <c r="AP15" i="1"/>
  <c r="AO15" i="1"/>
  <c r="A15" i="1"/>
  <c r="AP14" i="1"/>
  <c r="AO14" i="1"/>
  <c r="A14" i="1"/>
  <c r="AP13" i="1"/>
  <c r="AO13" i="1"/>
  <c r="A13" i="1"/>
  <c r="AP12" i="1"/>
  <c r="AO12" i="1"/>
  <c r="A12" i="1"/>
  <c r="AP11" i="1"/>
  <c r="AO11" i="1"/>
  <c r="A11" i="1"/>
  <c r="AP10" i="1"/>
  <c r="AO10" i="1"/>
  <c r="A10" i="1"/>
  <c r="A9" i="1"/>
  <c r="AP8" i="1"/>
  <c r="AO8" i="1"/>
  <c r="A8" i="1"/>
  <c r="A7" i="1"/>
  <c r="AP6" i="1"/>
  <c r="AO6" i="1"/>
  <c r="A6" i="1"/>
  <c r="AP5" i="1"/>
  <c r="AO5" i="1"/>
  <c r="A5" i="1"/>
  <c r="AP4" i="1"/>
  <c r="AO4" i="1"/>
  <c r="A4" i="1"/>
  <c r="AP3" i="1"/>
  <c r="AO3" i="1"/>
  <c r="A3" i="1"/>
  <c r="AP2" i="1"/>
  <c r="AO2" i="1"/>
  <c r="A2" i="1"/>
</calcChain>
</file>

<file path=xl/sharedStrings.xml><?xml version="1.0" encoding="utf-8"?>
<sst xmlns="http://schemas.openxmlformats.org/spreadsheetml/2006/main" count="1022" uniqueCount="126">
  <si>
    <t>DNA</t>
  </si>
  <si>
    <t>Location</t>
  </si>
  <si>
    <t>Status</t>
  </si>
  <si>
    <t>Stock ID</t>
  </si>
  <si>
    <t>Shape</t>
  </si>
  <si>
    <t>Pointer</t>
  </si>
  <si>
    <t>Lab</t>
  </si>
  <si>
    <t>Certi No.</t>
  </si>
  <si>
    <t>BGM</t>
  </si>
  <si>
    <t>Color</t>
  </si>
  <si>
    <t>Clarity</t>
  </si>
  <si>
    <t>Cts</t>
  </si>
  <si>
    <t>Rap Price($)</t>
  </si>
  <si>
    <t>Rap Amt($)</t>
  </si>
  <si>
    <t>Disc(%)</t>
  </si>
  <si>
    <t>Net Amt($)</t>
  </si>
  <si>
    <t>Price/Cts</t>
  </si>
  <si>
    <t>Offer Disc(%)</t>
  </si>
  <si>
    <t>Offer Valid Days</t>
  </si>
  <si>
    <t>Offer Remark</t>
  </si>
  <si>
    <t>Cut</t>
  </si>
  <si>
    <t>Polish</t>
  </si>
  <si>
    <t>Symm</t>
  </si>
  <si>
    <t>Fls</t>
  </si>
  <si>
    <t>Length</t>
  </si>
  <si>
    <t>Width</t>
  </si>
  <si>
    <t>Depth</t>
  </si>
  <si>
    <t>Depth(%)</t>
  </si>
  <si>
    <t>Table(%)</t>
  </si>
  <si>
    <t>Key To Symbol</t>
  </si>
  <si>
    <t>Table White</t>
  </si>
  <si>
    <t>Crown White</t>
  </si>
  <si>
    <t>Table Black</t>
  </si>
  <si>
    <t>Crown Black</t>
  </si>
  <si>
    <t>Cr Ang</t>
  </si>
  <si>
    <t>Cr Ht</t>
  </si>
  <si>
    <t>Pav Ang</t>
  </si>
  <si>
    <t>Pav Ht</t>
  </si>
  <si>
    <t>Girdle Type</t>
  </si>
  <si>
    <t>Laser Insc</t>
  </si>
  <si>
    <t>Image</t>
  </si>
  <si>
    <t>HD Movie</t>
  </si>
  <si>
    <t>Hong Kong</t>
  </si>
  <si>
    <t>Offer</t>
  </si>
  <si>
    <t>ROUND</t>
  </si>
  <si>
    <t>3.00-99.99</t>
  </si>
  <si>
    <t>GIA</t>
  </si>
  <si>
    <t>NO BGM</t>
  </si>
  <si>
    <t>D</t>
  </si>
  <si>
    <t>FL</t>
  </si>
  <si>
    <t>3EX</t>
  </si>
  <si>
    <t>EX</t>
  </si>
  <si>
    <t>NON</t>
  </si>
  <si>
    <t/>
  </si>
  <si>
    <t>NONE</t>
  </si>
  <si>
    <t>Faceted</t>
  </si>
  <si>
    <t>Y</t>
  </si>
  <si>
    <t>VVS1</t>
  </si>
  <si>
    <t>Pinpoint</t>
  </si>
  <si>
    <t>NN</t>
  </si>
  <si>
    <t>-</t>
  </si>
  <si>
    <t>Pinpoint, Feather</t>
  </si>
  <si>
    <t>Busy</t>
  </si>
  <si>
    <t>Cloud, Pinpoint, Feather</t>
  </si>
  <si>
    <t>T2</t>
  </si>
  <si>
    <t>VS2</t>
  </si>
  <si>
    <t>Crystal, Needle</t>
  </si>
  <si>
    <t>T1</t>
  </si>
  <si>
    <t>C1</t>
  </si>
  <si>
    <t>BT1</t>
  </si>
  <si>
    <t>E</t>
  </si>
  <si>
    <t>Feather</t>
  </si>
  <si>
    <t>Crystal, Cloud, Needle</t>
  </si>
  <si>
    <t>F</t>
  </si>
  <si>
    <t>VVS2</t>
  </si>
  <si>
    <t>MED</t>
  </si>
  <si>
    <t>Pinpoint, Cloud</t>
  </si>
  <si>
    <t>MIXTINGE</t>
  </si>
  <si>
    <t>G</t>
  </si>
  <si>
    <t>IF</t>
  </si>
  <si>
    <t>FNT</t>
  </si>
  <si>
    <t>H</t>
  </si>
  <si>
    <t>I</t>
  </si>
  <si>
    <t>F3333</t>
  </si>
  <si>
    <t>EMERALD</t>
  </si>
  <si>
    <t>Polished</t>
  </si>
  <si>
    <t>F3293</t>
  </si>
  <si>
    <t>F3292</t>
  </si>
  <si>
    <t>F3536</t>
  </si>
  <si>
    <t>F2962</t>
  </si>
  <si>
    <t>F3824</t>
  </si>
  <si>
    <t>VG</t>
  </si>
  <si>
    <t>F3549</t>
  </si>
  <si>
    <t>MARQUISE</t>
  </si>
  <si>
    <t>F3425</t>
  </si>
  <si>
    <t>F3149</t>
  </si>
  <si>
    <t>OVAL</t>
  </si>
  <si>
    <t>F3150</t>
  </si>
  <si>
    <t>F3104</t>
  </si>
  <si>
    <t>F3831</t>
  </si>
  <si>
    <t>F3510</t>
  </si>
  <si>
    <t>F3511</t>
  </si>
  <si>
    <t>F2657</t>
  </si>
  <si>
    <t>VS1</t>
  </si>
  <si>
    <t>Crystal, Pinpoint, Indented Natural, Natural</t>
  </si>
  <si>
    <t>F2058</t>
  </si>
  <si>
    <t>BC1</t>
  </si>
  <si>
    <t>F3728</t>
  </si>
  <si>
    <t>Crystal</t>
  </si>
  <si>
    <t>BT2</t>
  </si>
  <si>
    <t>F3557</t>
  </si>
  <si>
    <t>F3866</t>
  </si>
  <si>
    <t>F3740</t>
  </si>
  <si>
    <t>F3285</t>
  </si>
  <si>
    <t>F3771</t>
  </si>
  <si>
    <t>RADIANT</t>
  </si>
  <si>
    <t>FANCY</t>
  </si>
  <si>
    <t>F3531</t>
  </si>
  <si>
    <t>PEAR</t>
  </si>
  <si>
    <t>F3423</t>
  </si>
  <si>
    <t>F3424</t>
  </si>
  <si>
    <t>F2688</t>
  </si>
  <si>
    <t>F3688</t>
  </si>
  <si>
    <t>F3489</t>
  </si>
  <si>
    <t>F3507</t>
  </si>
  <si>
    <t>F2284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</si>
</sst>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name val="Calibri"/>
    </font>
    <font>
      <b/>
      <sz val="10"/>
      <name val="Calibri"/>
    </font>
    <font>
      <u/>
      <sz val="11"/>
      <color rgb="FF0000FF"/>
      <name val="Calibri"/>
    </font>
    <font>
      <u/>
      <sz val="9"/>
      <color rgb="FF0000FF"/>
      <name val="Calibri"/>
    </font>
    <font>
      <sz val="9"/>
      <name val="Calibri"/>
    </font>
    <font>
      <b/>
      <sz val="9"/>
      <name val="Calibri"/>
    </font>
    <font>
      <b/>
      <sz val="9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C6E0B4"/>
      </patternFill>
    </fill>
    <fill>
      <patternFill patternType="solid">
        <fgColor rgb="FFCCFFFF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>
      <alignment horizontal="center"/>
    </xf>
  </cellStyleXfs>
  <cellXfs count="15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wrapText="1"/>
    </xf>
    <xf numFmtId="0" fontId="0" fillId="0" borderId="0" xfId="0" applyNumberFormat="1" applyFont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Alignment="1" applyProtection="1">
      <alignment horizontal="center"/>
    </xf>
    <xf numFmtId="0" fontId="4" fillId="0" borderId="0" xfId="0" applyNumberFormat="1" applyFont="1" applyAlignment="1" applyProtection="1">
      <alignment horizontal="center"/>
    </xf>
    <xf numFmtId="0" fontId="5" fillId="0" borderId="0" xfId="0" applyNumberFormat="1" applyFont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 vertical="top" wrapText="1"/>
    </xf>
    <xf numFmtId="0" fontId="4" fillId="3" borderId="0" xfId="0" applyNumberFormat="1" applyFont="1" applyFill="1" applyAlignment="1" applyProtection="1">
      <alignment horizontal="center"/>
    </xf>
    <xf numFmtId="4" fontId="1" fillId="2" borderId="1" xfId="0" applyNumberFormat="1" applyFont="1" applyFill="1" applyBorder="1" applyAlignment="1" applyProtection="1">
      <alignment horizontal="center" vertical="top" wrapText="1"/>
    </xf>
    <xf numFmtId="4" fontId="4" fillId="0" borderId="0" xfId="0" applyNumberFormat="1" applyFont="1" applyAlignment="1" applyProtection="1">
      <alignment horizontal="center"/>
    </xf>
    <xf numFmtId="4" fontId="1" fillId="4" borderId="1" xfId="0" applyNumberFormat="1" applyFont="1" applyFill="1" applyBorder="1" applyAlignment="1" applyProtection="1">
      <alignment horizontal="center" vertical="top" wrapText="1"/>
    </xf>
    <xf numFmtId="2" fontId="1" fillId="2" borderId="1" xfId="0" applyNumberFormat="1" applyFont="1" applyFill="1" applyBorder="1" applyAlignment="1" applyProtection="1">
      <alignment horizontal="center" vertical="top" wrapText="1"/>
    </xf>
    <xf numFmtId="2" fontId="4" fillId="0" borderId="0" xfId="0" applyNumberFormat="1" applyFont="1" applyAlignment="1" applyProtection="1">
      <alignment horizontal="center"/>
    </xf>
    <xf numFmtId="4" fontId="6" fillId="4" borderId="0" xfId="0" applyNumberFormat="1" applyFont="1" applyFill="1" applyAlignment="1" applyProtection="1">
      <alignment horizontal="center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1"/>
  <sheetViews>
    <sheetView tabSelected="1" topLeftCell="I1" workbookViewId="0">
      <pane ySplit="1" topLeftCell="A2" activePane="bottomLeft" state="frozen"/>
      <selection pane="bottomLeft" activeCell="L2" sqref="L2"/>
    </sheetView>
  </sheetViews>
  <sheetFormatPr defaultColWidth="7.85546875" defaultRowHeight="15"/>
  <cols>
    <col min="1" max="1" width="9.42578125" style="2" customWidth="1"/>
    <col min="2" max="2" width="10" style="2" customWidth="1"/>
    <col min="3" max="3" width="17" style="2" customWidth="1"/>
    <col min="4" max="5" width="10" style="2" customWidth="1"/>
    <col min="6" max="7" width="8.42578125" style="2" customWidth="1"/>
    <col min="8" max="8" width="14" style="2" customWidth="1"/>
    <col min="9" max="12" width="8.42578125" style="2" customWidth="1"/>
    <col min="13" max="13" width="9.42578125" style="2" customWidth="1"/>
    <col min="14" max="14" width="11" style="2" customWidth="1"/>
    <col min="15" max="15" width="8.42578125" style="2" customWidth="1"/>
    <col min="16" max="17" width="11" style="2" customWidth="1"/>
    <col min="18" max="19" width="8.42578125" style="2" customWidth="1"/>
    <col min="20" max="20" width="18" style="2" customWidth="1"/>
    <col min="21" max="24" width="8.42578125" style="2" customWidth="1"/>
    <col min="25" max="29" width="9.42578125" style="2" customWidth="1"/>
    <col min="30" max="30" width="40" style="2" customWidth="1"/>
    <col min="31" max="34" width="9" style="2" customWidth="1"/>
    <col min="35" max="43" width="7.85546875" style="2" customWidth="1"/>
    <col min="44" max="16384" width="7.85546875" style="2"/>
  </cols>
  <sheetData>
    <row r="1" spans="1:42" s="1" customFormat="1" ht="39.950000000000003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7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9" t="s">
        <v>11</v>
      </c>
      <c r="M1" s="9" t="s">
        <v>12</v>
      </c>
      <c r="N1" s="9" t="s">
        <v>13</v>
      </c>
      <c r="O1" s="11" t="s">
        <v>14</v>
      </c>
      <c r="P1" s="11" t="s">
        <v>15</v>
      </c>
      <c r="Q1" s="9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</row>
    <row r="2" spans="1:42">
      <c r="A2" s="4" t="str">
        <f>HYPERLINK("https://4e0s0i2r4n0u1s0.com/clientvideo/viewdetail.html?StoneNo=65372"," DNA ")</f>
        <v xml:space="preserve"> DNA </v>
      </c>
      <c r="B2" s="5" t="s">
        <v>42</v>
      </c>
      <c r="C2" s="5" t="s">
        <v>43</v>
      </c>
      <c r="D2" s="5">
        <v>65372</v>
      </c>
      <c r="E2" s="5" t="s">
        <v>44</v>
      </c>
      <c r="F2" s="8" t="s">
        <v>45</v>
      </c>
      <c r="G2" s="5" t="s">
        <v>46</v>
      </c>
      <c r="H2" s="5">
        <v>2223801989</v>
      </c>
      <c r="I2" s="5" t="s">
        <v>47</v>
      </c>
      <c r="J2" s="5" t="s">
        <v>48</v>
      </c>
      <c r="K2" s="5" t="s">
        <v>49</v>
      </c>
      <c r="L2" s="10">
        <v>50</v>
      </c>
      <c r="M2" s="10">
        <v>185000</v>
      </c>
      <c r="N2" s="10">
        <v>1903650</v>
      </c>
      <c r="O2" s="14">
        <v>-47.57</v>
      </c>
      <c r="P2" s="14">
        <v>998083.69</v>
      </c>
      <c r="Q2" s="10">
        <v>96995.5</v>
      </c>
      <c r="R2" s="5">
        <v>-47.57</v>
      </c>
      <c r="S2" s="5"/>
      <c r="T2" s="5"/>
      <c r="U2" s="6" t="s">
        <v>50</v>
      </c>
      <c r="V2" s="6" t="s">
        <v>51</v>
      </c>
      <c r="W2" s="6" t="s">
        <v>51</v>
      </c>
      <c r="X2" s="13" t="s">
        <v>52</v>
      </c>
      <c r="Y2" s="13">
        <v>13.96</v>
      </c>
      <c r="Z2" s="13">
        <v>13.99</v>
      </c>
      <c r="AA2" s="13">
        <v>8.61</v>
      </c>
      <c r="AB2" s="13">
        <v>61.6</v>
      </c>
      <c r="AC2" s="5">
        <v>57</v>
      </c>
      <c r="AD2" s="5" t="s">
        <v>53</v>
      </c>
      <c r="AE2" s="5" t="s">
        <v>53</v>
      </c>
      <c r="AF2" s="5" t="s">
        <v>54</v>
      </c>
      <c r="AG2" s="5" t="s">
        <v>54</v>
      </c>
      <c r="AH2" s="13" t="s">
        <v>54</v>
      </c>
      <c r="AI2" s="13">
        <v>35.5</v>
      </c>
      <c r="AJ2" s="13">
        <v>15</v>
      </c>
      <c r="AK2" s="13">
        <v>41</v>
      </c>
      <c r="AL2" s="5">
        <v>43</v>
      </c>
      <c r="AM2" s="5" t="s">
        <v>55</v>
      </c>
      <c r="AN2" s="5" t="s">
        <v>56</v>
      </c>
      <c r="AO2" s="4" t="str">
        <f>HYPERLINK("https://4e0s0i2r4n0u1s0.com/img/2223801989/PR.jpg"," Image ")</f>
        <v xml:space="preserve"> Image </v>
      </c>
      <c r="AP2" s="4" t="str">
        <f>HYPERLINK("https://4e0s0i2r4n0u1s0.com/ViewHDImage.aspx?stoneid=406249431"," Video ")</f>
        <v xml:space="preserve"> Video </v>
      </c>
    </row>
    <row r="3" spans="1:42">
      <c r="A3" s="4" t="str">
        <f>HYPERLINK("https://4e0s0i2r4n0u1s0.com/clientvideo/viewdetail.html?StoneNo=65221"," DNA ")</f>
        <v xml:space="preserve"> DNA </v>
      </c>
      <c r="B3" s="5" t="s">
        <v>42</v>
      </c>
      <c r="C3" s="5" t="s">
        <v>43</v>
      </c>
      <c r="D3" s="5">
        <v>65221</v>
      </c>
      <c r="E3" s="5" t="s">
        <v>44</v>
      </c>
      <c r="F3" s="8" t="s">
        <v>45</v>
      </c>
      <c r="G3" s="5" t="s">
        <v>46</v>
      </c>
      <c r="H3" s="5">
        <v>2225745088</v>
      </c>
      <c r="I3" s="5" t="s">
        <v>47</v>
      </c>
      <c r="J3" s="5" t="s">
        <v>48</v>
      </c>
      <c r="K3" s="5" t="s">
        <v>49</v>
      </c>
      <c r="L3" s="10">
        <v>10.210000000000001</v>
      </c>
      <c r="M3" s="10">
        <v>185000</v>
      </c>
      <c r="N3" s="10">
        <v>1888850</v>
      </c>
      <c r="O3" s="14">
        <v>-47.35</v>
      </c>
      <c r="P3" s="14">
        <v>994479.53</v>
      </c>
      <c r="Q3" s="10">
        <v>97402.5</v>
      </c>
      <c r="R3" s="5"/>
      <c r="S3" s="5"/>
      <c r="T3" s="5"/>
      <c r="U3" s="6" t="s">
        <v>50</v>
      </c>
      <c r="V3" s="6" t="s">
        <v>51</v>
      </c>
      <c r="W3" s="6" t="s">
        <v>51</v>
      </c>
      <c r="X3" s="13" t="s">
        <v>52</v>
      </c>
      <c r="Y3" s="13">
        <v>13.87</v>
      </c>
      <c r="Z3" s="13">
        <v>13.96</v>
      </c>
      <c r="AA3" s="13">
        <v>8.6</v>
      </c>
      <c r="AB3" s="13">
        <v>61.8</v>
      </c>
      <c r="AC3" s="5">
        <v>59</v>
      </c>
      <c r="AD3" s="5" t="s">
        <v>53</v>
      </c>
      <c r="AE3" s="5" t="s">
        <v>53</v>
      </c>
      <c r="AF3" s="5" t="s">
        <v>54</v>
      </c>
      <c r="AG3" s="5" t="s">
        <v>54</v>
      </c>
      <c r="AH3" s="13" t="s">
        <v>54</v>
      </c>
      <c r="AI3" s="13">
        <v>32</v>
      </c>
      <c r="AJ3" s="13">
        <v>13</v>
      </c>
      <c r="AK3" s="13">
        <v>41.8</v>
      </c>
      <c r="AL3" s="5">
        <v>44.5</v>
      </c>
      <c r="AM3" s="5" t="s">
        <v>55</v>
      </c>
      <c r="AN3" s="5" t="s">
        <v>56</v>
      </c>
      <c r="AO3" s="4" t="str">
        <f>HYPERLINK("https://4e0s0i2r4n0u1s0.com/img/2225745088/PR.jpg"," Image ")</f>
        <v xml:space="preserve"> Image </v>
      </c>
      <c r="AP3" s="4" t="str">
        <f>HYPERLINK("https://4e0s0i2r4n0u1s0.com/ViewHDImage.aspx?stoneid=376507955"," Video ")</f>
        <v xml:space="preserve"> Video </v>
      </c>
    </row>
    <row r="4" spans="1:42">
      <c r="A4" s="4" t="str">
        <f>HYPERLINK("https://4e0s0i2r4n0u1s0.com/clientvideo/viewdetail.html?StoneNo=65306"," DNA ")</f>
        <v xml:space="preserve"> DNA </v>
      </c>
      <c r="B4" s="5" t="s">
        <v>42</v>
      </c>
      <c r="C4" s="5" t="s">
        <v>43</v>
      </c>
      <c r="D4" s="5">
        <v>65306</v>
      </c>
      <c r="E4" s="5" t="s">
        <v>44</v>
      </c>
      <c r="F4" s="8" t="s">
        <v>45</v>
      </c>
      <c r="G4" s="5" t="s">
        <v>46</v>
      </c>
      <c r="H4" s="5">
        <v>6223790146</v>
      </c>
      <c r="I4" s="5" t="s">
        <v>47</v>
      </c>
      <c r="J4" s="5" t="s">
        <v>48</v>
      </c>
      <c r="K4" s="5" t="s">
        <v>49</v>
      </c>
      <c r="L4" s="10">
        <v>10.199999999999999</v>
      </c>
      <c r="M4" s="10">
        <v>185000</v>
      </c>
      <c r="N4" s="10">
        <v>1887000</v>
      </c>
      <c r="O4" s="14">
        <v>-46.05</v>
      </c>
      <c r="P4" s="14">
        <v>1018036.5</v>
      </c>
      <c r="Q4" s="10">
        <v>99807.5</v>
      </c>
      <c r="R4" s="5">
        <v>-46.05</v>
      </c>
      <c r="S4" s="5"/>
      <c r="T4" s="5"/>
      <c r="U4" s="6" t="s">
        <v>50</v>
      </c>
      <c r="V4" s="6" t="s">
        <v>51</v>
      </c>
      <c r="W4" s="6" t="s">
        <v>51</v>
      </c>
      <c r="X4" s="13" t="s">
        <v>52</v>
      </c>
      <c r="Y4" s="13">
        <v>13.79</v>
      </c>
      <c r="Z4" s="13">
        <v>13.87</v>
      </c>
      <c r="AA4" s="13">
        <v>8.56</v>
      </c>
      <c r="AB4" s="13">
        <v>61.9</v>
      </c>
      <c r="AC4" s="5">
        <v>57</v>
      </c>
      <c r="AD4" s="5" t="s">
        <v>53</v>
      </c>
      <c r="AE4" s="5" t="s">
        <v>53</v>
      </c>
      <c r="AF4" s="5" t="s">
        <v>54</v>
      </c>
      <c r="AG4" s="5" t="s">
        <v>54</v>
      </c>
      <c r="AH4" s="13" t="s">
        <v>54</v>
      </c>
      <c r="AI4" s="13">
        <v>34.5</v>
      </c>
      <c r="AJ4" s="13">
        <v>14.5</v>
      </c>
      <c r="AK4" s="13">
        <v>40.799999999999997</v>
      </c>
      <c r="AL4" s="5">
        <v>43</v>
      </c>
      <c r="AM4" s="5" t="s">
        <v>55</v>
      </c>
      <c r="AN4" s="5" t="s">
        <v>56</v>
      </c>
      <c r="AO4" s="4" t="str">
        <f>HYPERLINK("https://4e0s0i2r4n0u1s0.com/img/6223790146/PR.jpg"," Image ")</f>
        <v xml:space="preserve"> Image </v>
      </c>
      <c r="AP4" s="4" t="str">
        <f>HYPERLINK("https://4e0s0i2r4n0u1s0.com/ViewHDImage.aspx?stoneid=397603482"," Video ")</f>
        <v xml:space="preserve"> Video </v>
      </c>
    </row>
    <row r="5" spans="1:42">
      <c r="A5" s="4" t="str">
        <f>HYPERLINK("https://4e0s0i2r4n0u1s0.com/clientvideo/viewdetail.html?StoneNo=63754"," DNA ")</f>
        <v xml:space="preserve"> DNA </v>
      </c>
      <c r="B5" s="5" t="s">
        <v>42</v>
      </c>
      <c r="C5" s="5" t="s">
        <v>43</v>
      </c>
      <c r="D5" s="5">
        <v>63754</v>
      </c>
      <c r="E5" s="5" t="s">
        <v>44</v>
      </c>
      <c r="F5" s="8" t="s">
        <v>45</v>
      </c>
      <c r="G5" s="5" t="s">
        <v>46</v>
      </c>
      <c r="H5" s="5">
        <v>5222289951</v>
      </c>
      <c r="I5" s="5" t="s">
        <v>47</v>
      </c>
      <c r="J5" s="5" t="s">
        <v>48</v>
      </c>
      <c r="K5" s="5" t="s">
        <v>57</v>
      </c>
      <c r="L5" s="10">
        <v>5.29</v>
      </c>
      <c r="M5" s="10">
        <v>97000</v>
      </c>
      <c r="N5" s="10">
        <v>513130</v>
      </c>
      <c r="O5" s="14">
        <v>-28.88</v>
      </c>
      <c r="P5" s="14">
        <v>364938.06</v>
      </c>
      <c r="Q5" s="10">
        <v>68986.399999999994</v>
      </c>
      <c r="R5" s="5"/>
      <c r="S5" s="5"/>
      <c r="T5" s="5"/>
      <c r="U5" s="6" t="s">
        <v>50</v>
      </c>
      <c r="V5" s="6" t="s">
        <v>51</v>
      </c>
      <c r="W5" s="6" t="s">
        <v>51</v>
      </c>
      <c r="X5" s="13" t="s">
        <v>52</v>
      </c>
      <c r="Y5" s="13">
        <v>11.22</v>
      </c>
      <c r="Z5" s="13">
        <v>11.26</v>
      </c>
      <c r="AA5" s="13">
        <v>6.93</v>
      </c>
      <c r="AB5" s="13">
        <v>61.6</v>
      </c>
      <c r="AC5" s="5">
        <v>58</v>
      </c>
      <c r="AD5" s="5" t="s">
        <v>58</v>
      </c>
      <c r="AE5" s="5" t="s">
        <v>59</v>
      </c>
      <c r="AF5" s="5" t="s">
        <v>54</v>
      </c>
      <c r="AG5" s="5" t="s">
        <v>59</v>
      </c>
      <c r="AH5" s="13" t="s">
        <v>60</v>
      </c>
      <c r="AI5" s="13">
        <v>33</v>
      </c>
      <c r="AJ5" s="13">
        <v>13.5</v>
      </c>
      <c r="AK5" s="13">
        <v>41.8</v>
      </c>
      <c r="AL5" s="5">
        <v>44.5</v>
      </c>
      <c r="AM5" s="5" t="s">
        <v>55</v>
      </c>
      <c r="AN5" s="5" t="s">
        <v>56</v>
      </c>
      <c r="AO5" s="4" t="str">
        <f>HYPERLINK("https://4e0s0i2r4n0u1s0.com/img/5222289951/PR.jpg"," Image ")</f>
        <v xml:space="preserve"> Image </v>
      </c>
      <c r="AP5" s="4" t="str">
        <f>HYPERLINK("https://4e0s0i2r4n0u1s0.com/ViewHDImage.aspx?stoneid=277934736"," Video ")</f>
        <v xml:space="preserve"> Video </v>
      </c>
    </row>
    <row r="6" spans="1:42">
      <c r="A6" s="4" t="str">
        <f>HYPERLINK("https://4e0s0i2r4n0u1s0.com/clientvideo/viewdetail.html?StoneNo=62939"," DNA ")</f>
        <v xml:space="preserve"> DNA </v>
      </c>
      <c r="B6" s="5" t="s">
        <v>42</v>
      </c>
      <c r="C6" s="5" t="s">
        <v>43</v>
      </c>
      <c r="D6" s="5">
        <v>62939</v>
      </c>
      <c r="E6" s="5" t="s">
        <v>44</v>
      </c>
      <c r="F6" s="8" t="s">
        <v>45</v>
      </c>
      <c r="G6" s="5" t="s">
        <v>46</v>
      </c>
      <c r="H6" s="5">
        <v>5222150530</v>
      </c>
      <c r="I6" s="5" t="s">
        <v>47</v>
      </c>
      <c r="J6" s="5" t="s">
        <v>48</v>
      </c>
      <c r="K6" s="5" t="s">
        <v>57</v>
      </c>
      <c r="L6" s="10">
        <v>6.18</v>
      </c>
      <c r="M6" s="10">
        <v>97000</v>
      </c>
      <c r="N6" s="10">
        <v>599460</v>
      </c>
      <c r="O6" s="14">
        <v>-27.88</v>
      </c>
      <c r="P6" s="14">
        <v>432330.55</v>
      </c>
      <c r="Q6" s="10">
        <v>69956.399999999994</v>
      </c>
      <c r="R6" s="5"/>
      <c r="S6" s="5"/>
      <c r="T6" s="5"/>
      <c r="U6" s="6" t="s">
        <v>50</v>
      </c>
      <c r="V6" s="6" t="s">
        <v>51</v>
      </c>
      <c r="W6" s="6" t="s">
        <v>51</v>
      </c>
      <c r="X6" s="13" t="s">
        <v>52</v>
      </c>
      <c r="Y6" s="13">
        <v>11.7</v>
      </c>
      <c r="Z6" s="13">
        <v>11.81</v>
      </c>
      <c r="AA6" s="13">
        <v>7.33</v>
      </c>
      <c r="AB6" s="13">
        <v>62.3</v>
      </c>
      <c r="AC6" s="5">
        <v>58</v>
      </c>
      <c r="AD6" s="5" t="s">
        <v>58</v>
      </c>
      <c r="AE6" s="5" t="s">
        <v>53</v>
      </c>
      <c r="AF6" s="5" t="s">
        <v>54</v>
      </c>
      <c r="AG6" s="5" t="s">
        <v>54</v>
      </c>
      <c r="AH6" s="13" t="s">
        <v>54</v>
      </c>
      <c r="AI6" s="13">
        <v>33.5</v>
      </c>
      <c r="AJ6" s="13">
        <v>14</v>
      </c>
      <c r="AK6" s="13">
        <v>41.8</v>
      </c>
      <c r="AL6" s="5">
        <v>44.5</v>
      </c>
      <c r="AM6" s="5" t="s">
        <v>55</v>
      </c>
      <c r="AN6" s="5" t="s">
        <v>56</v>
      </c>
      <c r="AO6" s="4" t="str">
        <f>HYPERLINK("https://4e0s0i2r4n0u1s0.com/img/5222150530/PR.jpg"," Image ")</f>
        <v xml:space="preserve"> Image </v>
      </c>
      <c r="AP6" s="4" t="str">
        <f>HYPERLINK("https://4e0s0i2r4n0u1s0.com/ViewHDImage.aspx?stoneid=252563240"," Video ")</f>
        <v xml:space="preserve"> Video </v>
      </c>
    </row>
    <row r="7" spans="1:42">
      <c r="A7" s="4" t="str">
        <f>HYPERLINK("https://4e0s0i2r4n0u1s0.com/clientvideo/viewdetail.html?StoneNo=62097"," DNA ")</f>
        <v xml:space="preserve"> DNA </v>
      </c>
      <c r="B7" s="5" t="s">
        <v>42</v>
      </c>
      <c r="C7" s="5" t="s">
        <v>43</v>
      </c>
      <c r="D7" s="5">
        <v>62097</v>
      </c>
      <c r="E7" s="5" t="s">
        <v>44</v>
      </c>
      <c r="F7" s="8" t="s">
        <v>45</v>
      </c>
      <c r="G7" s="5" t="s">
        <v>46</v>
      </c>
      <c r="H7" s="5">
        <v>2195966147</v>
      </c>
      <c r="I7" s="5" t="s">
        <v>47</v>
      </c>
      <c r="J7" s="5" t="s">
        <v>48</v>
      </c>
      <c r="K7" s="5" t="s">
        <v>57</v>
      </c>
      <c r="L7" s="10">
        <v>7.52</v>
      </c>
      <c r="M7" s="10">
        <v>97000</v>
      </c>
      <c r="N7" s="10">
        <v>729440</v>
      </c>
      <c r="O7" s="14">
        <v>-22.24</v>
      </c>
      <c r="P7" s="14">
        <v>567212.54</v>
      </c>
      <c r="Q7" s="10">
        <v>75427.199999999997</v>
      </c>
      <c r="R7" s="5"/>
      <c r="S7" s="5"/>
      <c r="T7" s="5"/>
      <c r="U7" s="6" t="s">
        <v>50</v>
      </c>
      <c r="V7" s="6" t="s">
        <v>51</v>
      </c>
      <c r="W7" s="6" t="s">
        <v>51</v>
      </c>
      <c r="X7" s="13" t="s">
        <v>52</v>
      </c>
      <c r="Y7" s="13">
        <v>12.47</v>
      </c>
      <c r="Z7" s="13">
        <v>12.56</v>
      </c>
      <c r="AA7" s="13">
        <v>7.78</v>
      </c>
      <c r="AB7" s="13">
        <v>62.2</v>
      </c>
      <c r="AC7" s="5">
        <v>57</v>
      </c>
      <c r="AD7" s="5" t="s">
        <v>61</v>
      </c>
      <c r="AE7" s="5" t="s">
        <v>53</v>
      </c>
      <c r="AF7" s="5" t="s">
        <v>54</v>
      </c>
      <c r="AG7" s="5" t="s">
        <v>54</v>
      </c>
      <c r="AH7" s="13" t="s">
        <v>54</v>
      </c>
      <c r="AI7" s="13">
        <v>36</v>
      </c>
      <c r="AJ7" s="13">
        <v>16</v>
      </c>
      <c r="AK7" s="13">
        <v>40.799999999999997</v>
      </c>
      <c r="AL7" s="5">
        <v>43</v>
      </c>
      <c r="AM7" s="5" t="s">
        <v>55</v>
      </c>
      <c r="AN7" s="5" t="s">
        <v>56</v>
      </c>
      <c r="AO7" s="5"/>
      <c r="AP7" s="5"/>
    </row>
    <row r="8" spans="1:42">
      <c r="A8" s="4" t="str">
        <f>HYPERLINK("https://4e0s0i2r4n0u1s0.com/clientvideo/viewdetail.html?StoneNo=65257"," DNA ")</f>
        <v xml:space="preserve"> DNA </v>
      </c>
      <c r="B8" s="5" t="s">
        <v>42</v>
      </c>
      <c r="C8" s="5" t="s">
        <v>62</v>
      </c>
      <c r="D8" s="5">
        <v>65257</v>
      </c>
      <c r="E8" s="5" t="s">
        <v>44</v>
      </c>
      <c r="F8" s="8" t="s">
        <v>45</v>
      </c>
      <c r="G8" s="5" t="s">
        <v>46</v>
      </c>
      <c r="H8" s="5">
        <v>5222700243</v>
      </c>
      <c r="I8" s="5" t="s">
        <v>47</v>
      </c>
      <c r="J8" s="5" t="s">
        <v>48</v>
      </c>
      <c r="K8" s="5" t="s">
        <v>57</v>
      </c>
      <c r="L8" s="10">
        <v>8.99</v>
      </c>
      <c r="M8" s="10">
        <v>97000</v>
      </c>
      <c r="N8" s="10">
        <v>872030</v>
      </c>
      <c r="O8" s="14">
        <v>-13.02</v>
      </c>
      <c r="P8" s="14">
        <v>758491.69</v>
      </c>
      <c r="Q8" s="10">
        <v>84370.6</v>
      </c>
      <c r="R8" s="5"/>
      <c r="S8" s="5"/>
      <c r="T8" s="5"/>
      <c r="U8" s="6" t="s">
        <v>50</v>
      </c>
      <c r="V8" s="6" t="s">
        <v>51</v>
      </c>
      <c r="W8" s="6" t="s">
        <v>51</v>
      </c>
      <c r="X8" s="13" t="s">
        <v>52</v>
      </c>
      <c r="Y8" s="13">
        <v>13.14</v>
      </c>
      <c r="Z8" s="13">
        <v>13.23</v>
      </c>
      <c r="AA8" s="13">
        <v>8.2799999999999994</v>
      </c>
      <c r="AB8" s="13">
        <v>62.8</v>
      </c>
      <c r="AC8" s="5">
        <v>58</v>
      </c>
      <c r="AD8" s="5" t="s">
        <v>63</v>
      </c>
      <c r="AE8" s="5" t="s">
        <v>53</v>
      </c>
      <c r="AF8" s="5" t="s">
        <v>54</v>
      </c>
      <c r="AG8" s="5" t="s">
        <v>54</v>
      </c>
      <c r="AH8" s="13" t="s">
        <v>54</v>
      </c>
      <c r="AI8" s="13">
        <v>36</v>
      </c>
      <c r="AJ8" s="13">
        <v>15.5</v>
      </c>
      <c r="AK8" s="13">
        <v>40.799999999999997</v>
      </c>
      <c r="AL8" s="5">
        <v>43</v>
      </c>
      <c r="AM8" s="5" t="s">
        <v>55</v>
      </c>
      <c r="AN8" s="5" t="s">
        <v>56</v>
      </c>
      <c r="AO8" s="4" t="str">
        <f>HYPERLINK("https://4e0s0i2r4n0u1s0.com/img/5222700243/PR.jpg"," Image ")</f>
        <v xml:space="preserve"> Image </v>
      </c>
      <c r="AP8" s="4" t="str">
        <f>HYPERLINK("https://4e0s0i2r4n0u1s0.com/ViewHDImage.aspx?stoneid=387542435"," Video ")</f>
        <v xml:space="preserve"> Video </v>
      </c>
    </row>
    <row r="9" spans="1:42">
      <c r="A9" s="4" t="str">
        <f>HYPERLINK("https://4e0s0i2r4n0u1s0.com/clientvideo/viewdetail.html?StoneNo=64489"," DNA ")</f>
        <v xml:space="preserve"> DNA </v>
      </c>
      <c r="B9" s="5" t="s">
        <v>42</v>
      </c>
      <c r="C9" s="5" t="s">
        <v>43</v>
      </c>
      <c r="D9" s="5">
        <v>64489</v>
      </c>
      <c r="E9" s="5" t="s">
        <v>44</v>
      </c>
      <c r="F9" s="8" t="s">
        <v>45</v>
      </c>
      <c r="G9" s="5" t="s">
        <v>46</v>
      </c>
      <c r="H9" s="5">
        <v>6227536253</v>
      </c>
      <c r="I9" s="5" t="s">
        <v>47</v>
      </c>
      <c r="J9" s="5" t="s">
        <v>48</v>
      </c>
      <c r="K9" s="5" t="s">
        <v>57</v>
      </c>
      <c r="L9" s="10">
        <v>8.8800000000000008</v>
      </c>
      <c r="M9" s="10">
        <v>97000</v>
      </c>
      <c r="N9" s="10">
        <v>861360</v>
      </c>
      <c r="O9" s="14">
        <v>-11</v>
      </c>
      <c r="P9" s="14">
        <v>766610.4</v>
      </c>
      <c r="Q9" s="10">
        <v>86330</v>
      </c>
      <c r="R9" s="5"/>
      <c r="S9" s="5"/>
      <c r="T9" s="5"/>
      <c r="U9" s="6" t="s">
        <v>50</v>
      </c>
      <c r="V9" s="6" t="s">
        <v>51</v>
      </c>
      <c r="W9" s="6" t="s">
        <v>51</v>
      </c>
      <c r="X9" s="13" t="s">
        <v>52</v>
      </c>
      <c r="Y9" s="13">
        <v>13.45</v>
      </c>
      <c r="Z9" s="13">
        <v>13.47</v>
      </c>
      <c r="AA9" s="13">
        <v>8.1300000000000008</v>
      </c>
      <c r="AB9" s="13">
        <v>60.4</v>
      </c>
      <c r="AC9" s="5">
        <v>58</v>
      </c>
      <c r="AD9" s="5" t="s">
        <v>53</v>
      </c>
      <c r="AE9" s="5" t="s">
        <v>53</v>
      </c>
      <c r="AF9" s="5" t="s">
        <v>54</v>
      </c>
      <c r="AG9" s="5" t="s">
        <v>54</v>
      </c>
      <c r="AH9" s="13" t="s">
        <v>54</v>
      </c>
      <c r="AI9" s="13">
        <v>33.5</v>
      </c>
      <c r="AJ9" s="13">
        <v>14</v>
      </c>
      <c r="AK9" s="13">
        <v>41</v>
      </c>
      <c r="AL9" s="5">
        <v>43.5</v>
      </c>
      <c r="AM9" s="5" t="s">
        <v>55</v>
      </c>
      <c r="AN9" s="5" t="s">
        <v>56</v>
      </c>
      <c r="AO9" s="5"/>
      <c r="AP9" s="5"/>
    </row>
    <row r="10" spans="1:42">
      <c r="A10" s="4" t="str">
        <f>HYPERLINK("https://4e0s0i2r4n0u1s0.com/clientvideo/viewdetail.html?StoneNo=62137"," DNA ")</f>
        <v xml:space="preserve"> DNA </v>
      </c>
      <c r="B10" s="5" t="s">
        <v>42</v>
      </c>
      <c r="C10" s="5" t="s">
        <v>43</v>
      </c>
      <c r="D10" s="5">
        <v>62137</v>
      </c>
      <c r="E10" s="5" t="s">
        <v>44</v>
      </c>
      <c r="F10" s="8" t="s">
        <v>45</v>
      </c>
      <c r="G10" s="5" t="s">
        <v>46</v>
      </c>
      <c r="H10" s="5">
        <v>6412935377</v>
      </c>
      <c r="I10" s="5" t="s">
        <v>47</v>
      </c>
      <c r="J10" s="5" t="s">
        <v>48</v>
      </c>
      <c r="K10" s="5" t="s">
        <v>57</v>
      </c>
      <c r="L10" s="10">
        <v>3.87</v>
      </c>
      <c r="M10" s="10">
        <v>56000</v>
      </c>
      <c r="N10" s="10">
        <v>216720</v>
      </c>
      <c r="O10" s="14">
        <v>-6.85</v>
      </c>
      <c r="P10" s="14">
        <v>201874.68</v>
      </c>
      <c r="Q10" s="10">
        <v>52164</v>
      </c>
      <c r="R10" s="5"/>
      <c r="S10" s="5"/>
      <c r="T10" s="5"/>
      <c r="U10" s="6" t="s">
        <v>50</v>
      </c>
      <c r="V10" s="6" t="s">
        <v>51</v>
      </c>
      <c r="W10" s="6" t="s">
        <v>51</v>
      </c>
      <c r="X10" s="13" t="s">
        <v>52</v>
      </c>
      <c r="Y10" s="13">
        <v>10.06</v>
      </c>
      <c r="Z10" s="13">
        <v>10.11</v>
      </c>
      <c r="AA10" s="13">
        <v>6.22</v>
      </c>
      <c r="AB10" s="13">
        <v>61.7</v>
      </c>
      <c r="AC10" s="5">
        <v>58</v>
      </c>
      <c r="AD10" s="5" t="s">
        <v>58</v>
      </c>
      <c r="AE10" s="5" t="s">
        <v>64</v>
      </c>
      <c r="AF10" s="5" t="s">
        <v>54</v>
      </c>
      <c r="AG10" s="5" t="s">
        <v>59</v>
      </c>
      <c r="AH10" s="13" t="s">
        <v>59</v>
      </c>
      <c r="AI10" s="13">
        <v>35</v>
      </c>
      <c r="AJ10" s="13">
        <v>14.5</v>
      </c>
      <c r="AK10" s="13">
        <v>41.4</v>
      </c>
      <c r="AL10" s="5">
        <v>44</v>
      </c>
      <c r="AM10" s="5" t="s">
        <v>55</v>
      </c>
      <c r="AN10" s="5" t="s">
        <v>56</v>
      </c>
      <c r="AO10" s="4" t="str">
        <f>HYPERLINK("https://4e0s0i2r4n0u1s0.com/img/6412935377/PR.jpg"," Image ")</f>
        <v xml:space="preserve"> Image </v>
      </c>
      <c r="AP10" s="4" t="str">
        <f>HYPERLINK("https://4e0s0i2r4n0u1s0.com/ViewHDImage.aspx?stoneid=236977520"," Video ")</f>
        <v xml:space="preserve"> Video </v>
      </c>
    </row>
    <row r="11" spans="1:42">
      <c r="A11" s="4" t="str">
        <f>HYPERLINK("https://4e0s0i2r4n0u1s0.com/clientvideo/viewdetail.html?StoneNo=64527"," DNA ")</f>
        <v xml:space="preserve"> DNA </v>
      </c>
      <c r="B11" s="5" t="s">
        <v>42</v>
      </c>
      <c r="C11" s="5" t="s">
        <v>43</v>
      </c>
      <c r="D11" s="5">
        <v>64527</v>
      </c>
      <c r="E11" s="5" t="s">
        <v>44</v>
      </c>
      <c r="F11" s="8" t="s">
        <v>45</v>
      </c>
      <c r="G11" s="5" t="s">
        <v>46</v>
      </c>
      <c r="H11" s="5">
        <v>5221561368</v>
      </c>
      <c r="I11" s="5" t="s">
        <v>47</v>
      </c>
      <c r="J11" s="5" t="s">
        <v>48</v>
      </c>
      <c r="K11" s="5" t="s">
        <v>65</v>
      </c>
      <c r="L11" s="10">
        <v>10.210000000000001</v>
      </c>
      <c r="M11" s="10">
        <v>96500</v>
      </c>
      <c r="N11" s="10">
        <v>985265</v>
      </c>
      <c r="O11" s="14">
        <v>-37</v>
      </c>
      <c r="P11" s="14">
        <v>620716.94999999995</v>
      </c>
      <c r="Q11" s="10">
        <v>60795</v>
      </c>
      <c r="R11" s="5"/>
      <c r="S11" s="5"/>
      <c r="T11" s="5"/>
      <c r="U11" s="6" t="s">
        <v>50</v>
      </c>
      <c r="V11" s="6" t="s">
        <v>51</v>
      </c>
      <c r="W11" s="6" t="s">
        <v>51</v>
      </c>
      <c r="X11" s="13" t="s">
        <v>52</v>
      </c>
      <c r="Y11" s="13">
        <v>13.75</v>
      </c>
      <c r="Z11" s="13">
        <v>13.85</v>
      </c>
      <c r="AA11" s="13">
        <v>8.66</v>
      </c>
      <c r="AB11" s="13">
        <v>62.8</v>
      </c>
      <c r="AC11" s="5">
        <v>57</v>
      </c>
      <c r="AD11" s="5" t="s">
        <v>66</v>
      </c>
      <c r="AE11" s="5" t="s">
        <v>67</v>
      </c>
      <c r="AF11" s="5" t="s">
        <v>68</v>
      </c>
      <c r="AG11" s="5" t="s">
        <v>69</v>
      </c>
      <c r="AH11" s="13" t="s">
        <v>59</v>
      </c>
      <c r="AI11" s="13">
        <v>34.5</v>
      </c>
      <c r="AJ11" s="13">
        <v>15</v>
      </c>
      <c r="AK11" s="13">
        <v>41.2</v>
      </c>
      <c r="AL11" s="5">
        <v>44</v>
      </c>
      <c r="AM11" s="5" t="s">
        <v>55</v>
      </c>
      <c r="AN11" s="5" t="s">
        <v>56</v>
      </c>
      <c r="AO11" s="4" t="str">
        <f>HYPERLINK("https://4e0s0i2r4n0u1s0.com/img/5221561368/PR.jpg"," Image ")</f>
        <v xml:space="preserve"> Image </v>
      </c>
      <c r="AP11" s="4" t="str">
        <f>HYPERLINK("https://4e0s0i2r4n0u1s0.com/ViewHDImage.aspx?stoneid=329608545"," Video ")</f>
        <v xml:space="preserve"> Video </v>
      </c>
    </row>
    <row r="12" spans="1:42">
      <c r="A12" s="4" t="str">
        <f>HYPERLINK("https://4e0s0i2r4n0u1s0.com/clientvideo/viewdetail.html?StoneNo=65382"," DNA ")</f>
        <v xml:space="preserve"> DNA </v>
      </c>
      <c r="B12" s="5" t="s">
        <v>42</v>
      </c>
      <c r="C12" s="5" t="s">
        <v>43</v>
      </c>
      <c r="D12" s="5">
        <v>65382</v>
      </c>
      <c r="E12" s="5" t="s">
        <v>44</v>
      </c>
      <c r="F12" s="8" t="s">
        <v>45</v>
      </c>
      <c r="G12" s="5" t="s">
        <v>46</v>
      </c>
      <c r="H12" s="5">
        <v>6452434869</v>
      </c>
      <c r="I12" s="5" t="s">
        <v>47</v>
      </c>
      <c r="J12" s="5" t="s">
        <v>70</v>
      </c>
      <c r="K12" s="5" t="s">
        <v>49</v>
      </c>
      <c r="L12" s="10">
        <v>3.32</v>
      </c>
      <c r="M12" s="10">
        <v>56500</v>
      </c>
      <c r="N12" s="10">
        <v>187580</v>
      </c>
      <c r="O12" s="14">
        <v>-38.53</v>
      </c>
      <c r="P12" s="14">
        <v>115305.43</v>
      </c>
      <c r="Q12" s="10">
        <v>34730.550000000003</v>
      </c>
      <c r="R12" s="5"/>
      <c r="S12" s="5"/>
      <c r="T12" s="5"/>
      <c r="U12" s="6" t="s">
        <v>50</v>
      </c>
      <c r="V12" s="6" t="s">
        <v>51</v>
      </c>
      <c r="W12" s="6" t="s">
        <v>51</v>
      </c>
      <c r="X12" s="13" t="s">
        <v>52</v>
      </c>
      <c r="Y12" s="13">
        <v>9.48</v>
      </c>
      <c r="Z12" s="13">
        <v>9.5500000000000007</v>
      </c>
      <c r="AA12" s="13">
        <v>5.92</v>
      </c>
      <c r="AB12" s="13">
        <v>62.2</v>
      </c>
      <c r="AC12" s="5">
        <v>60</v>
      </c>
      <c r="AD12" s="5" t="s">
        <v>53</v>
      </c>
      <c r="AE12" s="5" t="s">
        <v>59</v>
      </c>
      <c r="AF12" s="5" t="s">
        <v>60</v>
      </c>
      <c r="AG12" s="5" t="s">
        <v>59</v>
      </c>
      <c r="AH12" s="13" t="s">
        <v>60</v>
      </c>
      <c r="AI12" s="13">
        <v>33.5</v>
      </c>
      <c r="AJ12" s="13">
        <v>13.5</v>
      </c>
      <c r="AK12" s="13">
        <v>41.8</v>
      </c>
      <c r="AL12" s="5">
        <v>44.5</v>
      </c>
      <c r="AM12" s="5" t="s">
        <v>55</v>
      </c>
      <c r="AN12" s="5" t="s">
        <v>56</v>
      </c>
      <c r="AO12" s="4" t="str">
        <f>HYPERLINK("https://4e0s0i2r4n0u1s0.com/img/6452434869/PR.jpg"," Image ")</f>
        <v xml:space="preserve"> Image </v>
      </c>
      <c r="AP12" s="4" t="str">
        <f>HYPERLINK("https://4e0s0i2r4n0u1s0.com/ViewHDImage.aspx?stoneid=407496934"," Video ")</f>
        <v xml:space="preserve"> Video </v>
      </c>
    </row>
    <row r="13" spans="1:42">
      <c r="A13" s="4" t="str">
        <f>HYPERLINK("https://4e0s0i2r4n0u1s0.com/clientvideo/viewdetail.html?StoneNo=65286"," DNA ")</f>
        <v xml:space="preserve"> DNA </v>
      </c>
      <c r="B13" s="5" t="s">
        <v>42</v>
      </c>
      <c r="C13" s="5" t="s">
        <v>43</v>
      </c>
      <c r="D13" s="5">
        <v>65286</v>
      </c>
      <c r="E13" s="5" t="s">
        <v>44</v>
      </c>
      <c r="F13" s="8" t="s">
        <v>45</v>
      </c>
      <c r="G13" s="5" t="s">
        <v>46</v>
      </c>
      <c r="H13" s="5">
        <v>2215355251</v>
      </c>
      <c r="I13" s="5" t="s">
        <v>47</v>
      </c>
      <c r="J13" s="5" t="s">
        <v>70</v>
      </c>
      <c r="K13" s="5" t="s">
        <v>57</v>
      </c>
      <c r="L13" s="10">
        <v>10.4</v>
      </c>
      <c r="M13" s="10">
        <v>127500</v>
      </c>
      <c r="N13" s="10">
        <v>1326000</v>
      </c>
      <c r="O13" s="14">
        <v>-49.38</v>
      </c>
      <c r="P13" s="14">
        <v>671221.2</v>
      </c>
      <c r="Q13" s="10">
        <v>64540.5</v>
      </c>
      <c r="R13" s="5"/>
      <c r="S13" s="5"/>
      <c r="T13" s="5"/>
      <c r="U13" s="6" t="s">
        <v>50</v>
      </c>
      <c r="V13" s="6" t="s">
        <v>51</v>
      </c>
      <c r="W13" s="6" t="s">
        <v>51</v>
      </c>
      <c r="X13" s="13" t="s">
        <v>52</v>
      </c>
      <c r="Y13" s="13">
        <v>14.12</v>
      </c>
      <c r="Z13" s="13">
        <v>14.16</v>
      </c>
      <c r="AA13" s="13">
        <v>8.49</v>
      </c>
      <c r="AB13" s="13">
        <v>60</v>
      </c>
      <c r="AC13" s="5">
        <v>59</v>
      </c>
      <c r="AD13" s="5" t="s">
        <v>71</v>
      </c>
      <c r="AE13" s="5" t="s">
        <v>53</v>
      </c>
      <c r="AF13" s="5" t="s">
        <v>54</v>
      </c>
      <c r="AG13" s="5" t="s">
        <v>54</v>
      </c>
      <c r="AH13" s="13" t="s">
        <v>54</v>
      </c>
      <c r="AI13" s="13">
        <v>34</v>
      </c>
      <c r="AJ13" s="13">
        <v>14</v>
      </c>
      <c r="AK13" s="13">
        <v>40.6</v>
      </c>
      <c r="AL13" s="5">
        <v>42.5</v>
      </c>
      <c r="AM13" s="5" t="s">
        <v>55</v>
      </c>
      <c r="AN13" s="5" t="s">
        <v>56</v>
      </c>
      <c r="AO13" s="4" t="str">
        <f>HYPERLINK("https://4e0s0i2r4n0u1s0.com/img/2215355251/PR.jpg"," Image ")</f>
        <v xml:space="preserve"> Image </v>
      </c>
      <c r="AP13" s="4" t="str">
        <f>HYPERLINK("https://4e0s0i2r4n0u1s0.com/ViewHDImage.aspx?stoneid=393249634"," Video ")</f>
        <v xml:space="preserve"> Video </v>
      </c>
    </row>
    <row r="14" spans="1:42">
      <c r="A14" s="4" t="str">
        <f>HYPERLINK("https://4e0s0i2r4n0u1s0.com/clientvideo/viewdetail.html?StoneNo=63000"," DNA ")</f>
        <v xml:space="preserve"> DNA </v>
      </c>
      <c r="B14" s="5" t="s">
        <v>42</v>
      </c>
      <c r="C14" s="5" t="s">
        <v>43</v>
      </c>
      <c r="D14" s="5">
        <v>63000</v>
      </c>
      <c r="E14" s="5" t="s">
        <v>44</v>
      </c>
      <c r="F14" s="8" t="s">
        <v>45</v>
      </c>
      <c r="G14" s="5" t="s">
        <v>46</v>
      </c>
      <c r="H14" s="5">
        <v>2223181903</v>
      </c>
      <c r="I14" s="5" t="s">
        <v>47</v>
      </c>
      <c r="J14" s="5" t="s">
        <v>70</v>
      </c>
      <c r="K14" s="5" t="s">
        <v>65</v>
      </c>
      <c r="L14" s="10">
        <v>5.0599999999999996</v>
      </c>
      <c r="M14" s="10">
        <v>55500</v>
      </c>
      <c r="N14" s="10">
        <v>280830</v>
      </c>
      <c r="O14" s="14">
        <v>-34.880000000000003</v>
      </c>
      <c r="P14" s="14">
        <v>182876.5</v>
      </c>
      <c r="Q14" s="10">
        <v>36141.599999999999</v>
      </c>
      <c r="R14" s="5"/>
      <c r="S14" s="5"/>
      <c r="T14" s="5"/>
      <c r="U14" s="6" t="s">
        <v>50</v>
      </c>
      <c r="V14" s="6" t="s">
        <v>51</v>
      </c>
      <c r="W14" s="6" t="s">
        <v>51</v>
      </c>
      <c r="X14" s="13" t="s">
        <v>52</v>
      </c>
      <c r="Y14" s="13">
        <v>11.02</v>
      </c>
      <c r="Z14" s="13">
        <v>11.04</v>
      </c>
      <c r="AA14" s="13">
        <v>6.75</v>
      </c>
      <c r="AB14" s="13">
        <v>61.2</v>
      </c>
      <c r="AC14" s="5">
        <v>59</v>
      </c>
      <c r="AD14" s="5" t="s">
        <v>72</v>
      </c>
      <c r="AE14" s="5" t="s">
        <v>67</v>
      </c>
      <c r="AF14" s="5" t="s">
        <v>68</v>
      </c>
      <c r="AG14" s="5" t="s">
        <v>59</v>
      </c>
      <c r="AH14" s="13" t="s">
        <v>59</v>
      </c>
      <c r="AI14" s="13">
        <v>34</v>
      </c>
      <c r="AJ14" s="13">
        <v>14</v>
      </c>
      <c r="AK14" s="13">
        <v>41.2</v>
      </c>
      <c r="AL14" s="5">
        <v>43.5</v>
      </c>
      <c r="AM14" s="5" t="s">
        <v>55</v>
      </c>
      <c r="AN14" s="5" t="s">
        <v>56</v>
      </c>
      <c r="AO14" s="4" t="str">
        <f>HYPERLINK("https://4e0s0i2r4n0u1s0.com/img/2223181903/PR.jpg"," Image ")</f>
        <v xml:space="preserve"> Image </v>
      </c>
      <c r="AP14" s="4" t="str">
        <f>HYPERLINK("https://4e0s0i2r4n0u1s0.com/ViewHDImage.aspx?stoneid=256052060"," Video ")</f>
        <v xml:space="preserve"> Video </v>
      </c>
    </row>
    <row r="15" spans="1:42">
      <c r="A15" s="4" t="str">
        <f>HYPERLINK("https://4e0s0i2r4n0u1s0.com/clientvideo/viewdetail.html?StoneNo=65218"," DNA ")</f>
        <v xml:space="preserve"> DNA </v>
      </c>
      <c r="B15" s="5" t="s">
        <v>42</v>
      </c>
      <c r="C15" s="5" t="s">
        <v>43</v>
      </c>
      <c r="D15" s="5">
        <v>65218</v>
      </c>
      <c r="E15" s="5" t="s">
        <v>44</v>
      </c>
      <c r="F15" s="8" t="s">
        <v>45</v>
      </c>
      <c r="G15" s="5" t="s">
        <v>46</v>
      </c>
      <c r="H15" s="5">
        <v>5221188130</v>
      </c>
      <c r="I15" s="5" t="s">
        <v>47</v>
      </c>
      <c r="J15" s="5" t="s">
        <v>73</v>
      </c>
      <c r="K15" s="5" t="s">
        <v>74</v>
      </c>
      <c r="L15" s="10">
        <v>8.18</v>
      </c>
      <c r="M15" s="10">
        <v>63000</v>
      </c>
      <c r="N15" s="10">
        <v>515340</v>
      </c>
      <c r="O15" s="14">
        <v>-42</v>
      </c>
      <c r="P15" s="14">
        <v>298897.2</v>
      </c>
      <c r="Q15" s="10">
        <v>36540</v>
      </c>
      <c r="R15" s="5"/>
      <c r="S15" s="5"/>
      <c r="T15" s="5"/>
      <c r="U15" s="6" t="s">
        <v>50</v>
      </c>
      <c r="V15" s="6" t="s">
        <v>51</v>
      </c>
      <c r="W15" s="6" t="s">
        <v>51</v>
      </c>
      <c r="X15" s="13" t="s">
        <v>75</v>
      </c>
      <c r="Y15" s="13">
        <v>12.79</v>
      </c>
      <c r="Z15" s="13">
        <v>12.86</v>
      </c>
      <c r="AA15" s="13">
        <v>8.0500000000000007</v>
      </c>
      <c r="AB15" s="13">
        <v>62.7</v>
      </c>
      <c r="AC15" s="5">
        <v>56</v>
      </c>
      <c r="AD15" s="5" t="s">
        <v>76</v>
      </c>
      <c r="AE15" s="5" t="s">
        <v>53</v>
      </c>
      <c r="AF15" s="5" t="s">
        <v>54</v>
      </c>
      <c r="AG15" s="5" t="s">
        <v>54</v>
      </c>
      <c r="AH15" s="13" t="s">
        <v>54</v>
      </c>
      <c r="AI15" s="13">
        <v>36</v>
      </c>
      <c r="AJ15" s="13">
        <v>16</v>
      </c>
      <c r="AK15" s="13">
        <v>40.799999999999997</v>
      </c>
      <c r="AL15" s="5">
        <v>43</v>
      </c>
      <c r="AM15" s="5" t="s">
        <v>55</v>
      </c>
      <c r="AN15" s="5" t="s">
        <v>56</v>
      </c>
      <c r="AO15" s="4" t="str">
        <f>HYPERLINK("https://4e0s0i2r4n0u1s0.com/img/5221188130/PR.jpg"," Image ")</f>
        <v xml:space="preserve"> Image </v>
      </c>
      <c r="AP15" s="4" t="str">
        <f>HYPERLINK("https://4e0s0i2r4n0u1s0.com/ViewHDImage.aspx?stoneid=375873735"," Video ")</f>
        <v xml:space="preserve"> Video </v>
      </c>
    </row>
    <row r="16" spans="1:42">
      <c r="A16" s="4" t="str">
        <f>HYPERLINK("https://4e0s0i2r4n0u1s0.com/clientvideo/viewdetail.html?StoneNo=65311"," DNA ")</f>
        <v xml:space="preserve"> DNA </v>
      </c>
      <c r="B16" s="5" t="s">
        <v>42</v>
      </c>
      <c r="C16" s="5" t="s">
        <v>43</v>
      </c>
      <c r="D16" s="5">
        <v>65311</v>
      </c>
      <c r="E16" s="5" t="s">
        <v>44</v>
      </c>
      <c r="F16" s="8" t="s">
        <v>45</v>
      </c>
      <c r="G16" s="5" t="s">
        <v>46</v>
      </c>
      <c r="H16" s="5">
        <v>7446166110</v>
      </c>
      <c r="I16" s="5" t="s">
        <v>77</v>
      </c>
      <c r="J16" s="5" t="s">
        <v>78</v>
      </c>
      <c r="K16" s="5" t="s">
        <v>79</v>
      </c>
      <c r="L16" s="10">
        <v>8.98</v>
      </c>
      <c r="M16" s="10">
        <v>64500</v>
      </c>
      <c r="N16" s="10">
        <v>579210</v>
      </c>
      <c r="O16" s="14">
        <v>-32</v>
      </c>
      <c r="P16" s="14">
        <v>393862.8</v>
      </c>
      <c r="Q16" s="10">
        <v>43860</v>
      </c>
      <c r="R16" s="5"/>
      <c r="S16" s="5"/>
      <c r="T16" s="5"/>
      <c r="U16" s="6" t="s">
        <v>50</v>
      </c>
      <c r="V16" s="6" t="s">
        <v>51</v>
      </c>
      <c r="W16" s="6" t="s">
        <v>51</v>
      </c>
      <c r="X16" s="13" t="s">
        <v>52</v>
      </c>
      <c r="Y16" s="13">
        <v>13.09</v>
      </c>
      <c r="Z16" s="13">
        <v>13.21</v>
      </c>
      <c r="AA16" s="13">
        <v>8.26</v>
      </c>
      <c r="AB16" s="13">
        <v>62.8</v>
      </c>
      <c r="AC16" s="5">
        <v>56</v>
      </c>
      <c r="AD16" s="5" t="s">
        <v>53</v>
      </c>
      <c r="AE16" s="5" t="s">
        <v>53</v>
      </c>
      <c r="AF16" s="5" t="s">
        <v>54</v>
      </c>
      <c r="AG16" s="5" t="s">
        <v>54</v>
      </c>
      <c r="AH16" s="13" t="s">
        <v>54</v>
      </c>
      <c r="AI16" s="13">
        <v>35.5</v>
      </c>
      <c r="AJ16" s="13">
        <v>16</v>
      </c>
      <c r="AK16" s="13">
        <v>40.6</v>
      </c>
      <c r="AL16" s="5">
        <v>43</v>
      </c>
      <c r="AM16" s="5" t="s">
        <v>55</v>
      </c>
      <c r="AN16" s="5" t="s">
        <v>56</v>
      </c>
      <c r="AO16" s="4" t="str">
        <f>HYPERLINK("https://4e0s0i2r4n0u1s0.com/img/7446166110/PR.jpg"," Image ")</f>
        <v xml:space="preserve"> Image </v>
      </c>
      <c r="AP16" s="4" t="str">
        <f>HYPERLINK("https://4e0s0i2r4n0u1s0.com/ViewHDImage.aspx?stoneid=400659578"," Video ")</f>
        <v xml:space="preserve"> Video </v>
      </c>
    </row>
    <row r="17" spans="1:42">
      <c r="A17" s="4" t="str">
        <f>HYPERLINK("https://4e0s0i2r4n0u1s0.com/clientvideo/viewdetail.html?StoneNo=64928"," DNA ")</f>
        <v xml:space="preserve"> DNA </v>
      </c>
      <c r="B17" s="5" t="s">
        <v>42</v>
      </c>
      <c r="C17" s="5" t="s">
        <v>43</v>
      </c>
      <c r="D17" s="5">
        <v>64928</v>
      </c>
      <c r="E17" s="5" t="s">
        <v>44</v>
      </c>
      <c r="F17" s="8" t="s">
        <v>45</v>
      </c>
      <c r="G17" s="5" t="s">
        <v>46</v>
      </c>
      <c r="H17" s="5">
        <v>2437672339</v>
      </c>
      <c r="I17" s="5" t="s">
        <v>47</v>
      </c>
      <c r="J17" s="5" t="s">
        <v>78</v>
      </c>
      <c r="K17" s="5" t="s">
        <v>79</v>
      </c>
      <c r="L17" s="10">
        <v>5</v>
      </c>
      <c r="M17" s="10">
        <v>64500</v>
      </c>
      <c r="N17" s="10">
        <v>322500</v>
      </c>
      <c r="O17" s="14">
        <v>-55</v>
      </c>
      <c r="P17" s="14">
        <v>145125</v>
      </c>
      <c r="Q17" s="10">
        <v>29025</v>
      </c>
      <c r="R17" s="5"/>
      <c r="S17" s="5"/>
      <c r="T17" s="5"/>
      <c r="U17" s="6" t="s">
        <v>50</v>
      </c>
      <c r="V17" s="6" t="s">
        <v>51</v>
      </c>
      <c r="W17" s="6" t="s">
        <v>51</v>
      </c>
      <c r="X17" s="13" t="s">
        <v>80</v>
      </c>
      <c r="Y17" s="13">
        <v>10.91</v>
      </c>
      <c r="Z17" s="13">
        <v>11.01</v>
      </c>
      <c r="AA17" s="13">
        <v>6.63</v>
      </c>
      <c r="AB17" s="13">
        <v>60.5</v>
      </c>
      <c r="AC17" s="5">
        <v>59</v>
      </c>
      <c r="AD17" s="5" t="s">
        <v>53</v>
      </c>
      <c r="AE17" s="5" t="s">
        <v>53</v>
      </c>
      <c r="AF17" s="5" t="s">
        <v>54</v>
      </c>
      <c r="AG17" s="5" t="s">
        <v>54</v>
      </c>
      <c r="AH17" s="13" t="s">
        <v>54</v>
      </c>
      <c r="AI17" s="13">
        <v>34</v>
      </c>
      <c r="AJ17" s="13">
        <v>13.5</v>
      </c>
      <c r="AK17" s="13">
        <v>40.6</v>
      </c>
      <c r="AL17" s="5">
        <v>43</v>
      </c>
      <c r="AM17" s="5" t="s">
        <v>55</v>
      </c>
      <c r="AN17" s="5" t="s">
        <v>56</v>
      </c>
      <c r="AO17" s="4" t="str">
        <f>HYPERLINK("https://4e0s0i2r4n0u1s0.com/img/2437672339/PR.jpg"," Image ")</f>
        <v xml:space="preserve"> Image </v>
      </c>
      <c r="AP17" s="4" t="str">
        <f>HYPERLINK("https://4e0s0i2r4n0u1s0.com/ViewHDImage.aspx?stoneid=351200004"," Video ")</f>
        <v xml:space="preserve"> Video </v>
      </c>
    </row>
    <row r="18" spans="1:42">
      <c r="A18" s="4" t="str">
        <f>HYPERLINK("https://4e0s0i2r4n0u1s0.com/clientvideo/viewdetail.html?StoneNo=63689"," DNA ")</f>
        <v xml:space="preserve"> DNA </v>
      </c>
      <c r="B18" s="5" t="s">
        <v>42</v>
      </c>
      <c r="C18" s="5" t="s">
        <v>43</v>
      </c>
      <c r="D18" s="5">
        <v>63689</v>
      </c>
      <c r="E18" s="5" t="s">
        <v>44</v>
      </c>
      <c r="F18" s="8" t="s">
        <v>45</v>
      </c>
      <c r="G18" s="5" t="s">
        <v>46</v>
      </c>
      <c r="H18" s="5">
        <v>6224367364</v>
      </c>
      <c r="I18" s="5" t="s">
        <v>47</v>
      </c>
      <c r="J18" s="5" t="s">
        <v>78</v>
      </c>
      <c r="K18" s="5" t="s">
        <v>57</v>
      </c>
      <c r="L18" s="10">
        <v>3.51</v>
      </c>
      <c r="M18" s="10">
        <v>35500</v>
      </c>
      <c r="N18" s="10">
        <v>124605</v>
      </c>
      <c r="O18" s="14">
        <v>-22.63</v>
      </c>
      <c r="P18" s="14">
        <v>96406.89</v>
      </c>
      <c r="Q18" s="10">
        <v>27466.35</v>
      </c>
      <c r="R18" s="5"/>
      <c r="S18" s="5"/>
      <c r="T18" s="5"/>
      <c r="U18" s="6" t="s">
        <v>50</v>
      </c>
      <c r="V18" s="6" t="s">
        <v>51</v>
      </c>
      <c r="W18" s="6" t="s">
        <v>51</v>
      </c>
      <c r="X18" s="13" t="s">
        <v>52</v>
      </c>
      <c r="Y18" s="13">
        <v>9.6199999999999992</v>
      </c>
      <c r="Z18" s="13">
        <v>9.67</v>
      </c>
      <c r="AA18" s="13">
        <v>6.02</v>
      </c>
      <c r="AB18" s="13">
        <v>62.4</v>
      </c>
      <c r="AC18" s="5">
        <v>58</v>
      </c>
      <c r="AD18" s="5" t="s">
        <v>58</v>
      </c>
      <c r="AE18" s="5" t="s">
        <v>67</v>
      </c>
      <c r="AF18" s="5" t="s">
        <v>54</v>
      </c>
      <c r="AG18" s="5" t="s">
        <v>59</v>
      </c>
      <c r="AH18" s="13" t="s">
        <v>59</v>
      </c>
      <c r="AI18" s="13">
        <v>36</v>
      </c>
      <c r="AJ18" s="13">
        <v>15.5</v>
      </c>
      <c r="AK18" s="13">
        <v>40.6</v>
      </c>
      <c r="AL18" s="5">
        <v>43</v>
      </c>
      <c r="AM18" s="5" t="s">
        <v>55</v>
      </c>
      <c r="AN18" s="5" t="s">
        <v>56</v>
      </c>
      <c r="AO18" s="4" t="str">
        <f>HYPERLINK("https://4e0s0i2r4n0u1s0.com/img/6224367364/PR.jpg"," Image ")</f>
        <v xml:space="preserve"> Image </v>
      </c>
      <c r="AP18" s="4" t="str">
        <f>HYPERLINK("https://4e0s0i2r4n0u1s0.com/ViewHDImage.aspx?stoneid=271786400"," Video ")</f>
        <v xml:space="preserve"> Video </v>
      </c>
    </row>
    <row r="19" spans="1:42">
      <c r="A19" s="4" t="str">
        <f>HYPERLINK("https://4e0s0i2r4n0u1s0.com/clientvideo/viewdetail.html?StoneNo=65264"," DNA ")</f>
        <v xml:space="preserve"> DNA </v>
      </c>
      <c r="B19" s="5" t="s">
        <v>42</v>
      </c>
      <c r="C19" s="5" t="s">
        <v>43</v>
      </c>
      <c r="D19" s="5">
        <v>65264</v>
      </c>
      <c r="E19" s="5" t="s">
        <v>44</v>
      </c>
      <c r="F19" s="8" t="s">
        <v>45</v>
      </c>
      <c r="G19" s="5" t="s">
        <v>46</v>
      </c>
      <c r="H19" s="5">
        <v>1226500416</v>
      </c>
      <c r="I19" s="5" t="s">
        <v>77</v>
      </c>
      <c r="J19" s="5" t="s">
        <v>81</v>
      </c>
      <c r="K19" s="5" t="s">
        <v>79</v>
      </c>
      <c r="L19" s="10">
        <v>5.17</v>
      </c>
      <c r="M19" s="10">
        <v>50500</v>
      </c>
      <c r="N19" s="10">
        <v>261085</v>
      </c>
      <c r="O19" s="14">
        <v>-45.88</v>
      </c>
      <c r="P19" s="14">
        <v>141299.20000000001</v>
      </c>
      <c r="Q19" s="10">
        <v>27330.6</v>
      </c>
      <c r="R19" s="5"/>
      <c r="S19" s="5"/>
      <c r="T19" s="5"/>
      <c r="U19" s="6" t="s">
        <v>50</v>
      </c>
      <c r="V19" s="6" t="s">
        <v>51</v>
      </c>
      <c r="W19" s="6" t="s">
        <v>51</v>
      </c>
      <c r="X19" s="13" t="s">
        <v>52</v>
      </c>
      <c r="Y19" s="13">
        <v>11.02</v>
      </c>
      <c r="Z19" s="13">
        <v>11.03</v>
      </c>
      <c r="AA19" s="13">
        <v>6.86</v>
      </c>
      <c r="AB19" s="13">
        <v>62.3</v>
      </c>
      <c r="AC19" s="5">
        <v>57</v>
      </c>
      <c r="AD19" s="5" t="s">
        <v>53</v>
      </c>
      <c r="AE19" s="5" t="s">
        <v>53</v>
      </c>
      <c r="AF19" s="5" t="s">
        <v>54</v>
      </c>
      <c r="AG19" s="5" t="s">
        <v>54</v>
      </c>
      <c r="AH19" s="13" t="s">
        <v>54</v>
      </c>
      <c r="AI19" s="13">
        <v>35.5</v>
      </c>
      <c r="AJ19" s="13">
        <v>15.5</v>
      </c>
      <c r="AK19" s="13">
        <v>40.799999999999997</v>
      </c>
      <c r="AL19" s="5">
        <v>43</v>
      </c>
      <c r="AM19" s="5" t="s">
        <v>55</v>
      </c>
      <c r="AN19" s="5" t="s">
        <v>56</v>
      </c>
      <c r="AO19" s="4" t="str">
        <f>HYPERLINK("https://4e0s0i2r4n0u1s0.com/img/1226500416/PR.jpg"," Image ")</f>
        <v xml:space="preserve"> Image </v>
      </c>
      <c r="AP19" s="4" t="str">
        <f>HYPERLINK("https://4e0s0i2r4n0u1s0.com/ViewHDImage.aspx?stoneid=392567628"," Video ")</f>
        <v xml:space="preserve"> Video </v>
      </c>
    </row>
    <row r="20" spans="1:42">
      <c r="A20" s="4" t="str">
        <f>HYPERLINK("https://4e0s0i2r4n0u1s0.com/clientvideo/viewdetail.html?StoneNo=65267"," DNA ")</f>
        <v xml:space="preserve"> DNA </v>
      </c>
      <c r="B20" s="5" t="s">
        <v>42</v>
      </c>
      <c r="C20" s="5" t="s">
        <v>43</v>
      </c>
      <c r="D20" s="5">
        <v>65267</v>
      </c>
      <c r="E20" s="5" t="s">
        <v>44</v>
      </c>
      <c r="F20" s="8" t="s">
        <v>45</v>
      </c>
      <c r="G20" s="5" t="s">
        <v>46</v>
      </c>
      <c r="H20" s="5">
        <v>5222642698</v>
      </c>
      <c r="I20" s="5" t="s">
        <v>77</v>
      </c>
      <c r="J20" s="5" t="s">
        <v>82</v>
      </c>
      <c r="K20" s="5" t="s">
        <v>79</v>
      </c>
      <c r="L20" s="10">
        <v>5.12</v>
      </c>
      <c r="M20" s="10">
        <v>38500</v>
      </c>
      <c r="N20" s="10">
        <v>197120</v>
      </c>
      <c r="O20" s="14">
        <v>-44</v>
      </c>
      <c r="P20" s="14">
        <v>110387.2</v>
      </c>
      <c r="Q20" s="10">
        <v>21560</v>
      </c>
      <c r="R20" s="5"/>
      <c r="S20" s="5"/>
      <c r="T20" s="5"/>
      <c r="U20" s="6" t="s">
        <v>50</v>
      </c>
      <c r="V20" s="6" t="s">
        <v>51</v>
      </c>
      <c r="W20" s="6" t="s">
        <v>51</v>
      </c>
      <c r="X20" s="13" t="s">
        <v>52</v>
      </c>
      <c r="Y20" s="13">
        <v>10.99</v>
      </c>
      <c r="Z20" s="13">
        <v>11.03</v>
      </c>
      <c r="AA20" s="13">
        <v>6.8</v>
      </c>
      <c r="AB20" s="13">
        <v>61.8</v>
      </c>
      <c r="AC20" s="5">
        <v>58</v>
      </c>
      <c r="AD20" s="5" t="s">
        <v>53</v>
      </c>
      <c r="AE20" s="5" t="s">
        <v>53</v>
      </c>
      <c r="AF20" s="5" t="s">
        <v>54</v>
      </c>
      <c r="AG20" s="5" t="s">
        <v>54</v>
      </c>
      <c r="AH20" s="13" t="s">
        <v>54</v>
      </c>
      <c r="AI20" s="13">
        <v>35</v>
      </c>
      <c r="AJ20" s="13">
        <v>14.5</v>
      </c>
      <c r="AK20" s="13">
        <v>41</v>
      </c>
      <c r="AL20" s="5">
        <v>43.5</v>
      </c>
      <c r="AM20" s="5" t="s">
        <v>55</v>
      </c>
      <c r="AN20" s="5" t="s">
        <v>56</v>
      </c>
      <c r="AO20" s="4" t="str">
        <f>HYPERLINK("https://4e0s0i2r4n0u1s0.com/img/5222642698/PR.jpg"," Image ")</f>
        <v xml:space="preserve"> Image </v>
      </c>
      <c r="AP20" s="4" t="str">
        <f>HYPERLINK("https://4e0s0i2r4n0u1s0.com/ViewHDImage.aspx?stoneid=392567638"," Video ")</f>
        <v xml:space="preserve"> Video </v>
      </c>
    </row>
    <row r="21" spans="1:42">
      <c r="A21" s="4" t="str">
        <f>HYPERLINK("https://4e0s0i2r4n0u1s0.com/clientvideo/viewdetail.html?StoneNo=59447"," DNA ")</f>
        <v xml:space="preserve"> DNA </v>
      </c>
      <c r="B21" s="5" t="s">
        <v>42</v>
      </c>
      <c r="C21" s="5" t="s">
        <v>43</v>
      </c>
      <c r="D21" s="5">
        <v>59447</v>
      </c>
      <c r="E21" s="5" t="s">
        <v>44</v>
      </c>
      <c r="F21" s="8" t="s">
        <v>45</v>
      </c>
      <c r="G21" s="5" t="s">
        <v>46</v>
      </c>
      <c r="H21" s="5">
        <v>2215810526</v>
      </c>
      <c r="I21" s="5" t="s">
        <v>47</v>
      </c>
      <c r="J21" s="5" t="s">
        <v>82</v>
      </c>
      <c r="K21" s="5" t="s">
        <v>57</v>
      </c>
      <c r="L21" s="10">
        <v>5.03</v>
      </c>
      <c r="M21" s="10">
        <v>36000</v>
      </c>
      <c r="N21" s="10">
        <v>181080</v>
      </c>
      <c r="O21" s="14">
        <v>-40</v>
      </c>
      <c r="P21" s="14">
        <v>108648</v>
      </c>
      <c r="Q21" s="10">
        <v>21600</v>
      </c>
      <c r="R21" s="5"/>
      <c r="S21" s="5"/>
      <c r="T21" s="5"/>
      <c r="U21" s="6" t="s">
        <v>50</v>
      </c>
      <c r="V21" s="6" t="s">
        <v>51</v>
      </c>
      <c r="W21" s="6" t="s">
        <v>51</v>
      </c>
      <c r="X21" s="13" t="s">
        <v>80</v>
      </c>
      <c r="Y21" s="13">
        <v>10.95</v>
      </c>
      <c r="Z21" s="13">
        <v>11</v>
      </c>
      <c r="AA21" s="13">
        <v>6.8</v>
      </c>
      <c r="AB21" s="13">
        <v>62</v>
      </c>
      <c r="AC21" s="5">
        <v>58</v>
      </c>
      <c r="AD21" s="5" t="s">
        <v>58</v>
      </c>
      <c r="AE21" s="5" t="s">
        <v>53</v>
      </c>
      <c r="AF21" s="5" t="s">
        <v>54</v>
      </c>
      <c r="AG21" s="5" t="s">
        <v>54</v>
      </c>
      <c r="AH21" s="13" t="s">
        <v>54</v>
      </c>
      <c r="AI21" s="13">
        <v>32.5</v>
      </c>
      <c r="AJ21" s="13">
        <v>13.5</v>
      </c>
      <c r="AK21" s="13">
        <v>41.8</v>
      </c>
      <c r="AL21" s="5">
        <v>44.5</v>
      </c>
      <c r="AM21" s="5" t="s">
        <v>55</v>
      </c>
      <c r="AN21" s="5" t="s">
        <v>56</v>
      </c>
      <c r="AO21" s="4" t="str">
        <f>HYPERLINK("https://4e0s0i2r4n0u1s0.com/img/2215810526/PR.jpg"," Image ")</f>
        <v xml:space="preserve"> Image </v>
      </c>
      <c r="AP21" s="4" t="str">
        <f>HYPERLINK("https://4e0s0i2r4n0u1s0.com/ViewHDImage.aspx?stoneid=162836065"," Video ")</f>
        <v xml:space="preserve"> Video </v>
      </c>
    </row>
    <row r="22" spans="1:42">
      <c r="A22" s="4" t="str">
        <f>HYPERLINK("https://4e0s0i2r4n0u1s0.com/clientvideo/viewdetail.html?StoneNo=F3333"," DNA ")</f>
        <v xml:space="preserve"> DNA </v>
      </c>
      <c r="B22" s="5" t="s">
        <v>42</v>
      </c>
      <c r="C22" s="5" t="s">
        <v>43</v>
      </c>
      <c r="D22" s="5" t="s">
        <v>83</v>
      </c>
      <c r="E22" s="5" t="s">
        <v>84</v>
      </c>
      <c r="F22" s="8" t="s">
        <v>45</v>
      </c>
      <c r="G22" s="5" t="s">
        <v>46</v>
      </c>
      <c r="H22" s="5">
        <v>17436004</v>
      </c>
      <c r="I22" s="5" t="s">
        <v>47</v>
      </c>
      <c r="J22" s="5" t="s">
        <v>48</v>
      </c>
      <c r="K22" s="5" t="s">
        <v>49</v>
      </c>
      <c r="L22" s="10">
        <v>10.27</v>
      </c>
      <c r="M22" s="10">
        <v>150000</v>
      </c>
      <c r="N22" s="10">
        <v>1540500</v>
      </c>
      <c r="O22" s="14">
        <v>-45.5</v>
      </c>
      <c r="P22" s="14">
        <v>839572.5</v>
      </c>
      <c r="Q22" s="10">
        <v>81750</v>
      </c>
      <c r="R22" s="5"/>
      <c r="S22" s="5"/>
      <c r="T22" s="5"/>
      <c r="U22" s="5" t="s">
        <v>60</v>
      </c>
      <c r="V22" s="5" t="s">
        <v>51</v>
      </c>
      <c r="W22" s="5" t="s">
        <v>51</v>
      </c>
      <c r="X22" s="13" t="s">
        <v>52</v>
      </c>
      <c r="Y22" s="13">
        <v>10.51</v>
      </c>
      <c r="Z22" s="13">
        <v>14.7</v>
      </c>
      <c r="AA22" s="13">
        <v>6.84</v>
      </c>
      <c r="AB22" s="13">
        <v>65.099999999999994</v>
      </c>
      <c r="AC22" s="5">
        <v>58</v>
      </c>
      <c r="AD22" s="5" t="s">
        <v>53</v>
      </c>
      <c r="AE22" s="5" t="s">
        <v>53</v>
      </c>
      <c r="AF22" s="5" t="s">
        <v>54</v>
      </c>
      <c r="AG22" s="5" t="s">
        <v>54</v>
      </c>
      <c r="AH22" s="13" t="s">
        <v>54</v>
      </c>
      <c r="AI22" s="13">
        <v>0</v>
      </c>
      <c r="AJ22" s="13">
        <v>0</v>
      </c>
      <c r="AK22" s="13">
        <v>0</v>
      </c>
      <c r="AL22" s="5">
        <v>0</v>
      </c>
      <c r="AM22" s="5" t="s">
        <v>85</v>
      </c>
      <c r="AN22" s="5" t="s">
        <v>56</v>
      </c>
      <c r="AO22" s="4" t="str">
        <f>HYPERLINK("https://4e0s0i2r4n0u1s0.com/img/17436004/PR.jpg"," Image ")</f>
        <v xml:space="preserve"> Image </v>
      </c>
      <c r="AP22" s="4" t="str">
        <f>HYPERLINK("https://4e0s0i2r4n0u1s0.com/ViewHDImage.aspx?stoneid=347925294"," Video ")</f>
        <v xml:space="preserve"> Video </v>
      </c>
    </row>
    <row r="23" spans="1:42">
      <c r="A23" s="4" t="str">
        <f>HYPERLINK("https://4e0s0i2r4n0u1s0.com/clientvideo/viewdetail.html?StoneNo=F3293"," DNA ")</f>
        <v xml:space="preserve"> DNA </v>
      </c>
      <c r="B23" s="5" t="s">
        <v>42</v>
      </c>
      <c r="C23" s="5" t="s">
        <v>62</v>
      </c>
      <c r="D23" s="5" t="s">
        <v>86</v>
      </c>
      <c r="E23" s="5" t="s">
        <v>84</v>
      </c>
      <c r="F23" s="8" t="s">
        <v>45</v>
      </c>
      <c r="G23" s="5" t="s">
        <v>46</v>
      </c>
      <c r="H23" s="5">
        <v>5221537552</v>
      </c>
      <c r="I23" s="5" t="s">
        <v>47</v>
      </c>
      <c r="J23" s="5" t="s">
        <v>48</v>
      </c>
      <c r="K23" s="5" t="s">
        <v>49</v>
      </c>
      <c r="L23" s="10">
        <v>5.05</v>
      </c>
      <c r="M23" s="10">
        <v>85000</v>
      </c>
      <c r="N23" s="10">
        <v>429250</v>
      </c>
      <c r="O23" s="14">
        <v>-31.48</v>
      </c>
      <c r="P23" s="14">
        <v>294122.09999999998</v>
      </c>
      <c r="Q23" s="10">
        <v>58242</v>
      </c>
      <c r="R23" s="5"/>
      <c r="S23" s="5"/>
      <c r="T23" s="5"/>
      <c r="U23" s="5" t="s">
        <v>60</v>
      </c>
      <c r="V23" s="5" t="s">
        <v>51</v>
      </c>
      <c r="W23" s="5" t="s">
        <v>51</v>
      </c>
      <c r="X23" s="13" t="s">
        <v>52</v>
      </c>
      <c r="Y23" s="13">
        <v>8.25</v>
      </c>
      <c r="Z23" s="13">
        <v>12.02</v>
      </c>
      <c r="AA23" s="13">
        <v>4.95</v>
      </c>
      <c r="AB23" s="13">
        <v>60</v>
      </c>
      <c r="AC23" s="5">
        <v>58</v>
      </c>
      <c r="AD23" s="5" t="s">
        <v>53</v>
      </c>
      <c r="AE23" s="5" t="s">
        <v>53</v>
      </c>
      <c r="AF23" s="5" t="s">
        <v>54</v>
      </c>
      <c r="AG23" s="5" t="s">
        <v>54</v>
      </c>
      <c r="AH23" s="13" t="s">
        <v>54</v>
      </c>
      <c r="AI23" s="13">
        <v>0</v>
      </c>
      <c r="AJ23" s="13">
        <v>0</v>
      </c>
      <c r="AK23" s="13">
        <v>0</v>
      </c>
      <c r="AL23" s="5">
        <v>0</v>
      </c>
      <c r="AM23" s="5" t="s">
        <v>85</v>
      </c>
      <c r="AN23" s="5" t="s">
        <v>56</v>
      </c>
      <c r="AO23" s="4" t="str">
        <f>HYPERLINK("https://4e0s0i2r4n0u1s0.com/img/5221537552/PR.jpg"," Image ")</f>
        <v xml:space="preserve"> Image </v>
      </c>
      <c r="AP23" s="4" t="str">
        <f>HYPERLINK("https://4e0s0i2r4n0u1s0.com/ViewVideoMp4.aspx?seqno=345639272"," Video ")</f>
        <v xml:space="preserve"> Video </v>
      </c>
    </row>
    <row r="24" spans="1:42">
      <c r="A24" s="4" t="str">
        <f>HYPERLINK("https://4e0s0i2r4n0u1s0.com/clientvideo/viewdetail.html?StoneNo=F3292"," DNA ")</f>
        <v xml:space="preserve"> DNA </v>
      </c>
      <c r="B24" s="5" t="s">
        <v>42</v>
      </c>
      <c r="C24" s="5" t="s">
        <v>62</v>
      </c>
      <c r="D24" s="5" t="s">
        <v>87</v>
      </c>
      <c r="E24" s="5" t="s">
        <v>84</v>
      </c>
      <c r="F24" s="8" t="s">
        <v>45</v>
      </c>
      <c r="G24" s="5" t="s">
        <v>46</v>
      </c>
      <c r="H24" s="5">
        <v>5222537444</v>
      </c>
      <c r="I24" s="5" t="s">
        <v>47</v>
      </c>
      <c r="J24" s="5" t="s">
        <v>48</v>
      </c>
      <c r="K24" s="5" t="s">
        <v>49</v>
      </c>
      <c r="L24" s="10">
        <v>5.0599999999999996</v>
      </c>
      <c r="M24" s="10">
        <v>85000</v>
      </c>
      <c r="N24" s="10">
        <v>430100</v>
      </c>
      <c r="O24" s="14">
        <v>-31.48</v>
      </c>
      <c r="P24" s="14">
        <v>294704.52</v>
      </c>
      <c r="Q24" s="10">
        <v>58242</v>
      </c>
      <c r="R24" s="5"/>
      <c r="S24" s="5"/>
      <c r="T24" s="5"/>
      <c r="U24" s="5" t="s">
        <v>60</v>
      </c>
      <c r="V24" s="5" t="s">
        <v>51</v>
      </c>
      <c r="W24" s="5" t="s">
        <v>51</v>
      </c>
      <c r="X24" s="13" t="s">
        <v>52</v>
      </c>
      <c r="Y24" s="13">
        <v>11.98</v>
      </c>
      <c r="Z24" s="13">
        <v>8.2200000000000006</v>
      </c>
      <c r="AA24" s="13">
        <v>4.8499999999999996</v>
      </c>
      <c r="AB24" s="13">
        <v>59</v>
      </c>
      <c r="AC24" s="5">
        <v>58</v>
      </c>
      <c r="AD24" s="5" t="s">
        <v>53</v>
      </c>
      <c r="AE24" s="5" t="s">
        <v>53</v>
      </c>
      <c r="AF24" s="5" t="s">
        <v>54</v>
      </c>
      <c r="AG24" s="5" t="s">
        <v>54</v>
      </c>
      <c r="AH24" s="13" t="s">
        <v>54</v>
      </c>
      <c r="AI24" s="13">
        <v>0</v>
      </c>
      <c r="AJ24" s="13">
        <v>0</v>
      </c>
      <c r="AK24" s="13">
        <v>0</v>
      </c>
      <c r="AL24" s="5">
        <v>0</v>
      </c>
      <c r="AM24" s="5" t="s">
        <v>85</v>
      </c>
      <c r="AN24" s="5" t="s">
        <v>56</v>
      </c>
      <c r="AO24" s="4" t="str">
        <f>HYPERLINK("https://4e0s0i2r4n0u1s0.com/img/5222537444/PR.jpg"," Image ")</f>
        <v xml:space="preserve"> Image </v>
      </c>
      <c r="AP24" s="4" t="str">
        <f>HYPERLINK("https://4e0s0i2r4n0u1s0.com/ViewVideoMp4.aspx?seqno=347910494"," Video ")</f>
        <v xml:space="preserve"> Video </v>
      </c>
    </row>
    <row r="25" spans="1:42">
      <c r="A25" s="4" t="str">
        <f>HYPERLINK("https://4e0s0i2r4n0u1s0.com/clientvideo/viewdetail.html?StoneNo=F3536"," DNA ")</f>
        <v xml:space="preserve"> DNA </v>
      </c>
      <c r="B25" s="5" t="s">
        <v>42</v>
      </c>
      <c r="C25" s="5" t="s">
        <v>43</v>
      </c>
      <c r="D25" s="5" t="s">
        <v>88</v>
      </c>
      <c r="E25" s="5" t="s">
        <v>84</v>
      </c>
      <c r="F25" s="8" t="s">
        <v>45</v>
      </c>
      <c r="G25" s="5" t="s">
        <v>46</v>
      </c>
      <c r="H25" s="5">
        <v>6422476795</v>
      </c>
      <c r="I25" s="5" t="s">
        <v>47</v>
      </c>
      <c r="J25" s="5" t="s">
        <v>48</v>
      </c>
      <c r="K25" s="5" t="s">
        <v>79</v>
      </c>
      <c r="L25" s="10">
        <v>3.8</v>
      </c>
      <c r="M25" s="10">
        <v>46000</v>
      </c>
      <c r="N25" s="10">
        <v>174800</v>
      </c>
      <c r="O25" s="14">
        <v>-32</v>
      </c>
      <c r="P25" s="14">
        <v>118864</v>
      </c>
      <c r="Q25" s="10">
        <v>31280</v>
      </c>
      <c r="R25" s="5"/>
      <c r="S25" s="5"/>
      <c r="T25" s="5"/>
      <c r="U25" s="5" t="s">
        <v>60</v>
      </c>
      <c r="V25" s="5" t="s">
        <v>51</v>
      </c>
      <c r="W25" s="5" t="s">
        <v>51</v>
      </c>
      <c r="X25" s="13" t="s">
        <v>52</v>
      </c>
      <c r="Y25" s="13">
        <v>11.22</v>
      </c>
      <c r="Z25" s="13">
        <v>7.24</v>
      </c>
      <c r="AA25" s="13">
        <v>4.9000000000000004</v>
      </c>
      <c r="AB25" s="13">
        <v>67.599999999999994</v>
      </c>
      <c r="AC25" s="5">
        <v>64</v>
      </c>
      <c r="AD25" s="5" t="s">
        <v>53</v>
      </c>
      <c r="AE25" s="5" t="s">
        <v>53</v>
      </c>
      <c r="AF25" s="5" t="s">
        <v>54</v>
      </c>
      <c r="AG25" s="5" t="s">
        <v>59</v>
      </c>
      <c r="AH25" s="13" t="s">
        <v>54</v>
      </c>
      <c r="AI25" s="13">
        <v>0</v>
      </c>
      <c r="AJ25" s="13">
        <v>0</v>
      </c>
      <c r="AK25" s="13">
        <v>0</v>
      </c>
      <c r="AL25" s="5">
        <v>0</v>
      </c>
      <c r="AM25" s="5" t="s">
        <v>53</v>
      </c>
      <c r="AN25" s="5" t="s">
        <v>56</v>
      </c>
      <c r="AO25" s="4" t="str">
        <f>HYPERLINK("https://4e0s0i2r4n0u1s0.com/img/6422476795/PR.jpg"," Image ")</f>
        <v xml:space="preserve"> Image </v>
      </c>
      <c r="AP25" s="4" t="str">
        <f>HYPERLINK("https://4e0s0i2r4n0u1s0.com/ViewHDImage.aspx?stoneid=370261579"," Video ")</f>
        <v xml:space="preserve"> Video </v>
      </c>
    </row>
    <row r="26" spans="1:42">
      <c r="A26" s="4" t="str">
        <f>HYPERLINK("https://4e0s0i2r4n0u1s0.com/clientvideo/viewdetail.html?StoneNo=F2962"," DNA ")</f>
        <v xml:space="preserve"> DNA </v>
      </c>
      <c r="B26" s="5" t="s">
        <v>42</v>
      </c>
      <c r="C26" s="5" t="s">
        <v>43</v>
      </c>
      <c r="D26" s="5" t="s">
        <v>89</v>
      </c>
      <c r="E26" s="5" t="s">
        <v>84</v>
      </c>
      <c r="F26" s="8" t="s">
        <v>45</v>
      </c>
      <c r="G26" s="5" t="s">
        <v>46</v>
      </c>
      <c r="H26" s="5">
        <v>5222479912</v>
      </c>
      <c r="I26" s="5" t="s">
        <v>47</v>
      </c>
      <c r="J26" s="5" t="s">
        <v>48</v>
      </c>
      <c r="K26" s="5" t="s">
        <v>57</v>
      </c>
      <c r="L26" s="10">
        <v>5.01</v>
      </c>
      <c r="M26" s="10">
        <v>68500</v>
      </c>
      <c r="N26" s="10">
        <v>343185</v>
      </c>
      <c r="O26" s="14">
        <v>-38</v>
      </c>
      <c r="P26" s="14">
        <v>212774.7</v>
      </c>
      <c r="Q26" s="10">
        <v>42470</v>
      </c>
      <c r="R26" s="5"/>
      <c r="S26" s="5"/>
      <c r="T26" s="5"/>
      <c r="U26" s="5" t="s">
        <v>60</v>
      </c>
      <c r="V26" s="5" t="s">
        <v>51</v>
      </c>
      <c r="W26" s="5" t="s">
        <v>51</v>
      </c>
      <c r="X26" s="13" t="s">
        <v>52</v>
      </c>
      <c r="Y26" s="13">
        <v>11.72</v>
      </c>
      <c r="Z26" s="13">
        <v>8.5399999999999991</v>
      </c>
      <c r="AA26" s="13">
        <v>5.65</v>
      </c>
      <c r="AB26" s="13">
        <v>66.2</v>
      </c>
      <c r="AC26" s="5">
        <v>69</v>
      </c>
      <c r="AD26" s="5" t="s">
        <v>71</v>
      </c>
      <c r="AE26" s="5" t="s">
        <v>67</v>
      </c>
      <c r="AF26" s="5" t="s">
        <v>54</v>
      </c>
      <c r="AG26" s="5" t="s">
        <v>59</v>
      </c>
      <c r="AH26" s="13" t="s">
        <v>60</v>
      </c>
      <c r="AI26" s="13">
        <v>0</v>
      </c>
      <c r="AJ26" s="13">
        <v>0</v>
      </c>
      <c r="AK26" s="13">
        <v>0</v>
      </c>
      <c r="AL26" s="5">
        <v>0</v>
      </c>
      <c r="AM26" s="5" t="s">
        <v>85</v>
      </c>
      <c r="AN26" s="5" t="s">
        <v>56</v>
      </c>
      <c r="AO26" s="4" t="str">
        <f>HYPERLINK("https://4e0s0i2r4n0u1s0.com/img/5222479912/PR.jpg"," Image ")</f>
        <v xml:space="preserve"> Image </v>
      </c>
      <c r="AP26" s="4" t="str">
        <f>HYPERLINK("https://4e0s0i2r4n0u1s0.com/ViewHDImage.aspx?stoneid=313533271"," Video ")</f>
        <v xml:space="preserve"> Video </v>
      </c>
    </row>
    <row r="27" spans="1:42">
      <c r="A27" s="4" t="str">
        <f>HYPERLINK("https://4e0s0i2r4n0u1s0.com/clientvideo/viewdetail.html?StoneNo=F3824"," DNA ")</f>
        <v xml:space="preserve"> DNA </v>
      </c>
      <c r="B27" s="5" t="s">
        <v>42</v>
      </c>
      <c r="C27" s="5" t="s">
        <v>43</v>
      </c>
      <c r="D27" s="5" t="s">
        <v>90</v>
      </c>
      <c r="E27" s="5" t="s">
        <v>84</v>
      </c>
      <c r="F27" s="8" t="s">
        <v>45</v>
      </c>
      <c r="G27" s="5" t="s">
        <v>46</v>
      </c>
      <c r="H27" s="5">
        <v>5222337461</v>
      </c>
      <c r="I27" s="5" t="s">
        <v>47</v>
      </c>
      <c r="J27" s="5" t="s">
        <v>48</v>
      </c>
      <c r="K27" s="5" t="s">
        <v>74</v>
      </c>
      <c r="L27" s="10">
        <v>3.99</v>
      </c>
      <c r="M27" s="10">
        <v>33500</v>
      </c>
      <c r="N27" s="10">
        <v>133665</v>
      </c>
      <c r="O27" s="14">
        <v>-5</v>
      </c>
      <c r="P27" s="14">
        <v>126981.75</v>
      </c>
      <c r="Q27" s="10">
        <v>31825</v>
      </c>
      <c r="R27" s="5"/>
      <c r="S27" s="5"/>
      <c r="T27" s="5"/>
      <c r="U27" s="5" t="s">
        <v>60</v>
      </c>
      <c r="V27" s="5" t="s">
        <v>91</v>
      </c>
      <c r="W27" s="5" t="s">
        <v>91</v>
      </c>
      <c r="X27" s="13" t="s">
        <v>52</v>
      </c>
      <c r="Y27" s="13">
        <v>10.76</v>
      </c>
      <c r="Z27" s="13">
        <v>7.19</v>
      </c>
      <c r="AA27" s="13">
        <v>5.0199999999999996</v>
      </c>
      <c r="AB27" s="13">
        <v>69.900000000000006</v>
      </c>
      <c r="AC27" s="5">
        <v>68</v>
      </c>
      <c r="AD27" s="5" t="s">
        <v>58</v>
      </c>
      <c r="AE27" s="5" t="s">
        <v>53</v>
      </c>
      <c r="AF27" s="5" t="s">
        <v>54</v>
      </c>
      <c r="AG27" s="5" t="s">
        <v>54</v>
      </c>
      <c r="AH27" s="13" t="s">
        <v>54</v>
      </c>
      <c r="AI27" s="13">
        <v>0</v>
      </c>
      <c r="AJ27" s="13">
        <v>0</v>
      </c>
      <c r="AK27" s="13">
        <v>0</v>
      </c>
      <c r="AL27" s="5">
        <v>0</v>
      </c>
      <c r="AM27" s="5" t="s">
        <v>55</v>
      </c>
      <c r="AN27" s="5" t="s">
        <v>56</v>
      </c>
      <c r="AO27" s="4" t="str">
        <f>HYPERLINK("https://4e0s0i2r4n0u1s0.com/img/5222337461/PR.jpg"," Image ")</f>
        <v xml:space="preserve"> Image </v>
      </c>
      <c r="AP27" s="4" t="str">
        <f>HYPERLINK("https://4e0s0i2r4n0u1s0.com/ViewVideoMp4.aspx?seqno=265417681"," Video ")</f>
        <v xml:space="preserve"> Video </v>
      </c>
    </row>
    <row r="28" spans="1:42">
      <c r="A28" s="4" t="str">
        <f>HYPERLINK("https://4e0s0i2r4n0u1s0.com/clientvideo/viewdetail.html?StoneNo=F3549"," DNA ")</f>
        <v xml:space="preserve"> DNA </v>
      </c>
      <c r="B28" s="5" t="s">
        <v>42</v>
      </c>
      <c r="C28" s="5" t="s">
        <v>43</v>
      </c>
      <c r="D28" s="5" t="s">
        <v>92</v>
      </c>
      <c r="E28" s="5" t="s">
        <v>93</v>
      </c>
      <c r="F28" s="8" t="s">
        <v>45</v>
      </c>
      <c r="G28" s="5" t="s">
        <v>46</v>
      </c>
      <c r="H28" s="5">
        <v>1445657775</v>
      </c>
      <c r="I28" s="5" t="s">
        <v>47</v>
      </c>
      <c r="J28" s="5" t="s">
        <v>48</v>
      </c>
      <c r="K28" s="5" t="s">
        <v>49</v>
      </c>
      <c r="L28" s="10">
        <v>3.08</v>
      </c>
      <c r="M28" s="10">
        <v>46000</v>
      </c>
      <c r="N28" s="10">
        <v>141680</v>
      </c>
      <c r="O28" s="14">
        <v>-26.88</v>
      </c>
      <c r="P28" s="14">
        <v>103596.42</v>
      </c>
      <c r="Q28" s="10">
        <v>33635.199999999997</v>
      </c>
      <c r="R28" s="5"/>
      <c r="S28" s="5"/>
      <c r="T28" s="5"/>
      <c r="U28" s="5" t="s">
        <v>60</v>
      </c>
      <c r="V28" s="5" t="s">
        <v>51</v>
      </c>
      <c r="W28" s="5" t="s">
        <v>51</v>
      </c>
      <c r="X28" s="13" t="s">
        <v>52</v>
      </c>
      <c r="Y28" s="13">
        <v>15.85</v>
      </c>
      <c r="Z28" s="13">
        <v>7.61</v>
      </c>
      <c r="AA28" s="13">
        <v>4.53</v>
      </c>
      <c r="AB28" s="13">
        <v>59.5</v>
      </c>
      <c r="AC28" s="5">
        <v>62</v>
      </c>
      <c r="AD28" s="5" t="s">
        <v>53</v>
      </c>
      <c r="AE28" s="5" t="s">
        <v>59</v>
      </c>
      <c r="AF28" s="5" t="s">
        <v>60</v>
      </c>
      <c r="AG28" s="5" t="s">
        <v>59</v>
      </c>
      <c r="AH28" s="13" t="s">
        <v>60</v>
      </c>
      <c r="AI28" s="13">
        <v>0</v>
      </c>
      <c r="AJ28" s="13">
        <v>0</v>
      </c>
      <c r="AK28" s="13">
        <v>0</v>
      </c>
      <c r="AL28" s="5">
        <v>0</v>
      </c>
      <c r="AM28" s="5" t="s">
        <v>55</v>
      </c>
      <c r="AN28" s="5" t="s">
        <v>56</v>
      </c>
      <c r="AO28" s="4" t="str">
        <f>HYPERLINK("https://4e0s0i2r4n0u1s0.com/img/1445657775/PR.jpg"," Image ")</f>
        <v xml:space="preserve"> Image </v>
      </c>
      <c r="AP28" s="4" t="str">
        <f>HYPERLINK("https://4e0s0i2r4n0u1s0.com/ViewHDImage.aspx?stoneid=371342695"," Video ")</f>
        <v xml:space="preserve"> Video </v>
      </c>
    </row>
    <row r="29" spans="1:42">
      <c r="A29" s="4" t="str">
        <f>HYPERLINK("https://4e0s0i2r4n0u1s0.com/clientvideo/viewdetail.html?StoneNo=F3425"," DNA ")</f>
        <v xml:space="preserve"> DNA </v>
      </c>
      <c r="B29" s="5" t="s">
        <v>42</v>
      </c>
      <c r="C29" s="5" t="s">
        <v>62</v>
      </c>
      <c r="D29" s="5" t="s">
        <v>94</v>
      </c>
      <c r="E29" s="5" t="s">
        <v>93</v>
      </c>
      <c r="F29" s="8" t="s">
        <v>45</v>
      </c>
      <c r="G29" s="5" t="s">
        <v>46</v>
      </c>
      <c r="H29" s="5">
        <v>2225586799</v>
      </c>
      <c r="I29" s="5" t="s">
        <v>47</v>
      </c>
      <c r="J29" s="5" t="s">
        <v>48</v>
      </c>
      <c r="K29" s="5" t="s">
        <v>49</v>
      </c>
      <c r="L29" s="10">
        <v>8.11</v>
      </c>
      <c r="M29" s="10">
        <v>85000</v>
      </c>
      <c r="N29" s="10">
        <v>689350</v>
      </c>
      <c r="O29" s="14">
        <v>-12.16</v>
      </c>
      <c r="P29" s="14">
        <v>605525.04</v>
      </c>
      <c r="Q29" s="10">
        <v>74664</v>
      </c>
      <c r="R29" s="5"/>
      <c r="S29" s="5"/>
      <c r="T29" s="5"/>
      <c r="U29" s="5" t="s">
        <v>60</v>
      </c>
      <c r="V29" s="5" t="s">
        <v>51</v>
      </c>
      <c r="W29" s="5" t="s">
        <v>51</v>
      </c>
      <c r="X29" s="13" t="s">
        <v>52</v>
      </c>
      <c r="Y29" s="13">
        <v>20.170000000000002</v>
      </c>
      <c r="Z29" s="13">
        <v>10.72</v>
      </c>
      <c r="AA29" s="13">
        <v>6.48</v>
      </c>
      <c r="AB29" s="13">
        <v>60.5</v>
      </c>
      <c r="AC29" s="5">
        <v>62</v>
      </c>
      <c r="AD29" s="5" t="s">
        <v>53</v>
      </c>
      <c r="AE29" s="5" t="s">
        <v>53</v>
      </c>
      <c r="AF29" s="5" t="s">
        <v>54</v>
      </c>
      <c r="AG29" s="5" t="s">
        <v>54</v>
      </c>
      <c r="AH29" s="13" t="s">
        <v>54</v>
      </c>
      <c r="AI29" s="13">
        <v>0</v>
      </c>
      <c r="AJ29" s="13">
        <v>0</v>
      </c>
      <c r="AK29" s="13">
        <v>0</v>
      </c>
      <c r="AL29" s="5">
        <v>0</v>
      </c>
      <c r="AM29" s="5" t="s">
        <v>55</v>
      </c>
      <c r="AN29" s="5" t="s">
        <v>56</v>
      </c>
      <c r="AO29" s="5"/>
      <c r="AP29" s="4" t="str">
        <f>HYPERLINK("https://4e0s0i2r4n0u1s0.com/ViewVideoMp4.aspx?seqno=358002741"," Video ")</f>
        <v xml:space="preserve"> Video </v>
      </c>
    </row>
    <row r="30" spans="1:42">
      <c r="A30" s="4" t="str">
        <f>HYPERLINK("https://4e0s0i2r4n0u1s0.com/clientvideo/viewdetail.html?StoneNo=F3149"," DNA ")</f>
        <v xml:space="preserve"> DNA </v>
      </c>
      <c r="B30" s="5" t="s">
        <v>42</v>
      </c>
      <c r="C30" s="5" t="s">
        <v>43</v>
      </c>
      <c r="D30" s="5" t="s">
        <v>95</v>
      </c>
      <c r="E30" s="5" t="s">
        <v>96</v>
      </c>
      <c r="F30" s="8" t="s">
        <v>45</v>
      </c>
      <c r="G30" s="5" t="s">
        <v>46</v>
      </c>
      <c r="H30" s="5">
        <v>6227592293</v>
      </c>
      <c r="I30" s="5" t="s">
        <v>47</v>
      </c>
      <c r="J30" s="5" t="s">
        <v>48</v>
      </c>
      <c r="K30" s="5" t="s">
        <v>49</v>
      </c>
      <c r="L30" s="10">
        <v>10.210000000000001</v>
      </c>
      <c r="M30" s="10">
        <v>150000</v>
      </c>
      <c r="N30" s="10">
        <v>1531500</v>
      </c>
      <c r="O30" s="14">
        <v>-41</v>
      </c>
      <c r="P30" s="14">
        <v>903585</v>
      </c>
      <c r="Q30" s="10">
        <v>88500</v>
      </c>
      <c r="R30" s="5"/>
      <c r="S30" s="5"/>
      <c r="T30" s="5"/>
      <c r="U30" s="5" t="s">
        <v>60</v>
      </c>
      <c r="V30" s="5" t="s">
        <v>51</v>
      </c>
      <c r="W30" s="5" t="s">
        <v>51</v>
      </c>
      <c r="X30" s="13" t="s">
        <v>52</v>
      </c>
      <c r="Y30" s="13">
        <v>18.170000000000002</v>
      </c>
      <c r="Z30" s="13">
        <v>12.25</v>
      </c>
      <c r="AA30" s="13">
        <v>7.3</v>
      </c>
      <c r="AB30" s="13">
        <v>59.6</v>
      </c>
      <c r="AC30" s="5">
        <v>59</v>
      </c>
      <c r="AD30" s="5" t="s">
        <v>53</v>
      </c>
      <c r="AE30" s="5" t="s">
        <v>53</v>
      </c>
      <c r="AF30" s="5" t="s">
        <v>54</v>
      </c>
      <c r="AG30" s="5" t="s">
        <v>54</v>
      </c>
      <c r="AH30" s="13" t="s">
        <v>54</v>
      </c>
      <c r="AI30" s="13">
        <v>0</v>
      </c>
      <c r="AJ30" s="13">
        <v>0</v>
      </c>
      <c r="AK30" s="13">
        <v>0</v>
      </c>
      <c r="AL30" s="5">
        <v>0</v>
      </c>
      <c r="AM30" s="5" t="s">
        <v>55</v>
      </c>
      <c r="AN30" s="5" t="s">
        <v>56</v>
      </c>
      <c r="AO30" s="4" t="str">
        <f>HYPERLINK("https://4e0s0i2r4n0u1s0.com/img/6227592293/PR.jpg"," Image ")</f>
        <v xml:space="preserve"> Image </v>
      </c>
      <c r="AP30" s="4" t="str">
        <f>HYPERLINK("https://4e0s0i2r4n0u1s0.com/ViewVideoMp4.aspx?seqno=331632850"," Video ")</f>
        <v xml:space="preserve"> Video </v>
      </c>
    </row>
    <row r="31" spans="1:42">
      <c r="A31" s="4" t="str">
        <f>HYPERLINK("https://4e0s0i2r4n0u1s0.com/clientvideo/viewdetail.html?StoneNo=F3150"," DNA ")</f>
        <v xml:space="preserve"> DNA </v>
      </c>
      <c r="B31" s="5" t="s">
        <v>42</v>
      </c>
      <c r="C31" s="5" t="s">
        <v>43</v>
      </c>
      <c r="D31" s="5" t="s">
        <v>97</v>
      </c>
      <c r="E31" s="5" t="s">
        <v>96</v>
      </c>
      <c r="F31" s="8" t="s">
        <v>45</v>
      </c>
      <c r="G31" s="5" t="s">
        <v>46</v>
      </c>
      <c r="H31" s="5">
        <v>6224592296</v>
      </c>
      <c r="I31" s="5" t="s">
        <v>47</v>
      </c>
      <c r="J31" s="5" t="s">
        <v>48</v>
      </c>
      <c r="K31" s="5" t="s">
        <v>49</v>
      </c>
      <c r="L31" s="10">
        <v>10.27</v>
      </c>
      <c r="M31" s="10">
        <v>150000</v>
      </c>
      <c r="N31" s="10">
        <v>1540500</v>
      </c>
      <c r="O31" s="14">
        <v>-36</v>
      </c>
      <c r="P31" s="14">
        <v>985920</v>
      </c>
      <c r="Q31" s="10">
        <v>96000</v>
      </c>
      <c r="R31" s="5"/>
      <c r="S31" s="5"/>
      <c r="T31" s="5"/>
      <c r="U31" s="5" t="s">
        <v>60</v>
      </c>
      <c r="V31" s="5" t="s">
        <v>51</v>
      </c>
      <c r="W31" s="5" t="s">
        <v>51</v>
      </c>
      <c r="X31" s="13" t="s">
        <v>52</v>
      </c>
      <c r="Y31" s="13">
        <v>18.13</v>
      </c>
      <c r="Z31" s="13">
        <v>12.18</v>
      </c>
      <c r="AA31" s="13">
        <v>7.27</v>
      </c>
      <c r="AB31" s="13">
        <v>59.7</v>
      </c>
      <c r="AC31" s="5">
        <v>59</v>
      </c>
      <c r="AD31" s="5" t="s">
        <v>53</v>
      </c>
      <c r="AE31" s="5" t="s">
        <v>53</v>
      </c>
      <c r="AF31" s="5" t="s">
        <v>54</v>
      </c>
      <c r="AG31" s="5" t="s">
        <v>54</v>
      </c>
      <c r="AH31" s="13" t="s">
        <v>54</v>
      </c>
      <c r="AI31" s="13">
        <v>0</v>
      </c>
      <c r="AJ31" s="13">
        <v>0</v>
      </c>
      <c r="AK31" s="13">
        <v>0</v>
      </c>
      <c r="AL31" s="5">
        <v>0</v>
      </c>
      <c r="AM31" s="5" t="s">
        <v>55</v>
      </c>
      <c r="AN31" s="5" t="s">
        <v>56</v>
      </c>
      <c r="AO31" s="5"/>
      <c r="AP31" s="5"/>
    </row>
    <row r="32" spans="1:42">
      <c r="A32" s="4" t="str">
        <f>HYPERLINK("https://4e0s0i2r4n0u1s0.com/clientvideo/viewdetail.html?StoneNo=F3104"," DNA ")</f>
        <v xml:space="preserve"> DNA </v>
      </c>
      <c r="B32" s="5" t="s">
        <v>42</v>
      </c>
      <c r="C32" s="5" t="s">
        <v>43</v>
      </c>
      <c r="D32" s="5" t="s">
        <v>98</v>
      </c>
      <c r="E32" s="5" t="s">
        <v>96</v>
      </c>
      <c r="F32" s="8" t="s">
        <v>45</v>
      </c>
      <c r="G32" s="5" t="s">
        <v>46</v>
      </c>
      <c r="H32" s="5">
        <v>5222444203</v>
      </c>
      <c r="I32" s="5" t="s">
        <v>47</v>
      </c>
      <c r="J32" s="5" t="s">
        <v>48</v>
      </c>
      <c r="K32" s="5" t="s">
        <v>49</v>
      </c>
      <c r="L32" s="10">
        <v>5.09</v>
      </c>
      <c r="M32" s="10">
        <v>85000</v>
      </c>
      <c r="N32" s="10">
        <v>432650</v>
      </c>
      <c r="O32" s="14">
        <v>-29</v>
      </c>
      <c r="P32" s="14">
        <v>307181.5</v>
      </c>
      <c r="Q32" s="10">
        <v>60350</v>
      </c>
      <c r="R32" s="5"/>
      <c r="S32" s="5"/>
      <c r="T32" s="5"/>
      <c r="U32" s="5" t="s">
        <v>60</v>
      </c>
      <c r="V32" s="5" t="s">
        <v>51</v>
      </c>
      <c r="W32" s="5" t="s">
        <v>51</v>
      </c>
      <c r="X32" s="13" t="s">
        <v>52</v>
      </c>
      <c r="Y32" s="13">
        <v>14.52</v>
      </c>
      <c r="Z32" s="13">
        <v>9.4</v>
      </c>
      <c r="AA32" s="13">
        <v>5.85</v>
      </c>
      <c r="AB32" s="13">
        <v>62.3</v>
      </c>
      <c r="AC32" s="5">
        <v>57</v>
      </c>
      <c r="AD32" s="5" t="s">
        <v>53</v>
      </c>
      <c r="AE32" s="5" t="s">
        <v>59</v>
      </c>
      <c r="AF32" s="5" t="s">
        <v>60</v>
      </c>
      <c r="AG32" s="5" t="s">
        <v>59</v>
      </c>
      <c r="AH32" s="13" t="s">
        <v>60</v>
      </c>
      <c r="AI32" s="13">
        <v>0</v>
      </c>
      <c r="AJ32" s="13">
        <v>0</v>
      </c>
      <c r="AK32" s="13">
        <v>0</v>
      </c>
      <c r="AL32" s="5">
        <v>0</v>
      </c>
      <c r="AM32" s="5" t="s">
        <v>55</v>
      </c>
      <c r="AN32" s="5" t="s">
        <v>56</v>
      </c>
      <c r="AO32" s="4" t="str">
        <f>HYPERLINK("https://4e0s0i2r4n0u1s0.com/img/5222444203/PR.jpg"," Image ")</f>
        <v xml:space="preserve"> Image </v>
      </c>
      <c r="AP32" s="4" t="str">
        <f>HYPERLINK("https://4e0s0i2r4n0u1s0.com/ViewHDImage.aspx?stoneid=325543443"," Video ")</f>
        <v xml:space="preserve"> Video </v>
      </c>
    </row>
    <row r="33" spans="1:42">
      <c r="A33" s="4" t="str">
        <f>HYPERLINK("https://4e0s0i2r4n0u1s0.com/clientvideo/viewdetail.html?StoneNo=F3831"," DNA ")</f>
        <v xml:space="preserve"> DNA </v>
      </c>
      <c r="B33" s="5" t="s">
        <v>42</v>
      </c>
      <c r="C33" s="5" t="s">
        <v>43</v>
      </c>
      <c r="D33" s="5" t="s">
        <v>99</v>
      </c>
      <c r="E33" s="5" t="s">
        <v>96</v>
      </c>
      <c r="F33" s="8" t="s">
        <v>45</v>
      </c>
      <c r="G33" s="5" t="s">
        <v>46</v>
      </c>
      <c r="H33" s="5">
        <v>2221662228</v>
      </c>
      <c r="I33" s="5" t="s">
        <v>47</v>
      </c>
      <c r="J33" s="5" t="s">
        <v>48</v>
      </c>
      <c r="K33" s="5" t="s">
        <v>49</v>
      </c>
      <c r="L33" s="10">
        <v>4.09</v>
      </c>
      <c r="M33" s="10">
        <v>56500</v>
      </c>
      <c r="N33" s="10">
        <v>231085</v>
      </c>
      <c r="O33" s="14">
        <v>-28.03</v>
      </c>
      <c r="P33" s="14">
        <v>166311.87</v>
      </c>
      <c r="Q33" s="10">
        <v>40663.050000000003</v>
      </c>
      <c r="R33" s="5"/>
      <c r="S33" s="5"/>
      <c r="T33" s="5"/>
      <c r="U33" s="5" t="s">
        <v>60</v>
      </c>
      <c r="V33" s="5" t="s">
        <v>51</v>
      </c>
      <c r="W33" s="5" t="s">
        <v>51</v>
      </c>
      <c r="X33" s="13" t="s">
        <v>52</v>
      </c>
      <c r="Y33" s="13">
        <v>13.36</v>
      </c>
      <c r="Z33" s="13">
        <v>8.8000000000000007</v>
      </c>
      <c r="AA33" s="13">
        <v>5.33</v>
      </c>
      <c r="AB33" s="13">
        <v>60.5</v>
      </c>
      <c r="AC33" s="5">
        <v>57</v>
      </c>
      <c r="AD33" s="5" t="s">
        <v>53</v>
      </c>
      <c r="AE33" s="5" t="s">
        <v>59</v>
      </c>
      <c r="AF33" s="5" t="s">
        <v>59</v>
      </c>
      <c r="AG33" s="5" t="s">
        <v>59</v>
      </c>
      <c r="AH33" s="13" t="s">
        <v>59</v>
      </c>
      <c r="AI33" s="13">
        <v>0</v>
      </c>
      <c r="AJ33" s="13">
        <v>0</v>
      </c>
      <c r="AK33" s="13">
        <v>0</v>
      </c>
      <c r="AL33" s="5">
        <v>0</v>
      </c>
      <c r="AM33" s="5" t="s">
        <v>55</v>
      </c>
      <c r="AN33" s="5" t="s">
        <v>56</v>
      </c>
      <c r="AO33" s="4" t="str">
        <f>HYPERLINK("https://4e0s0i2r4n0u1s0.com/img/2221662228/PR.jpg"," Image ")</f>
        <v xml:space="preserve"> Image </v>
      </c>
      <c r="AP33" s="4" t="str">
        <f>HYPERLINK("https://4e0s0i2r4n0u1s0.com/ViewHDImage.aspx?stoneid=406574685"," Video ")</f>
        <v xml:space="preserve"> Video </v>
      </c>
    </row>
    <row r="34" spans="1:42">
      <c r="A34" s="4" t="str">
        <f>HYPERLINK("https://4e0s0i2r4n0u1s0.com/clientvideo/viewdetail.html?StoneNo=F3510"," DNA ")</f>
        <v xml:space="preserve"> DNA </v>
      </c>
      <c r="B34" s="5" t="s">
        <v>42</v>
      </c>
      <c r="C34" s="5" t="s">
        <v>43</v>
      </c>
      <c r="D34" s="5" t="s">
        <v>100</v>
      </c>
      <c r="E34" s="5" t="s">
        <v>96</v>
      </c>
      <c r="F34" s="8" t="s">
        <v>45</v>
      </c>
      <c r="G34" s="5" t="s">
        <v>46</v>
      </c>
      <c r="H34" s="5">
        <v>5443978926</v>
      </c>
      <c r="I34" s="5" t="s">
        <v>47</v>
      </c>
      <c r="J34" s="5" t="s">
        <v>48</v>
      </c>
      <c r="K34" s="5" t="s">
        <v>49</v>
      </c>
      <c r="L34" s="10">
        <v>3.11</v>
      </c>
      <c r="M34" s="10">
        <v>46000</v>
      </c>
      <c r="N34" s="10">
        <v>143060</v>
      </c>
      <c r="O34" s="14">
        <v>-27.14</v>
      </c>
      <c r="P34" s="14">
        <v>104233.52</v>
      </c>
      <c r="Q34" s="10">
        <v>33515.599999999999</v>
      </c>
      <c r="R34" s="5"/>
      <c r="S34" s="5"/>
      <c r="T34" s="5"/>
      <c r="U34" s="5" t="s">
        <v>60</v>
      </c>
      <c r="V34" s="5" t="s">
        <v>51</v>
      </c>
      <c r="W34" s="5" t="s">
        <v>51</v>
      </c>
      <c r="X34" s="13" t="s">
        <v>52</v>
      </c>
      <c r="Y34" s="13">
        <v>13.12</v>
      </c>
      <c r="Z34" s="13">
        <v>7.98</v>
      </c>
      <c r="AA34" s="13">
        <v>4.6399999999999997</v>
      </c>
      <c r="AB34" s="13">
        <v>58.1</v>
      </c>
      <c r="AC34" s="5">
        <v>62</v>
      </c>
      <c r="AD34" s="5" t="s">
        <v>53</v>
      </c>
      <c r="AE34" s="5" t="s">
        <v>53</v>
      </c>
      <c r="AF34" s="5" t="s">
        <v>54</v>
      </c>
      <c r="AG34" s="5" t="s">
        <v>54</v>
      </c>
      <c r="AH34" s="13" t="s">
        <v>54</v>
      </c>
      <c r="AI34" s="13">
        <v>0</v>
      </c>
      <c r="AJ34" s="13">
        <v>0</v>
      </c>
      <c r="AK34" s="13">
        <v>0</v>
      </c>
      <c r="AL34" s="5">
        <v>0</v>
      </c>
      <c r="AM34" s="5" t="s">
        <v>55</v>
      </c>
      <c r="AN34" s="5" t="s">
        <v>56</v>
      </c>
      <c r="AO34" s="4" t="str">
        <f>HYPERLINK("https://4e0s0i2r4n0u1s0.com/img/5443978926/PR.jpg"," Image ")</f>
        <v xml:space="preserve"> Image </v>
      </c>
      <c r="AP34" s="4" t="str">
        <f>HYPERLINK("https://4e0s0i2r4n0u1s0.com/ViewHDImage.aspx?stoneid=369025123"," Video ")</f>
        <v xml:space="preserve"> Video </v>
      </c>
    </row>
    <row r="35" spans="1:42">
      <c r="A35" s="4" t="str">
        <f>HYPERLINK("https://4e0s0i2r4n0u1s0.com/clientvideo/viewdetail.html?StoneNo=F3511"," DNA ")</f>
        <v xml:space="preserve"> DNA </v>
      </c>
      <c r="B35" s="5" t="s">
        <v>42</v>
      </c>
      <c r="C35" s="5" t="s">
        <v>43</v>
      </c>
      <c r="D35" s="5" t="s">
        <v>101</v>
      </c>
      <c r="E35" s="5" t="s">
        <v>96</v>
      </c>
      <c r="F35" s="8" t="s">
        <v>45</v>
      </c>
      <c r="G35" s="5" t="s">
        <v>46</v>
      </c>
      <c r="H35" s="5">
        <v>1458094281</v>
      </c>
      <c r="I35" s="5" t="s">
        <v>47</v>
      </c>
      <c r="J35" s="5" t="s">
        <v>48</v>
      </c>
      <c r="K35" s="5" t="s">
        <v>49</v>
      </c>
      <c r="L35" s="10">
        <v>3.3</v>
      </c>
      <c r="M35" s="10">
        <v>46000</v>
      </c>
      <c r="N35" s="10">
        <v>151800</v>
      </c>
      <c r="O35" s="14">
        <v>-25.04</v>
      </c>
      <c r="P35" s="14">
        <v>113789.28</v>
      </c>
      <c r="Q35" s="10">
        <v>34481.599999999999</v>
      </c>
      <c r="R35" s="5"/>
      <c r="S35" s="5"/>
      <c r="T35" s="5"/>
      <c r="U35" s="5" t="s">
        <v>60</v>
      </c>
      <c r="V35" s="5" t="s">
        <v>51</v>
      </c>
      <c r="W35" s="5" t="s">
        <v>51</v>
      </c>
      <c r="X35" s="13" t="s">
        <v>52</v>
      </c>
      <c r="Y35" s="13">
        <v>13.26</v>
      </c>
      <c r="Z35" s="13">
        <v>8.11</v>
      </c>
      <c r="AA35" s="13">
        <v>4.76</v>
      </c>
      <c r="AB35" s="13">
        <v>58.7</v>
      </c>
      <c r="AC35" s="5">
        <v>60</v>
      </c>
      <c r="AD35" s="5" t="s">
        <v>53</v>
      </c>
      <c r="AE35" s="5" t="s">
        <v>53</v>
      </c>
      <c r="AF35" s="5" t="s">
        <v>54</v>
      </c>
      <c r="AG35" s="5" t="s">
        <v>54</v>
      </c>
      <c r="AH35" s="13" t="s">
        <v>54</v>
      </c>
      <c r="AI35" s="13">
        <v>0</v>
      </c>
      <c r="AJ35" s="13">
        <v>0</v>
      </c>
      <c r="AK35" s="13">
        <v>0</v>
      </c>
      <c r="AL35" s="5">
        <v>0</v>
      </c>
      <c r="AM35" s="5" t="s">
        <v>55</v>
      </c>
      <c r="AN35" s="5" t="s">
        <v>56</v>
      </c>
      <c r="AO35" s="4" t="str">
        <f>HYPERLINK("https://4e0s0i2r4n0u1s0.com/img/1458094281/PR.jpg"," Image ")</f>
        <v xml:space="preserve"> Image </v>
      </c>
      <c r="AP35" s="4" t="str">
        <f>HYPERLINK("https://4e0s0i2r4n0u1s0.com/ViewHDImage.aspx?stoneid=369025124"," Video ")</f>
        <v xml:space="preserve"> Video </v>
      </c>
    </row>
    <row r="36" spans="1:42">
      <c r="A36" s="4" t="str">
        <f>HYPERLINK("https://4e0s0i2r4n0u1s0.com/clientvideo/viewdetail.html?StoneNo=F2657"," DNA ")</f>
        <v xml:space="preserve"> DNA </v>
      </c>
      <c r="B36" s="5" t="s">
        <v>42</v>
      </c>
      <c r="C36" s="5" t="s">
        <v>62</v>
      </c>
      <c r="D36" s="5" t="s">
        <v>102</v>
      </c>
      <c r="E36" s="5" t="s">
        <v>96</v>
      </c>
      <c r="F36" s="8" t="s">
        <v>45</v>
      </c>
      <c r="G36" s="5" t="s">
        <v>46</v>
      </c>
      <c r="H36" s="5">
        <v>5222049568</v>
      </c>
      <c r="I36" s="5" t="s">
        <v>47</v>
      </c>
      <c r="J36" s="5" t="s">
        <v>48</v>
      </c>
      <c r="K36" s="5" t="s">
        <v>103</v>
      </c>
      <c r="L36" s="10">
        <v>5.01</v>
      </c>
      <c r="M36" s="10">
        <v>60500</v>
      </c>
      <c r="N36" s="10">
        <v>303105</v>
      </c>
      <c r="O36" s="14">
        <v>-31</v>
      </c>
      <c r="P36" s="14">
        <v>209142.45</v>
      </c>
      <c r="Q36" s="10">
        <v>41745</v>
      </c>
      <c r="R36" s="5"/>
      <c r="S36" s="5"/>
      <c r="T36" s="5"/>
      <c r="U36" s="5" t="s">
        <v>60</v>
      </c>
      <c r="V36" s="5" t="s">
        <v>51</v>
      </c>
      <c r="W36" s="5" t="s">
        <v>51</v>
      </c>
      <c r="X36" s="13" t="s">
        <v>52</v>
      </c>
      <c r="Y36" s="13">
        <v>14.04</v>
      </c>
      <c r="Z36" s="13">
        <v>9.17</v>
      </c>
      <c r="AA36" s="13">
        <v>5.65</v>
      </c>
      <c r="AB36" s="13">
        <v>61.6</v>
      </c>
      <c r="AC36" s="5">
        <v>60</v>
      </c>
      <c r="AD36" s="5" t="s">
        <v>104</v>
      </c>
      <c r="AE36" s="5" t="s">
        <v>67</v>
      </c>
      <c r="AF36" s="5" t="s">
        <v>59</v>
      </c>
      <c r="AG36" s="5" t="s">
        <v>59</v>
      </c>
      <c r="AH36" s="13" t="s">
        <v>59</v>
      </c>
      <c r="AI36" s="13">
        <v>0</v>
      </c>
      <c r="AJ36" s="13">
        <v>0</v>
      </c>
      <c r="AK36" s="13">
        <v>0</v>
      </c>
      <c r="AL36" s="5">
        <v>0</v>
      </c>
      <c r="AM36" s="5" t="s">
        <v>55</v>
      </c>
      <c r="AN36" s="5" t="s">
        <v>56</v>
      </c>
      <c r="AO36" s="4" t="str">
        <f>HYPERLINK("https://4e0s0i2r4n0u1s0.com/img/5222049568/PR.jpg"," Image ")</f>
        <v xml:space="preserve"> Image </v>
      </c>
      <c r="AP36" s="4" t="str">
        <f>HYPERLINK("https://4e0s0i2r4n0u1s0.com/ViewHDImage.aspx?stoneid=276552360"," Video ")</f>
        <v xml:space="preserve"> Video </v>
      </c>
    </row>
    <row r="37" spans="1:42">
      <c r="A37" s="4" t="str">
        <f>HYPERLINK("https://4e0s0i2r4n0u1s0.com/clientvideo/viewdetail.html?StoneNo=F2058"," DNA ")</f>
        <v xml:space="preserve"> DNA </v>
      </c>
      <c r="B37" s="5" t="s">
        <v>42</v>
      </c>
      <c r="C37" s="5" t="s">
        <v>43</v>
      </c>
      <c r="D37" s="5" t="s">
        <v>105</v>
      </c>
      <c r="E37" s="5" t="s">
        <v>96</v>
      </c>
      <c r="F37" s="8" t="s">
        <v>45</v>
      </c>
      <c r="G37" s="5" t="s">
        <v>46</v>
      </c>
      <c r="H37" s="5">
        <v>2416421702</v>
      </c>
      <c r="I37" s="5" t="s">
        <v>47</v>
      </c>
      <c r="J37" s="5" t="s">
        <v>48</v>
      </c>
      <c r="K37" s="5" t="s">
        <v>65</v>
      </c>
      <c r="L37" s="10">
        <v>5.01</v>
      </c>
      <c r="M37" s="10">
        <v>51500</v>
      </c>
      <c r="N37" s="10">
        <v>258015</v>
      </c>
      <c r="O37" s="14">
        <v>-28</v>
      </c>
      <c r="P37" s="14">
        <v>185770.8</v>
      </c>
      <c r="Q37" s="10">
        <v>37080</v>
      </c>
      <c r="R37" s="5"/>
      <c r="S37" s="5"/>
      <c r="T37" s="5"/>
      <c r="U37" s="5" t="s">
        <v>60</v>
      </c>
      <c r="V37" s="5" t="s">
        <v>51</v>
      </c>
      <c r="W37" s="5" t="s">
        <v>51</v>
      </c>
      <c r="X37" s="13" t="s">
        <v>52</v>
      </c>
      <c r="Y37" s="13">
        <v>14.36</v>
      </c>
      <c r="Z37" s="13">
        <v>9.1</v>
      </c>
      <c r="AA37" s="13">
        <v>5.64</v>
      </c>
      <c r="AB37" s="13">
        <v>62</v>
      </c>
      <c r="AC37" s="5">
        <v>57</v>
      </c>
      <c r="AD37" s="5" t="s">
        <v>71</v>
      </c>
      <c r="AE37" s="5" t="s">
        <v>67</v>
      </c>
      <c r="AF37" s="5" t="s">
        <v>68</v>
      </c>
      <c r="AG37" s="5" t="s">
        <v>59</v>
      </c>
      <c r="AH37" s="13" t="s">
        <v>106</v>
      </c>
      <c r="AI37" s="13">
        <v>0</v>
      </c>
      <c r="AJ37" s="13">
        <v>0</v>
      </c>
      <c r="AK37" s="13">
        <v>0</v>
      </c>
      <c r="AL37" s="5">
        <v>0</v>
      </c>
      <c r="AM37" s="5" t="s">
        <v>55</v>
      </c>
      <c r="AN37" s="5" t="s">
        <v>56</v>
      </c>
      <c r="AO37" s="4" t="str">
        <f>HYPERLINK("https://4e0s0i2r4n0u1s0.com/img/2416421702/PR.jpg"," Image ")</f>
        <v xml:space="preserve"> Image </v>
      </c>
      <c r="AP37" s="4" t="str">
        <f>HYPERLINK("https://4e0s0i2r4n0u1s0.com/ViewHDImage.aspx?stoneid=214696492"," Video ")</f>
        <v xml:space="preserve"> Video </v>
      </c>
    </row>
    <row r="38" spans="1:42">
      <c r="A38" s="4" t="str">
        <f>HYPERLINK("https://4e0s0i2r4n0u1s0.com/clientvideo/viewdetail.html?StoneNo=F3728"," DNA ")</f>
        <v xml:space="preserve"> DNA </v>
      </c>
      <c r="B38" s="5" t="s">
        <v>42</v>
      </c>
      <c r="C38" s="5" t="s">
        <v>43</v>
      </c>
      <c r="D38" s="5" t="s">
        <v>107</v>
      </c>
      <c r="E38" s="5" t="s">
        <v>96</v>
      </c>
      <c r="F38" s="8" t="s">
        <v>45</v>
      </c>
      <c r="G38" s="5" t="s">
        <v>46</v>
      </c>
      <c r="H38" s="5">
        <v>5222778908</v>
      </c>
      <c r="I38" s="5" t="s">
        <v>47</v>
      </c>
      <c r="J38" s="5" t="s">
        <v>70</v>
      </c>
      <c r="K38" s="5" t="s">
        <v>103</v>
      </c>
      <c r="L38" s="10">
        <v>8.1</v>
      </c>
      <c r="M38" s="10">
        <v>56000</v>
      </c>
      <c r="N38" s="10">
        <v>453600</v>
      </c>
      <c r="O38" s="14">
        <v>-9</v>
      </c>
      <c r="P38" s="14">
        <v>412776</v>
      </c>
      <c r="Q38" s="10">
        <v>50960</v>
      </c>
      <c r="R38" s="5"/>
      <c r="S38" s="5"/>
      <c r="T38" s="5"/>
      <c r="U38" s="5" t="s">
        <v>60</v>
      </c>
      <c r="V38" s="5" t="s">
        <v>51</v>
      </c>
      <c r="W38" s="5" t="s">
        <v>51</v>
      </c>
      <c r="X38" s="13" t="s">
        <v>52</v>
      </c>
      <c r="Y38" s="13">
        <v>11.16</v>
      </c>
      <c r="Z38" s="13">
        <v>15.42</v>
      </c>
      <c r="AA38" s="13">
        <v>7.2</v>
      </c>
      <c r="AB38" s="13">
        <v>64.5</v>
      </c>
      <c r="AC38" s="5">
        <v>55</v>
      </c>
      <c r="AD38" s="5" t="s">
        <v>108</v>
      </c>
      <c r="AE38" s="5" t="s">
        <v>67</v>
      </c>
      <c r="AF38" s="5" t="s">
        <v>60</v>
      </c>
      <c r="AG38" s="5" t="s">
        <v>109</v>
      </c>
      <c r="AH38" s="13" t="s">
        <v>60</v>
      </c>
      <c r="AI38" s="13">
        <v>0</v>
      </c>
      <c r="AJ38" s="13">
        <v>0</v>
      </c>
      <c r="AK38" s="13">
        <v>0</v>
      </c>
      <c r="AL38" s="5">
        <v>0</v>
      </c>
      <c r="AM38" s="5" t="s">
        <v>55</v>
      </c>
      <c r="AN38" s="5" t="s">
        <v>56</v>
      </c>
      <c r="AO38" s="4" t="str">
        <f>HYPERLINK("https://4e0s0i2r4n0u1s0.com/img/5222778908/PR.jpg"," Image ")</f>
        <v xml:space="preserve"> Image </v>
      </c>
      <c r="AP38" s="4" t="str">
        <f>HYPERLINK("https://4e0s0i2r4n0u1s0.com/ViewHDImage.aspx?stoneid=397603598"," Video ")</f>
        <v xml:space="preserve"> Video </v>
      </c>
    </row>
    <row r="39" spans="1:42">
      <c r="A39" s="4" t="str">
        <f>HYPERLINK("https://4e0s0i2r4n0u1s0.com/clientvideo/viewdetail.html?StoneNo=F3557"," DNA ")</f>
        <v xml:space="preserve"> DNA </v>
      </c>
      <c r="B39" s="5" t="s">
        <v>42</v>
      </c>
      <c r="C39" s="5" t="s">
        <v>43</v>
      </c>
      <c r="D39" s="5" t="s">
        <v>110</v>
      </c>
      <c r="E39" s="5" t="s">
        <v>96</v>
      </c>
      <c r="F39" s="8" t="s">
        <v>45</v>
      </c>
      <c r="G39" s="5" t="s">
        <v>46</v>
      </c>
      <c r="H39" s="5">
        <v>7441911469</v>
      </c>
      <c r="I39" s="5" t="s">
        <v>47</v>
      </c>
      <c r="J39" s="5" t="s">
        <v>73</v>
      </c>
      <c r="K39" s="5" t="s">
        <v>79</v>
      </c>
      <c r="L39" s="10">
        <v>5.51</v>
      </c>
      <c r="M39" s="10">
        <v>60500</v>
      </c>
      <c r="N39" s="10">
        <v>333355</v>
      </c>
      <c r="O39" s="14">
        <v>-38.19</v>
      </c>
      <c r="P39" s="14">
        <v>206046.73</v>
      </c>
      <c r="Q39" s="10">
        <v>37395.050000000003</v>
      </c>
      <c r="R39" s="5"/>
      <c r="S39" s="5"/>
      <c r="T39" s="5"/>
      <c r="U39" s="5" t="s">
        <v>60</v>
      </c>
      <c r="V39" s="5" t="s">
        <v>51</v>
      </c>
      <c r="W39" s="5" t="s">
        <v>51</v>
      </c>
      <c r="X39" s="13" t="s">
        <v>52</v>
      </c>
      <c r="Y39" s="13">
        <v>14.55</v>
      </c>
      <c r="Z39" s="13">
        <v>9.2799999999999994</v>
      </c>
      <c r="AA39" s="13">
        <v>5.98</v>
      </c>
      <c r="AB39" s="13">
        <v>64.400000000000006</v>
      </c>
      <c r="AC39" s="5">
        <v>59</v>
      </c>
      <c r="AD39" s="5" t="s">
        <v>53</v>
      </c>
      <c r="AE39" s="5" t="s">
        <v>59</v>
      </c>
      <c r="AF39" s="5" t="s">
        <v>59</v>
      </c>
      <c r="AG39" s="5" t="s">
        <v>59</v>
      </c>
      <c r="AH39" s="13" t="s">
        <v>59</v>
      </c>
      <c r="AI39" s="13">
        <v>0</v>
      </c>
      <c r="AJ39" s="13">
        <v>0</v>
      </c>
      <c r="AK39" s="13">
        <v>0</v>
      </c>
      <c r="AL39" s="5">
        <v>0</v>
      </c>
      <c r="AM39" s="5" t="s">
        <v>55</v>
      </c>
      <c r="AN39" s="5" t="s">
        <v>56</v>
      </c>
      <c r="AO39" s="4" t="str">
        <f>HYPERLINK("https://4e0s0i2r4n0u1s0.com/img/7441911469/PR.jpg"," Image ")</f>
        <v xml:space="preserve"> Image </v>
      </c>
      <c r="AP39" s="4" t="str">
        <f>HYPERLINK("https://4e0s0i2r4n0u1s0.com/ViewHDImage.aspx?stoneid=372861753"," Video ")</f>
        <v xml:space="preserve"> Video </v>
      </c>
    </row>
    <row r="40" spans="1:42">
      <c r="A40" s="4" t="str">
        <f>HYPERLINK("https://4e0s0i2r4n0u1s0.com/clientvideo/viewdetail.html?StoneNo=F3866"," DNA ")</f>
        <v xml:space="preserve"> DNA </v>
      </c>
      <c r="B40" s="5" t="s">
        <v>42</v>
      </c>
      <c r="C40" s="5" t="s">
        <v>43</v>
      </c>
      <c r="D40" s="5" t="s">
        <v>111</v>
      </c>
      <c r="E40" s="5" t="s">
        <v>96</v>
      </c>
      <c r="F40" s="8" t="s">
        <v>45</v>
      </c>
      <c r="G40" s="5" t="s">
        <v>46</v>
      </c>
      <c r="H40" s="5">
        <v>5222774733</v>
      </c>
      <c r="I40" s="5" t="s">
        <v>47</v>
      </c>
      <c r="J40" s="5" t="s">
        <v>78</v>
      </c>
      <c r="K40" s="5" t="s">
        <v>57</v>
      </c>
      <c r="L40" s="10">
        <v>5.28</v>
      </c>
      <c r="M40" s="10">
        <v>50500</v>
      </c>
      <c r="N40" s="10">
        <v>266640</v>
      </c>
      <c r="O40" s="14">
        <v>-27.11</v>
      </c>
      <c r="P40" s="14">
        <v>194353.9</v>
      </c>
      <c r="Q40" s="10">
        <v>36809.449999999997</v>
      </c>
      <c r="R40" s="5"/>
      <c r="S40" s="5"/>
      <c r="T40" s="5"/>
      <c r="U40" s="5" t="s">
        <v>60</v>
      </c>
      <c r="V40" s="5" t="s">
        <v>51</v>
      </c>
      <c r="W40" s="5" t="s">
        <v>51</v>
      </c>
      <c r="X40" s="13" t="s">
        <v>52</v>
      </c>
      <c r="Y40" s="13">
        <v>13.58</v>
      </c>
      <c r="Z40" s="13">
        <v>9.89</v>
      </c>
      <c r="AA40" s="13">
        <v>6.21</v>
      </c>
      <c r="AB40" s="13">
        <v>62.8</v>
      </c>
      <c r="AC40" s="5">
        <v>57</v>
      </c>
      <c r="AD40" s="5" t="s">
        <v>58</v>
      </c>
      <c r="AE40" s="5" t="s">
        <v>53</v>
      </c>
      <c r="AF40" s="5" t="s">
        <v>54</v>
      </c>
      <c r="AG40" s="5" t="s">
        <v>54</v>
      </c>
      <c r="AH40" s="13" t="s">
        <v>54</v>
      </c>
      <c r="AI40" s="13">
        <v>0</v>
      </c>
      <c r="AJ40" s="13">
        <v>0</v>
      </c>
      <c r="AK40" s="13">
        <v>0</v>
      </c>
      <c r="AL40" s="5">
        <v>0</v>
      </c>
      <c r="AM40" s="5" t="s">
        <v>55</v>
      </c>
      <c r="AN40" s="5" t="s">
        <v>56</v>
      </c>
      <c r="AO40" s="5"/>
      <c r="AP40" s="4" t="str">
        <f>HYPERLINK("https://4e0s0i2r4n0u1s0.com/ViewVideoMp4.aspx?seqno=412941420"," Video ")</f>
        <v xml:space="preserve"> Video </v>
      </c>
    </row>
    <row r="41" spans="1:42">
      <c r="A41" s="4" t="str">
        <f>HYPERLINK("https://4e0s0i2r4n0u1s0.com/clientvideo/viewdetail.html?StoneNo=F3740"," DNA ")</f>
        <v xml:space="preserve"> DNA </v>
      </c>
      <c r="B41" s="5" t="s">
        <v>42</v>
      </c>
      <c r="C41" s="5" t="s">
        <v>43</v>
      </c>
      <c r="D41" s="5" t="s">
        <v>112</v>
      </c>
      <c r="E41" s="5" t="s">
        <v>96</v>
      </c>
      <c r="F41" s="8" t="s">
        <v>45</v>
      </c>
      <c r="G41" s="5" t="s">
        <v>46</v>
      </c>
      <c r="H41" s="5">
        <v>2221764002</v>
      </c>
      <c r="I41" s="5" t="s">
        <v>47</v>
      </c>
      <c r="J41" s="5" t="s">
        <v>78</v>
      </c>
      <c r="K41" s="5" t="s">
        <v>103</v>
      </c>
      <c r="L41" s="10">
        <v>7.12</v>
      </c>
      <c r="M41" s="10">
        <v>45000</v>
      </c>
      <c r="N41" s="10">
        <v>320400</v>
      </c>
      <c r="O41" s="14">
        <v>-13.88</v>
      </c>
      <c r="P41" s="14">
        <v>275928.48</v>
      </c>
      <c r="Q41" s="10">
        <v>38754</v>
      </c>
      <c r="R41" s="5"/>
      <c r="S41" s="5"/>
      <c r="T41" s="5"/>
      <c r="U41" s="5" t="s">
        <v>60</v>
      </c>
      <c r="V41" s="5" t="s">
        <v>51</v>
      </c>
      <c r="W41" s="5" t="s">
        <v>51</v>
      </c>
      <c r="X41" s="13" t="s">
        <v>52</v>
      </c>
      <c r="Y41" s="13">
        <v>14.73</v>
      </c>
      <c r="Z41" s="13">
        <v>10.67</v>
      </c>
      <c r="AA41" s="13">
        <v>6.87</v>
      </c>
      <c r="AB41" s="13">
        <v>64.400000000000006</v>
      </c>
      <c r="AC41" s="5">
        <v>56</v>
      </c>
      <c r="AD41" s="5" t="s">
        <v>72</v>
      </c>
      <c r="AE41" s="5" t="s">
        <v>67</v>
      </c>
      <c r="AF41" s="5" t="s">
        <v>60</v>
      </c>
      <c r="AG41" s="5" t="s">
        <v>69</v>
      </c>
      <c r="AH41" s="13" t="s">
        <v>60</v>
      </c>
      <c r="AI41" s="13">
        <v>0</v>
      </c>
      <c r="AJ41" s="13">
        <v>0</v>
      </c>
      <c r="AK41" s="13">
        <v>0</v>
      </c>
      <c r="AL41" s="5">
        <v>0</v>
      </c>
      <c r="AM41" s="5" t="s">
        <v>55</v>
      </c>
      <c r="AN41" s="5" t="s">
        <v>56</v>
      </c>
      <c r="AO41" s="4" t="str">
        <f>HYPERLINK("https://4e0s0i2r4n0u1s0.com/img/2221764002/PR.jpg"," Image ")</f>
        <v xml:space="preserve"> Image </v>
      </c>
      <c r="AP41" s="4" t="str">
        <f>HYPERLINK("https://4e0s0i2r4n0u1s0.com/ViewHDImage.aspx?stoneid=400660085"," Video ")</f>
        <v xml:space="preserve"> Video </v>
      </c>
    </row>
    <row r="42" spans="1:42">
      <c r="A42" s="4" t="str">
        <f>HYPERLINK("https://4e0s0i2r4n0u1s0.com/clientvideo/viewdetail.html?StoneNo=F3285"," DNA ")</f>
        <v xml:space="preserve"> DNA </v>
      </c>
      <c r="B42" s="5" t="s">
        <v>42</v>
      </c>
      <c r="C42" s="5" t="s">
        <v>43</v>
      </c>
      <c r="D42" s="5" t="s">
        <v>113</v>
      </c>
      <c r="E42" s="5" t="s">
        <v>96</v>
      </c>
      <c r="F42" s="8" t="s">
        <v>45</v>
      </c>
      <c r="G42" s="5" t="s">
        <v>46</v>
      </c>
      <c r="H42" s="5">
        <v>2221485445</v>
      </c>
      <c r="I42" s="5" t="s">
        <v>47</v>
      </c>
      <c r="J42" s="5" t="s">
        <v>81</v>
      </c>
      <c r="K42" s="5" t="s">
        <v>57</v>
      </c>
      <c r="L42" s="10">
        <v>5.31</v>
      </c>
      <c r="M42" s="10">
        <v>41500</v>
      </c>
      <c r="N42" s="10">
        <v>220365</v>
      </c>
      <c r="O42" s="14">
        <v>-27.02</v>
      </c>
      <c r="P42" s="14">
        <v>160822.38</v>
      </c>
      <c r="Q42" s="10">
        <v>30286.7</v>
      </c>
      <c r="R42" s="5"/>
      <c r="S42" s="5"/>
      <c r="T42" s="5"/>
      <c r="U42" s="5" t="s">
        <v>60</v>
      </c>
      <c r="V42" s="5" t="s">
        <v>51</v>
      </c>
      <c r="W42" s="5" t="s">
        <v>51</v>
      </c>
      <c r="X42" s="13" t="s">
        <v>52</v>
      </c>
      <c r="Y42" s="13">
        <v>14.92</v>
      </c>
      <c r="Z42" s="13">
        <v>9.6300000000000008</v>
      </c>
      <c r="AA42" s="13">
        <v>5.8</v>
      </c>
      <c r="AB42" s="13">
        <v>60.2</v>
      </c>
      <c r="AC42" s="5">
        <v>58</v>
      </c>
      <c r="AD42" s="5" t="s">
        <v>58</v>
      </c>
      <c r="AE42" s="5" t="s">
        <v>59</v>
      </c>
      <c r="AF42" s="5" t="s">
        <v>60</v>
      </c>
      <c r="AG42" s="5" t="s">
        <v>59</v>
      </c>
      <c r="AH42" s="13" t="s">
        <v>60</v>
      </c>
      <c r="AI42" s="13">
        <v>0</v>
      </c>
      <c r="AJ42" s="13">
        <v>0</v>
      </c>
      <c r="AK42" s="13">
        <v>0</v>
      </c>
      <c r="AL42" s="5">
        <v>0</v>
      </c>
      <c r="AM42" s="5" t="s">
        <v>55</v>
      </c>
      <c r="AN42" s="5" t="s">
        <v>56</v>
      </c>
      <c r="AO42" s="4" t="str">
        <f>HYPERLINK("https://4e0s0i2r4n0u1s0.com/img/2221485445/PR.jpg"," Image ")</f>
        <v xml:space="preserve"> Image </v>
      </c>
      <c r="AP42" s="4" t="str">
        <f>HYPERLINK("https://4e0s0i2r4n0u1s0.com/ViewHDImage.aspx?stoneid=341537720"," Video ")</f>
        <v xml:space="preserve"> Video </v>
      </c>
    </row>
    <row r="43" spans="1:42">
      <c r="A43" s="4" t="str">
        <f>HYPERLINK("https://4e0s0i2r4n0u1s0.com/clientvideo/viewdetail.html?StoneNo=F3771"," DNA ")</f>
        <v xml:space="preserve"> DNA </v>
      </c>
      <c r="B43" s="5" t="s">
        <v>42</v>
      </c>
      <c r="C43" s="5" t="s">
        <v>43</v>
      </c>
      <c r="D43" s="5" t="s">
        <v>114</v>
      </c>
      <c r="E43" s="5" t="s">
        <v>115</v>
      </c>
      <c r="F43" s="8" t="s">
        <v>45</v>
      </c>
      <c r="G43" s="5" t="s">
        <v>46</v>
      </c>
      <c r="H43" s="5">
        <v>2221291653</v>
      </c>
      <c r="I43" s="5" t="s">
        <v>47</v>
      </c>
      <c r="J43" s="5" t="s">
        <v>116</v>
      </c>
      <c r="K43" s="5" t="s">
        <v>79</v>
      </c>
      <c r="L43" s="10">
        <v>4.0599999999999996</v>
      </c>
      <c r="M43" s="10"/>
      <c r="N43" s="10"/>
      <c r="O43" s="14">
        <v>0</v>
      </c>
      <c r="P43" s="14">
        <v>1500000.01</v>
      </c>
      <c r="Q43" s="10">
        <v>369458.13</v>
      </c>
      <c r="R43" s="5"/>
      <c r="S43" s="5"/>
      <c r="T43" s="5"/>
      <c r="U43" s="5" t="s">
        <v>60</v>
      </c>
      <c r="V43" s="5" t="s">
        <v>51</v>
      </c>
      <c r="W43" s="5" t="s">
        <v>51</v>
      </c>
      <c r="X43" s="13" t="s">
        <v>52</v>
      </c>
      <c r="Y43" s="13">
        <v>8.7100000000000009</v>
      </c>
      <c r="Z43" s="13">
        <v>10.9</v>
      </c>
      <c r="AA43" s="13">
        <v>4.82</v>
      </c>
      <c r="AB43" s="13">
        <v>55.4</v>
      </c>
      <c r="AC43" s="5">
        <v>69</v>
      </c>
      <c r="AD43" s="5" t="s">
        <v>53</v>
      </c>
      <c r="AE43" s="5" t="s">
        <v>53</v>
      </c>
      <c r="AF43" s="5" t="s">
        <v>54</v>
      </c>
      <c r="AG43" s="5" t="s">
        <v>54</v>
      </c>
      <c r="AH43" s="13" t="s">
        <v>54</v>
      </c>
      <c r="AI43" s="13">
        <v>0</v>
      </c>
      <c r="AJ43" s="13">
        <v>0</v>
      </c>
      <c r="AK43" s="13">
        <v>0</v>
      </c>
      <c r="AL43" s="5">
        <v>0</v>
      </c>
      <c r="AM43" s="5" t="s">
        <v>53</v>
      </c>
      <c r="AN43" s="5" t="s">
        <v>56</v>
      </c>
      <c r="AO43" s="5"/>
      <c r="AP43" s="5"/>
    </row>
    <row r="44" spans="1:42">
      <c r="A44" s="4" t="str">
        <f>HYPERLINK("https://4e0s0i2r4n0u1s0.com/clientvideo/viewdetail.html?StoneNo=F3531"," DNA ")</f>
        <v xml:space="preserve"> DNA </v>
      </c>
      <c r="B44" s="5" t="s">
        <v>42</v>
      </c>
      <c r="C44" s="5" t="s">
        <v>62</v>
      </c>
      <c r="D44" s="5" t="s">
        <v>117</v>
      </c>
      <c r="E44" s="5" t="s">
        <v>118</v>
      </c>
      <c r="F44" s="8" t="s">
        <v>45</v>
      </c>
      <c r="G44" s="5" t="s">
        <v>46</v>
      </c>
      <c r="H44" s="5">
        <v>2223386152</v>
      </c>
      <c r="I44" s="5" t="s">
        <v>47</v>
      </c>
      <c r="J44" s="5" t="s">
        <v>48</v>
      </c>
      <c r="K44" s="5" t="s">
        <v>49</v>
      </c>
      <c r="L44" s="10">
        <v>10.53</v>
      </c>
      <c r="M44" s="10">
        <v>150000</v>
      </c>
      <c r="N44" s="10">
        <v>1579500</v>
      </c>
      <c r="O44" s="14">
        <v>-42.88</v>
      </c>
      <c r="P44" s="14">
        <v>902210.4</v>
      </c>
      <c r="Q44" s="10">
        <v>85680</v>
      </c>
      <c r="R44" s="5"/>
      <c r="S44" s="5"/>
      <c r="T44" s="5"/>
      <c r="U44" s="5" t="s">
        <v>60</v>
      </c>
      <c r="V44" s="5" t="s">
        <v>51</v>
      </c>
      <c r="W44" s="5" t="s">
        <v>51</v>
      </c>
      <c r="X44" s="13" t="s">
        <v>52</v>
      </c>
      <c r="Y44" s="13">
        <v>20.29</v>
      </c>
      <c r="Z44" s="13">
        <v>12.13</v>
      </c>
      <c r="AA44" s="13">
        <v>7.4</v>
      </c>
      <c r="AB44" s="13">
        <v>61</v>
      </c>
      <c r="AC44" s="5">
        <v>63</v>
      </c>
      <c r="AD44" s="5" t="s">
        <v>53</v>
      </c>
      <c r="AE44" s="5" t="s">
        <v>59</v>
      </c>
      <c r="AF44" s="5" t="s">
        <v>60</v>
      </c>
      <c r="AG44" s="5" t="s">
        <v>59</v>
      </c>
      <c r="AH44" s="13" t="s">
        <v>60</v>
      </c>
      <c r="AI44" s="13">
        <v>0</v>
      </c>
      <c r="AJ44" s="13">
        <v>0</v>
      </c>
      <c r="AK44" s="13">
        <v>0</v>
      </c>
      <c r="AL44" s="5">
        <v>0</v>
      </c>
      <c r="AM44" s="5" t="s">
        <v>55</v>
      </c>
      <c r="AN44" s="5" t="s">
        <v>56</v>
      </c>
      <c r="AO44" s="4" t="str">
        <f>HYPERLINK("https://4e0s0i2r4n0u1s0.com/img/2223386152/PR.jpg"," Image ")</f>
        <v xml:space="preserve"> Image </v>
      </c>
      <c r="AP44" s="4" t="str">
        <f>HYPERLINK("https://4e0s0i2r4n0u1s0.com/ViewHDImage.aspx?stoneid=369442382"," Video ")</f>
        <v xml:space="preserve"> Video </v>
      </c>
    </row>
    <row r="45" spans="1:42">
      <c r="A45" s="4" t="str">
        <f>HYPERLINK("https://4e0s0i2r4n0u1s0.com/clientvideo/viewdetail.html?StoneNo=F3423"," DNA ")</f>
        <v xml:space="preserve"> DNA </v>
      </c>
      <c r="B45" s="5" t="s">
        <v>42</v>
      </c>
      <c r="C45" s="5" t="s">
        <v>43</v>
      </c>
      <c r="D45" s="5" t="s">
        <v>119</v>
      </c>
      <c r="E45" s="5" t="s">
        <v>118</v>
      </c>
      <c r="F45" s="8" t="s">
        <v>45</v>
      </c>
      <c r="G45" s="5" t="s">
        <v>46</v>
      </c>
      <c r="H45" s="5">
        <v>2225616629</v>
      </c>
      <c r="I45" s="5" t="s">
        <v>47</v>
      </c>
      <c r="J45" s="5" t="s">
        <v>48</v>
      </c>
      <c r="K45" s="5" t="s">
        <v>49</v>
      </c>
      <c r="L45" s="10">
        <v>10.23</v>
      </c>
      <c r="M45" s="10">
        <v>150000</v>
      </c>
      <c r="N45" s="10">
        <v>1534500</v>
      </c>
      <c r="O45" s="14">
        <v>-38</v>
      </c>
      <c r="P45" s="14">
        <v>951390</v>
      </c>
      <c r="Q45" s="10">
        <v>93000</v>
      </c>
      <c r="R45" s="5"/>
      <c r="S45" s="5"/>
      <c r="T45" s="5"/>
      <c r="U45" s="5" t="s">
        <v>60</v>
      </c>
      <c r="V45" s="5" t="s">
        <v>51</v>
      </c>
      <c r="W45" s="5" t="s">
        <v>51</v>
      </c>
      <c r="X45" s="13" t="s">
        <v>52</v>
      </c>
      <c r="Y45" s="13">
        <v>20.38</v>
      </c>
      <c r="Z45" s="13">
        <v>12.06</v>
      </c>
      <c r="AA45" s="13">
        <v>6.67</v>
      </c>
      <c r="AB45" s="13">
        <v>55.3</v>
      </c>
      <c r="AC45" s="5">
        <v>63</v>
      </c>
      <c r="AD45" s="5" t="s">
        <v>53</v>
      </c>
      <c r="AE45" s="5" t="s">
        <v>53</v>
      </c>
      <c r="AF45" s="5" t="s">
        <v>54</v>
      </c>
      <c r="AG45" s="5" t="s">
        <v>54</v>
      </c>
      <c r="AH45" s="13" t="s">
        <v>54</v>
      </c>
      <c r="AI45" s="13">
        <v>0</v>
      </c>
      <c r="AJ45" s="13">
        <v>0</v>
      </c>
      <c r="AK45" s="13">
        <v>0</v>
      </c>
      <c r="AL45" s="5">
        <v>0</v>
      </c>
      <c r="AM45" s="5" t="s">
        <v>55</v>
      </c>
      <c r="AN45" s="5" t="s">
        <v>56</v>
      </c>
      <c r="AO45" s="5"/>
      <c r="AP45" s="5"/>
    </row>
    <row r="46" spans="1:42">
      <c r="A46" s="4" t="str">
        <f>HYPERLINK("https://4e0s0i2r4n0u1s0.com/clientvideo/viewdetail.html?StoneNo=F3424"," DNA ")</f>
        <v xml:space="preserve"> DNA </v>
      </c>
      <c r="B46" s="5" t="s">
        <v>42</v>
      </c>
      <c r="C46" s="5" t="s">
        <v>43</v>
      </c>
      <c r="D46" s="5" t="s">
        <v>120</v>
      </c>
      <c r="E46" s="5" t="s">
        <v>118</v>
      </c>
      <c r="F46" s="8" t="s">
        <v>45</v>
      </c>
      <c r="G46" s="5" t="s">
        <v>46</v>
      </c>
      <c r="H46" s="5">
        <v>2223616613</v>
      </c>
      <c r="I46" s="5" t="s">
        <v>47</v>
      </c>
      <c r="J46" s="5" t="s">
        <v>48</v>
      </c>
      <c r="K46" s="5" t="s">
        <v>49</v>
      </c>
      <c r="L46" s="10">
        <v>10.23</v>
      </c>
      <c r="M46" s="10">
        <v>150000</v>
      </c>
      <c r="N46" s="10">
        <v>1534500</v>
      </c>
      <c r="O46" s="14">
        <v>-38</v>
      </c>
      <c r="P46" s="14">
        <v>951390</v>
      </c>
      <c r="Q46" s="10">
        <v>93000</v>
      </c>
      <c r="R46" s="5"/>
      <c r="S46" s="5"/>
      <c r="T46" s="5"/>
      <c r="U46" s="5" t="s">
        <v>60</v>
      </c>
      <c r="V46" s="5" t="s">
        <v>51</v>
      </c>
      <c r="W46" s="5" t="s">
        <v>51</v>
      </c>
      <c r="X46" s="13" t="s">
        <v>52</v>
      </c>
      <c r="Y46" s="13">
        <v>20.07</v>
      </c>
      <c r="Z46" s="13">
        <v>11.97</v>
      </c>
      <c r="AA46" s="13">
        <v>6.7</v>
      </c>
      <c r="AB46" s="13">
        <v>56</v>
      </c>
      <c r="AC46" s="5">
        <v>63</v>
      </c>
      <c r="AD46" s="5" t="s">
        <v>53</v>
      </c>
      <c r="AE46" s="5" t="s">
        <v>53</v>
      </c>
      <c r="AF46" s="5" t="s">
        <v>54</v>
      </c>
      <c r="AG46" s="5" t="s">
        <v>54</v>
      </c>
      <c r="AH46" s="13" t="s">
        <v>54</v>
      </c>
      <c r="AI46" s="13">
        <v>0</v>
      </c>
      <c r="AJ46" s="13">
        <v>0</v>
      </c>
      <c r="AK46" s="13">
        <v>0</v>
      </c>
      <c r="AL46" s="5">
        <v>0</v>
      </c>
      <c r="AM46" s="5" t="s">
        <v>55</v>
      </c>
      <c r="AN46" s="5" t="s">
        <v>56</v>
      </c>
      <c r="AO46" s="5"/>
      <c r="AP46" s="5"/>
    </row>
    <row r="47" spans="1:42">
      <c r="A47" s="4" t="str">
        <f>HYPERLINK("https://4e0s0i2r4n0u1s0.com/clientvideo/viewdetail.html?StoneNo=F2688"," DNA ")</f>
        <v xml:space="preserve"> DNA </v>
      </c>
      <c r="B47" s="5" t="s">
        <v>42</v>
      </c>
      <c r="C47" s="5" t="s">
        <v>43</v>
      </c>
      <c r="D47" s="5" t="s">
        <v>121</v>
      </c>
      <c r="E47" s="5" t="s">
        <v>118</v>
      </c>
      <c r="F47" s="8" t="s">
        <v>45</v>
      </c>
      <c r="G47" s="5" t="s">
        <v>46</v>
      </c>
      <c r="H47" s="5">
        <v>2225133537</v>
      </c>
      <c r="I47" s="5" t="s">
        <v>47</v>
      </c>
      <c r="J47" s="5" t="s">
        <v>48</v>
      </c>
      <c r="K47" s="5" t="s">
        <v>49</v>
      </c>
      <c r="L47" s="10">
        <v>3.72</v>
      </c>
      <c r="M47" s="10">
        <v>46000</v>
      </c>
      <c r="N47" s="10">
        <v>171120</v>
      </c>
      <c r="O47" s="14">
        <v>-30</v>
      </c>
      <c r="P47" s="14">
        <v>119784</v>
      </c>
      <c r="Q47" s="10">
        <v>32200</v>
      </c>
      <c r="R47" s="5"/>
      <c r="S47" s="5"/>
      <c r="T47" s="5"/>
      <c r="U47" s="5" t="s">
        <v>60</v>
      </c>
      <c r="V47" s="5" t="s">
        <v>51</v>
      </c>
      <c r="W47" s="5" t="s">
        <v>51</v>
      </c>
      <c r="X47" s="13" t="s">
        <v>52</v>
      </c>
      <c r="Y47" s="13">
        <v>13.1</v>
      </c>
      <c r="Z47" s="13">
        <v>8.32</v>
      </c>
      <c r="AA47" s="13">
        <v>5.53</v>
      </c>
      <c r="AB47" s="13">
        <v>66.400000000000006</v>
      </c>
      <c r="AC47" s="5">
        <v>58</v>
      </c>
      <c r="AD47" s="5" t="s">
        <v>53</v>
      </c>
      <c r="AE47" s="5" t="s">
        <v>59</v>
      </c>
      <c r="AF47" s="5" t="s">
        <v>59</v>
      </c>
      <c r="AG47" s="5" t="s">
        <v>59</v>
      </c>
      <c r="AH47" s="13" t="s">
        <v>59</v>
      </c>
      <c r="AI47" s="13">
        <v>0</v>
      </c>
      <c r="AJ47" s="13">
        <v>0</v>
      </c>
      <c r="AK47" s="13">
        <v>0</v>
      </c>
      <c r="AL47" s="5">
        <v>0</v>
      </c>
      <c r="AM47" s="5" t="s">
        <v>55</v>
      </c>
      <c r="AN47" s="5" t="s">
        <v>56</v>
      </c>
      <c r="AO47" s="4" t="str">
        <f>HYPERLINK("https://4e0s0i2r4n0u1s0.com/img/2225133537/PR.jpg"," Image ")</f>
        <v xml:space="preserve"> Image </v>
      </c>
      <c r="AP47" s="4" t="str">
        <f>HYPERLINK("https://4e0s0i2r4n0u1s0.com/ViewHDImage.aspx?stoneid=279059563"," Video ")</f>
        <v xml:space="preserve"> Video </v>
      </c>
    </row>
    <row r="48" spans="1:42">
      <c r="A48" s="4" t="str">
        <f>HYPERLINK("https://4e0s0i2r4n0u1s0.com/clientvideo/viewdetail.html?StoneNo=F3688"," DNA ")</f>
        <v xml:space="preserve"> DNA </v>
      </c>
      <c r="B48" s="5" t="s">
        <v>42</v>
      </c>
      <c r="C48" s="5" t="s">
        <v>43</v>
      </c>
      <c r="D48" s="5" t="s">
        <v>122</v>
      </c>
      <c r="E48" s="5" t="s">
        <v>118</v>
      </c>
      <c r="F48" s="8" t="s">
        <v>45</v>
      </c>
      <c r="G48" s="5" t="s">
        <v>46</v>
      </c>
      <c r="H48" s="5">
        <v>2223668532</v>
      </c>
      <c r="I48" s="5" t="s">
        <v>47</v>
      </c>
      <c r="J48" s="5" t="s">
        <v>48</v>
      </c>
      <c r="K48" s="5" t="s">
        <v>49</v>
      </c>
      <c r="L48" s="10">
        <v>3.5</v>
      </c>
      <c r="M48" s="10">
        <v>46000</v>
      </c>
      <c r="N48" s="10">
        <v>161000</v>
      </c>
      <c r="O48" s="14">
        <v>-28.83</v>
      </c>
      <c r="P48" s="14">
        <v>114583.7</v>
      </c>
      <c r="Q48" s="10">
        <v>32738.2</v>
      </c>
      <c r="R48" s="5"/>
      <c r="S48" s="5"/>
      <c r="T48" s="5"/>
      <c r="U48" s="5" t="s">
        <v>60</v>
      </c>
      <c r="V48" s="5" t="s">
        <v>51</v>
      </c>
      <c r="W48" s="5" t="s">
        <v>51</v>
      </c>
      <c r="X48" s="13" t="s">
        <v>52</v>
      </c>
      <c r="Y48" s="13">
        <v>8.2100000000000009</v>
      </c>
      <c r="Z48" s="13">
        <v>13.83</v>
      </c>
      <c r="AA48" s="13">
        <v>5.17</v>
      </c>
      <c r="AB48" s="13">
        <v>63</v>
      </c>
      <c r="AC48" s="5">
        <v>62</v>
      </c>
      <c r="AD48" s="5" t="s">
        <v>53</v>
      </c>
      <c r="AE48" s="5" t="s">
        <v>59</v>
      </c>
      <c r="AF48" s="5" t="s">
        <v>60</v>
      </c>
      <c r="AG48" s="5" t="s">
        <v>59</v>
      </c>
      <c r="AH48" s="13" t="s">
        <v>60</v>
      </c>
      <c r="AI48" s="13">
        <v>0</v>
      </c>
      <c r="AJ48" s="13">
        <v>0</v>
      </c>
      <c r="AK48" s="13">
        <v>0</v>
      </c>
      <c r="AL48" s="5">
        <v>0</v>
      </c>
      <c r="AM48" s="5" t="s">
        <v>55</v>
      </c>
      <c r="AN48" s="5" t="s">
        <v>56</v>
      </c>
      <c r="AO48" s="4" t="str">
        <f>HYPERLINK("https://4e0s0i2r4n0u1s0.com/img/2223668532/PR.jpg"," Image ")</f>
        <v xml:space="preserve"> Image </v>
      </c>
      <c r="AP48" s="4" t="str">
        <f>HYPERLINK("https://4e0s0i2r4n0u1s0.com/ViewHDImage.aspx?stoneid=393250457"," Video ")</f>
        <v xml:space="preserve"> Video </v>
      </c>
    </row>
    <row r="49" spans="1:42">
      <c r="A49" s="4" t="str">
        <f>HYPERLINK("https://4e0s0i2r4n0u1s0.com/clientvideo/viewdetail.html?StoneNo=F3489"," DNA ")</f>
        <v xml:space="preserve"> DNA </v>
      </c>
      <c r="B49" s="5" t="s">
        <v>42</v>
      </c>
      <c r="C49" s="5" t="s">
        <v>43</v>
      </c>
      <c r="D49" s="5" t="s">
        <v>123</v>
      </c>
      <c r="E49" s="5" t="s">
        <v>118</v>
      </c>
      <c r="F49" s="8" t="s">
        <v>45</v>
      </c>
      <c r="G49" s="5" t="s">
        <v>46</v>
      </c>
      <c r="H49" s="5">
        <v>5221667015</v>
      </c>
      <c r="I49" s="5" t="s">
        <v>47</v>
      </c>
      <c r="J49" s="5" t="s">
        <v>48</v>
      </c>
      <c r="K49" s="5" t="s">
        <v>49</v>
      </c>
      <c r="L49" s="10">
        <v>3.16</v>
      </c>
      <c r="M49" s="10">
        <v>46000</v>
      </c>
      <c r="N49" s="10">
        <v>145360</v>
      </c>
      <c r="O49" s="14">
        <v>-26.62</v>
      </c>
      <c r="P49" s="14">
        <v>106665.17</v>
      </c>
      <c r="Q49" s="10">
        <v>33754.800000000003</v>
      </c>
      <c r="R49" s="5"/>
      <c r="S49" s="5"/>
      <c r="T49" s="5"/>
      <c r="U49" s="5" t="s">
        <v>60</v>
      </c>
      <c r="V49" s="5" t="s">
        <v>51</v>
      </c>
      <c r="W49" s="5" t="s">
        <v>51</v>
      </c>
      <c r="X49" s="13" t="s">
        <v>52</v>
      </c>
      <c r="Y49" s="13">
        <v>12.79</v>
      </c>
      <c r="Z49" s="13">
        <v>8.08</v>
      </c>
      <c r="AA49" s="13">
        <v>5.0599999999999996</v>
      </c>
      <c r="AB49" s="13">
        <v>62.7</v>
      </c>
      <c r="AC49" s="5">
        <v>59</v>
      </c>
      <c r="AD49" s="5" t="s">
        <v>53</v>
      </c>
      <c r="AE49" s="5" t="s">
        <v>59</v>
      </c>
      <c r="AF49" s="5" t="s">
        <v>60</v>
      </c>
      <c r="AG49" s="5" t="s">
        <v>59</v>
      </c>
      <c r="AH49" s="13" t="s">
        <v>60</v>
      </c>
      <c r="AI49" s="13">
        <v>0</v>
      </c>
      <c r="AJ49" s="13">
        <v>0</v>
      </c>
      <c r="AK49" s="13">
        <v>0</v>
      </c>
      <c r="AL49" s="5">
        <v>0</v>
      </c>
      <c r="AM49" s="5" t="s">
        <v>55</v>
      </c>
      <c r="AN49" s="5" t="s">
        <v>56</v>
      </c>
      <c r="AO49" s="5"/>
      <c r="AP49" s="4" t="str">
        <f>HYPERLINK("https://4e0s0i2r4n0u1s0.com/ViewVideoMp4.aspx?seqno=364882615"," Video ")</f>
        <v xml:space="preserve"> Video </v>
      </c>
    </row>
    <row r="50" spans="1:42">
      <c r="A50" s="4" t="str">
        <f>HYPERLINK("https://4e0s0i2r4n0u1s0.com/clientvideo/viewdetail.html?StoneNo=F3507"," DNA ")</f>
        <v xml:space="preserve"> DNA </v>
      </c>
      <c r="B50" s="5" t="s">
        <v>42</v>
      </c>
      <c r="C50" s="5" t="s">
        <v>43</v>
      </c>
      <c r="D50" s="5" t="s">
        <v>124</v>
      </c>
      <c r="E50" s="5" t="s">
        <v>118</v>
      </c>
      <c r="F50" s="8" t="s">
        <v>45</v>
      </c>
      <c r="G50" s="5" t="s">
        <v>46</v>
      </c>
      <c r="H50" s="5">
        <v>2221531924</v>
      </c>
      <c r="I50" s="5" t="s">
        <v>47</v>
      </c>
      <c r="J50" s="5" t="s">
        <v>48</v>
      </c>
      <c r="K50" s="5" t="s">
        <v>49</v>
      </c>
      <c r="L50" s="10">
        <v>3.1</v>
      </c>
      <c r="M50" s="10">
        <v>46000</v>
      </c>
      <c r="N50" s="10">
        <v>142600</v>
      </c>
      <c r="O50" s="14">
        <v>-25.75</v>
      </c>
      <c r="P50" s="14">
        <v>105880.5</v>
      </c>
      <c r="Q50" s="10">
        <v>34155</v>
      </c>
      <c r="R50" s="5"/>
      <c r="S50" s="5"/>
      <c r="T50" s="5"/>
      <c r="U50" s="5" t="s">
        <v>60</v>
      </c>
      <c r="V50" s="5" t="s">
        <v>51</v>
      </c>
      <c r="W50" s="5" t="s">
        <v>51</v>
      </c>
      <c r="X50" s="13" t="s">
        <v>52</v>
      </c>
      <c r="Y50" s="13">
        <v>13.24</v>
      </c>
      <c r="Z50" s="13">
        <v>8.07</v>
      </c>
      <c r="AA50" s="13">
        <v>5.04</v>
      </c>
      <c r="AB50" s="13">
        <v>62.5</v>
      </c>
      <c r="AC50" s="5">
        <v>61</v>
      </c>
      <c r="AD50" s="5" t="s">
        <v>53</v>
      </c>
      <c r="AE50" s="5" t="s">
        <v>59</v>
      </c>
      <c r="AF50" s="5" t="s">
        <v>59</v>
      </c>
      <c r="AG50" s="5" t="s">
        <v>59</v>
      </c>
      <c r="AH50" s="13" t="s">
        <v>59</v>
      </c>
      <c r="AI50" s="13">
        <v>0</v>
      </c>
      <c r="AJ50" s="13">
        <v>0</v>
      </c>
      <c r="AK50" s="13">
        <v>0</v>
      </c>
      <c r="AL50" s="5">
        <v>0</v>
      </c>
      <c r="AM50" s="5" t="s">
        <v>55</v>
      </c>
      <c r="AN50" s="5" t="s">
        <v>56</v>
      </c>
      <c r="AO50" s="4" t="str">
        <f>HYPERLINK("https://4e0s0i2r4n0u1s0.com/img/2221531924/PR.jpg"," Image ")</f>
        <v xml:space="preserve"> Image </v>
      </c>
      <c r="AP50" s="4" t="str">
        <f>HYPERLINK("https://4e0s0i2r4n0u1s0.com/ViewHDImage.aspx?stoneid=366543096"," Video ")</f>
        <v xml:space="preserve"> Video </v>
      </c>
    </row>
    <row r="51" spans="1:42">
      <c r="A51" s="4" t="str">
        <f>HYPERLINK("https://4e0s0i2r4n0u1s0.com/clientvideo/viewdetail.html?StoneNo=F2284"," DNA ")</f>
        <v xml:space="preserve"> DNA </v>
      </c>
      <c r="B51" s="5" t="s">
        <v>42</v>
      </c>
      <c r="C51" s="5" t="s">
        <v>43</v>
      </c>
      <c r="D51" s="5" t="s">
        <v>125</v>
      </c>
      <c r="E51" s="5" t="s">
        <v>118</v>
      </c>
      <c r="F51" s="8" t="s">
        <v>45</v>
      </c>
      <c r="G51" s="5" t="s">
        <v>46</v>
      </c>
      <c r="H51" s="5">
        <v>5221102525</v>
      </c>
      <c r="I51" s="5" t="s">
        <v>47</v>
      </c>
      <c r="J51" s="5" t="s">
        <v>48</v>
      </c>
      <c r="K51" s="5" t="s">
        <v>49</v>
      </c>
      <c r="L51" s="10">
        <v>8.56</v>
      </c>
      <c r="M51" s="10">
        <v>85000</v>
      </c>
      <c r="N51" s="10">
        <v>727600</v>
      </c>
      <c r="O51" s="14">
        <v>-8</v>
      </c>
      <c r="P51" s="14">
        <v>669392</v>
      </c>
      <c r="Q51" s="10">
        <v>78200</v>
      </c>
      <c r="R51" s="5"/>
      <c r="S51" s="5"/>
      <c r="T51" s="5"/>
      <c r="U51" s="5" t="s">
        <v>60</v>
      </c>
      <c r="V51" s="5" t="s">
        <v>51</v>
      </c>
      <c r="W51" s="5" t="s">
        <v>51</v>
      </c>
      <c r="X51" s="13" t="s">
        <v>52</v>
      </c>
      <c r="Y51" s="13">
        <v>18.190000000000001</v>
      </c>
      <c r="Z51" s="13">
        <v>11.28</v>
      </c>
      <c r="AA51" s="13">
        <v>7.04</v>
      </c>
      <c r="AB51" s="13">
        <v>62.4</v>
      </c>
      <c r="AC51" s="5">
        <v>56</v>
      </c>
      <c r="AD51" s="5" t="s">
        <v>53</v>
      </c>
      <c r="AE51" s="5" t="s">
        <v>59</v>
      </c>
      <c r="AF51" s="5" t="s">
        <v>54</v>
      </c>
      <c r="AG51" s="5" t="s">
        <v>59</v>
      </c>
      <c r="AH51" s="13" t="s">
        <v>60</v>
      </c>
      <c r="AI51" s="13">
        <v>0</v>
      </c>
      <c r="AJ51" s="13">
        <v>0</v>
      </c>
      <c r="AK51" s="13">
        <v>0</v>
      </c>
      <c r="AL51" s="5">
        <v>0</v>
      </c>
      <c r="AM51" s="5" t="s">
        <v>55</v>
      </c>
      <c r="AN51" s="5" t="s">
        <v>56</v>
      </c>
      <c r="AO51" s="4" t="str">
        <f>HYPERLINK("https://4e0s0i2r4n0u1s0.com/img/5221102525/PR.jpg"," Image ")</f>
        <v xml:space="preserve"> Image </v>
      </c>
      <c r="AP51" s="4" t="str">
        <f>HYPERLINK("https://4e0s0i2r4n0u1s0.com/ViewHDImage.aspx?stoneid=236974971"," Video ")</f>
        <v xml:space="preserve"> Video </v>
      </c>
    </row>
  </sheetData>
  <autoFilter ref="A1:AP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StoneSelection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SUNRISE DIAMOND PVT. LTD.</dc:title>
  <dc:creator>SUNRISE DIAMOND</dc:creator>
  <cp:lastModifiedBy>brainwaves-10</cp:lastModifiedBy>
  <dcterms:modified xsi:type="dcterms:W3CDTF">2023-04-20T08:32:00Z</dcterms:modified>
</cp:coreProperties>
</file>